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0"/>
  <workbookPr/>
  <mc:AlternateContent xmlns:mc="http://schemas.openxmlformats.org/markup-compatibility/2006">
    <mc:Choice Requires="x15">
      <x15ac:absPath xmlns:x15ac="http://schemas.microsoft.com/office/spreadsheetml/2010/11/ac" url="/Users/paksivatkinavaleria/Desktop/работа/Мониторинг 2021/"/>
    </mc:Choice>
  </mc:AlternateContent>
  <xr:revisionPtr revIDLastSave="0" documentId="13_ncr:1_{F0370544-E2B3-8C4F-A7DE-C849EC2BC488}" xr6:coauthVersionLast="47" xr6:coauthVersionMax="47" xr10:uidLastSave="{00000000-0000-0000-0000-000000000000}"/>
  <bookViews>
    <workbookView xWindow="0" yWindow="0" windowWidth="28800" windowHeight="18000" xr2:uid="{00000000-000D-0000-FFFF-FFFF00000000}"/>
  </bookViews>
  <sheets>
    <sheet name="свод практик" sheetId="3" r:id="rId1"/>
    <sheet name="свод субъектов ИБ+смежные" sheetId="4" r:id="rId2"/>
    <sheet name="Таблицы ИБ+смежные" sheetId="6" r:id="rId3"/>
    <sheet name="округа" sheetId="7" r:id="rId4"/>
    <sheet name="мун практики" sheetId="8" r:id="rId5"/>
    <sheet name="строго ИБ" sheetId="9" r:id="rId6"/>
    <sheet name="таблицы строго ИБ" sheetId="11" r:id="rId7"/>
    <sheet name="смежные практики" sheetId="12" r:id="rId8"/>
    <sheet name="таблицы по типологиям" sheetId="13" r:id="rId9"/>
  </sheets>
  <externalReferences>
    <externalReference r:id="rId10"/>
  </externalReferences>
  <definedNames>
    <definedName name="_xlnm._FilterDatabase" localSheetId="3" hidden="1">округа!$D$40:$E$40</definedName>
    <definedName name="_xlnm._FilterDatabase" localSheetId="0" hidden="1">'свод практик'!$B$1:$FP$277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8" i="4" l="1"/>
  <c r="P63" i="4"/>
  <c r="F67" i="12"/>
  <c r="G67" i="12"/>
  <c r="H67" i="12"/>
  <c r="I67" i="12"/>
  <c r="J67" i="12"/>
  <c r="K67" i="12"/>
  <c r="L67" i="12"/>
  <c r="M67" i="12"/>
  <c r="N67" i="12"/>
  <c r="O67" i="12"/>
  <c r="P67" i="12"/>
  <c r="Q67" i="12"/>
  <c r="R67" i="12"/>
  <c r="S67" i="12"/>
  <c r="T67" i="12"/>
  <c r="U67" i="12"/>
  <c r="V67" i="12"/>
  <c r="W67" i="12"/>
  <c r="X67" i="12"/>
  <c r="Y67" i="12"/>
  <c r="Z67" i="12"/>
  <c r="AA67" i="12"/>
  <c r="AB67" i="12"/>
  <c r="AC67" i="12"/>
  <c r="AD67" i="12"/>
  <c r="AE67" i="12"/>
  <c r="AF67" i="12"/>
  <c r="AG67" i="12"/>
  <c r="AH67" i="12"/>
  <c r="AI67" i="12"/>
  <c r="AJ67" i="12"/>
  <c r="AK67" i="12"/>
  <c r="AL67" i="12"/>
  <c r="AM67" i="12"/>
  <c r="AN67" i="12"/>
  <c r="AO67" i="12"/>
  <c r="AP67" i="12"/>
  <c r="AQ67" i="12"/>
  <c r="AR67" i="12"/>
  <c r="AS67" i="12"/>
  <c r="AT67" i="12"/>
  <c r="AU67" i="12"/>
  <c r="AV67" i="12"/>
  <c r="AW67" i="12"/>
  <c r="AX67" i="12"/>
  <c r="AY67" i="12"/>
  <c r="AZ67" i="12"/>
  <c r="BA67" i="12"/>
  <c r="BB67" i="12"/>
  <c r="BC67" i="12"/>
  <c r="BD67" i="12"/>
  <c r="BE67" i="12"/>
  <c r="BF67" i="12"/>
  <c r="BG67" i="12"/>
  <c r="BH67" i="12"/>
  <c r="BI67" i="12"/>
  <c r="BJ67" i="12"/>
  <c r="BK67" i="12"/>
  <c r="BL67" i="12"/>
  <c r="BM67" i="12"/>
  <c r="BN67" i="12"/>
  <c r="BO67" i="12"/>
  <c r="BP67" i="12"/>
  <c r="BQ67" i="12"/>
  <c r="BR67" i="12"/>
  <c r="BS67" i="12"/>
  <c r="BT67" i="12"/>
  <c r="BU67" i="12"/>
  <c r="BV67" i="12"/>
  <c r="BW67" i="12"/>
  <c r="BX67" i="12"/>
  <c r="BY67" i="12"/>
  <c r="BZ67" i="12"/>
  <c r="CA67" i="12"/>
  <c r="CB67" i="12"/>
  <c r="CC67" i="12"/>
  <c r="CD67" i="12"/>
  <c r="CE67" i="12"/>
  <c r="CF67" i="12"/>
  <c r="CG67" i="12"/>
  <c r="CH67" i="12"/>
  <c r="CI67" i="12"/>
  <c r="CJ67" i="12"/>
  <c r="CK67" i="12"/>
  <c r="F66" i="12"/>
  <c r="G66" i="12"/>
  <c r="H66" i="12"/>
  <c r="I66" i="12"/>
  <c r="J66" i="12"/>
  <c r="K66" i="12"/>
  <c r="L66" i="12"/>
  <c r="M66" i="12"/>
  <c r="N66" i="12"/>
  <c r="O66" i="12"/>
  <c r="P66" i="12"/>
  <c r="Q66" i="12"/>
  <c r="R66" i="12"/>
  <c r="S66" i="12"/>
  <c r="T66" i="12"/>
  <c r="U66" i="12"/>
  <c r="V66" i="12"/>
  <c r="W66" i="12"/>
  <c r="X66" i="12"/>
  <c r="Y66" i="12"/>
  <c r="Z66" i="12"/>
  <c r="AA66" i="12"/>
  <c r="AB66" i="12"/>
  <c r="AC66" i="12"/>
  <c r="AD66" i="12"/>
  <c r="AE66" i="12"/>
  <c r="AF66" i="12"/>
  <c r="AG66" i="12"/>
  <c r="AH66" i="12"/>
  <c r="AI66" i="12"/>
  <c r="AJ66" i="12"/>
  <c r="AK66" i="12"/>
  <c r="AL66" i="12"/>
  <c r="AM66" i="12"/>
  <c r="AN66" i="12"/>
  <c r="AO66" i="12"/>
  <c r="AP66" i="12"/>
  <c r="AQ66" i="12"/>
  <c r="AR66" i="12"/>
  <c r="AS66" i="12"/>
  <c r="AT66" i="12"/>
  <c r="AU66" i="12"/>
  <c r="AV66" i="12"/>
  <c r="AW66" i="12"/>
  <c r="AX66" i="12"/>
  <c r="AY66" i="12"/>
  <c r="AZ66" i="12"/>
  <c r="BA66" i="12"/>
  <c r="BB66" i="12"/>
  <c r="BC66" i="12"/>
  <c r="BD66" i="12"/>
  <c r="BE66" i="12"/>
  <c r="BF66" i="12"/>
  <c r="BG66" i="12"/>
  <c r="BH66" i="12"/>
  <c r="BI66" i="12"/>
  <c r="BJ66" i="12"/>
  <c r="BK66" i="12"/>
  <c r="BL66" i="12"/>
  <c r="BM66" i="12"/>
  <c r="BN66" i="12"/>
  <c r="BO66" i="12"/>
  <c r="BP66" i="12"/>
  <c r="BQ66" i="12"/>
  <c r="BR66" i="12"/>
  <c r="BS66" i="12"/>
  <c r="BT66" i="12"/>
  <c r="BU66" i="12"/>
  <c r="BV66" i="12"/>
  <c r="BW66" i="12"/>
  <c r="BX66" i="12"/>
  <c r="BY66" i="12"/>
  <c r="BZ66" i="12"/>
  <c r="CA66" i="12"/>
  <c r="CB66" i="12"/>
  <c r="CC66" i="12"/>
  <c r="CD66" i="12"/>
  <c r="CE66" i="12"/>
  <c r="CF66" i="12"/>
  <c r="CG66" i="12"/>
  <c r="CH66" i="12"/>
  <c r="CI66" i="12"/>
  <c r="CJ66" i="12"/>
  <c r="CK66" i="12"/>
  <c r="F65" i="12"/>
  <c r="G65" i="12"/>
  <c r="H65" i="12"/>
  <c r="I65" i="12"/>
  <c r="J65" i="12"/>
  <c r="K65" i="12"/>
  <c r="L65" i="12"/>
  <c r="M65" i="12"/>
  <c r="N65" i="12"/>
  <c r="O65" i="12"/>
  <c r="P65" i="12"/>
  <c r="Q65" i="12"/>
  <c r="R65" i="12"/>
  <c r="S65" i="12"/>
  <c r="T65" i="12"/>
  <c r="U65" i="12"/>
  <c r="V65" i="12"/>
  <c r="W65" i="12"/>
  <c r="X65" i="12"/>
  <c r="Y65" i="12"/>
  <c r="Z65" i="12"/>
  <c r="AA65" i="12"/>
  <c r="AB65" i="12"/>
  <c r="AC65" i="12"/>
  <c r="AD65" i="12"/>
  <c r="AE65" i="12"/>
  <c r="AF65" i="12"/>
  <c r="AG65" i="12"/>
  <c r="AH65" i="12"/>
  <c r="AI65" i="12"/>
  <c r="AJ65" i="12"/>
  <c r="AK65" i="12"/>
  <c r="AL65" i="12"/>
  <c r="AM65" i="12"/>
  <c r="AN65" i="12"/>
  <c r="AO65" i="12"/>
  <c r="AP65" i="12"/>
  <c r="AQ65" i="12"/>
  <c r="AR65" i="12"/>
  <c r="AS65" i="12"/>
  <c r="AT65" i="12"/>
  <c r="AU65" i="12"/>
  <c r="AV65" i="12"/>
  <c r="AW65" i="12"/>
  <c r="AX65" i="12"/>
  <c r="AY65" i="12"/>
  <c r="AZ65" i="12"/>
  <c r="BA65" i="12"/>
  <c r="BB65" i="12"/>
  <c r="BC65" i="12"/>
  <c r="BD65" i="12"/>
  <c r="BE65" i="12"/>
  <c r="BF65" i="12"/>
  <c r="BG65" i="12"/>
  <c r="BH65" i="12"/>
  <c r="BI65" i="12"/>
  <c r="BJ65" i="12"/>
  <c r="BK65" i="12"/>
  <c r="BL65" i="12"/>
  <c r="BM65" i="12"/>
  <c r="BN65" i="12"/>
  <c r="BO65" i="12"/>
  <c r="BP65" i="12"/>
  <c r="BQ65" i="12"/>
  <c r="BR65" i="12"/>
  <c r="BS65" i="12"/>
  <c r="BT65" i="12"/>
  <c r="BU65" i="12"/>
  <c r="BV65" i="12"/>
  <c r="BW65" i="12"/>
  <c r="BX65" i="12"/>
  <c r="BY65" i="12"/>
  <c r="BZ65" i="12"/>
  <c r="CA65" i="12"/>
  <c r="CB65" i="12"/>
  <c r="CC65" i="12"/>
  <c r="CD65" i="12"/>
  <c r="CE65" i="12"/>
  <c r="CF65" i="12"/>
  <c r="CG65" i="12"/>
  <c r="CH65" i="12"/>
  <c r="CI65" i="12"/>
  <c r="CJ65" i="12"/>
  <c r="CK65" i="12"/>
  <c r="E67" i="12"/>
  <c r="E66" i="12"/>
  <c r="E65" i="12"/>
  <c r="F64" i="12"/>
  <c r="G64" i="12"/>
  <c r="H64" i="12"/>
  <c r="I64" i="12"/>
  <c r="J64" i="12"/>
  <c r="K64" i="12"/>
  <c r="L64" i="12"/>
  <c r="M64" i="12"/>
  <c r="N64" i="12"/>
  <c r="O64" i="12"/>
  <c r="P64" i="12"/>
  <c r="Q64" i="12"/>
  <c r="R64" i="12"/>
  <c r="S64" i="12"/>
  <c r="T64" i="12"/>
  <c r="U64" i="12"/>
  <c r="V64" i="12"/>
  <c r="W64" i="12"/>
  <c r="X64" i="12"/>
  <c r="Y64" i="12"/>
  <c r="Z64" i="12"/>
  <c r="AA64" i="12"/>
  <c r="AB64" i="12"/>
  <c r="AC64" i="12"/>
  <c r="AD64" i="12"/>
  <c r="AE64" i="12"/>
  <c r="AF64" i="12"/>
  <c r="AG64" i="12"/>
  <c r="AH64" i="12"/>
  <c r="AI64" i="12"/>
  <c r="AJ64" i="12"/>
  <c r="AK64" i="12"/>
  <c r="AL64" i="12"/>
  <c r="AM64" i="12"/>
  <c r="AN64" i="12"/>
  <c r="AO64" i="12"/>
  <c r="AP64" i="12"/>
  <c r="AQ64" i="12"/>
  <c r="AR64" i="12"/>
  <c r="AS64" i="12"/>
  <c r="AT64" i="12"/>
  <c r="AU64" i="12"/>
  <c r="AV64" i="12"/>
  <c r="AW64" i="12"/>
  <c r="AX64" i="12"/>
  <c r="AY64" i="12"/>
  <c r="AZ64" i="12"/>
  <c r="BA64" i="12"/>
  <c r="BB64" i="12"/>
  <c r="BC64" i="12"/>
  <c r="BD64" i="12"/>
  <c r="BE64" i="12"/>
  <c r="BF64" i="12"/>
  <c r="BG64" i="12"/>
  <c r="BH64" i="12"/>
  <c r="BI64" i="12"/>
  <c r="BJ64" i="12"/>
  <c r="BK64" i="12"/>
  <c r="BL64" i="12"/>
  <c r="BM64" i="12"/>
  <c r="BN64" i="12"/>
  <c r="BO64" i="12"/>
  <c r="BP64" i="12"/>
  <c r="BQ64" i="12"/>
  <c r="BR64" i="12"/>
  <c r="BS64" i="12"/>
  <c r="BT64" i="12"/>
  <c r="BU64" i="12"/>
  <c r="BV64" i="12"/>
  <c r="BW64" i="12"/>
  <c r="BX64" i="12"/>
  <c r="BY64" i="12"/>
  <c r="BZ64" i="12"/>
  <c r="CA64" i="12"/>
  <c r="CB64" i="12"/>
  <c r="CC64" i="12"/>
  <c r="CD64" i="12"/>
  <c r="CE64" i="12"/>
  <c r="CF64" i="12"/>
  <c r="CG64" i="12"/>
  <c r="CH64" i="12"/>
  <c r="CI64" i="12"/>
  <c r="CJ64" i="12"/>
  <c r="CK64" i="12"/>
  <c r="E64" i="12"/>
  <c r="F63" i="12"/>
  <c r="G63" i="12"/>
  <c r="H63" i="12"/>
  <c r="I63" i="12"/>
  <c r="J63" i="12"/>
  <c r="K63" i="12"/>
  <c r="L63" i="12"/>
  <c r="M63" i="12"/>
  <c r="N63" i="12"/>
  <c r="O63" i="12"/>
  <c r="P63" i="12"/>
  <c r="Q63" i="12"/>
  <c r="R63" i="12"/>
  <c r="S63" i="12"/>
  <c r="T63" i="12"/>
  <c r="U63" i="12"/>
  <c r="V63" i="12"/>
  <c r="W63" i="12"/>
  <c r="X63" i="12"/>
  <c r="Y63" i="12"/>
  <c r="Z63" i="12"/>
  <c r="AA63" i="12"/>
  <c r="AB63" i="12"/>
  <c r="AC63" i="12"/>
  <c r="AD63" i="12"/>
  <c r="AE63" i="12"/>
  <c r="AF63" i="12"/>
  <c r="AG63" i="12"/>
  <c r="AH63" i="12"/>
  <c r="AI63" i="12"/>
  <c r="AJ63" i="12"/>
  <c r="AK63" i="12"/>
  <c r="AL63" i="12"/>
  <c r="AM63" i="12"/>
  <c r="AN63" i="12"/>
  <c r="AO63" i="12"/>
  <c r="AP63" i="12"/>
  <c r="AQ63" i="12"/>
  <c r="AR63" i="12"/>
  <c r="AS63" i="12"/>
  <c r="AT63" i="12"/>
  <c r="AU63" i="12"/>
  <c r="AV63" i="12"/>
  <c r="AW63" i="12"/>
  <c r="AX63" i="12"/>
  <c r="AY63" i="12"/>
  <c r="AZ63" i="12"/>
  <c r="BA63" i="12"/>
  <c r="BB63" i="12"/>
  <c r="BC63" i="12"/>
  <c r="BD63" i="12"/>
  <c r="BE63" i="12"/>
  <c r="BF63" i="12"/>
  <c r="BG63" i="12"/>
  <c r="BH63" i="12"/>
  <c r="BI63" i="12"/>
  <c r="BJ63" i="12"/>
  <c r="BK63" i="12"/>
  <c r="BL63" i="12"/>
  <c r="BM63" i="12"/>
  <c r="BN63" i="12"/>
  <c r="BO63" i="12"/>
  <c r="BP63" i="12"/>
  <c r="BQ63" i="12"/>
  <c r="BR63" i="12"/>
  <c r="BS63" i="12"/>
  <c r="BT63" i="12"/>
  <c r="BU63" i="12"/>
  <c r="BV63" i="12"/>
  <c r="BW63" i="12"/>
  <c r="BX63" i="12"/>
  <c r="BY63" i="12"/>
  <c r="BZ63" i="12"/>
  <c r="CA63" i="12"/>
  <c r="CB63" i="12"/>
  <c r="CC63" i="12"/>
  <c r="CD63" i="12"/>
  <c r="CE63" i="12"/>
  <c r="CF63" i="12"/>
  <c r="CG63" i="12"/>
  <c r="CH63" i="12"/>
  <c r="CI63" i="12"/>
  <c r="CJ63" i="12"/>
  <c r="CK63" i="12"/>
  <c r="E63" i="12"/>
  <c r="F62" i="12"/>
  <c r="G62" i="12"/>
  <c r="H62" i="12"/>
  <c r="I62" i="12"/>
  <c r="J62" i="12"/>
  <c r="K62" i="12"/>
  <c r="L62" i="12"/>
  <c r="M62" i="12"/>
  <c r="N62" i="12"/>
  <c r="O62" i="12"/>
  <c r="P62" i="12"/>
  <c r="Q62" i="12"/>
  <c r="R62" i="12"/>
  <c r="S62" i="12"/>
  <c r="T62" i="12"/>
  <c r="U62" i="12"/>
  <c r="V62" i="12"/>
  <c r="W62" i="12"/>
  <c r="X62" i="12"/>
  <c r="Y62" i="12"/>
  <c r="Z62" i="12"/>
  <c r="AA62" i="12"/>
  <c r="AB62" i="12"/>
  <c r="AC62" i="12"/>
  <c r="AD62" i="12"/>
  <c r="AE62" i="12"/>
  <c r="AF62" i="12"/>
  <c r="AG62" i="12"/>
  <c r="AH62" i="12"/>
  <c r="AI62" i="12"/>
  <c r="AJ62" i="12"/>
  <c r="AK62" i="12"/>
  <c r="AL62" i="12"/>
  <c r="AM62" i="12"/>
  <c r="AN62" i="12"/>
  <c r="AO62" i="12"/>
  <c r="AP62" i="12"/>
  <c r="AQ62" i="12"/>
  <c r="AR62" i="12"/>
  <c r="AS62" i="12"/>
  <c r="AT62" i="12"/>
  <c r="AU62" i="12"/>
  <c r="AV62" i="12"/>
  <c r="AW62" i="12"/>
  <c r="AX62" i="12"/>
  <c r="AY62" i="12"/>
  <c r="AZ62" i="12"/>
  <c r="BA62" i="12"/>
  <c r="BB62" i="12"/>
  <c r="BC62" i="12"/>
  <c r="BD62" i="12"/>
  <c r="BE62" i="12"/>
  <c r="BF62" i="12"/>
  <c r="BG62" i="12"/>
  <c r="BH62" i="12"/>
  <c r="BI62" i="12"/>
  <c r="BJ62" i="12"/>
  <c r="BK62" i="12"/>
  <c r="BL62" i="12"/>
  <c r="BM62" i="12"/>
  <c r="BN62" i="12"/>
  <c r="BO62" i="12"/>
  <c r="BP62" i="12"/>
  <c r="BQ62" i="12"/>
  <c r="BR62" i="12"/>
  <c r="BS62" i="12"/>
  <c r="BT62" i="12"/>
  <c r="BU62" i="12"/>
  <c r="BV62" i="12"/>
  <c r="BW62" i="12"/>
  <c r="BX62" i="12"/>
  <c r="BY62" i="12"/>
  <c r="BZ62" i="12"/>
  <c r="CA62" i="12"/>
  <c r="CB62" i="12"/>
  <c r="CC62" i="12"/>
  <c r="CD62" i="12"/>
  <c r="CE62" i="12"/>
  <c r="CF62" i="12"/>
  <c r="CG62" i="12"/>
  <c r="CH62" i="12"/>
  <c r="CI62" i="12"/>
  <c r="CJ62" i="12"/>
  <c r="CK62" i="12"/>
  <c r="E62" i="12"/>
  <c r="F61" i="12"/>
  <c r="G61" i="12"/>
  <c r="H61" i="12"/>
  <c r="I61" i="12"/>
  <c r="J61" i="12"/>
  <c r="K61" i="12"/>
  <c r="L61" i="12"/>
  <c r="M61" i="12"/>
  <c r="N61" i="12"/>
  <c r="O61" i="12"/>
  <c r="P61" i="12"/>
  <c r="Q61" i="12"/>
  <c r="R61" i="12"/>
  <c r="S61" i="12"/>
  <c r="T61" i="12"/>
  <c r="U61" i="12"/>
  <c r="V61" i="12"/>
  <c r="W61" i="12"/>
  <c r="X61" i="12"/>
  <c r="Y61" i="12"/>
  <c r="Z61" i="12"/>
  <c r="AA61" i="12"/>
  <c r="AB61" i="12"/>
  <c r="AC61" i="12"/>
  <c r="AD61" i="12"/>
  <c r="AE61" i="12"/>
  <c r="AF61" i="12"/>
  <c r="AG61" i="12"/>
  <c r="AH61" i="12"/>
  <c r="AI61" i="12"/>
  <c r="AJ61" i="12"/>
  <c r="AK61" i="12"/>
  <c r="AL61" i="12"/>
  <c r="AM61" i="12"/>
  <c r="AN61" i="12"/>
  <c r="AO61" i="12"/>
  <c r="AP61" i="12"/>
  <c r="AQ61" i="12"/>
  <c r="AR61" i="12"/>
  <c r="AS61" i="12"/>
  <c r="AT61" i="12"/>
  <c r="AU61" i="12"/>
  <c r="AV61" i="12"/>
  <c r="AW61" i="12"/>
  <c r="AX61" i="12"/>
  <c r="AY61" i="12"/>
  <c r="AZ61" i="12"/>
  <c r="BA61" i="12"/>
  <c r="BB61" i="12"/>
  <c r="BC61" i="12"/>
  <c r="BD61" i="12"/>
  <c r="BE61" i="12"/>
  <c r="BF61" i="12"/>
  <c r="BG61" i="12"/>
  <c r="BH61" i="12"/>
  <c r="BI61" i="12"/>
  <c r="BJ61" i="12"/>
  <c r="BK61" i="12"/>
  <c r="BL61" i="12"/>
  <c r="BM61" i="12"/>
  <c r="BN61" i="12"/>
  <c r="BO61" i="12"/>
  <c r="BP61" i="12"/>
  <c r="BQ61" i="12"/>
  <c r="BR61" i="12"/>
  <c r="BS61" i="12"/>
  <c r="BT61" i="12"/>
  <c r="BU61" i="12"/>
  <c r="BV61" i="12"/>
  <c r="BW61" i="12"/>
  <c r="BX61" i="12"/>
  <c r="BY61" i="12"/>
  <c r="BZ61" i="12"/>
  <c r="CA61" i="12"/>
  <c r="CB61" i="12"/>
  <c r="CC61" i="12"/>
  <c r="CD61" i="12"/>
  <c r="CE61" i="12"/>
  <c r="CF61" i="12"/>
  <c r="CG61" i="12"/>
  <c r="CH61" i="12"/>
  <c r="CI61" i="12"/>
  <c r="CJ61" i="12"/>
  <c r="CK61" i="12"/>
  <c r="E61" i="12"/>
  <c r="F60" i="12"/>
  <c r="G60" i="12"/>
  <c r="H60" i="12"/>
  <c r="I60" i="12"/>
  <c r="J60" i="12"/>
  <c r="K60" i="12"/>
  <c r="L60" i="12"/>
  <c r="M60" i="12"/>
  <c r="N60" i="12"/>
  <c r="O60" i="12"/>
  <c r="P60" i="12"/>
  <c r="Q60" i="12"/>
  <c r="R60" i="12"/>
  <c r="S60" i="12"/>
  <c r="T60" i="12"/>
  <c r="U60" i="12"/>
  <c r="V60" i="12"/>
  <c r="W60" i="12"/>
  <c r="X60" i="12"/>
  <c r="Y60" i="12"/>
  <c r="Z60" i="12"/>
  <c r="AA60" i="12"/>
  <c r="AB60" i="12"/>
  <c r="AC60" i="12"/>
  <c r="AD60" i="12"/>
  <c r="AE60" i="12"/>
  <c r="AF60" i="12"/>
  <c r="AG60" i="12"/>
  <c r="AH60" i="12"/>
  <c r="AI60" i="12"/>
  <c r="AJ60" i="12"/>
  <c r="AK60" i="12"/>
  <c r="AL60" i="12"/>
  <c r="AM60" i="12"/>
  <c r="AN60" i="12"/>
  <c r="AO60" i="12"/>
  <c r="AP60" i="12"/>
  <c r="AQ60" i="12"/>
  <c r="AR60" i="12"/>
  <c r="AS60" i="12"/>
  <c r="AT60" i="12"/>
  <c r="AU60" i="12"/>
  <c r="AV60" i="12"/>
  <c r="AW60" i="12"/>
  <c r="AX60" i="12"/>
  <c r="AY60" i="12"/>
  <c r="AZ60" i="12"/>
  <c r="BA60" i="12"/>
  <c r="BB60" i="12"/>
  <c r="BC60" i="12"/>
  <c r="BD60" i="12"/>
  <c r="BE60" i="12"/>
  <c r="BF60" i="12"/>
  <c r="BG60" i="12"/>
  <c r="BH60" i="12"/>
  <c r="BI60" i="12"/>
  <c r="BJ60" i="12"/>
  <c r="BK60" i="12"/>
  <c r="BL60" i="12"/>
  <c r="BM60" i="12"/>
  <c r="BN60" i="12"/>
  <c r="BO60" i="12"/>
  <c r="BP60" i="12"/>
  <c r="BQ60" i="12"/>
  <c r="BR60" i="12"/>
  <c r="BS60" i="12"/>
  <c r="BT60" i="12"/>
  <c r="BU60" i="12"/>
  <c r="BV60" i="12"/>
  <c r="BW60" i="12"/>
  <c r="BX60" i="12"/>
  <c r="BY60" i="12"/>
  <c r="BZ60" i="12"/>
  <c r="CA60" i="12"/>
  <c r="CB60" i="12"/>
  <c r="CC60" i="12"/>
  <c r="CD60" i="12"/>
  <c r="CE60" i="12"/>
  <c r="CF60" i="12"/>
  <c r="CG60" i="12"/>
  <c r="CH60" i="12"/>
  <c r="CI60" i="12"/>
  <c r="CJ60" i="12"/>
  <c r="CK60" i="12"/>
  <c r="E60" i="12"/>
  <c r="F59" i="12"/>
  <c r="G59" i="12"/>
  <c r="H59" i="12"/>
  <c r="I59" i="12"/>
  <c r="J59" i="12"/>
  <c r="K59" i="12"/>
  <c r="L59" i="12"/>
  <c r="M59" i="12"/>
  <c r="N59" i="12"/>
  <c r="O59" i="12"/>
  <c r="P59" i="12"/>
  <c r="Q59" i="12"/>
  <c r="R59" i="12"/>
  <c r="S59" i="12"/>
  <c r="T59" i="12"/>
  <c r="U59" i="12"/>
  <c r="V59" i="12"/>
  <c r="W59" i="12"/>
  <c r="X59" i="12"/>
  <c r="Y59" i="12"/>
  <c r="Z59" i="12"/>
  <c r="AA59" i="12"/>
  <c r="AB59" i="12"/>
  <c r="AC59" i="12"/>
  <c r="AD59" i="12"/>
  <c r="AE59" i="12"/>
  <c r="AF59" i="12"/>
  <c r="AG59" i="12"/>
  <c r="AH59" i="12"/>
  <c r="AI59" i="12"/>
  <c r="AJ59" i="12"/>
  <c r="AK59" i="12"/>
  <c r="AL59" i="12"/>
  <c r="AM59" i="12"/>
  <c r="AN59" i="12"/>
  <c r="AO59" i="12"/>
  <c r="AP59" i="12"/>
  <c r="AQ59" i="12"/>
  <c r="AR59" i="12"/>
  <c r="AS59" i="12"/>
  <c r="AT59" i="12"/>
  <c r="AU59" i="12"/>
  <c r="AV59" i="12"/>
  <c r="AW59" i="12"/>
  <c r="AX59" i="12"/>
  <c r="AY59" i="12"/>
  <c r="AZ59" i="12"/>
  <c r="BA59" i="12"/>
  <c r="BB59" i="12"/>
  <c r="BC59" i="12"/>
  <c r="BD59" i="12"/>
  <c r="BE59" i="12"/>
  <c r="BF59" i="12"/>
  <c r="BG59" i="12"/>
  <c r="BH59" i="12"/>
  <c r="BI59" i="12"/>
  <c r="BJ59" i="12"/>
  <c r="BK59" i="12"/>
  <c r="BL59" i="12"/>
  <c r="BM59" i="12"/>
  <c r="BN59" i="12"/>
  <c r="BO59" i="12"/>
  <c r="BP59" i="12"/>
  <c r="BQ59" i="12"/>
  <c r="BR59" i="12"/>
  <c r="BS59" i="12"/>
  <c r="BT59" i="12"/>
  <c r="BU59" i="12"/>
  <c r="BV59" i="12"/>
  <c r="BW59" i="12"/>
  <c r="BX59" i="12"/>
  <c r="BY59" i="12"/>
  <c r="BZ59" i="12"/>
  <c r="CA59" i="12"/>
  <c r="CB59" i="12"/>
  <c r="CC59" i="12"/>
  <c r="CD59" i="12"/>
  <c r="CE59" i="12"/>
  <c r="CF59" i="12"/>
  <c r="CG59" i="12"/>
  <c r="CH59" i="12"/>
  <c r="CI59" i="12"/>
  <c r="CJ59" i="12"/>
  <c r="CK59" i="12"/>
  <c r="E59" i="12"/>
  <c r="F58" i="12"/>
  <c r="G58" i="12"/>
  <c r="H58" i="12"/>
  <c r="I58" i="12"/>
  <c r="J58" i="12"/>
  <c r="K58" i="12"/>
  <c r="L58" i="12"/>
  <c r="M58" i="12"/>
  <c r="N58" i="12"/>
  <c r="O58" i="12"/>
  <c r="P58" i="12"/>
  <c r="Q58" i="12"/>
  <c r="R58" i="12"/>
  <c r="S58" i="12"/>
  <c r="T58" i="12"/>
  <c r="U58" i="12"/>
  <c r="V58" i="12"/>
  <c r="W58" i="12"/>
  <c r="X58" i="12"/>
  <c r="Y58" i="12"/>
  <c r="Z58" i="12"/>
  <c r="AA58" i="12"/>
  <c r="AB58" i="12"/>
  <c r="AC58" i="12"/>
  <c r="AD58" i="12"/>
  <c r="AE58" i="12"/>
  <c r="AF58" i="12"/>
  <c r="AG58" i="12"/>
  <c r="AH58" i="12"/>
  <c r="AI58" i="12"/>
  <c r="AJ58" i="12"/>
  <c r="AK58" i="12"/>
  <c r="AL58" i="12"/>
  <c r="AM58" i="12"/>
  <c r="AN58" i="12"/>
  <c r="AO58" i="12"/>
  <c r="AP58" i="12"/>
  <c r="AQ58" i="12"/>
  <c r="AR58" i="12"/>
  <c r="AS58" i="12"/>
  <c r="AT58" i="12"/>
  <c r="AU58" i="12"/>
  <c r="AV58" i="12"/>
  <c r="AW58" i="12"/>
  <c r="AX58" i="12"/>
  <c r="AY58" i="12"/>
  <c r="AZ58" i="12"/>
  <c r="BA58" i="12"/>
  <c r="BB58" i="12"/>
  <c r="BC58" i="12"/>
  <c r="BD58" i="12"/>
  <c r="BE58" i="12"/>
  <c r="BF58" i="12"/>
  <c r="BG58" i="12"/>
  <c r="BH58" i="12"/>
  <c r="BI58" i="12"/>
  <c r="BJ58" i="12"/>
  <c r="BK58" i="12"/>
  <c r="BL58" i="12"/>
  <c r="BM58" i="12"/>
  <c r="BN58" i="12"/>
  <c r="BO58" i="12"/>
  <c r="BP58" i="12"/>
  <c r="BQ58" i="12"/>
  <c r="BR58" i="12"/>
  <c r="BS58" i="12"/>
  <c r="BT58" i="12"/>
  <c r="BU58" i="12"/>
  <c r="BV58" i="12"/>
  <c r="BW58" i="12"/>
  <c r="BX58" i="12"/>
  <c r="BY58" i="12"/>
  <c r="BZ58" i="12"/>
  <c r="CA58" i="12"/>
  <c r="CB58" i="12"/>
  <c r="CC58" i="12"/>
  <c r="CD58" i="12"/>
  <c r="CE58" i="12"/>
  <c r="CF58" i="12"/>
  <c r="CG58" i="12"/>
  <c r="CH58" i="12"/>
  <c r="CI58" i="12"/>
  <c r="CJ58" i="12"/>
  <c r="CK58" i="12"/>
  <c r="E58" i="12"/>
  <c r="CK57" i="12"/>
  <c r="CJ57" i="12"/>
  <c r="CI57" i="12"/>
  <c r="CH57" i="12"/>
  <c r="CG57" i="12"/>
  <c r="CF57" i="12"/>
  <c r="CE57" i="12"/>
  <c r="CD57" i="12"/>
  <c r="CC57" i="12"/>
  <c r="CB57" i="12"/>
  <c r="CA57" i="12"/>
  <c r="BZ57" i="12"/>
  <c r="BY57" i="12"/>
  <c r="BX57" i="12"/>
  <c r="BW57" i="12"/>
  <c r="BV57" i="12"/>
  <c r="BU57" i="12"/>
  <c r="BT57" i="12"/>
  <c r="BS57" i="12"/>
  <c r="BR57" i="12"/>
  <c r="BQ57" i="12"/>
  <c r="BP57" i="12"/>
  <c r="BO57" i="12"/>
  <c r="BN57" i="12"/>
  <c r="BM57" i="12"/>
  <c r="BL57" i="12"/>
  <c r="BK57" i="12"/>
  <c r="BJ57" i="12"/>
  <c r="BI57" i="12"/>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AG57" i="12"/>
  <c r="AF57" i="12"/>
  <c r="AE57" i="12"/>
  <c r="AD57" i="12"/>
  <c r="AC57" i="12"/>
  <c r="AB57" i="12"/>
  <c r="AA57" i="12"/>
  <c r="Z57" i="12"/>
  <c r="Y57" i="12"/>
  <c r="X57" i="12"/>
  <c r="W57" i="12"/>
  <c r="V57" i="12"/>
  <c r="U57" i="12"/>
  <c r="T57" i="12"/>
  <c r="S57" i="12"/>
  <c r="R57" i="12"/>
  <c r="Q57" i="12"/>
  <c r="P57" i="12"/>
  <c r="O57" i="12"/>
  <c r="N57" i="12"/>
  <c r="M57" i="12"/>
  <c r="L57" i="12"/>
  <c r="K57" i="12"/>
  <c r="J57" i="12"/>
  <c r="I57" i="12"/>
  <c r="H57" i="12"/>
  <c r="G57" i="12"/>
  <c r="F57" i="12"/>
  <c r="E57" i="12"/>
  <c r="F56" i="12"/>
  <c r="G56" i="12"/>
  <c r="H56" i="12"/>
  <c r="I56" i="12"/>
  <c r="J56" i="12"/>
  <c r="K56" i="12"/>
  <c r="L56" i="12"/>
  <c r="M56" i="12"/>
  <c r="N56" i="12"/>
  <c r="O56" i="12"/>
  <c r="P56" i="12"/>
  <c r="Q56" i="12"/>
  <c r="R56" i="12"/>
  <c r="S56" i="12"/>
  <c r="T56" i="12"/>
  <c r="U56" i="12"/>
  <c r="V56" i="12"/>
  <c r="W56" i="12"/>
  <c r="X56" i="12"/>
  <c r="Y56" i="12"/>
  <c r="Z56" i="12"/>
  <c r="AA56" i="12"/>
  <c r="AB56" i="12"/>
  <c r="AC56" i="12"/>
  <c r="AD56" i="12"/>
  <c r="AE56" i="12"/>
  <c r="AF56" i="12"/>
  <c r="AG56" i="12"/>
  <c r="AH56" i="12"/>
  <c r="AI56" i="12"/>
  <c r="AJ56" i="12"/>
  <c r="AK56" i="12"/>
  <c r="AL56" i="12"/>
  <c r="AM56" i="12"/>
  <c r="AN56" i="12"/>
  <c r="AO56" i="12"/>
  <c r="AP56" i="12"/>
  <c r="AQ56" i="12"/>
  <c r="AR56" i="12"/>
  <c r="AS56" i="12"/>
  <c r="AT56" i="12"/>
  <c r="AU56" i="12"/>
  <c r="AV56" i="12"/>
  <c r="AW56" i="12"/>
  <c r="AX56" i="12"/>
  <c r="AY56" i="12"/>
  <c r="AZ56" i="12"/>
  <c r="BA56" i="12"/>
  <c r="BB56" i="12"/>
  <c r="BC56" i="12"/>
  <c r="BD56" i="12"/>
  <c r="BE56" i="12"/>
  <c r="BF56" i="12"/>
  <c r="BG56" i="12"/>
  <c r="BH56" i="12"/>
  <c r="BI56" i="12"/>
  <c r="BJ56" i="12"/>
  <c r="BK56" i="12"/>
  <c r="BL56" i="12"/>
  <c r="BM56" i="12"/>
  <c r="BN56" i="12"/>
  <c r="BO56" i="12"/>
  <c r="BP56" i="12"/>
  <c r="BQ56" i="12"/>
  <c r="BR56" i="12"/>
  <c r="BS56" i="12"/>
  <c r="BT56" i="12"/>
  <c r="BU56" i="12"/>
  <c r="BV56" i="12"/>
  <c r="BW56" i="12"/>
  <c r="BX56" i="12"/>
  <c r="BY56" i="12"/>
  <c r="BZ56" i="12"/>
  <c r="CA56" i="12"/>
  <c r="CB56" i="12"/>
  <c r="CC56" i="12"/>
  <c r="CD56" i="12"/>
  <c r="CE56" i="12"/>
  <c r="CF56" i="12"/>
  <c r="CG56" i="12"/>
  <c r="CH56" i="12"/>
  <c r="CI56" i="12"/>
  <c r="CJ56" i="12"/>
  <c r="CK56" i="12"/>
  <c r="E56" i="12"/>
  <c r="F55" i="12"/>
  <c r="G55" i="12"/>
  <c r="H55" i="12"/>
  <c r="I55" i="12"/>
  <c r="J55" i="12"/>
  <c r="K55" i="12"/>
  <c r="L55" i="12"/>
  <c r="M55" i="12"/>
  <c r="N55" i="12"/>
  <c r="O55" i="12"/>
  <c r="P55" i="12"/>
  <c r="Q55" i="12"/>
  <c r="R55" i="12"/>
  <c r="S55" i="12"/>
  <c r="T55" i="12"/>
  <c r="U55" i="12"/>
  <c r="V55" i="12"/>
  <c r="W55" i="12"/>
  <c r="X55" i="12"/>
  <c r="Y55" i="12"/>
  <c r="Z55" i="12"/>
  <c r="AA55" i="12"/>
  <c r="AB55" i="12"/>
  <c r="AC55" i="12"/>
  <c r="AD55" i="12"/>
  <c r="AE55" i="12"/>
  <c r="AF55" i="12"/>
  <c r="AG55" i="12"/>
  <c r="AH55" i="12"/>
  <c r="AI55" i="12"/>
  <c r="AJ55" i="12"/>
  <c r="AK55" i="12"/>
  <c r="AL55" i="12"/>
  <c r="AM55" i="12"/>
  <c r="AN55" i="12"/>
  <c r="AO55" i="12"/>
  <c r="AP55" i="12"/>
  <c r="AQ55" i="12"/>
  <c r="AR55" i="12"/>
  <c r="AS55" i="12"/>
  <c r="AT55" i="12"/>
  <c r="AU55" i="12"/>
  <c r="AV55" i="12"/>
  <c r="AW55" i="12"/>
  <c r="AX55" i="12"/>
  <c r="AY55" i="12"/>
  <c r="AZ55" i="12"/>
  <c r="BA55" i="12"/>
  <c r="BB55" i="12"/>
  <c r="BC55" i="12"/>
  <c r="BD55" i="12"/>
  <c r="BE55" i="12"/>
  <c r="BF55" i="12"/>
  <c r="BG55" i="12"/>
  <c r="BH55" i="12"/>
  <c r="BI55" i="12"/>
  <c r="BJ55" i="12"/>
  <c r="BK55" i="12"/>
  <c r="BL55" i="12"/>
  <c r="BM55" i="12"/>
  <c r="BN55" i="12"/>
  <c r="BO55" i="12"/>
  <c r="BP55" i="12"/>
  <c r="BQ55" i="12"/>
  <c r="BR55" i="12"/>
  <c r="BS55" i="12"/>
  <c r="BT55" i="12"/>
  <c r="BU55" i="12"/>
  <c r="BV55" i="12"/>
  <c r="BW55" i="12"/>
  <c r="BX55" i="12"/>
  <c r="BY55" i="12"/>
  <c r="BZ55" i="12"/>
  <c r="CA55" i="12"/>
  <c r="CB55" i="12"/>
  <c r="CC55" i="12"/>
  <c r="CD55" i="12"/>
  <c r="CE55" i="12"/>
  <c r="CF55" i="12"/>
  <c r="CG55" i="12"/>
  <c r="CH55" i="12"/>
  <c r="CI55" i="12"/>
  <c r="CJ55" i="12"/>
  <c r="CK55" i="12"/>
  <c r="E55" i="12"/>
  <c r="F54" i="12"/>
  <c r="G54" i="12"/>
  <c r="H54" i="12"/>
  <c r="I54" i="12"/>
  <c r="J54" i="12"/>
  <c r="K54" i="12"/>
  <c r="L54" i="12"/>
  <c r="M54" i="12"/>
  <c r="N54" i="12"/>
  <c r="O54" i="12"/>
  <c r="P54" i="12"/>
  <c r="Q54" i="12"/>
  <c r="R54" i="12"/>
  <c r="S54" i="12"/>
  <c r="T54" i="12"/>
  <c r="U54" i="12"/>
  <c r="V54" i="12"/>
  <c r="W54" i="12"/>
  <c r="X54" i="12"/>
  <c r="Y54" i="12"/>
  <c r="Z54" i="12"/>
  <c r="AA54" i="12"/>
  <c r="AB54" i="12"/>
  <c r="AC54" i="12"/>
  <c r="AD54" i="12"/>
  <c r="AE54" i="12"/>
  <c r="AF54" i="12"/>
  <c r="AG54" i="12"/>
  <c r="AH54" i="12"/>
  <c r="AI54" i="12"/>
  <c r="AJ54" i="12"/>
  <c r="AK54" i="12"/>
  <c r="AL54" i="12"/>
  <c r="AM54" i="12"/>
  <c r="AN54" i="12"/>
  <c r="AO54" i="12"/>
  <c r="AP54" i="12"/>
  <c r="AQ54" i="12"/>
  <c r="AR54" i="12"/>
  <c r="AS54" i="12"/>
  <c r="AT54" i="12"/>
  <c r="AU54" i="12"/>
  <c r="AV54" i="12"/>
  <c r="AW54" i="12"/>
  <c r="AX54" i="12"/>
  <c r="AY54" i="12"/>
  <c r="AZ54" i="12"/>
  <c r="BA54" i="12"/>
  <c r="BB54" i="12"/>
  <c r="BC54" i="12"/>
  <c r="BD54" i="12"/>
  <c r="BE54" i="12"/>
  <c r="BF54" i="12"/>
  <c r="BG54" i="12"/>
  <c r="BH54" i="12"/>
  <c r="BI54" i="12"/>
  <c r="BJ54" i="12"/>
  <c r="BK54" i="12"/>
  <c r="BL54" i="12"/>
  <c r="BM54" i="12"/>
  <c r="BN54" i="12"/>
  <c r="BO54" i="12"/>
  <c r="BP54" i="12"/>
  <c r="BQ54" i="12"/>
  <c r="BR54" i="12"/>
  <c r="BS54" i="12"/>
  <c r="BT54" i="12"/>
  <c r="BU54" i="12"/>
  <c r="BV54" i="12"/>
  <c r="BW54" i="12"/>
  <c r="BX54" i="12"/>
  <c r="BY54" i="12"/>
  <c r="BZ54" i="12"/>
  <c r="CA54" i="12"/>
  <c r="CB54" i="12"/>
  <c r="CC54" i="12"/>
  <c r="CD54" i="12"/>
  <c r="CE54" i="12"/>
  <c r="CF54" i="12"/>
  <c r="CG54" i="12"/>
  <c r="CH54" i="12"/>
  <c r="CI54" i="12"/>
  <c r="CJ54" i="12"/>
  <c r="CK54" i="12"/>
  <c r="E54" i="12"/>
  <c r="S53" i="12"/>
  <c r="T53" i="12"/>
  <c r="U53" i="12"/>
  <c r="V53" i="12"/>
  <c r="W53" i="12"/>
  <c r="X53" i="12"/>
  <c r="Y53" i="12"/>
  <c r="Z53" i="12"/>
  <c r="AA53" i="12"/>
  <c r="AB53" i="12"/>
  <c r="AC53" i="12"/>
  <c r="AD53" i="12"/>
  <c r="AE53" i="12"/>
  <c r="AF53" i="12"/>
  <c r="AG53" i="12"/>
  <c r="AH53" i="12"/>
  <c r="AI53" i="12"/>
  <c r="AJ53" i="12"/>
  <c r="AK53" i="12"/>
  <c r="AL53" i="12"/>
  <c r="AM53" i="12"/>
  <c r="AN53" i="12"/>
  <c r="AO53" i="12"/>
  <c r="AP53" i="12"/>
  <c r="AQ53" i="12"/>
  <c r="AR53" i="12"/>
  <c r="AS53" i="12"/>
  <c r="AT53" i="12"/>
  <c r="AU53" i="12"/>
  <c r="AV53" i="12"/>
  <c r="AW53" i="12"/>
  <c r="AX53" i="12"/>
  <c r="AY53" i="12"/>
  <c r="AZ53" i="12"/>
  <c r="BA53" i="12"/>
  <c r="BB53" i="12"/>
  <c r="BC53" i="12"/>
  <c r="BD53" i="12"/>
  <c r="BE53" i="12"/>
  <c r="BF53" i="12"/>
  <c r="BG53" i="12"/>
  <c r="BH53" i="12"/>
  <c r="BI53" i="12"/>
  <c r="BJ53" i="12"/>
  <c r="BK53" i="12"/>
  <c r="BL53" i="12"/>
  <c r="BM53" i="12"/>
  <c r="BN53" i="12"/>
  <c r="BO53" i="12"/>
  <c r="BP53" i="12"/>
  <c r="BQ53" i="12"/>
  <c r="BR53" i="12"/>
  <c r="BS53" i="12"/>
  <c r="BT53" i="12"/>
  <c r="BU53" i="12"/>
  <c r="BV53" i="12"/>
  <c r="BW53" i="12"/>
  <c r="BX53" i="12"/>
  <c r="BY53" i="12"/>
  <c r="BZ53" i="12"/>
  <c r="CA53" i="12"/>
  <c r="CB53" i="12"/>
  <c r="CC53" i="12"/>
  <c r="CD53" i="12"/>
  <c r="CE53" i="12"/>
  <c r="CF53" i="12"/>
  <c r="CG53" i="12"/>
  <c r="CH53" i="12"/>
  <c r="CI53" i="12"/>
  <c r="CJ53" i="12"/>
  <c r="CK53" i="12"/>
  <c r="F53" i="12"/>
  <c r="G53" i="12"/>
  <c r="H53" i="12"/>
  <c r="I53" i="12"/>
  <c r="J53" i="12"/>
  <c r="K53" i="12"/>
  <c r="L53" i="12"/>
  <c r="M53" i="12"/>
  <c r="N53" i="12"/>
  <c r="O53" i="12"/>
  <c r="P53" i="12"/>
  <c r="Q53" i="12"/>
  <c r="R53" i="12"/>
  <c r="E53" i="12"/>
  <c r="F52" i="12"/>
  <c r="G52" i="12"/>
  <c r="H52" i="12"/>
  <c r="I52" i="12"/>
  <c r="J52" i="12"/>
  <c r="K52" i="12"/>
  <c r="L52" i="12"/>
  <c r="M52" i="12"/>
  <c r="N52" i="12"/>
  <c r="O52" i="12"/>
  <c r="P52" i="12"/>
  <c r="Q52" i="12"/>
  <c r="R52" i="12"/>
  <c r="S52" i="12"/>
  <c r="T52" i="12"/>
  <c r="U52" i="12"/>
  <c r="V52" i="12"/>
  <c r="W52" i="12"/>
  <c r="X52" i="12"/>
  <c r="Y52" i="12"/>
  <c r="Z52" i="12"/>
  <c r="AA52" i="12"/>
  <c r="AB52" i="12"/>
  <c r="AC52" i="12"/>
  <c r="AD52" i="12"/>
  <c r="AE52" i="12"/>
  <c r="AF52" i="12"/>
  <c r="AG52" i="12"/>
  <c r="AH52" i="12"/>
  <c r="AI52" i="12"/>
  <c r="AJ52" i="12"/>
  <c r="AK52" i="12"/>
  <c r="AL52" i="12"/>
  <c r="AM52" i="12"/>
  <c r="AN52" i="12"/>
  <c r="AO52" i="12"/>
  <c r="AP52" i="12"/>
  <c r="AQ52" i="12"/>
  <c r="AR52" i="12"/>
  <c r="AS52" i="12"/>
  <c r="AT52" i="12"/>
  <c r="AU52" i="12"/>
  <c r="AV52" i="12"/>
  <c r="AW52" i="12"/>
  <c r="AX52" i="12"/>
  <c r="AY52" i="12"/>
  <c r="AZ52" i="12"/>
  <c r="BA52" i="12"/>
  <c r="BB52" i="12"/>
  <c r="BC52" i="12"/>
  <c r="BD52" i="12"/>
  <c r="BE52" i="12"/>
  <c r="BF52" i="12"/>
  <c r="BG52" i="12"/>
  <c r="BH52" i="12"/>
  <c r="BI52" i="12"/>
  <c r="BJ52" i="12"/>
  <c r="BK52" i="12"/>
  <c r="BL52" i="12"/>
  <c r="BM52" i="12"/>
  <c r="BN52" i="12"/>
  <c r="BO52" i="12"/>
  <c r="BP52" i="12"/>
  <c r="BQ52" i="12"/>
  <c r="BR52" i="12"/>
  <c r="BS52" i="12"/>
  <c r="BT52" i="12"/>
  <c r="BU52" i="12"/>
  <c r="BV52" i="12"/>
  <c r="BW52" i="12"/>
  <c r="BX52" i="12"/>
  <c r="BY52" i="12"/>
  <c r="BZ52" i="12"/>
  <c r="CA52" i="12"/>
  <c r="CB52" i="12"/>
  <c r="CC52" i="12"/>
  <c r="CD52" i="12"/>
  <c r="CE52" i="12"/>
  <c r="CF52" i="12"/>
  <c r="CG52" i="12"/>
  <c r="CH52" i="12"/>
  <c r="CI52" i="12"/>
  <c r="CJ52" i="12"/>
  <c r="CK52" i="12"/>
  <c r="E52" i="12"/>
  <c r="F51" i="12"/>
  <c r="G51" i="12"/>
  <c r="H51" i="12"/>
  <c r="I51" i="12"/>
  <c r="J51" i="12"/>
  <c r="K51" i="12"/>
  <c r="L51" i="12"/>
  <c r="M51" i="12"/>
  <c r="N51" i="12"/>
  <c r="O51" i="12"/>
  <c r="P51" i="12"/>
  <c r="Q51" i="12"/>
  <c r="R51" i="12"/>
  <c r="S51" i="12"/>
  <c r="T51" i="12"/>
  <c r="U51" i="12"/>
  <c r="V51" i="12"/>
  <c r="W51" i="12"/>
  <c r="X51" i="12"/>
  <c r="Y51" i="12"/>
  <c r="Z51" i="12"/>
  <c r="AA51" i="12"/>
  <c r="AB51" i="12"/>
  <c r="AC51" i="12"/>
  <c r="AD51" i="12"/>
  <c r="AE51" i="12"/>
  <c r="AF51" i="12"/>
  <c r="AG51" i="12"/>
  <c r="AH51" i="12"/>
  <c r="AI51" i="12"/>
  <c r="AJ51" i="12"/>
  <c r="AK51" i="12"/>
  <c r="AL51" i="12"/>
  <c r="AM51" i="12"/>
  <c r="AN51" i="12"/>
  <c r="AO51" i="12"/>
  <c r="AP51" i="12"/>
  <c r="AQ51" i="12"/>
  <c r="AR51" i="12"/>
  <c r="AS51" i="12"/>
  <c r="AT51" i="12"/>
  <c r="AU51" i="12"/>
  <c r="AV51" i="12"/>
  <c r="AW51" i="12"/>
  <c r="AX51" i="12"/>
  <c r="AY51" i="12"/>
  <c r="AZ51" i="12"/>
  <c r="BA51" i="12"/>
  <c r="BB51" i="12"/>
  <c r="BC51" i="12"/>
  <c r="BD51" i="12"/>
  <c r="BE51" i="12"/>
  <c r="BF51" i="12"/>
  <c r="BG51" i="12"/>
  <c r="BH51" i="12"/>
  <c r="BI51" i="12"/>
  <c r="BJ51" i="12"/>
  <c r="BK51" i="12"/>
  <c r="BL51" i="12"/>
  <c r="BM51" i="12"/>
  <c r="BN51" i="12"/>
  <c r="BO51" i="12"/>
  <c r="BP51" i="12"/>
  <c r="BQ51" i="12"/>
  <c r="BR51" i="12"/>
  <c r="BS51" i="12"/>
  <c r="BT51" i="12"/>
  <c r="BU51" i="12"/>
  <c r="BV51" i="12"/>
  <c r="BW51" i="12"/>
  <c r="BX51" i="12"/>
  <c r="BY51" i="12"/>
  <c r="BZ51" i="12"/>
  <c r="CA51" i="12"/>
  <c r="CB51" i="12"/>
  <c r="CC51" i="12"/>
  <c r="CD51" i="12"/>
  <c r="CE51" i="12"/>
  <c r="CF51" i="12"/>
  <c r="CG51" i="12"/>
  <c r="CH51" i="12"/>
  <c r="CI51" i="12"/>
  <c r="CJ51" i="12"/>
  <c r="CK51" i="12"/>
  <c r="E51" i="12"/>
  <c r="F50" i="12"/>
  <c r="G50" i="12"/>
  <c r="H50" i="12"/>
  <c r="I50" i="12"/>
  <c r="J50" i="12"/>
  <c r="K50" i="12"/>
  <c r="L50" i="12"/>
  <c r="M50" i="12"/>
  <c r="N50" i="12"/>
  <c r="O50" i="12"/>
  <c r="P50" i="12"/>
  <c r="Q50" i="12"/>
  <c r="R50" i="12"/>
  <c r="S50" i="12"/>
  <c r="T50" i="12"/>
  <c r="U50" i="12"/>
  <c r="V50" i="12"/>
  <c r="W50" i="12"/>
  <c r="X50" i="12"/>
  <c r="Y50" i="12"/>
  <c r="Z50" i="12"/>
  <c r="AA50" i="12"/>
  <c r="AB50" i="12"/>
  <c r="AC50" i="12"/>
  <c r="AD50" i="12"/>
  <c r="AE50" i="12"/>
  <c r="AF50" i="12"/>
  <c r="AG50" i="12"/>
  <c r="AH50" i="12"/>
  <c r="AI50" i="12"/>
  <c r="AJ50" i="12"/>
  <c r="AK50" i="12"/>
  <c r="AL50" i="12"/>
  <c r="AM50" i="12"/>
  <c r="AN50" i="12"/>
  <c r="AO50" i="12"/>
  <c r="AP50" i="12"/>
  <c r="AQ50" i="12"/>
  <c r="AR50" i="12"/>
  <c r="AS50" i="12"/>
  <c r="AT50" i="12"/>
  <c r="AU50" i="12"/>
  <c r="AV50" i="12"/>
  <c r="AW50" i="12"/>
  <c r="AX50" i="12"/>
  <c r="AY50" i="12"/>
  <c r="AZ50" i="12"/>
  <c r="BA50" i="12"/>
  <c r="BB50" i="12"/>
  <c r="BC50" i="12"/>
  <c r="BD50" i="12"/>
  <c r="BE50" i="12"/>
  <c r="BF50" i="12"/>
  <c r="BG50" i="12"/>
  <c r="BH50" i="12"/>
  <c r="BI50" i="12"/>
  <c r="BJ50" i="12"/>
  <c r="BK50" i="12"/>
  <c r="BL50" i="12"/>
  <c r="BM50" i="12"/>
  <c r="BN50" i="12"/>
  <c r="BO50" i="12"/>
  <c r="BP50" i="12"/>
  <c r="BQ50" i="12"/>
  <c r="BR50" i="12"/>
  <c r="BS50" i="12"/>
  <c r="BT50" i="12"/>
  <c r="BU50" i="12"/>
  <c r="BV50" i="12"/>
  <c r="BW50" i="12"/>
  <c r="BX50" i="12"/>
  <c r="BY50" i="12"/>
  <c r="BZ50" i="12"/>
  <c r="CA50" i="12"/>
  <c r="CB50" i="12"/>
  <c r="CC50" i="12"/>
  <c r="CD50" i="12"/>
  <c r="CE50" i="12"/>
  <c r="CF50" i="12"/>
  <c r="CG50" i="12"/>
  <c r="CH50" i="12"/>
  <c r="CI50" i="12"/>
  <c r="CJ50" i="12"/>
  <c r="CK50" i="12"/>
  <c r="E50" i="12"/>
  <c r="F49" i="12"/>
  <c r="G49" i="12"/>
  <c r="H49" i="12"/>
  <c r="I49" i="12"/>
  <c r="J49" i="12"/>
  <c r="K49" i="12"/>
  <c r="L49" i="12"/>
  <c r="M49" i="12"/>
  <c r="N49" i="12"/>
  <c r="O49" i="12"/>
  <c r="P49" i="12"/>
  <c r="Q49" i="12"/>
  <c r="R49" i="12"/>
  <c r="S49" i="12"/>
  <c r="T49" i="12"/>
  <c r="U49" i="12"/>
  <c r="V49" i="12"/>
  <c r="W49" i="12"/>
  <c r="X49" i="12"/>
  <c r="Y49" i="12"/>
  <c r="Z49" i="12"/>
  <c r="AA49" i="12"/>
  <c r="AB49" i="12"/>
  <c r="AC49" i="12"/>
  <c r="AD49" i="12"/>
  <c r="AE49" i="12"/>
  <c r="AF49" i="12"/>
  <c r="AG49" i="12"/>
  <c r="AH49" i="12"/>
  <c r="AI49" i="12"/>
  <c r="AJ49" i="12"/>
  <c r="AK49" i="12"/>
  <c r="AL49" i="12"/>
  <c r="AM49" i="12"/>
  <c r="AN49" i="12"/>
  <c r="AO49" i="12"/>
  <c r="AP49" i="12"/>
  <c r="AQ49" i="12"/>
  <c r="AR49" i="12"/>
  <c r="AS49" i="12"/>
  <c r="AT49" i="12"/>
  <c r="AU49" i="12"/>
  <c r="AV49" i="12"/>
  <c r="AW49" i="12"/>
  <c r="AX49" i="12"/>
  <c r="AY49" i="12"/>
  <c r="AZ49" i="12"/>
  <c r="BA49" i="12"/>
  <c r="BB49" i="12"/>
  <c r="BC49" i="12"/>
  <c r="BD49" i="12"/>
  <c r="BE49" i="12"/>
  <c r="BF49" i="12"/>
  <c r="BG49" i="12"/>
  <c r="BH49" i="12"/>
  <c r="BI49" i="12"/>
  <c r="BJ49" i="12"/>
  <c r="BK49" i="12"/>
  <c r="BL49" i="12"/>
  <c r="BM49" i="12"/>
  <c r="BN49" i="12"/>
  <c r="BO49" i="12"/>
  <c r="BP49" i="12"/>
  <c r="BQ49" i="12"/>
  <c r="BR49" i="12"/>
  <c r="BS49" i="12"/>
  <c r="BT49" i="12"/>
  <c r="BU49" i="12"/>
  <c r="BV49" i="12"/>
  <c r="BW49" i="12"/>
  <c r="BX49" i="12"/>
  <c r="BY49" i="12"/>
  <c r="BZ49" i="12"/>
  <c r="CA49" i="12"/>
  <c r="CB49" i="12"/>
  <c r="CC49" i="12"/>
  <c r="CD49" i="12"/>
  <c r="CE49" i="12"/>
  <c r="CF49" i="12"/>
  <c r="CG49" i="12"/>
  <c r="CH49" i="12"/>
  <c r="CI49" i="12"/>
  <c r="CJ49" i="12"/>
  <c r="CK49" i="12"/>
  <c r="E49" i="12"/>
  <c r="E48" i="12"/>
  <c r="F48" i="12"/>
  <c r="G48" i="12"/>
  <c r="H48" i="12"/>
  <c r="I48" i="12"/>
  <c r="J48" i="12"/>
  <c r="K48" i="12"/>
  <c r="L48" i="12"/>
  <c r="M48" i="12"/>
  <c r="N48" i="12"/>
  <c r="O48" i="12"/>
  <c r="P48" i="12"/>
  <c r="Q48" i="12"/>
  <c r="R48" i="12"/>
  <c r="S48" i="12"/>
  <c r="T48" i="12"/>
  <c r="U48" i="12"/>
  <c r="V48" i="12"/>
  <c r="W48" i="12"/>
  <c r="X48" i="12"/>
  <c r="Y48" i="12"/>
  <c r="Z48" i="12"/>
  <c r="AA48" i="12"/>
  <c r="AB48" i="12"/>
  <c r="AC48" i="12"/>
  <c r="AD48" i="12"/>
  <c r="AE48" i="12"/>
  <c r="AF48" i="12"/>
  <c r="AG48" i="12"/>
  <c r="AH48" i="12"/>
  <c r="AI48" i="12"/>
  <c r="AJ48" i="12"/>
  <c r="AK48" i="12"/>
  <c r="AL48" i="12"/>
  <c r="AM48" i="12"/>
  <c r="AN48" i="12"/>
  <c r="AO48" i="12"/>
  <c r="AP48" i="12"/>
  <c r="AQ48" i="12"/>
  <c r="AR48" i="12"/>
  <c r="AS48" i="12"/>
  <c r="AT48" i="12"/>
  <c r="AU48" i="12"/>
  <c r="AV48" i="12"/>
  <c r="AW48" i="12"/>
  <c r="AX48" i="12"/>
  <c r="AY48" i="12"/>
  <c r="AZ48" i="12"/>
  <c r="BA48" i="12"/>
  <c r="BB48" i="12"/>
  <c r="BC48" i="12"/>
  <c r="BD48" i="12"/>
  <c r="BE48" i="12"/>
  <c r="BF48" i="12"/>
  <c r="BG48" i="12"/>
  <c r="BH48" i="12"/>
  <c r="BI48" i="12"/>
  <c r="BJ48" i="12"/>
  <c r="BK48" i="12"/>
  <c r="BL48" i="12"/>
  <c r="BM48" i="12"/>
  <c r="BN48" i="12"/>
  <c r="BO48" i="12"/>
  <c r="BP48" i="12"/>
  <c r="BQ48" i="12"/>
  <c r="BR48" i="12"/>
  <c r="BS48" i="12"/>
  <c r="BT48" i="12"/>
  <c r="BU48" i="12"/>
  <c r="BV48" i="12"/>
  <c r="BW48" i="12"/>
  <c r="BX48" i="12"/>
  <c r="BY48" i="12"/>
  <c r="BZ48" i="12"/>
  <c r="CA48" i="12"/>
  <c r="CB48" i="12"/>
  <c r="CC48" i="12"/>
  <c r="CD48" i="12"/>
  <c r="CE48" i="12"/>
  <c r="CF48" i="12"/>
  <c r="CG48" i="12"/>
  <c r="CH48" i="12"/>
  <c r="CI48" i="12"/>
  <c r="CJ48" i="12"/>
  <c r="CK48" i="12"/>
  <c r="E47" i="12"/>
  <c r="F47" i="12"/>
  <c r="G47" i="12"/>
  <c r="H47" i="12"/>
  <c r="I47" i="12"/>
  <c r="J47" i="12"/>
  <c r="K47" i="12"/>
  <c r="L47" i="12"/>
  <c r="M47" i="12"/>
  <c r="N47" i="12"/>
  <c r="O47" i="12"/>
  <c r="P47" i="12"/>
  <c r="Q47" i="12"/>
  <c r="R47" i="12"/>
  <c r="S47" i="12"/>
  <c r="T47" i="12"/>
  <c r="U47" i="12"/>
  <c r="V47" i="12"/>
  <c r="W47" i="12"/>
  <c r="X47" i="12"/>
  <c r="Y47" i="12"/>
  <c r="Z47" i="12"/>
  <c r="AA47" i="12"/>
  <c r="AB47" i="12"/>
  <c r="AC47" i="12"/>
  <c r="AD47" i="12"/>
  <c r="AE47" i="12"/>
  <c r="AF47" i="12"/>
  <c r="AG47" i="12"/>
  <c r="AH47" i="12"/>
  <c r="AI47" i="12"/>
  <c r="AJ47" i="12"/>
  <c r="AK47" i="12"/>
  <c r="AL47" i="12"/>
  <c r="AM47" i="12"/>
  <c r="AN47" i="12"/>
  <c r="AO47" i="12"/>
  <c r="AP47" i="12"/>
  <c r="AQ47" i="12"/>
  <c r="AR47" i="12"/>
  <c r="AS47" i="12"/>
  <c r="AT47" i="12"/>
  <c r="AU47" i="12"/>
  <c r="AV47" i="12"/>
  <c r="AW47" i="12"/>
  <c r="AX47" i="12"/>
  <c r="AY47" i="12"/>
  <c r="AZ47" i="12"/>
  <c r="BA47" i="12"/>
  <c r="BB47" i="12"/>
  <c r="BC47" i="12"/>
  <c r="BD47" i="12"/>
  <c r="BE47" i="12"/>
  <c r="BF47" i="12"/>
  <c r="BG47" i="12"/>
  <c r="BH47" i="12"/>
  <c r="BI47" i="12"/>
  <c r="BJ47" i="12"/>
  <c r="BK47" i="12"/>
  <c r="BL47" i="12"/>
  <c r="BM47" i="12"/>
  <c r="BN47" i="12"/>
  <c r="BO47" i="12"/>
  <c r="BP47" i="12"/>
  <c r="BQ47" i="12"/>
  <c r="BR47" i="12"/>
  <c r="BS47" i="12"/>
  <c r="BT47" i="12"/>
  <c r="BU47" i="12"/>
  <c r="BV47" i="12"/>
  <c r="BW47" i="12"/>
  <c r="BX47" i="12"/>
  <c r="BY47" i="12"/>
  <c r="BZ47" i="12"/>
  <c r="CA47" i="12"/>
  <c r="CB47" i="12"/>
  <c r="CC47" i="12"/>
  <c r="CD47" i="12"/>
  <c r="CE47" i="12"/>
  <c r="CF47" i="12"/>
  <c r="CG47" i="12"/>
  <c r="CH47" i="12"/>
  <c r="CI47" i="12"/>
  <c r="CJ47" i="12"/>
  <c r="CK47" i="12"/>
  <c r="E46" i="12"/>
  <c r="F46" i="12"/>
  <c r="G46" i="12"/>
  <c r="H46" i="12"/>
  <c r="I46" i="12"/>
  <c r="J46" i="12"/>
  <c r="K46" i="12"/>
  <c r="L46" i="12"/>
  <c r="M46" i="12"/>
  <c r="N46" i="12"/>
  <c r="O46" i="12"/>
  <c r="P46" i="12"/>
  <c r="Q46" i="12"/>
  <c r="R46" i="12"/>
  <c r="S46" i="12"/>
  <c r="T46" i="12"/>
  <c r="U46" i="12"/>
  <c r="V46" i="12"/>
  <c r="W46" i="12"/>
  <c r="X46" i="12"/>
  <c r="Y46" i="12"/>
  <c r="Z46" i="12"/>
  <c r="AA46" i="12"/>
  <c r="AB46" i="12"/>
  <c r="AC46" i="12"/>
  <c r="AD46" i="12"/>
  <c r="AE46" i="12"/>
  <c r="AF46" i="12"/>
  <c r="AG46" i="12"/>
  <c r="AH46" i="12"/>
  <c r="AI46" i="12"/>
  <c r="AJ46" i="12"/>
  <c r="AK46" i="12"/>
  <c r="AL46" i="12"/>
  <c r="AM46" i="12"/>
  <c r="AN46" i="12"/>
  <c r="AO46" i="12"/>
  <c r="AP46" i="12"/>
  <c r="AQ46" i="12"/>
  <c r="AR46" i="12"/>
  <c r="AS46" i="12"/>
  <c r="AT46" i="12"/>
  <c r="AU46" i="12"/>
  <c r="AV46" i="12"/>
  <c r="AW46" i="12"/>
  <c r="AX46" i="12"/>
  <c r="AY46" i="12"/>
  <c r="AZ46" i="12"/>
  <c r="BA46" i="12"/>
  <c r="BB46" i="12"/>
  <c r="BC46" i="12"/>
  <c r="BD46" i="12"/>
  <c r="BE46" i="12"/>
  <c r="BF46" i="12"/>
  <c r="BG46" i="12"/>
  <c r="BH46" i="12"/>
  <c r="BI46" i="12"/>
  <c r="BJ46" i="12"/>
  <c r="BK46" i="12"/>
  <c r="BL46" i="12"/>
  <c r="BM46" i="12"/>
  <c r="BN46" i="12"/>
  <c r="BO46" i="12"/>
  <c r="BP46" i="12"/>
  <c r="BQ46" i="12"/>
  <c r="BR46" i="12"/>
  <c r="BS46" i="12"/>
  <c r="BT46" i="12"/>
  <c r="BU46" i="12"/>
  <c r="BV46" i="12"/>
  <c r="BW46" i="12"/>
  <c r="BX46" i="12"/>
  <c r="BY46" i="12"/>
  <c r="BZ46" i="12"/>
  <c r="CA46" i="12"/>
  <c r="CB46" i="12"/>
  <c r="CC46" i="12"/>
  <c r="CD46" i="12"/>
  <c r="CE46" i="12"/>
  <c r="CF46" i="12"/>
  <c r="CG46" i="12"/>
  <c r="CH46" i="12"/>
  <c r="CI46" i="12"/>
  <c r="CJ46" i="12"/>
  <c r="CK46" i="12"/>
  <c r="E45" i="12"/>
  <c r="Q45" i="12"/>
  <c r="R45" i="12"/>
  <c r="S45" i="12"/>
  <c r="T45" i="12"/>
  <c r="U45" i="12"/>
  <c r="V45" i="12"/>
  <c r="W45" i="12"/>
  <c r="X45" i="12"/>
  <c r="Y45" i="12"/>
  <c r="Z45" i="12"/>
  <c r="AA45" i="12"/>
  <c r="AB45" i="12"/>
  <c r="AC45" i="12"/>
  <c r="AD45" i="12"/>
  <c r="AE45" i="12"/>
  <c r="AF45" i="12"/>
  <c r="AG45" i="12"/>
  <c r="AH45" i="12"/>
  <c r="AI45" i="12"/>
  <c r="AJ45" i="12"/>
  <c r="AK45" i="12"/>
  <c r="AL45" i="12"/>
  <c r="AM45" i="12"/>
  <c r="AN45" i="12"/>
  <c r="AO45" i="12"/>
  <c r="AP45" i="12"/>
  <c r="AQ45" i="12"/>
  <c r="AR45" i="12"/>
  <c r="AS45" i="12"/>
  <c r="AT45" i="12"/>
  <c r="AU45" i="12"/>
  <c r="AV45" i="12"/>
  <c r="AW45" i="12"/>
  <c r="AX45" i="12"/>
  <c r="AY45" i="12"/>
  <c r="AZ45" i="12"/>
  <c r="BA45" i="12"/>
  <c r="BB45" i="12"/>
  <c r="BC45" i="12"/>
  <c r="BD45" i="12"/>
  <c r="BE45" i="12"/>
  <c r="BF45" i="12"/>
  <c r="BG45" i="12"/>
  <c r="BH45" i="12"/>
  <c r="BI45" i="12"/>
  <c r="BJ45" i="12"/>
  <c r="BK45" i="12"/>
  <c r="BL45" i="12"/>
  <c r="BM45" i="12"/>
  <c r="BN45" i="12"/>
  <c r="BO45" i="12"/>
  <c r="BP45" i="12"/>
  <c r="BQ45" i="12"/>
  <c r="BR45" i="12"/>
  <c r="BS45" i="12"/>
  <c r="BT45" i="12"/>
  <c r="BU45" i="12"/>
  <c r="BV45" i="12"/>
  <c r="BW45" i="12"/>
  <c r="BX45" i="12"/>
  <c r="BY45" i="12"/>
  <c r="BZ45" i="12"/>
  <c r="CA45" i="12"/>
  <c r="CB45" i="12"/>
  <c r="CC45" i="12"/>
  <c r="CD45" i="12"/>
  <c r="CE45" i="12"/>
  <c r="CF45" i="12"/>
  <c r="CG45" i="12"/>
  <c r="CH45" i="12"/>
  <c r="CI45" i="12"/>
  <c r="CJ45" i="12"/>
  <c r="CK45" i="12"/>
  <c r="F45" i="12"/>
  <c r="G45" i="12"/>
  <c r="H45" i="12"/>
  <c r="I45" i="12"/>
  <c r="J45" i="12"/>
  <c r="K45" i="12"/>
  <c r="L45" i="12"/>
  <c r="M45" i="12"/>
  <c r="N45" i="12"/>
  <c r="O45" i="12"/>
  <c r="P45" i="12"/>
  <c r="E40" i="12"/>
  <c r="F31" i="12"/>
  <c r="G31" i="12"/>
  <c r="H31" i="12"/>
  <c r="I31" i="12"/>
  <c r="J31" i="12"/>
  <c r="K31" i="12"/>
  <c r="L31" i="12"/>
  <c r="M31" i="12"/>
  <c r="N31" i="12"/>
  <c r="O31" i="12"/>
  <c r="P31" i="12"/>
  <c r="Q31" i="12"/>
  <c r="R31" i="12"/>
  <c r="S31" i="12"/>
  <c r="T31" i="12"/>
  <c r="U31" i="12"/>
  <c r="V31" i="12"/>
  <c r="W31" i="12"/>
  <c r="X31" i="12"/>
  <c r="Y31" i="12"/>
  <c r="Z31" i="12"/>
  <c r="AA31" i="12"/>
  <c r="AB31" i="12"/>
  <c r="AC31" i="12"/>
  <c r="AD31" i="12"/>
  <c r="AE31" i="12"/>
  <c r="AF31" i="12"/>
  <c r="AG31" i="12"/>
  <c r="AH31" i="12"/>
  <c r="AI31" i="12"/>
  <c r="AJ31" i="12"/>
  <c r="AK31" i="12"/>
  <c r="AL31" i="12"/>
  <c r="AM31" i="12"/>
  <c r="AN31" i="12"/>
  <c r="AO31" i="12"/>
  <c r="AP31" i="12"/>
  <c r="AQ31" i="12"/>
  <c r="AR31" i="12"/>
  <c r="AS31" i="12"/>
  <c r="AT31" i="12"/>
  <c r="AU31" i="12"/>
  <c r="AV31" i="12"/>
  <c r="AW31" i="12"/>
  <c r="AX31" i="12"/>
  <c r="AY31" i="12"/>
  <c r="AZ31" i="12"/>
  <c r="BA31" i="12"/>
  <c r="BB31" i="12"/>
  <c r="BC31" i="12"/>
  <c r="BD31" i="12"/>
  <c r="BE31" i="12"/>
  <c r="BF31" i="12"/>
  <c r="BG31" i="12"/>
  <c r="BH31" i="12"/>
  <c r="BI31" i="12"/>
  <c r="BJ31" i="12"/>
  <c r="BK31" i="12"/>
  <c r="BL31" i="12"/>
  <c r="BM31" i="12"/>
  <c r="BN31" i="12"/>
  <c r="BO31" i="12"/>
  <c r="BP31" i="12"/>
  <c r="BQ31" i="12"/>
  <c r="BR31" i="12"/>
  <c r="BS31" i="12"/>
  <c r="BT31" i="12"/>
  <c r="BU31" i="12"/>
  <c r="BV31" i="12"/>
  <c r="BW31" i="12"/>
  <c r="BX31" i="12"/>
  <c r="BY31" i="12"/>
  <c r="BZ31" i="12"/>
  <c r="CA31" i="12"/>
  <c r="CB31" i="12"/>
  <c r="CC31" i="12"/>
  <c r="CD31" i="12"/>
  <c r="CE31" i="12"/>
  <c r="CF31" i="12"/>
  <c r="CG31" i="12"/>
  <c r="CH31" i="12"/>
  <c r="CI31" i="12"/>
  <c r="CJ31" i="12"/>
  <c r="CK31" i="12"/>
  <c r="E31" i="12"/>
  <c r="F30" i="12"/>
  <c r="G30" i="12"/>
  <c r="H30" i="12"/>
  <c r="I30" i="12"/>
  <c r="J30" i="12"/>
  <c r="K30" i="12"/>
  <c r="L30" i="12"/>
  <c r="M30" i="12"/>
  <c r="N30" i="12"/>
  <c r="O30" i="12"/>
  <c r="P30" i="12"/>
  <c r="Q30" i="12"/>
  <c r="R30" i="12"/>
  <c r="S30" i="12"/>
  <c r="T30" i="12"/>
  <c r="U30" i="12"/>
  <c r="V30" i="12"/>
  <c r="W30" i="12"/>
  <c r="X30" i="12"/>
  <c r="Y30" i="12"/>
  <c r="Z30" i="12"/>
  <c r="AA30" i="12"/>
  <c r="AB30" i="12"/>
  <c r="AC30" i="12"/>
  <c r="AD30" i="12"/>
  <c r="AE30" i="12"/>
  <c r="AF30" i="12"/>
  <c r="AG30" i="12"/>
  <c r="AH30" i="12"/>
  <c r="AI30" i="12"/>
  <c r="AJ30" i="12"/>
  <c r="AK30" i="12"/>
  <c r="AL30" i="12"/>
  <c r="AM30" i="12"/>
  <c r="AN30" i="12"/>
  <c r="AO30" i="12"/>
  <c r="AP30" i="12"/>
  <c r="AQ30" i="12"/>
  <c r="AR30" i="12"/>
  <c r="AS30" i="12"/>
  <c r="AT30" i="12"/>
  <c r="AU30" i="12"/>
  <c r="AV30" i="12"/>
  <c r="AW30" i="12"/>
  <c r="AX30" i="12"/>
  <c r="AY30" i="12"/>
  <c r="AZ30" i="12"/>
  <c r="BA30" i="12"/>
  <c r="BB30" i="12"/>
  <c r="BC30" i="12"/>
  <c r="BD30" i="12"/>
  <c r="BE30" i="12"/>
  <c r="BF30" i="12"/>
  <c r="BG30" i="12"/>
  <c r="BH30" i="12"/>
  <c r="BI30" i="12"/>
  <c r="BJ30" i="12"/>
  <c r="BK30" i="12"/>
  <c r="BL30" i="12"/>
  <c r="BM30" i="12"/>
  <c r="BN30" i="12"/>
  <c r="BO30" i="12"/>
  <c r="BP30" i="12"/>
  <c r="BQ30" i="12"/>
  <c r="BR30" i="12"/>
  <c r="BS30" i="12"/>
  <c r="BT30" i="12"/>
  <c r="BU30" i="12"/>
  <c r="BV30" i="12"/>
  <c r="BW30" i="12"/>
  <c r="BX30" i="12"/>
  <c r="BY30" i="12"/>
  <c r="BZ30" i="12"/>
  <c r="CA30" i="12"/>
  <c r="CB30" i="12"/>
  <c r="CC30" i="12"/>
  <c r="CD30" i="12"/>
  <c r="CE30" i="12"/>
  <c r="CF30" i="12"/>
  <c r="CG30" i="12"/>
  <c r="CH30" i="12"/>
  <c r="CI30" i="12"/>
  <c r="CJ30" i="12"/>
  <c r="CK30" i="12"/>
  <c r="E30" i="12"/>
  <c r="E29" i="12"/>
  <c r="F29" i="12"/>
  <c r="G29" i="12"/>
  <c r="H29" i="12"/>
  <c r="I29" i="12"/>
  <c r="J29" i="12"/>
  <c r="K29" i="12"/>
  <c r="L29" i="12"/>
  <c r="M29" i="12"/>
  <c r="N29" i="12"/>
  <c r="O29" i="12"/>
  <c r="P29" i="12"/>
  <c r="Q29" i="12"/>
  <c r="R29" i="12"/>
  <c r="S29" i="12"/>
  <c r="T29" i="12"/>
  <c r="U29" i="12"/>
  <c r="V29" i="12"/>
  <c r="W29" i="12"/>
  <c r="X29" i="12"/>
  <c r="Y29" i="12"/>
  <c r="Z29" i="12"/>
  <c r="AA29" i="12"/>
  <c r="AB29" i="12"/>
  <c r="AC29" i="12"/>
  <c r="AD29" i="12"/>
  <c r="AE29" i="12"/>
  <c r="AF29" i="12"/>
  <c r="AG29" i="12"/>
  <c r="AH29" i="12"/>
  <c r="AI29" i="12"/>
  <c r="AJ29" i="12"/>
  <c r="AK29" i="12"/>
  <c r="AL29" i="12"/>
  <c r="AM29" i="12"/>
  <c r="AN29" i="12"/>
  <c r="AO29" i="12"/>
  <c r="AP29" i="12"/>
  <c r="AQ29" i="12"/>
  <c r="AR29" i="12"/>
  <c r="AS29" i="12"/>
  <c r="AT29" i="12"/>
  <c r="AU29" i="12"/>
  <c r="AV29" i="12"/>
  <c r="AW29" i="12"/>
  <c r="AX29" i="12"/>
  <c r="AY29" i="12"/>
  <c r="AZ29" i="12"/>
  <c r="BA29" i="12"/>
  <c r="BB29" i="12"/>
  <c r="BC29" i="12"/>
  <c r="BD29" i="12"/>
  <c r="BE29" i="12"/>
  <c r="BF29" i="12"/>
  <c r="BG29" i="12"/>
  <c r="BH29" i="12"/>
  <c r="BI29" i="12"/>
  <c r="BJ29" i="12"/>
  <c r="BK29" i="12"/>
  <c r="BL29" i="12"/>
  <c r="BM29" i="12"/>
  <c r="BN29" i="12"/>
  <c r="BO29" i="12"/>
  <c r="BP29" i="12"/>
  <c r="BQ29" i="12"/>
  <c r="BR29" i="12"/>
  <c r="BS29" i="12"/>
  <c r="BT29" i="12"/>
  <c r="BU29" i="12"/>
  <c r="BV29" i="12"/>
  <c r="BW29" i="12"/>
  <c r="BX29" i="12"/>
  <c r="BY29" i="12"/>
  <c r="BZ29" i="12"/>
  <c r="CA29" i="12"/>
  <c r="CB29" i="12"/>
  <c r="CC29" i="12"/>
  <c r="CD29" i="12"/>
  <c r="CE29" i="12"/>
  <c r="CF29" i="12"/>
  <c r="CG29" i="12"/>
  <c r="CH29" i="12"/>
  <c r="CI29" i="12"/>
  <c r="CJ29" i="12"/>
  <c r="CK29" i="12"/>
  <c r="F41" i="12"/>
  <c r="G41" i="12"/>
  <c r="H41" i="12"/>
  <c r="I41" i="12"/>
  <c r="J41" i="12"/>
  <c r="K41" i="12"/>
  <c r="L41" i="12"/>
  <c r="M41" i="12"/>
  <c r="N41" i="12"/>
  <c r="O41" i="12"/>
  <c r="P41" i="12"/>
  <c r="Q41" i="12"/>
  <c r="R41" i="12"/>
  <c r="S41" i="12"/>
  <c r="T41" i="12"/>
  <c r="U41" i="12"/>
  <c r="V41" i="12"/>
  <c r="W41" i="12"/>
  <c r="X41" i="12"/>
  <c r="Y41" i="12"/>
  <c r="Z41" i="12"/>
  <c r="AA41" i="12"/>
  <c r="AB41" i="12"/>
  <c r="AC41" i="12"/>
  <c r="AD41" i="12"/>
  <c r="AE41" i="12"/>
  <c r="AF41" i="12"/>
  <c r="AG41" i="12"/>
  <c r="AH41" i="12"/>
  <c r="AI41" i="12"/>
  <c r="AJ41" i="12"/>
  <c r="AK41" i="12"/>
  <c r="AL41" i="12"/>
  <c r="AM41" i="12"/>
  <c r="AN41" i="12"/>
  <c r="AO41" i="12"/>
  <c r="AP41" i="12"/>
  <c r="AQ41" i="12"/>
  <c r="AR41" i="12"/>
  <c r="AS41" i="12"/>
  <c r="AT41" i="12"/>
  <c r="AU41" i="12"/>
  <c r="AV41" i="12"/>
  <c r="AW41" i="12"/>
  <c r="AX41" i="12"/>
  <c r="AY41" i="12"/>
  <c r="AZ41" i="12"/>
  <c r="BA41" i="12"/>
  <c r="BB41" i="12"/>
  <c r="BC41" i="12"/>
  <c r="BD41" i="12"/>
  <c r="BE41" i="12"/>
  <c r="BF41" i="12"/>
  <c r="BG41" i="12"/>
  <c r="BH41" i="12"/>
  <c r="BI41" i="12"/>
  <c r="BJ41" i="12"/>
  <c r="BK41" i="12"/>
  <c r="BL41" i="12"/>
  <c r="BM41" i="12"/>
  <c r="BN41" i="12"/>
  <c r="BO41" i="12"/>
  <c r="BP41" i="12"/>
  <c r="BQ41" i="12"/>
  <c r="BR41" i="12"/>
  <c r="BS41" i="12"/>
  <c r="BT41" i="12"/>
  <c r="BU41" i="12"/>
  <c r="BV41" i="12"/>
  <c r="BW41" i="12"/>
  <c r="BX41" i="12"/>
  <c r="BY41" i="12"/>
  <c r="BZ41" i="12"/>
  <c r="CA41" i="12"/>
  <c r="CB41" i="12"/>
  <c r="CC41" i="12"/>
  <c r="CD41" i="12"/>
  <c r="CE41" i="12"/>
  <c r="CF41" i="12"/>
  <c r="CG41" i="12"/>
  <c r="CH41" i="12"/>
  <c r="CI41" i="12"/>
  <c r="CJ41" i="12"/>
  <c r="CK41" i="12"/>
  <c r="E41" i="12"/>
  <c r="F40" i="12"/>
  <c r="G40" i="12"/>
  <c r="H40" i="12"/>
  <c r="I40" i="12"/>
  <c r="J40" i="12"/>
  <c r="K40" i="12"/>
  <c r="L40" i="12"/>
  <c r="M40" i="12"/>
  <c r="N40" i="12"/>
  <c r="O40" i="12"/>
  <c r="P40" i="12"/>
  <c r="Q40" i="12"/>
  <c r="R40" i="12"/>
  <c r="S40" i="12"/>
  <c r="T40" i="12"/>
  <c r="U40" i="12"/>
  <c r="V40" i="12"/>
  <c r="W40" i="12"/>
  <c r="X40" i="12"/>
  <c r="Y40" i="12"/>
  <c r="Z40" i="12"/>
  <c r="AA40" i="12"/>
  <c r="AB40" i="12"/>
  <c r="AC40" i="12"/>
  <c r="AD40" i="12"/>
  <c r="AE40" i="12"/>
  <c r="AF40" i="12"/>
  <c r="AG40" i="12"/>
  <c r="AH40" i="12"/>
  <c r="AI40" i="12"/>
  <c r="AJ40" i="12"/>
  <c r="AK40" i="12"/>
  <c r="AL40" i="12"/>
  <c r="AM40" i="12"/>
  <c r="AN40" i="12"/>
  <c r="AO40" i="12"/>
  <c r="AP40" i="12"/>
  <c r="AQ40" i="12"/>
  <c r="AR40" i="12"/>
  <c r="AS40" i="12"/>
  <c r="AT40" i="12"/>
  <c r="AU40" i="12"/>
  <c r="AV40" i="12"/>
  <c r="AW40" i="12"/>
  <c r="AX40" i="12"/>
  <c r="AY40" i="12"/>
  <c r="AZ40" i="12"/>
  <c r="BA40" i="12"/>
  <c r="BB40" i="12"/>
  <c r="BC40" i="12"/>
  <c r="BD40" i="12"/>
  <c r="BE40" i="12"/>
  <c r="BF40" i="12"/>
  <c r="BG40" i="12"/>
  <c r="BH40" i="12"/>
  <c r="BI40" i="12"/>
  <c r="BJ40" i="12"/>
  <c r="BK40" i="12"/>
  <c r="BL40" i="12"/>
  <c r="BM40" i="12"/>
  <c r="BN40" i="12"/>
  <c r="BO40" i="12"/>
  <c r="BP40" i="12"/>
  <c r="BQ40" i="12"/>
  <c r="BR40" i="12"/>
  <c r="BS40" i="12"/>
  <c r="BT40" i="12"/>
  <c r="BU40" i="12"/>
  <c r="BV40" i="12"/>
  <c r="BW40" i="12"/>
  <c r="BX40" i="12"/>
  <c r="BY40" i="12"/>
  <c r="BZ40" i="12"/>
  <c r="CA40" i="12"/>
  <c r="CB40" i="12"/>
  <c r="CC40" i="12"/>
  <c r="CD40" i="12"/>
  <c r="CE40" i="12"/>
  <c r="CF40" i="12"/>
  <c r="CG40" i="12"/>
  <c r="CH40" i="12"/>
  <c r="CI40" i="12"/>
  <c r="CJ40" i="12"/>
  <c r="CK40" i="12"/>
  <c r="D59" i="12" l="1"/>
  <c r="D45" i="12"/>
  <c r="D67" i="12"/>
  <c r="D66" i="12"/>
  <c r="D65" i="12"/>
  <c r="D64" i="12"/>
  <c r="D63" i="12"/>
  <c r="D62" i="12"/>
  <c r="D61" i="12"/>
  <c r="D60" i="12"/>
  <c r="D58" i="12"/>
  <c r="D57" i="12"/>
  <c r="D56" i="12"/>
  <c r="D55" i="12"/>
  <c r="D54" i="12"/>
  <c r="D53" i="12"/>
  <c r="D52" i="12"/>
  <c r="D51" i="12"/>
  <c r="D50" i="12"/>
  <c r="D49" i="12"/>
  <c r="D48" i="12"/>
  <c r="D47" i="12"/>
  <c r="D46" i="12"/>
  <c r="D41" i="12"/>
  <c r="J23" i="13" s="1"/>
  <c r="O11" i="9"/>
  <c r="D40" i="12" l="1"/>
  <c r="I22" i="13"/>
  <c r="I19" i="13"/>
  <c r="P12" i="9"/>
  <c r="Q12" i="9"/>
  <c r="R12" i="9"/>
  <c r="S12" i="9"/>
  <c r="T12" i="9"/>
  <c r="U12" i="9"/>
  <c r="V12" i="9"/>
  <c r="W12" i="9"/>
  <c r="X12" i="9"/>
  <c r="Y12" i="9"/>
  <c r="Z12" i="9"/>
  <c r="AA12" i="9"/>
  <c r="AB12" i="9"/>
  <c r="AC12" i="9"/>
  <c r="AD12" i="9"/>
  <c r="AE12" i="9"/>
  <c r="AF12" i="9"/>
  <c r="AG12" i="9"/>
  <c r="AH12" i="9"/>
  <c r="AI12" i="9"/>
  <c r="AJ12" i="9"/>
  <c r="AK12" i="9"/>
  <c r="AL12" i="9"/>
  <c r="AM12" i="9"/>
  <c r="AN12" i="9"/>
  <c r="AO12" i="9"/>
  <c r="AP12" i="9"/>
  <c r="AQ12" i="9"/>
  <c r="AR12" i="9"/>
  <c r="AS12" i="9"/>
  <c r="AT12" i="9"/>
  <c r="AU12" i="9"/>
  <c r="AV12" i="9"/>
  <c r="AW12" i="9"/>
  <c r="AX12" i="9"/>
  <c r="AY12" i="9"/>
  <c r="AZ12" i="9"/>
  <c r="BA12" i="9"/>
  <c r="BB12" i="9"/>
  <c r="BC12" i="9"/>
  <c r="BD12" i="9"/>
  <c r="BE12" i="9"/>
  <c r="BF12" i="9"/>
  <c r="BG12" i="9"/>
  <c r="BH12" i="9"/>
  <c r="BI12" i="9"/>
  <c r="BJ12" i="9"/>
  <c r="BK12" i="9"/>
  <c r="BL12" i="9"/>
  <c r="BM12" i="9"/>
  <c r="BN12" i="9"/>
  <c r="BO12" i="9"/>
  <c r="BP12" i="9"/>
  <c r="BQ12" i="9"/>
  <c r="BR12" i="9"/>
  <c r="BS12" i="9"/>
  <c r="BT12" i="9"/>
  <c r="BU12" i="9"/>
  <c r="BV12" i="9"/>
  <c r="BW12" i="9"/>
  <c r="BX12" i="9"/>
  <c r="BY12" i="9"/>
  <c r="BZ12" i="9"/>
  <c r="CA12" i="9"/>
  <c r="CB12" i="9"/>
  <c r="CC12" i="9"/>
  <c r="CD12" i="9"/>
  <c r="CE12" i="9"/>
  <c r="CF12" i="9"/>
  <c r="CG12" i="9"/>
  <c r="CH12" i="9"/>
  <c r="CI12" i="9"/>
  <c r="CJ12" i="9"/>
  <c r="CK12" i="9"/>
  <c r="CL12" i="9"/>
  <c r="CM12" i="9"/>
  <c r="CN12" i="9"/>
  <c r="CO12" i="9"/>
  <c r="CP12" i="9"/>
  <c r="CQ12" i="9"/>
  <c r="CR12" i="9"/>
  <c r="CS12" i="9"/>
  <c r="CT12" i="9"/>
  <c r="CU12" i="9"/>
  <c r="O12" i="9"/>
  <c r="P11" i="9"/>
  <c r="Q11" i="9"/>
  <c r="R11" i="9"/>
  <c r="S11" i="9"/>
  <c r="T11" i="9"/>
  <c r="U11" i="9"/>
  <c r="V11" i="9"/>
  <c r="W11" i="9"/>
  <c r="X11" i="9"/>
  <c r="Y11" i="9"/>
  <c r="Z11" i="9"/>
  <c r="AA11" i="9"/>
  <c r="AB11" i="9"/>
  <c r="AC11" i="9"/>
  <c r="AD11" i="9"/>
  <c r="AE11" i="9"/>
  <c r="AF11" i="9"/>
  <c r="AG11" i="9"/>
  <c r="AH11" i="9"/>
  <c r="AI11" i="9"/>
  <c r="AJ11" i="9"/>
  <c r="AK11" i="9"/>
  <c r="AL11" i="9"/>
  <c r="AM11" i="9"/>
  <c r="AN11" i="9"/>
  <c r="AO11" i="9"/>
  <c r="AP11" i="9"/>
  <c r="AQ11" i="9"/>
  <c r="AR11" i="9"/>
  <c r="AS11" i="9"/>
  <c r="AT11" i="9"/>
  <c r="AU11" i="9"/>
  <c r="AV11" i="9"/>
  <c r="AW11" i="9"/>
  <c r="AX11" i="9"/>
  <c r="AY11" i="9"/>
  <c r="AZ11" i="9"/>
  <c r="BA11" i="9"/>
  <c r="BB11" i="9"/>
  <c r="BC11" i="9"/>
  <c r="BD11" i="9"/>
  <c r="BE11" i="9"/>
  <c r="BF11" i="9"/>
  <c r="BG11" i="9"/>
  <c r="BH11" i="9"/>
  <c r="BI11" i="9"/>
  <c r="BJ11" i="9"/>
  <c r="BK11" i="9"/>
  <c r="BL11" i="9"/>
  <c r="BM11" i="9"/>
  <c r="BN11" i="9"/>
  <c r="BO11" i="9"/>
  <c r="BP11" i="9"/>
  <c r="BQ11" i="9"/>
  <c r="BR11" i="9"/>
  <c r="BS11" i="9"/>
  <c r="BT11" i="9"/>
  <c r="BU11" i="9"/>
  <c r="BV11" i="9"/>
  <c r="BW11" i="9"/>
  <c r="BX11" i="9"/>
  <c r="BY11" i="9"/>
  <c r="BZ11" i="9"/>
  <c r="CA11" i="9"/>
  <c r="CB11" i="9"/>
  <c r="CC11" i="9"/>
  <c r="CD11" i="9"/>
  <c r="CE11" i="9"/>
  <c r="CF11" i="9"/>
  <c r="CG11" i="9"/>
  <c r="CH11" i="9"/>
  <c r="CI11" i="9"/>
  <c r="CJ11" i="9"/>
  <c r="CK11" i="9"/>
  <c r="CL11" i="9"/>
  <c r="CM11" i="9"/>
  <c r="CN11" i="9"/>
  <c r="CO11" i="9"/>
  <c r="CP11" i="9"/>
  <c r="CQ11" i="9"/>
  <c r="CR11" i="9"/>
  <c r="CS11" i="9"/>
  <c r="CT11" i="9"/>
  <c r="CU11" i="9"/>
  <c r="F37" i="12"/>
  <c r="G37" i="12"/>
  <c r="H37" i="12"/>
  <c r="I37" i="12"/>
  <c r="J37" i="12"/>
  <c r="K37" i="12"/>
  <c r="L37" i="12"/>
  <c r="M37" i="12"/>
  <c r="N37" i="12"/>
  <c r="O37" i="12"/>
  <c r="P37" i="12"/>
  <c r="Q37" i="12"/>
  <c r="R37" i="12"/>
  <c r="S37" i="12"/>
  <c r="T37" i="12"/>
  <c r="U37" i="12"/>
  <c r="V37" i="12"/>
  <c r="W37" i="12"/>
  <c r="X37" i="12"/>
  <c r="Y37" i="12"/>
  <c r="Z37" i="12"/>
  <c r="AA37" i="12"/>
  <c r="AB37" i="12"/>
  <c r="AC37" i="12"/>
  <c r="AD37" i="12"/>
  <c r="AE37" i="12"/>
  <c r="AF37" i="12"/>
  <c r="AG37" i="12"/>
  <c r="AH37" i="12"/>
  <c r="AI37" i="12"/>
  <c r="AJ37" i="12"/>
  <c r="AK37" i="12"/>
  <c r="AL37" i="12"/>
  <c r="AM37" i="12"/>
  <c r="AN37" i="12"/>
  <c r="AO37" i="12"/>
  <c r="AP37" i="12"/>
  <c r="AQ37" i="12"/>
  <c r="AR37" i="12"/>
  <c r="AS37" i="12"/>
  <c r="AT37" i="12"/>
  <c r="AU37" i="12"/>
  <c r="AV37" i="12"/>
  <c r="AW37" i="12"/>
  <c r="AX37" i="12"/>
  <c r="AY37" i="12"/>
  <c r="AZ37" i="12"/>
  <c r="BA37" i="12"/>
  <c r="BB37" i="12"/>
  <c r="BC37" i="12"/>
  <c r="BD37" i="12"/>
  <c r="BE37" i="12"/>
  <c r="BF37" i="12"/>
  <c r="BG37" i="12"/>
  <c r="BH37" i="12"/>
  <c r="BI37" i="12"/>
  <c r="BJ37" i="12"/>
  <c r="BK37" i="12"/>
  <c r="BL37" i="12"/>
  <c r="BM37" i="12"/>
  <c r="BN37" i="12"/>
  <c r="BO37" i="12"/>
  <c r="BP37" i="12"/>
  <c r="BQ37" i="12"/>
  <c r="BR37" i="12"/>
  <c r="BS37" i="12"/>
  <c r="BT37" i="12"/>
  <c r="BU37" i="12"/>
  <c r="BV37" i="12"/>
  <c r="BW37" i="12"/>
  <c r="BX37" i="12"/>
  <c r="BY37" i="12"/>
  <c r="BZ37" i="12"/>
  <c r="CA37" i="12"/>
  <c r="CB37" i="12"/>
  <c r="CC37" i="12"/>
  <c r="CD37" i="12"/>
  <c r="CE37" i="12"/>
  <c r="CF37" i="12"/>
  <c r="CG37" i="12"/>
  <c r="CH37" i="12"/>
  <c r="CI37" i="12"/>
  <c r="CJ37" i="12"/>
  <c r="CK37" i="12"/>
  <c r="E37" i="12"/>
  <c r="F36" i="12"/>
  <c r="G36" i="12"/>
  <c r="H36" i="12"/>
  <c r="I36" i="12"/>
  <c r="J36" i="12"/>
  <c r="K36" i="12"/>
  <c r="L36" i="12"/>
  <c r="M36" i="12"/>
  <c r="N36" i="12"/>
  <c r="O36" i="12"/>
  <c r="P36" i="12"/>
  <c r="Q36" i="12"/>
  <c r="R36" i="12"/>
  <c r="S36" i="12"/>
  <c r="T36" i="12"/>
  <c r="U36" i="12"/>
  <c r="V36" i="12"/>
  <c r="W36" i="12"/>
  <c r="X36" i="12"/>
  <c r="Y36" i="12"/>
  <c r="Z36" i="12"/>
  <c r="AA36" i="12"/>
  <c r="AB36" i="12"/>
  <c r="AC36" i="12"/>
  <c r="AD36" i="12"/>
  <c r="AE36" i="12"/>
  <c r="AF36" i="12"/>
  <c r="AG36" i="12"/>
  <c r="AH36" i="12"/>
  <c r="AI36" i="12"/>
  <c r="AJ36" i="12"/>
  <c r="AK36" i="12"/>
  <c r="AL36" i="12"/>
  <c r="AM36" i="12"/>
  <c r="AN36" i="12"/>
  <c r="AO36" i="12"/>
  <c r="AP36" i="12"/>
  <c r="AQ36" i="12"/>
  <c r="AR36" i="12"/>
  <c r="AS36" i="12"/>
  <c r="AT36" i="12"/>
  <c r="AU36" i="12"/>
  <c r="AV36" i="12"/>
  <c r="AW36" i="12"/>
  <c r="AX36" i="12"/>
  <c r="AY36" i="12"/>
  <c r="AZ36" i="12"/>
  <c r="BA36" i="12"/>
  <c r="BB36" i="12"/>
  <c r="BC36" i="12"/>
  <c r="BD36" i="12"/>
  <c r="BE36" i="12"/>
  <c r="BF36" i="12"/>
  <c r="BG36" i="12"/>
  <c r="BH36" i="12"/>
  <c r="BI36" i="12"/>
  <c r="BJ36" i="12"/>
  <c r="BK36" i="12"/>
  <c r="BL36" i="12"/>
  <c r="BM36" i="12"/>
  <c r="BN36" i="12"/>
  <c r="BO36" i="12"/>
  <c r="BP36" i="12"/>
  <c r="BQ36" i="12"/>
  <c r="BR36" i="12"/>
  <c r="BS36" i="12"/>
  <c r="BT36" i="12"/>
  <c r="BU36" i="12"/>
  <c r="BV36" i="12"/>
  <c r="BW36" i="12"/>
  <c r="BX36" i="12"/>
  <c r="BY36" i="12"/>
  <c r="BZ36" i="12"/>
  <c r="CA36" i="12"/>
  <c r="CB36" i="12"/>
  <c r="CC36" i="12"/>
  <c r="CD36" i="12"/>
  <c r="CE36" i="12"/>
  <c r="CF36" i="12"/>
  <c r="CG36" i="12"/>
  <c r="CH36" i="12"/>
  <c r="CI36" i="12"/>
  <c r="CJ36" i="12"/>
  <c r="CK36" i="12"/>
  <c r="E36" i="12"/>
  <c r="F35" i="12"/>
  <c r="G35" i="12"/>
  <c r="H35" i="12"/>
  <c r="I35" i="12"/>
  <c r="J35" i="12"/>
  <c r="K35" i="12"/>
  <c r="L35" i="12"/>
  <c r="M35" i="12"/>
  <c r="N35" i="12"/>
  <c r="O35" i="12"/>
  <c r="P35" i="12"/>
  <c r="Q35" i="12"/>
  <c r="R35" i="12"/>
  <c r="S35" i="12"/>
  <c r="T35" i="12"/>
  <c r="U35" i="12"/>
  <c r="V35" i="12"/>
  <c r="W35" i="12"/>
  <c r="X35" i="12"/>
  <c r="Y35" i="12"/>
  <c r="Z35" i="12"/>
  <c r="AA35" i="12"/>
  <c r="AB35" i="12"/>
  <c r="AC35" i="12"/>
  <c r="AD35" i="12"/>
  <c r="AE35" i="12"/>
  <c r="AF35" i="12"/>
  <c r="AG35" i="12"/>
  <c r="AH35" i="12"/>
  <c r="AI35" i="12"/>
  <c r="AJ35" i="12"/>
  <c r="AK35" i="12"/>
  <c r="AL35" i="12"/>
  <c r="AM35" i="12"/>
  <c r="AN35" i="12"/>
  <c r="AO35" i="12"/>
  <c r="AP35" i="12"/>
  <c r="AQ35" i="12"/>
  <c r="AR35" i="12"/>
  <c r="AS35" i="12"/>
  <c r="AT35" i="12"/>
  <c r="AU35" i="12"/>
  <c r="AV35" i="12"/>
  <c r="AW35" i="12"/>
  <c r="AX35" i="12"/>
  <c r="AY35" i="12"/>
  <c r="AZ35" i="12"/>
  <c r="BA35" i="12"/>
  <c r="BB35" i="12"/>
  <c r="BC35" i="12"/>
  <c r="BD35" i="12"/>
  <c r="BE35" i="12"/>
  <c r="BF35" i="12"/>
  <c r="BG35" i="12"/>
  <c r="BH35" i="12"/>
  <c r="BI35" i="12"/>
  <c r="BJ35" i="12"/>
  <c r="BK35" i="12"/>
  <c r="BL35" i="12"/>
  <c r="BM35" i="12"/>
  <c r="BN35" i="12"/>
  <c r="BO35" i="12"/>
  <c r="BP35" i="12"/>
  <c r="BQ35" i="12"/>
  <c r="BR35" i="12"/>
  <c r="BS35" i="12"/>
  <c r="BT35" i="12"/>
  <c r="BU35" i="12"/>
  <c r="BV35" i="12"/>
  <c r="BW35" i="12"/>
  <c r="BX35" i="12"/>
  <c r="BY35" i="12"/>
  <c r="BZ35" i="12"/>
  <c r="CA35" i="12"/>
  <c r="CB35" i="12"/>
  <c r="CC35" i="12"/>
  <c r="CD35" i="12"/>
  <c r="CE35" i="12"/>
  <c r="CF35" i="12"/>
  <c r="CG35" i="12"/>
  <c r="CH35" i="12"/>
  <c r="CI35" i="12"/>
  <c r="CJ35" i="12"/>
  <c r="CK35" i="12"/>
  <c r="E35" i="12"/>
  <c r="E34" i="12"/>
  <c r="F34" i="12"/>
  <c r="G34" i="12"/>
  <c r="H34" i="12"/>
  <c r="I34" i="12"/>
  <c r="J34" i="12"/>
  <c r="K34" i="12"/>
  <c r="L34" i="12"/>
  <c r="M34" i="12"/>
  <c r="N34" i="12"/>
  <c r="O34" i="12"/>
  <c r="P34" i="12"/>
  <c r="Q34" i="12"/>
  <c r="R34" i="12"/>
  <c r="S34" i="12"/>
  <c r="T34" i="12"/>
  <c r="U34" i="12"/>
  <c r="V34" i="12"/>
  <c r="W34" i="12"/>
  <c r="X34" i="12"/>
  <c r="Y34" i="12"/>
  <c r="Z34" i="12"/>
  <c r="AA34" i="12"/>
  <c r="AB34" i="12"/>
  <c r="AC34" i="12"/>
  <c r="AD34" i="12"/>
  <c r="AE34" i="12"/>
  <c r="AF34" i="12"/>
  <c r="AG34" i="12"/>
  <c r="AH34" i="12"/>
  <c r="AI34" i="12"/>
  <c r="AJ34" i="12"/>
  <c r="AK34" i="12"/>
  <c r="AL34" i="12"/>
  <c r="AM34" i="12"/>
  <c r="AN34" i="12"/>
  <c r="AO34" i="12"/>
  <c r="AP34" i="12"/>
  <c r="AQ34" i="12"/>
  <c r="AR34" i="12"/>
  <c r="AS34" i="12"/>
  <c r="AT34" i="12"/>
  <c r="AU34" i="12"/>
  <c r="AV34" i="12"/>
  <c r="AW34" i="12"/>
  <c r="AX34" i="12"/>
  <c r="AY34" i="12"/>
  <c r="AZ34" i="12"/>
  <c r="BA34" i="12"/>
  <c r="BB34" i="12"/>
  <c r="BC34" i="12"/>
  <c r="BD34" i="12"/>
  <c r="BE34" i="12"/>
  <c r="BF34" i="12"/>
  <c r="BG34" i="12"/>
  <c r="BH34" i="12"/>
  <c r="BI34" i="12"/>
  <c r="BJ34" i="12"/>
  <c r="BK34" i="12"/>
  <c r="BL34" i="12"/>
  <c r="BM34" i="12"/>
  <c r="BN34" i="12"/>
  <c r="BO34" i="12"/>
  <c r="BP34" i="12"/>
  <c r="BQ34" i="12"/>
  <c r="BR34" i="12"/>
  <c r="BS34" i="12"/>
  <c r="BT34" i="12"/>
  <c r="BU34" i="12"/>
  <c r="BV34" i="12"/>
  <c r="BW34" i="12"/>
  <c r="BX34" i="12"/>
  <c r="BY34" i="12"/>
  <c r="BZ34" i="12"/>
  <c r="CA34" i="12"/>
  <c r="CB34" i="12"/>
  <c r="CC34" i="12"/>
  <c r="CD34" i="12"/>
  <c r="CE34" i="12"/>
  <c r="CF34" i="12"/>
  <c r="CG34" i="12"/>
  <c r="CH34" i="12"/>
  <c r="CI34" i="12"/>
  <c r="CJ34" i="12"/>
  <c r="CK34" i="12"/>
  <c r="E25" i="12"/>
  <c r="J20" i="13" l="1"/>
  <c r="D42" i="12"/>
  <c r="I11" i="13" s="1"/>
  <c r="D34" i="12"/>
  <c r="M4" i="13" s="1"/>
  <c r="D29" i="12"/>
  <c r="J29" i="13" s="1"/>
  <c r="D37" i="12"/>
  <c r="M6" i="13" s="1"/>
  <c r="D36" i="12"/>
  <c r="D35" i="12"/>
  <c r="D31" i="12"/>
  <c r="J31" i="13" s="1"/>
  <c r="D30" i="12"/>
  <c r="J30" i="13" s="1"/>
  <c r="F25" i="12"/>
  <c r="G25" i="12"/>
  <c r="H25" i="12"/>
  <c r="I25" i="12"/>
  <c r="J25" i="12"/>
  <c r="K25" i="12"/>
  <c r="L25" i="12"/>
  <c r="M25" i="12"/>
  <c r="N25" i="12"/>
  <c r="O25" i="12"/>
  <c r="P25" i="12"/>
  <c r="Q25" i="12"/>
  <c r="R25" i="12"/>
  <c r="S25" i="12"/>
  <c r="T25" i="12"/>
  <c r="U25" i="12"/>
  <c r="V25" i="12"/>
  <c r="W25" i="12"/>
  <c r="X25" i="12"/>
  <c r="Y25" i="12"/>
  <c r="Z25" i="12"/>
  <c r="AA25" i="12"/>
  <c r="AB25" i="12"/>
  <c r="AC25" i="12"/>
  <c r="AD25" i="12"/>
  <c r="AE25" i="12"/>
  <c r="AF25" i="12"/>
  <c r="AG25" i="12"/>
  <c r="AH25" i="12"/>
  <c r="AI25" i="12"/>
  <c r="AJ25" i="12"/>
  <c r="AK25" i="12"/>
  <c r="AL25" i="12"/>
  <c r="AM25" i="12"/>
  <c r="AN25" i="12"/>
  <c r="AO25" i="12"/>
  <c r="AP25" i="12"/>
  <c r="AQ25" i="12"/>
  <c r="AR25" i="12"/>
  <c r="AS25" i="12"/>
  <c r="AT25" i="12"/>
  <c r="AU25" i="12"/>
  <c r="AV25" i="12"/>
  <c r="AW25" i="12"/>
  <c r="AX25" i="12"/>
  <c r="AY25" i="12"/>
  <c r="AZ25" i="12"/>
  <c r="BA25" i="12"/>
  <c r="BB25" i="12"/>
  <c r="BC25" i="12"/>
  <c r="BD25" i="12"/>
  <c r="BE25" i="12"/>
  <c r="BF25" i="12"/>
  <c r="BG25" i="12"/>
  <c r="BH25" i="12"/>
  <c r="BI25" i="12"/>
  <c r="BJ25" i="12"/>
  <c r="BK25" i="12"/>
  <c r="BL25" i="12"/>
  <c r="BM25" i="12"/>
  <c r="BN25" i="12"/>
  <c r="BO25" i="12"/>
  <c r="BP25" i="12"/>
  <c r="BQ25" i="12"/>
  <c r="BR25" i="12"/>
  <c r="BS25" i="12"/>
  <c r="BT25" i="12"/>
  <c r="BU25" i="12"/>
  <c r="BV25" i="12"/>
  <c r="BW25" i="12"/>
  <c r="BX25" i="12"/>
  <c r="BY25" i="12"/>
  <c r="BZ25" i="12"/>
  <c r="CA25" i="12"/>
  <c r="CB25" i="12"/>
  <c r="CC25" i="12"/>
  <c r="CD25" i="12"/>
  <c r="CE25" i="12"/>
  <c r="CF25" i="12"/>
  <c r="CG25" i="12"/>
  <c r="CH25" i="12"/>
  <c r="CI25" i="12"/>
  <c r="CJ25" i="12"/>
  <c r="CK25" i="12"/>
  <c r="F24" i="12"/>
  <c r="G24" i="12"/>
  <c r="H24" i="12"/>
  <c r="I24" i="12"/>
  <c r="J24" i="12"/>
  <c r="K24" i="12"/>
  <c r="L24" i="12"/>
  <c r="M24" i="12"/>
  <c r="N24" i="12"/>
  <c r="O24" i="12"/>
  <c r="P24" i="12"/>
  <c r="Q24" i="12"/>
  <c r="R24" i="12"/>
  <c r="S24" i="12"/>
  <c r="T24" i="12"/>
  <c r="U24" i="12"/>
  <c r="V24" i="12"/>
  <c r="W24" i="12"/>
  <c r="X24" i="12"/>
  <c r="Y24" i="12"/>
  <c r="Z24" i="12"/>
  <c r="AA24" i="12"/>
  <c r="AB24" i="12"/>
  <c r="AC24" i="12"/>
  <c r="AD24" i="12"/>
  <c r="AE24" i="12"/>
  <c r="AF24" i="12"/>
  <c r="AG24" i="12"/>
  <c r="AH24" i="12"/>
  <c r="AI24" i="12"/>
  <c r="AJ24" i="12"/>
  <c r="AK24" i="12"/>
  <c r="AL24" i="12"/>
  <c r="AM24" i="12"/>
  <c r="AN24" i="12"/>
  <c r="AO24" i="12"/>
  <c r="AP24" i="12"/>
  <c r="AQ24" i="12"/>
  <c r="AR24" i="12"/>
  <c r="AS24" i="12"/>
  <c r="AT24" i="12"/>
  <c r="AU24" i="12"/>
  <c r="AV24" i="12"/>
  <c r="AW24" i="12"/>
  <c r="AX24" i="12"/>
  <c r="AY24" i="12"/>
  <c r="AZ24" i="12"/>
  <c r="BA24" i="12"/>
  <c r="BB24" i="12"/>
  <c r="BC24" i="12"/>
  <c r="BD24" i="12"/>
  <c r="BE24" i="12"/>
  <c r="BF24" i="12"/>
  <c r="BG24" i="12"/>
  <c r="BH24" i="12"/>
  <c r="BI24" i="12"/>
  <c r="BJ24" i="12"/>
  <c r="BK24" i="12"/>
  <c r="BL24" i="12"/>
  <c r="BM24" i="12"/>
  <c r="BN24" i="12"/>
  <c r="BO24" i="12"/>
  <c r="BP24" i="12"/>
  <c r="BQ24" i="12"/>
  <c r="BR24" i="12"/>
  <c r="BS24" i="12"/>
  <c r="BT24" i="12"/>
  <c r="BU24" i="12"/>
  <c r="BV24" i="12"/>
  <c r="BW24" i="12"/>
  <c r="BX24" i="12"/>
  <c r="BY24" i="12"/>
  <c r="BZ24" i="12"/>
  <c r="CA24" i="12"/>
  <c r="CB24" i="12"/>
  <c r="CC24" i="12"/>
  <c r="CD24" i="12"/>
  <c r="CE24" i="12"/>
  <c r="CF24" i="12"/>
  <c r="CG24" i="12"/>
  <c r="CH24" i="12"/>
  <c r="CI24" i="12"/>
  <c r="CJ24" i="12"/>
  <c r="CK24" i="12"/>
  <c r="F23" i="12"/>
  <c r="G23" i="12"/>
  <c r="H23" i="12"/>
  <c r="I23" i="12"/>
  <c r="J23" i="12"/>
  <c r="K23" i="12"/>
  <c r="L23" i="12"/>
  <c r="M23" i="12"/>
  <c r="N23" i="12"/>
  <c r="O23" i="12"/>
  <c r="P23" i="12"/>
  <c r="Q23" i="12"/>
  <c r="R23" i="12"/>
  <c r="S23" i="12"/>
  <c r="T23" i="12"/>
  <c r="U23" i="12"/>
  <c r="V23" i="12"/>
  <c r="W23" i="12"/>
  <c r="X23" i="12"/>
  <c r="Y23" i="12"/>
  <c r="Z23" i="12"/>
  <c r="AA23" i="12"/>
  <c r="AB23" i="12"/>
  <c r="AC23" i="12"/>
  <c r="AD23" i="12"/>
  <c r="AE23" i="12"/>
  <c r="AF23" i="12"/>
  <c r="AG23" i="12"/>
  <c r="AH23" i="12"/>
  <c r="AI23" i="12"/>
  <c r="AJ23" i="12"/>
  <c r="AK23" i="12"/>
  <c r="AL23" i="12"/>
  <c r="AM23" i="12"/>
  <c r="AN23" i="12"/>
  <c r="AO23" i="12"/>
  <c r="AP23" i="12"/>
  <c r="AQ23" i="12"/>
  <c r="AR23" i="12"/>
  <c r="AS23" i="12"/>
  <c r="AT23" i="12"/>
  <c r="AU23" i="12"/>
  <c r="AV23" i="12"/>
  <c r="AW23" i="12"/>
  <c r="AX23" i="12"/>
  <c r="AY23" i="12"/>
  <c r="AZ23" i="12"/>
  <c r="BA23" i="12"/>
  <c r="BB23" i="12"/>
  <c r="BC23" i="12"/>
  <c r="BD23" i="12"/>
  <c r="BE23" i="12"/>
  <c r="BF23" i="12"/>
  <c r="BG23" i="12"/>
  <c r="BH23" i="12"/>
  <c r="BI23" i="12"/>
  <c r="BJ23" i="12"/>
  <c r="BK23" i="12"/>
  <c r="BL23" i="12"/>
  <c r="BM23" i="12"/>
  <c r="BN23" i="12"/>
  <c r="BO23" i="12"/>
  <c r="BP23" i="12"/>
  <c r="BQ23" i="12"/>
  <c r="BR23" i="12"/>
  <c r="BS23" i="12"/>
  <c r="BT23" i="12"/>
  <c r="BU23" i="12"/>
  <c r="BV23" i="12"/>
  <c r="BW23" i="12"/>
  <c r="BX23" i="12"/>
  <c r="BY23" i="12"/>
  <c r="BZ23" i="12"/>
  <c r="CA23" i="12"/>
  <c r="CB23" i="12"/>
  <c r="CC23" i="12"/>
  <c r="CD23" i="12"/>
  <c r="CE23" i="12"/>
  <c r="CF23" i="12"/>
  <c r="CG23" i="12"/>
  <c r="CH23" i="12"/>
  <c r="CI23" i="12"/>
  <c r="CJ23" i="12"/>
  <c r="CK23" i="12"/>
  <c r="F22" i="12"/>
  <c r="G22" i="12"/>
  <c r="H22" i="12"/>
  <c r="I22" i="12"/>
  <c r="J22" i="12"/>
  <c r="K22" i="12"/>
  <c r="L22" i="12"/>
  <c r="M22" i="12"/>
  <c r="N22" i="12"/>
  <c r="O22" i="12"/>
  <c r="P22" i="12"/>
  <c r="Q22" i="12"/>
  <c r="R22" i="12"/>
  <c r="S22" i="12"/>
  <c r="T22" i="12"/>
  <c r="U22" i="12"/>
  <c r="V22" i="12"/>
  <c r="W22" i="12"/>
  <c r="X22" i="12"/>
  <c r="Y22" i="12"/>
  <c r="Z22" i="12"/>
  <c r="AA22" i="12"/>
  <c r="AB22" i="12"/>
  <c r="AC22" i="12"/>
  <c r="AD22" i="12"/>
  <c r="AE22" i="12"/>
  <c r="AF22" i="12"/>
  <c r="AG22" i="12"/>
  <c r="AH22" i="12"/>
  <c r="AI22" i="12"/>
  <c r="AJ22" i="12"/>
  <c r="AK22" i="12"/>
  <c r="AL22" i="12"/>
  <c r="AM22" i="12"/>
  <c r="AN22" i="12"/>
  <c r="AO22" i="12"/>
  <c r="AP22" i="12"/>
  <c r="AQ22" i="12"/>
  <c r="AR22" i="12"/>
  <c r="AS22" i="12"/>
  <c r="AT22" i="12"/>
  <c r="AU22" i="12"/>
  <c r="AV22" i="12"/>
  <c r="AW22" i="12"/>
  <c r="AX22" i="12"/>
  <c r="AY22" i="12"/>
  <c r="AZ22" i="12"/>
  <c r="BA22" i="12"/>
  <c r="BB22" i="12"/>
  <c r="BC22" i="12"/>
  <c r="BD22" i="12"/>
  <c r="BE22" i="12"/>
  <c r="BF22" i="12"/>
  <c r="BG22" i="12"/>
  <c r="BH22" i="12"/>
  <c r="BI22" i="12"/>
  <c r="BJ22" i="12"/>
  <c r="BK22" i="12"/>
  <c r="BL22" i="12"/>
  <c r="BM22" i="12"/>
  <c r="BN22" i="12"/>
  <c r="BO22" i="12"/>
  <c r="BP22" i="12"/>
  <c r="BQ22" i="12"/>
  <c r="BR22" i="12"/>
  <c r="BS22" i="12"/>
  <c r="BT22" i="12"/>
  <c r="BU22" i="12"/>
  <c r="BV22" i="12"/>
  <c r="BW22" i="12"/>
  <c r="BX22" i="12"/>
  <c r="BY22" i="12"/>
  <c r="BZ22" i="12"/>
  <c r="CA22" i="12"/>
  <c r="CB22" i="12"/>
  <c r="CC22" i="12"/>
  <c r="CD22" i="12"/>
  <c r="CE22" i="12"/>
  <c r="CF22" i="12"/>
  <c r="CG22" i="12"/>
  <c r="CH22" i="12"/>
  <c r="CI22" i="12"/>
  <c r="CJ22" i="12"/>
  <c r="CK22" i="12"/>
  <c r="E24" i="12"/>
  <c r="E23" i="12"/>
  <c r="E22" i="12"/>
  <c r="E21" i="12"/>
  <c r="F21" i="12"/>
  <c r="G21" i="12"/>
  <c r="H21" i="12"/>
  <c r="I21" i="12"/>
  <c r="J21" i="12"/>
  <c r="K21" i="12"/>
  <c r="L21" i="12"/>
  <c r="M21" i="12"/>
  <c r="N21" i="12"/>
  <c r="O21" i="12"/>
  <c r="P21" i="12"/>
  <c r="Q21" i="12"/>
  <c r="R21" i="12"/>
  <c r="S21" i="12"/>
  <c r="T21" i="12"/>
  <c r="U21" i="12"/>
  <c r="V21" i="12"/>
  <c r="W21" i="12"/>
  <c r="X21" i="12"/>
  <c r="Y21" i="12"/>
  <c r="Z21" i="12"/>
  <c r="AA21" i="12"/>
  <c r="AB21" i="12"/>
  <c r="AC21" i="12"/>
  <c r="AD21" i="12"/>
  <c r="AE21" i="12"/>
  <c r="AF21" i="12"/>
  <c r="AG21" i="12"/>
  <c r="AH21" i="12"/>
  <c r="AI21" i="12"/>
  <c r="AJ21" i="12"/>
  <c r="AK21" i="12"/>
  <c r="AL21" i="12"/>
  <c r="AM21" i="12"/>
  <c r="AN21" i="12"/>
  <c r="AO21" i="12"/>
  <c r="AP21" i="12"/>
  <c r="AQ21" i="12"/>
  <c r="AR21" i="12"/>
  <c r="AS21" i="12"/>
  <c r="AT21" i="12"/>
  <c r="AU21" i="12"/>
  <c r="AV21" i="12"/>
  <c r="AW21" i="12"/>
  <c r="AX21" i="12"/>
  <c r="AY21" i="12"/>
  <c r="AZ21" i="12"/>
  <c r="BA21" i="12"/>
  <c r="BB21" i="12"/>
  <c r="BC21" i="12"/>
  <c r="BD21" i="12"/>
  <c r="BE21" i="12"/>
  <c r="BF21" i="12"/>
  <c r="BG21" i="12"/>
  <c r="BH21" i="12"/>
  <c r="BI21" i="12"/>
  <c r="BJ21" i="12"/>
  <c r="BK21" i="12"/>
  <c r="BL21" i="12"/>
  <c r="BM21" i="12"/>
  <c r="BN21" i="12"/>
  <c r="BO21" i="12"/>
  <c r="BP21" i="12"/>
  <c r="BQ21" i="12"/>
  <c r="BR21" i="12"/>
  <c r="BS21" i="12"/>
  <c r="BT21" i="12"/>
  <c r="BU21" i="12"/>
  <c r="BV21" i="12"/>
  <c r="BW21" i="12"/>
  <c r="BX21" i="12"/>
  <c r="BY21" i="12"/>
  <c r="BZ21" i="12"/>
  <c r="CA21" i="12"/>
  <c r="CB21" i="12"/>
  <c r="CC21" i="12"/>
  <c r="CD21" i="12"/>
  <c r="CE21" i="12"/>
  <c r="CF21" i="12"/>
  <c r="CG21" i="12"/>
  <c r="CH21" i="12"/>
  <c r="CI21" i="12"/>
  <c r="CJ21" i="12"/>
  <c r="CK21" i="12"/>
  <c r="E20" i="12"/>
  <c r="F20" i="12"/>
  <c r="G20" i="12"/>
  <c r="H20" i="12"/>
  <c r="I20" i="12"/>
  <c r="J20" i="12"/>
  <c r="K20" i="12"/>
  <c r="L20" i="12"/>
  <c r="M20" i="12"/>
  <c r="N20" i="12"/>
  <c r="O20" i="12"/>
  <c r="P20" i="12"/>
  <c r="Q20" i="12"/>
  <c r="R20" i="12"/>
  <c r="S20" i="12"/>
  <c r="T20" i="12"/>
  <c r="U20" i="12"/>
  <c r="V20" i="12"/>
  <c r="W20" i="12"/>
  <c r="X20" i="12"/>
  <c r="Y20" i="12"/>
  <c r="Z20" i="12"/>
  <c r="AA20" i="12"/>
  <c r="AB20" i="12"/>
  <c r="AC20" i="12"/>
  <c r="AD20" i="12"/>
  <c r="AE20" i="12"/>
  <c r="AF20" i="12"/>
  <c r="AG20" i="12"/>
  <c r="AH20" i="12"/>
  <c r="AI20" i="12"/>
  <c r="AJ20" i="12"/>
  <c r="AK20" i="12"/>
  <c r="AL20" i="12"/>
  <c r="AM20" i="12"/>
  <c r="AN20" i="12"/>
  <c r="AO20" i="12"/>
  <c r="AP20" i="12"/>
  <c r="AQ20" i="12"/>
  <c r="AR20" i="12"/>
  <c r="AS20" i="12"/>
  <c r="AT20" i="12"/>
  <c r="AU20" i="12"/>
  <c r="AV20" i="12"/>
  <c r="AW20" i="12"/>
  <c r="AX20" i="12"/>
  <c r="AY20" i="12"/>
  <c r="AZ20" i="12"/>
  <c r="BA20" i="12"/>
  <c r="BB20" i="12"/>
  <c r="BC20" i="12"/>
  <c r="BD20" i="12"/>
  <c r="BE20" i="12"/>
  <c r="BF20" i="12"/>
  <c r="BG20" i="12"/>
  <c r="BH20" i="12"/>
  <c r="BI20" i="12"/>
  <c r="BJ20" i="12"/>
  <c r="BK20" i="12"/>
  <c r="BL20" i="12"/>
  <c r="BM20" i="12"/>
  <c r="BN20" i="12"/>
  <c r="BO20" i="12"/>
  <c r="BP20" i="12"/>
  <c r="BQ20" i="12"/>
  <c r="BR20" i="12"/>
  <c r="BS20" i="12"/>
  <c r="BT20" i="12"/>
  <c r="BU20" i="12"/>
  <c r="BV20" i="12"/>
  <c r="BW20" i="12"/>
  <c r="BX20" i="12"/>
  <c r="BY20" i="12"/>
  <c r="BZ20" i="12"/>
  <c r="CA20" i="12"/>
  <c r="CB20" i="12"/>
  <c r="CC20" i="12"/>
  <c r="CD20" i="12"/>
  <c r="CE20" i="12"/>
  <c r="CF20" i="12"/>
  <c r="CG20" i="12"/>
  <c r="CH20" i="12"/>
  <c r="CI20" i="12"/>
  <c r="CJ20" i="12"/>
  <c r="CK20" i="12"/>
  <c r="E19" i="12"/>
  <c r="F19" i="12"/>
  <c r="G19" i="12"/>
  <c r="H19" i="12"/>
  <c r="I19" i="12"/>
  <c r="J19" i="12"/>
  <c r="K19" i="12"/>
  <c r="L19" i="12"/>
  <c r="M19" i="12"/>
  <c r="N19" i="12"/>
  <c r="O19" i="12"/>
  <c r="P19" i="12"/>
  <c r="Q19" i="12"/>
  <c r="R19" i="12"/>
  <c r="S19" i="12"/>
  <c r="T19" i="12"/>
  <c r="U19" i="12"/>
  <c r="V19" i="12"/>
  <c r="W19" i="12"/>
  <c r="X19" i="12"/>
  <c r="Y19" i="12"/>
  <c r="Z19" i="12"/>
  <c r="AA19" i="12"/>
  <c r="AB19" i="12"/>
  <c r="AC19" i="12"/>
  <c r="AD19" i="12"/>
  <c r="AE19" i="12"/>
  <c r="AF19" i="12"/>
  <c r="AG19" i="12"/>
  <c r="AH19" i="12"/>
  <c r="AI19" i="12"/>
  <c r="AJ19" i="12"/>
  <c r="AK19" i="12"/>
  <c r="AL19" i="12"/>
  <c r="AM19" i="12"/>
  <c r="AN19" i="12"/>
  <c r="AO19" i="12"/>
  <c r="AP19" i="12"/>
  <c r="AQ19" i="12"/>
  <c r="AR19" i="12"/>
  <c r="AS19" i="12"/>
  <c r="AT19" i="12"/>
  <c r="AU19" i="12"/>
  <c r="AV19" i="12"/>
  <c r="AW19" i="12"/>
  <c r="AX19" i="12"/>
  <c r="AY19" i="12"/>
  <c r="AZ19" i="12"/>
  <c r="BA19" i="12"/>
  <c r="BB19" i="12"/>
  <c r="BC19" i="12"/>
  <c r="BD19" i="12"/>
  <c r="BE19" i="12"/>
  <c r="BF19" i="12"/>
  <c r="BG19" i="12"/>
  <c r="BH19" i="12"/>
  <c r="BI19" i="12"/>
  <c r="BJ19" i="12"/>
  <c r="BK19" i="12"/>
  <c r="BL19" i="12"/>
  <c r="BM19" i="12"/>
  <c r="BN19" i="12"/>
  <c r="BO19" i="12"/>
  <c r="BP19" i="12"/>
  <c r="BQ19" i="12"/>
  <c r="BR19" i="12"/>
  <c r="BS19" i="12"/>
  <c r="BT19" i="12"/>
  <c r="BU19" i="12"/>
  <c r="BV19" i="12"/>
  <c r="BW19" i="12"/>
  <c r="BX19" i="12"/>
  <c r="BY19" i="12"/>
  <c r="BZ19" i="12"/>
  <c r="CA19" i="12"/>
  <c r="CB19" i="12"/>
  <c r="CC19" i="12"/>
  <c r="CD19" i="12"/>
  <c r="CE19" i="12"/>
  <c r="CF19" i="12"/>
  <c r="CG19" i="12"/>
  <c r="CH19" i="12"/>
  <c r="CI19" i="12"/>
  <c r="CJ19" i="12"/>
  <c r="CK19" i="12"/>
  <c r="E18" i="12"/>
  <c r="F18" i="12"/>
  <c r="G18" i="12"/>
  <c r="H18" i="12"/>
  <c r="I18" i="12"/>
  <c r="J18" i="12"/>
  <c r="K18" i="12"/>
  <c r="L18" i="12"/>
  <c r="M18" i="12"/>
  <c r="N18" i="12"/>
  <c r="O18" i="12"/>
  <c r="P18" i="12"/>
  <c r="Q18" i="12"/>
  <c r="R18" i="12"/>
  <c r="S18" i="12"/>
  <c r="T18" i="12"/>
  <c r="U18" i="12"/>
  <c r="V18" i="12"/>
  <c r="W18" i="12"/>
  <c r="X18" i="12"/>
  <c r="Y18" i="12"/>
  <c r="Z18" i="12"/>
  <c r="AA18" i="12"/>
  <c r="AB18" i="12"/>
  <c r="AC18" i="12"/>
  <c r="AD18" i="12"/>
  <c r="AE18" i="12"/>
  <c r="AF18" i="12"/>
  <c r="AG18" i="12"/>
  <c r="AH18" i="12"/>
  <c r="AI18" i="12"/>
  <c r="AJ18" i="12"/>
  <c r="AK18" i="12"/>
  <c r="AL18" i="12"/>
  <c r="AM18" i="12"/>
  <c r="AN18" i="12"/>
  <c r="AO18" i="12"/>
  <c r="AP18" i="12"/>
  <c r="AQ18" i="12"/>
  <c r="AR18" i="12"/>
  <c r="AS18" i="12"/>
  <c r="AT18" i="12"/>
  <c r="AU18" i="12"/>
  <c r="AV18" i="12"/>
  <c r="AW18" i="12"/>
  <c r="AX18" i="12"/>
  <c r="AY18" i="12"/>
  <c r="AZ18" i="12"/>
  <c r="BA18" i="12"/>
  <c r="BB18" i="12"/>
  <c r="BC18" i="12"/>
  <c r="BD18" i="12"/>
  <c r="BE18" i="12"/>
  <c r="BF18" i="12"/>
  <c r="BG18" i="12"/>
  <c r="BH18" i="12"/>
  <c r="BI18" i="12"/>
  <c r="BJ18" i="12"/>
  <c r="BK18" i="12"/>
  <c r="BL18" i="12"/>
  <c r="BM18" i="12"/>
  <c r="BN18" i="12"/>
  <c r="BO18" i="12"/>
  <c r="BP18" i="12"/>
  <c r="BQ18" i="12"/>
  <c r="BR18" i="12"/>
  <c r="BS18" i="12"/>
  <c r="BT18" i="12"/>
  <c r="BU18" i="12"/>
  <c r="BV18" i="12"/>
  <c r="BW18" i="12"/>
  <c r="BX18" i="12"/>
  <c r="BY18" i="12"/>
  <c r="BZ18" i="12"/>
  <c r="CA18" i="12"/>
  <c r="CB18" i="12"/>
  <c r="CC18" i="12"/>
  <c r="CD18" i="12"/>
  <c r="CE18" i="12"/>
  <c r="CF18" i="12"/>
  <c r="CG18" i="12"/>
  <c r="CH18" i="12"/>
  <c r="CI18" i="12"/>
  <c r="CJ18" i="12"/>
  <c r="CK18" i="12"/>
  <c r="F17" i="12"/>
  <c r="G17" i="12"/>
  <c r="H17" i="12"/>
  <c r="I17" i="12"/>
  <c r="J17" i="12"/>
  <c r="K17" i="12"/>
  <c r="L17" i="12"/>
  <c r="M17" i="12"/>
  <c r="N17" i="12"/>
  <c r="O17" i="12"/>
  <c r="P17" i="12"/>
  <c r="Q17" i="12"/>
  <c r="R17" i="12"/>
  <c r="S17" i="12"/>
  <c r="T17" i="12"/>
  <c r="U17" i="12"/>
  <c r="V17" i="12"/>
  <c r="W17" i="12"/>
  <c r="X17" i="12"/>
  <c r="Y17" i="12"/>
  <c r="Z17" i="12"/>
  <c r="AA17" i="12"/>
  <c r="AB17" i="12"/>
  <c r="AC17" i="12"/>
  <c r="AD17" i="12"/>
  <c r="AE17" i="12"/>
  <c r="AF17" i="12"/>
  <c r="AG17" i="12"/>
  <c r="AH17" i="12"/>
  <c r="AI17" i="12"/>
  <c r="AJ17" i="12"/>
  <c r="AK17" i="12"/>
  <c r="AL17" i="12"/>
  <c r="AM17" i="12"/>
  <c r="AN17" i="12"/>
  <c r="AO17" i="12"/>
  <c r="AP17" i="12"/>
  <c r="AQ17" i="12"/>
  <c r="AR17" i="12"/>
  <c r="AS17" i="12"/>
  <c r="AT17" i="12"/>
  <c r="AU17" i="12"/>
  <c r="AV17" i="12"/>
  <c r="AW17" i="12"/>
  <c r="AX17" i="12"/>
  <c r="AY17" i="12"/>
  <c r="AZ17" i="12"/>
  <c r="BA17" i="12"/>
  <c r="BB17" i="12"/>
  <c r="BC17" i="12"/>
  <c r="BD17" i="12"/>
  <c r="BE17" i="12"/>
  <c r="BF17" i="12"/>
  <c r="BG17" i="12"/>
  <c r="BH17" i="12"/>
  <c r="BI17" i="12"/>
  <c r="BJ17" i="12"/>
  <c r="BK17" i="12"/>
  <c r="BL17" i="12"/>
  <c r="BM17" i="12"/>
  <c r="BN17" i="12"/>
  <c r="BO17" i="12"/>
  <c r="BP17" i="12"/>
  <c r="BQ17" i="12"/>
  <c r="BR17" i="12"/>
  <c r="BS17" i="12"/>
  <c r="BT17" i="12"/>
  <c r="BU17" i="12"/>
  <c r="BV17" i="12"/>
  <c r="BW17" i="12"/>
  <c r="BX17" i="12"/>
  <c r="BY17" i="12"/>
  <c r="BZ17" i="12"/>
  <c r="CA17" i="12"/>
  <c r="CB17" i="12"/>
  <c r="CC17" i="12"/>
  <c r="CD17" i="12"/>
  <c r="CE17" i="12"/>
  <c r="CF17" i="12"/>
  <c r="CG17" i="12"/>
  <c r="CH17" i="12"/>
  <c r="CI17" i="12"/>
  <c r="CJ17" i="12"/>
  <c r="CK17" i="12"/>
  <c r="E17" i="12"/>
  <c r="F16" i="12"/>
  <c r="G16" i="12"/>
  <c r="H16" i="12"/>
  <c r="I16" i="12"/>
  <c r="J16" i="12"/>
  <c r="K16" i="12"/>
  <c r="L16" i="12"/>
  <c r="M16" i="12"/>
  <c r="N16" i="12"/>
  <c r="O16" i="12"/>
  <c r="P16" i="12"/>
  <c r="Q16" i="12"/>
  <c r="R16" i="12"/>
  <c r="S16" i="12"/>
  <c r="T16" i="12"/>
  <c r="U16" i="12"/>
  <c r="V16" i="12"/>
  <c r="W16" i="12"/>
  <c r="X16" i="12"/>
  <c r="Y16" i="12"/>
  <c r="Z16" i="12"/>
  <c r="AA16" i="12"/>
  <c r="AB16" i="12"/>
  <c r="AC16" i="12"/>
  <c r="AD16" i="12"/>
  <c r="AE16" i="12"/>
  <c r="AF16" i="12"/>
  <c r="AG16" i="12"/>
  <c r="AH16" i="12"/>
  <c r="AI16" i="12"/>
  <c r="AJ16" i="12"/>
  <c r="AK16" i="12"/>
  <c r="AL16" i="12"/>
  <c r="AM16" i="12"/>
  <c r="AN16" i="12"/>
  <c r="AO16" i="12"/>
  <c r="AP16" i="12"/>
  <c r="AQ16" i="12"/>
  <c r="AR16" i="12"/>
  <c r="AS16" i="12"/>
  <c r="AT16" i="12"/>
  <c r="AU16" i="12"/>
  <c r="AV16" i="12"/>
  <c r="AW16" i="12"/>
  <c r="AX16" i="12"/>
  <c r="AY16" i="12"/>
  <c r="AZ16" i="12"/>
  <c r="BA16" i="12"/>
  <c r="BB16" i="12"/>
  <c r="BC16" i="12"/>
  <c r="BD16" i="12"/>
  <c r="BE16" i="12"/>
  <c r="BF16" i="12"/>
  <c r="BG16" i="12"/>
  <c r="BH16" i="12"/>
  <c r="BI16" i="12"/>
  <c r="BJ16" i="12"/>
  <c r="BK16" i="12"/>
  <c r="BL16" i="12"/>
  <c r="BM16" i="12"/>
  <c r="BN16" i="12"/>
  <c r="BO16" i="12"/>
  <c r="BP16" i="12"/>
  <c r="BQ16" i="12"/>
  <c r="BR16" i="12"/>
  <c r="BS16" i="12"/>
  <c r="BT16" i="12"/>
  <c r="BU16" i="12"/>
  <c r="BV16" i="12"/>
  <c r="BW16" i="12"/>
  <c r="BX16" i="12"/>
  <c r="BY16" i="12"/>
  <c r="BZ16" i="12"/>
  <c r="CA16" i="12"/>
  <c r="CB16" i="12"/>
  <c r="CC16" i="12"/>
  <c r="CD16" i="12"/>
  <c r="CE16" i="12"/>
  <c r="CF16" i="12"/>
  <c r="CG16" i="12"/>
  <c r="CH16" i="12"/>
  <c r="CI16" i="12"/>
  <c r="CJ16" i="12"/>
  <c r="CK16" i="12"/>
  <c r="E16" i="12"/>
  <c r="E15" i="12"/>
  <c r="F15" i="12"/>
  <c r="G15" i="12"/>
  <c r="H15" i="12"/>
  <c r="I15" i="12"/>
  <c r="J15" i="12"/>
  <c r="K15" i="12"/>
  <c r="L15" i="12"/>
  <c r="M15" i="12"/>
  <c r="N15" i="12"/>
  <c r="O15" i="12"/>
  <c r="P15" i="12"/>
  <c r="Q15" i="12"/>
  <c r="R15" i="12"/>
  <c r="S15" i="12"/>
  <c r="T15" i="12"/>
  <c r="U15" i="12"/>
  <c r="V15" i="12"/>
  <c r="W15" i="12"/>
  <c r="X15" i="12"/>
  <c r="Y15" i="12"/>
  <c r="Z15" i="12"/>
  <c r="AA15" i="12"/>
  <c r="AB15" i="12"/>
  <c r="AC15" i="12"/>
  <c r="AD15" i="12"/>
  <c r="AE15" i="12"/>
  <c r="AF15" i="12"/>
  <c r="AG15" i="12"/>
  <c r="AH15" i="12"/>
  <c r="AI15" i="12"/>
  <c r="AJ15" i="12"/>
  <c r="AK15" i="12"/>
  <c r="AL15" i="12"/>
  <c r="AM15" i="12"/>
  <c r="AN15" i="12"/>
  <c r="AO15" i="12"/>
  <c r="AP15" i="12"/>
  <c r="AQ15" i="12"/>
  <c r="AR15" i="12"/>
  <c r="AS15" i="12"/>
  <c r="AT15" i="12"/>
  <c r="AU15" i="12"/>
  <c r="AV15" i="12"/>
  <c r="AW15" i="12"/>
  <c r="AX15" i="12"/>
  <c r="AY15" i="12"/>
  <c r="AZ15" i="12"/>
  <c r="BA15" i="12"/>
  <c r="BB15" i="12"/>
  <c r="BC15" i="12"/>
  <c r="BD15" i="12"/>
  <c r="BE15" i="12"/>
  <c r="BF15" i="12"/>
  <c r="BG15" i="12"/>
  <c r="BH15" i="12"/>
  <c r="BI15" i="12"/>
  <c r="BJ15" i="12"/>
  <c r="BK15" i="12"/>
  <c r="BL15" i="12"/>
  <c r="BM15" i="12"/>
  <c r="BN15" i="12"/>
  <c r="BO15" i="12"/>
  <c r="BP15" i="12"/>
  <c r="BQ15" i="12"/>
  <c r="BR15" i="12"/>
  <c r="BS15" i="12"/>
  <c r="BT15" i="12"/>
  <c r="BU15" i="12"/>
  <c r="BV15" i="12"/>
  <c r="BW15" i="12"/>
  <c r="BX15" i="12"/>
  <c r="BY15" i="12"/>
  <c r="BZ15" i="12"/>
  <c r="CA15" i="12"/>
  <c r="CB15" i="12"/>
  <c r="CC15" i="12"/>
  <c r="CD15" i="12"/>
  <c r="CE15" i="12"/>
  <c r="CF15" i="12"/>
  <c r="CG15" i="12"/>
  <c r="CH15" i="12"/>
  <c r="CI15" i="12"/>
  <c r="CJ15" i="12"/>
  <c r="CK15" i="12"/>
  <c r="E14" i="12"/>
  <c r="F14" i="12"/>
  <c r="G14" i="12"/>
  <c r="H14" i="12"/>
  <c r="I14" i="12"/>
  <c r="J14" i="12"/>
  <c r="K14" i="12"/>
  <c r="L14" i="12"/>
  <c r="M14" i="12"/>
  <c r="N14" i="12"/>
  <c r="O14" i="12"/>
  <c r="P14" i="12"/>
  <c r="Q14" i="12"/>
  <c r="R14" i="12"/>
  <c r="S14" i="12"/>
  <c r="T14" i="12"/>
  <c r="U14" i="12"/>
  <c r="V14" i="12"/>
  <c r="W14" i="12"/>
  <c r="X14" i="12"/>
  <c r="Y14" i="12"/>
  <c r="Z14" i="12"/>
  <c r="AA14" i="12"/>
  <c r="AB14" i="12"/>
  <c r="AC14" i="12"/>
  <c r="AD14" i="12"/>
  <c r="AE14" i="12"/>
  <c r="AF14" i="12"/>
  <c r="AG14" i="12"/>
  <c r="AH14" i="12"/>
  <c r="AI14" i="12"/>
  <c r="AJ14" i="12"/>
  <c r="AK14" i="12"/>
  <c r="AL14" i="12"/>
  <c r="AM14" i="12"/>
  <c r="AN14" i="12"/>
  <c r="AO14" i="12"/>
  <c r="AP14" i="12"/>
  <c r="AQ14" i="12"/>
  <c r="AR14" i="12"/>
  <c r="AS14" i="12"/>
  <c r="AT14" i="12"/>
  <c r="AU14" i="12"/>
  <c r="AV14" i="12"/>
  <c r="AW14" i="12"/>
  <c r="AX14" i="12"/>
  <c r="AY14" i="12"/>
  <c r="AZ14" i="12"/>
  <c r="BA14" i="12"/>
  <c r="BB14" i="12"/>
  <c r="BC14" i="12"/>
  <c r="BD14" i="12"/>
  <c r="BE14" i="12"/>
  <c r="BF14" i="12"/>
  <c r="BG14" i="12"/>
  <c r="BH14" i="12"/>
  <c r="BI14" i="12"/>
  <c r="BJ14" i="12"/>
  <c r="BK14" i="12"/>
  <c r="BL14" i="12"/>
  <c r="BM14" i="12"/>
  <c r="BN14" i="12"/>
  <c r="BO14" i="12"/>
  <c r="BP14" i="12"/>
  <c r="BQ14" i="12"/>
  <c r="BR14" i="12"/>
  <c r="BS14" i="12"/>
  <c r="BT14" i="12"/>
  <c r="BU14" i="12"/>
  <c r="BV14" i="12"/>
  <c r="BW14" i="12"/>
  <c r="BX14" i="12"/>
  <c r="BY14" i="12"/>
  <c r="BZ14" i="12"/>
  <c r="CA14" i="12"/>
  <c r="CB14" i="12"/>
  <c r="CC14" i="12"/>
  <c r="CD14" i="12"/>
  <c r="CE14" i="12"/>
  <c r="CF14" i="12"/>
  <c r="CG14" i="12"/>
  <c r="CH14" i="12"/>
  <c r="CI14" i="12"/>
  <c r="CJ14" i="12"/>
  <c r="CK14" i="12"/>
  <c r="E13" i="12"/>
  <c r="F13" i="12"/>
  <c r="G13" i="12"/>
  <c r="H13" i="12"/>
  <c r="I13" i="12"/>
  <c r="J13" i="12"/>
  <c r="K13" i="12"/>
  <c r="L13" i="12"/>
  <c r="M13" i="12"/>
  <c r="N13" i="12"/>
  <c r="O13" i="12"/>
  <c r="P13" i="12"/>
  <c r="Q13" i="12"/>
  <c r="R13" i="12"/>
  <c r="S13" i="12"/>
  <c r="T13" i="12"/>
  <c r="U13" i="12"/>
  <c r="V13" i="12"/>
  <c r="W13" i="12"/>
  <c r="X13" i="12"/>
  <c r="Y13" i="12"/>
  <c r="Z13" i="12"/>
  <c r="AA13" i="12"/>
  <c r="AB13" i="12"/>
  <c r="AC13" i="12"/>
  <c r="AD13" i="12"/>
  <c r="AE13" i="12"/>
  <c r="AF13" i="12"/>
  <c r="AG13" i="12"/>
  <c r="AH13" i="12"/>
  <c r="AI13" i="12"/>
  <c r="AJ13" i="12"/>
  <c r="AK13" i="12"/>
  <c r="AL13" i="12"/>
  <c r="AM13" i="12"/>
  <c r="AN13" i="12"/>
  <c r="AO13" i="12"/>
  <c r="AP13" i="12"/>
  <c r="AQ13" i="12"/>
  <c r="AR13" i="12"/>
  <c r="AS13" i="12"/>
  <c r="AT13" i="12"/>
  <c r="AU13" i="12"/>
  <c r="AV13" i="12"/>
  <c r="AW13" i="12"/>
  <c r="AX13" i="12"/>
  <c r="AY13" i="12"/>
  <c r="AZ13" i="12"/>
  <c r="BA13" i="12"/>
  <c r="BB13" i="12"/>
  <c r="BC13" i="12"/>
  <c r="BD13" i="12"/>
  <c r="BE13" i="12"/>
  <c r="BF13" i="12"/>
  <c r="BG13" i="12"/>
  <c r="BH13" i="12"/>
  <c r="BI13" i="12"/>
  <c r="BJ13" i="12"/>
  <c r="BK13" i="12"/>
  <c r="BL13" i="12"/>
  <c r="BM13" i="12"/>
  <c r="BN13" i="12"/>
  <c r="BO13" i="12"/>
  <c r="BP13" i="12"/>
  <c r="BQ13" i="12"/>
  <c r="BR13" i="12"/>
  <c r="BS13" i="12"/>
  <c r="BT13" i="12"/>
  <c r="BU13" i="12"/>
  <c r="BV13" i="12"/>
  <c r="BW13" i="12"/>
  <c r="BX13" i="12"/>
  <c r="BY13" i="12"/>
  <c r="BZ13" i="12"/>
  <c r="CA13" i="12"/>
  <c r="CB13" i="12"/>
  <c r="CC13" i="12"/>
  <c r="CD13" i="12"/>
  <c r="CE13" i="12"/>
  <c r="CF13" i="12"/>
  <c r="CG13" i="12"/>
  <c r="CH13" i="12"/>
  <c r="CI13" i="12"/>
  <c r="CJ13" i="12"/>
  <c r="CK13" i="12"/>
  <c r="E12" i="12"/>
  <c r="F12" i="12"/>
  <c r="G12" i="12"/>
  <c r="H12" i="12"/>
  <c r="I12" i="12"/>
  <c r="J12" i="12"/>
  <c r="K12" i="12"/>
  <c r="L12" i="12"/>
  <c r="M12" i="12"/>
  <c r="N12" i="12"/>
  <c r="O12" i="12"/>
  <c r="P12" i="12"/>
  <c r="Q12" i="12"/>
  <c r="R12" i="12"/>
  <c r="S12" i="12"/>
  <c r="T12" i="12"/>
  <c r="U12" i="12"/>
  <c r="V12" i="12"/>
  <c r="W12" i="12"/>
  <c r="X12" i="12"/>
  <c r="Y12" i="12"/>
  <c r="Z12" i="12"/>
  <c r="AA12" i="12"/>
  <c r="AB12" i="12"/>
  <c r="AC12" i="12"/>
  <c r="AD12" i="12"/>
  <c r="AE12" i="12"/>
  <c r="AF12" i="12"/>
  <c r="AG12" i="12"/>
  <c r="AH12" i="12"/>
  <c r="AI12" i="12"/>
  <c r="AJ12" i="12"/>
  <c r="AK12" i="12"/>
  <c r="AL12" i="12"/>
  <c r="AM12" i="12"/>
  <c r="AN12" i="12"/>
  <c r="AO12" i="12"/>
  <c r="AP12" i="12"/>
  <c r="AQ12" i="12"/>
  <c r="AR12" i="12"/>
  <c r="AS12" i="12"/>
  <c r="AT12" i="12"/>
  <c r="AU12" i="12"/>
  <c r="AV12" i="12"/>
  <c r="AW12" i="12"/>
  <c r="AX12" i="12"/>
  <c r="AY12" i="12"/>
  <c r="AZ12" i="12"/>
  <c r="BA12" i="12"/>
  <c r="BB12" i="12"/>
  <c r="BC12" i="12"/>
  <c r="BD12" i="12"/>
  <c r="BE12" i="12"/>
  <c r="BF12" i="12"/>
  <c r="BG12" i="12"/>
  <c r="BH12" i="12"/>
  <c r="BI12" i="12"/>
  <c r="BJ12" i="12"/>
  <c r="BK12" i="12"/>
  <c r="BL12" i="12"/>
  <c r="BM12" i="12"/>
  <c r="BN12" i="12"/>
  <c r="BO12" i="12"/>
  <c r="BP12" i="12"/>
  <c r="BQ12" i="12"/>
  <c r="BR12" i="12"/>
  <c r="BS12" i="12"/>
  <c r="BT12" i="12"/>
  <c r="BU12" i="12"/>
  <c r="BV12" i="12"/>
  <c r="BW12" i="12"/>
  <c r="BX12" i="12"/>
  <c r="BY12" i="12"/>
  <c r="BZ12" i="12"/>
  <c r="CA12" i="12"/>
  <c r="CB12" i="12"/>
  <c r="CC12" i="12"/>
  <c r="CD12" i="12"/>
  <c r="CE12" i="12"/>
  <c r="CF12" i="12"/>
  <c r="CG12" i="12"/>
  <c r="CH12" i="12"/>
  <c r="CI12" i="12"/>
  <c r="CJ12" i="12"/>
  <c r="CK12" i="12"/>
  <c r="E11" i="12"/>
  <c r="F11" i="12"/>
  <c r="G11" i="12"/>
  <c r="H11" i="12"/>
  <c r="I11" i="12"/>
  <c r="J11" i="12"/>
  <c r="K11" i="12"/>
  <c r="L11" i="12"/>
  <c r="M11" i="12"/>
  <c r="N11" i="12"/>
  <c r="O11" i="12"/>
  <c r="P11" i="12"/>
  <c r="Q11" i="12"/>
  <c r="R11" i="12"/>
  <c r="S11" i="12"/>
  <c r="T11" i="12"/>
  <c r="U11" i="12"/>
  <c r="V11" i="12"/>
  <c r="W11" i="12"/>
  <c r="X11" i="12"/>
  <c r="Y11" i="12"/>
  <c r="Z11" i="12"/>
  <c r="AA11" i="12"/>
  <c r="AB11" i="12"/>
  <c r="AC11" i="12"/>
  <c r="AD11" i="12"/>
  <c r="AE11" i="12"/>
  <c r="AF11" i="12"/>
  <c r="AG11" i="12"/>
  <c r="AH11" i="12"/>
  <c r="AI11" i="12"/>
  <c r="AJ11" i="12"/>
  <c r="AK11" i="12"/>
  <c r="AL11" i="12"/>
  <c r="AM11" i="12"/>
  <c r="AN11" i="12"/>
  <c r="AO11" i="12"/>
  <c r="AP11" i="12"/>
  <c r="AQ11" i="12"/>
  <c r="AR11" i="12"/>
  <c r="AS11" i="12"/>
  <c r="AT11" i="12"/>
  <c r="AU11" i="12"/>
  <c r="AV11" i="12"/>
  <c r="AW11" i="12"/>
  <c r="AX11" i="12"/>
  <c r="AY11" i="12"/>
  <c r="AZ11" i="12"/>
  <c r="BA11" i="12"/>
  <c r="BB11" i="12"/>
  <c r="BC11" i="12"/>
  <c r="BD11" i="12"/>
  <c r="BE11" i="12"/>
  <c r="BF11" i="12"/>
  <c r="BG11" i="12"/>
  <c r="BH11" i="12"/>
  <c r="BI11" i="12"/>
  <c r="BJ11" i="12"/>
  <c r="BK11" i="12"/>
  <c r="BL11" i="12"/>
  <c r="BM11" i="12"/>
  <c r="BN11" i="12"/>
  <c r="BO11" i="12"/>
  <c r="BP11" i="12"/>
  <c r="BQ11" i="12"/>
  <c r="BR11" i="12"/>
  <c r="BS11" i="12"/>
  <c r="BT11" i="12"/>
  <c r="BU11" i="12"/>
  <c r="BV11" i="12"/>
  <c r="BW11" i="12"/>
  <c r="BX11" i="12"/>
  <c r="BY11" i="12"/>
  <c r="BZ11" i="12"/>
  <c r="CA11" i="12"/>
  <c r="CB11" i="12"/>
  <c r="CC11" i="12"/>
  <c r="CD11" i="12"/>
  <c r="CE11" i="12"/>
  <c r="CF11" i="12"/>
  <c r="CG11" i="12"/>
  <c r="CH11" i="12"/>
  <c r="CI11" i="12"/>
  <c r="CJ11" i="12"/>
  <c r="CK11" i="12"/>
  <c r="E10" i="12"/>
  <c r="CK10" i="12"/>
  <c r="F10" i="12"/>
  <c r="G10" i="12"/>
  <c r="H10" i="12"/>
  <c r="I10" i="12"/>
  <c r="J10" i="12"/>
  <c r="K10" i="12"/>
  <c r="L10" i="12"/>
  <c r="M10" i="12"/>
  <c r="N10" i="12"/>
  <c r="O10" i="12"/>
  <c r="P10" i="12"/>
  <c r="Q10" i="12"/>
  <c r="R10" i="12"/>
  <c r="S10" i="12"/>
  <c r="T10" i="12"/>
  <c r="U10" i="12"/>
  <c r="V10" i="12"/>
  <c r="W10" i="12"/>
  <c r="X10" i="12"/>
  <c r="Y10" i="12"/>
  <c r="Z10" i="12"/>
  <c r="AA10" i="12"/>
  <c r="AB10" i="12"/>
  <c r="AC10" i="12"/>
  <c r="AD10" i="12"/>
  <c r="AE10" i="12"/>
  <c r="AF10" i="12"/>
  <c r="AG10" i="12"/>
  <c r="AH10" i="12"/>
  <c r="AI10" i="12"/>
  <c r="AJ10" i="12"/>
  <c r="AK10" i="12"/>
  <c r="AL10" i="12"/>
  <c r="AM10" i="12"/>
  <c r="AN10" i="12"/>
  <c r="AO10" i="12"/>
  <c r="AP10" i="12"/>
  <c r="AQ10" i="12"/>
  <c r="AR10" i="12"/>
  <c r="AS10" i="12"/>
  <c r="AT10" i="12"/>
  <c r="AU10" i="12"/>
  <c r="AV10" i="12"/>
  <c r="AW10" i="12"/>
  <c r="AX10" i="12"/>
  <c r="AY10" i="12"/>
  <c r="AZ10" i="12"/>
  <c r="BA10" i="12"/>
  <c r="BB10" i="12"/>
  <c r="BC10" i="12"/>
  <c r="BD10" i="12"/>
  <c r="BE10" i="12"/>
  <c r="BF10" i="12"/>
  <c r="BG10" i="12"/>
  <c r="BH10" i="12"/>
  <c r="BI10" i="12"/>
  <c r="BJ10" i="12"/>
  <c r="BK10" i="12"/>
  <c r="BL10" i="12"/>
  <c r="BM10" i="12"/>
  <c r="BN10" i="12"/>
  <c r="BO10" i="12"/>
  <c r="BP10" i="12"/>
  <c r="BQ10" i="12"/>
  <c r="BR10" i="12"/>
  <c r="BS10" i="12"/>
  <c r="BT10" i="12"/>
  <c r="BU10" i="12"/>
  <c r="BV10" i="12"/>
  <c r="BW10" i="12"/>
  <c r="BX10" i="12"/>
  <c r="BY10" i="12"/>
  <c r="BZ10" i="12"/>
  <c r="CA10" i="12"/>
  <c r="CB10" i="12"/>
  <c r="CC10" i="12"/>
  <c r="CD10" i="12"/>
  <c r="CE10" i="12"/>
  <c r="CF10" i="12"/>
  <c r="CG10" i="12"/>
  <c r="CH10" i="12"/>
  <c r="CI10" i="12"/>
  <c r="CJ10" i="12"/>
  <c r="E9" i="12"/>
  <c r="F9" i="12"/>
  <c r="G9" i="12"/>
  <c r="H9" i="12"/>
  <c r="I9" i="12"/>
  <c r="J9" i="12"/>
  <c r="K9" i="12"/>
  <c r="L9" i="12"/>
  <c r="M9" i="12"/>
  <c r="N9" i="12"/>
  <c r="O9" i="12"/>
  <c r="P9" i="12"/>
  <c r="Q9" i="12"/>
  <c r="R9" i="12"/>
  <c r="S9" i="12"/>
  <c r="T9" i="12"/>
  <c r="U9" i="12"/>
  <c r="V9" i="12"/>
  <c r="W9" i="12"/>
  <c r="X9" i="12"/>
  <c r="Y9" i="12"/>
  <c r="Z9" i="12"/>
  <c r="AA9" i="12"/>
  <c r="AB9" i="12"/>
  <c r="AC9" i="12"/>
  <c r="AD9" i="12"/>
  <c r="AE9" i="12"/>
  <c r="AF9" i="12"/>
  <c r="AG9" i="12"/>
  <c r="AH9" i="12"/>
  <c r="AI9" i="12"/>
  <c r="AJ9" i="12"/>
  <c r="AK9" i="12"/>
  <c r="AL9" i="12"/>
  <c r="AM9" i="12"/>
  <c r="AN9" i="12"/>
  <c r="AO9" i="12"/>
  <c r="AP9" i="12"/>
  <c r="AQ9" i="12"/>
  <c r="AR9" i="12"/>
  <c r="AS9" i="12"/>
  <c r="AT9" i="12"/>
  <c r="AU9" i="12"/>
  <c r="AV9" i="12"/>
  <c r="AW9" i="12"/>
  <c r="AX9" i="12"/>
  <c r="AY9" i="12"/>
  <c r="AZ9" i="12"/>
  <c r="BA9" i="12"/>
  <c r="BB9" i="12"/>
  <c r="BC9" i="12"/>
  <c r="BD9" i="12"/>
  <c r="BE9" i="12"/>
  <c r="BF9" i="12"/>
  <c r="BG9" i="12"/>
  <c r="BH9" i="12"/>
  <c r="BI9" i="12"/>
  <c r="BJ9" i="12"/>
  <c r="BK9" i="12"/>
  <c r="BL9" i="12"/>
  <c r="BM9" i="12"/>
  <c r="BN9" i="12"/>
  <c r="BO9" i="12"/>
  <c r="BP9" i="12"/>
  <c r="BQ9" i="12"/>
  <c r="BR9" i="12"/>
  <c r="BS9" i="12"/>
  <c r="BT9" i="12"/>
  <c r="BU9" i="12"/>
  <c r="BV9" i="12"/>
  <c r="BW9" i="12"/>
  <c r="BX9" i="12"/>
  <c r="BY9" i="12"/>
  <c r="BZ9" i="12"/>
  <c r="CA9" i="12"/>
  <c r="CB9" i="12"/>
  <c r="CC9" i="12"/>
  <c r="CD9" i="12"/>
  <c r="CE9" i="12"/>
  <c r="CF9" i="12"/>
  <c r="CG9" i="12"/>
  <c r="CH9" i="12"/>
  <c r="CI9" i="12"/>
  <c r="CJ9" i="12"/>
  <c r="CK9" i="12"/>
  <c r="E8" i="12"/>
  <c r="F8" i="12"/>
  <c r="G8" i="12"/>
  <c r="H8" i="12"/>
  <c r="I8" i="12"/>
  <c r="J8" i="12"/>
  <c r="K8" i="12"/>
  <c r="L8" i="12"/>
  <c r="M8" i="12"/>
  <c r="N8" i="12"/>
  <c r="O8" i="12"/>
  <c r="P8" i="12"/>
  <c r="Q8" i="12"/>
  <c r="R8" i="12"/>
  <c r="S8" i="12"/>
  <c r="T8" i="12"/>
  <c r="U8" i="12"/>
  <c r="V8" i="12"/>
  <c r="W8" i="12"/>
  <c r="X8" i="12"/>
  <c r="Y8" i="12"/>
  <c r="Z8" i="12"/>
  <c r="AA8" i="12"/>
  <c r="AB8" i="12"/>
  <c r="AC8" i="12"/>
  <c r="AD8" i="12"/>
  <c r="AE8" i="12"/>
  <c r="AF8" i="12"/>
  <c r="AG8" i="12"/>
  <c r="AH8" i="12"/>
  <c r="AI8" i="12"/>
  <c r="AJ8" i="12"/>
  <c r="AK8" i="12"/>
  <c r="AL8" i="12"/>
  <c r="AM8" i="12"/>
  <c r="AN8" i="12"/>
  <c r="AO8" i="12"/>
  <c r="AP8" i="12"/>
  <c r="AQ8" i="12"/>
  <c r="AR8" i="12"/>
  <c r="AS8" i="12"/>
  <c r="AT8" i="12"/>
  <c r="AU8" i="12"/>
  <c r="AV8" i="12"/>
  <c r="AW8" i="12"/>
  <c r="AX8" i="12"/>
  <c r="AY8" i="12"/>
  <c r="AZ8" i="12"/>
  <c r="BA8" i="12"/>
  <c r="BB8" i="12"/>
  <c r="BC8" i="12"/>
  <c r="BD8" i="12"/>
  <c r="BE8" i="12"/>
  <c r="BF8" i="12"/>
  <c r="BG8" i="12"/>
  <c r="BH8" i="12"/>
  <c r="BI8" i="12"/>
  <c r="BJ8" i="12"/>
  <c r="BK8" i="12"/>
  <c r="BL8" i="12"/>
  <c r="BM8" i="12"/>
  <c r="BN8" i="12"/>
  <c r="BO8" i="12"/>
  <c r="BP8" i="12"/>
  <c r="BQ8" i="12"/>
  <c r="BR8" i="12"/>
  <c r="BS8" i="12"/>
  <c r="BT8" i="12"/>
  <c r="BU8" i="12"/>
  <c r="BV8" i="12"/>
  <c r="BW8" i="12"/>
  <c r="BX8" i="12"/>
  <c r="BY8" i="12"/>
  <c r="BZ8" i="12"/>
  <c r="CA8" i="12"/>
  <c r="CB8" i="12"/>
  <c r="CC8" i="12"/>
  <c r="CD8" i="12"/>
  <c r="CE8" i="12"/>
  <c r="CF8" i="12"/>
  <c r="CG8" i="12"/>
  <c r="CH8" i="12"/>
  <c r="CI8" i="12"/>
  <c r="CJ8" i="12"/>
  <c r="CK8" i="12"/>
  <c r="F7" i="12"/>
  <c r="G7" i="12"/>
  <c r="H7" i="12"/>
  <c r="I7" i="12"/>
  <c r="J7" i="12"/>
  <c r="K7" i="12"/>
  <c r="L7" i="12"/>
  <c r="M7" i="12"/>
  <c r="N7" i="12"/>
  <c r="O7" i="12"/>
  <c r="P7" i="12"/>
  <c r="Q7" i="12"/>
  <c r="R7" i="12"/>
  <c r="S7" i="12"/>
  <c r="T7" i="12"/>
  <c r="U7" i="12"/>
  <c r="V7" i="12"/>
  <c r="W7" i="12"/>
  <c r="X7" i="12"/>
  <c r="Y7" i="12"/>
  <c r="Z7" i="12"/>
  <c r="AA7" i="12"/>
  <c r="AB7" i="12"/>
  <c r="AC7" i="12"/>
  <c r="AD7" i="12"/>
  <c r="AE7" i="12"/>
  <c r="AF7" i="12"/>
  <c r="AG7" i="12"/>
  <c r="AH7" i="12"/>
  <c r="AI7" i="12"/>
  <c r="AJ7" i="12"/>
  <c r="AK7" i="12"/>
  <c r="AL7" i="12"/>
  <c r="AM7" i="12"/>
  <c r="AN7" i="12"/>
  <c r="AO7" i="12"/>
  <c r="AP7" i="12"/>
  <c r="AQ7" i="12"/>
  <c r="AR7" i="12"/>
  <c r="AS7" i="12"/>
  <c r="AT7" i="12"/>
  <c r="AU7" i="12"/>
  <c r="AV7" i="12"/>
  <c r="AW7" i="12"/>
  <c r="AX7" i="12"/>
  <c r="AY7" i="12"/>
  <c r="AZ7" i="12"/>
  <c r="BA7" i="12"/>
  <c r="BB7" i="12"/>
  <c r="BC7" i="12"/>
  <c r="BD7" i="12"/>
  <c r="BE7" i="12"/>
  <c r="BF7" i="12"/>
  <c r="BG7" i="12"/>
  <c r="BH7" i="12"/>
  <c r="BI7" i="12"/>
  <c r="BJ7" i="12"/>
  <c r="BK7" i="12"/>
  <c r="BL7" i="12"/>
  <c r="BM7" i="12"/>
  <c r="BN7" i="12"/>
  <c r="BO7" i="12"/>
  <c r="BP7" i="12"/>
  <c r="BQ7" i="12"/>
  <c r="BR7" i="12"/>
  <c r="BS7" i="12"/>
  <c r="BT7" i="12"/>
  <c r="BU7" i="12"/>
  <c r="BV7" i="12"/>
  <c r="BW7" i="12"/>
  <c r="BX7" i="12"/>
  <c r="BY7" i="12"/>
  <c r="BZ7" i="12"/>
  <c r="CA7" i="12"/>
  <c r="CB7" i="12"/>
  <c r="CC7" i="12"/>
  <c r="CD7" i="12"/>
  <c r="CE7" i="12"/>
  <c r="CF7" i="12"/>
  <c r="CG7" i="12"/>
  <c r="CH7" i="12"/>
  <c r="CI7" i="12"/>
  <c r="CJ7" i="12"/>
  <c r="CK7" i="12"/>
  <c r="E7" i="12"/>
  <c r="F6" i="12"/>
  <c r="G6" i="12"/>
  <c r="H6" i="12"/>
  <c r="I6" i="12"/>
  <c r="J6" i="12"/>
  <c r="K6" i="12"/>
  <c r="L6" i="12"/>
  <c r="M6" i="12"/>
  <c r="N6" i="12"/>
  <c r="O6" i="12"/>
  <c r="P6" i="12"/>
  <c r="Q6" i="12"/>
  <c r="R6" i="12"/>
  <c r="S6" i="12"/>
  <c r="T6" i="12"/>
  <c r="U6" i="12"/>
  <c r="V6" i="12"/>
  <c r="W6" i="12"/>
  <c r="X6" i="12"/>
  <c r="Y6" i="12"/>
  <c r="Z6" i="12"/>
  <c r="AA6" i="12"/>
  <c r="AB6" i="12"/>
  <c r="AC6" i="12"/>
  <c r="AD6" i="12"/>
  <c r="AE6" i="12"/>
  <c r="AF6" i="12"/>
  <c r="AG6" i="12"/>
  <c r="AH6" i="12"/>
  <c r="AI6" i="12"/>
  <c r="AJ6" i="12"/>
  <c r="AK6" i="12"/>
  <c r="AL6" i="12"/>
  <c r="AM6" i="12"/>
  <c r="AN6" i="12"/>
  <c r="AO6" i="12"/>
  <c r="AP6" i="12"/>
  <c r="AQ6" i="12"/>
  <c r="AR6" i="12"/>
  <c r="AS6" i="12"/>
  <c r="AT6" i="12"/>
  <c r="AU6" i="12"/>
  <c r="AV6" i="12"/>
  <c r="AW6" i="12"/>
  <c r="AX6" i="12"/>
  <c r="AY6" i="12"/>
  <c r="AZ6" i="12"/>
  <c r="BA6" i="12"/>
  <c r="BB6" i="12"/>
  <c r="BC6" i="12"/>
  <c r="BD6" i="12"/>
  <c r="BE6" i="12"/>
  <c r="BF6" i="12"/>
  <c r="BG6" i="12"/>
  <c r="BH6" i="12"/>
  <c r="BI6" i="12"/>
  <c r="BJ6" i="12"/>
  <c r="BK6" i="12"/>
  <c r="BL6" i="12"/>
  <c r="BM6" i="12"/>
  <c r="BN6" i="12"/>
  <c r="BO6" i="12"/>
  <c r="BP6" i="12"/>
  <c r="BQ6" i="12"/>
  <c r="BR6" i="12"/>
  <c r="BS6" i="12"/>
  <c r="BT6" i="12"/>
  <c r="BU6" i="12"/>
  <c r="BV6" i="12"/>
  <c r="BW6" i="12"/>
  <c r="BX6" i="12"/>
  <c r="BY6" i="12"/>
  <c r="BZ6" i="12"/>
  <c r="CA6" i="12"/>
  <c r="CB6" i="12"/>
  <c r="CC6" i="12"/>
  <c r="CD6" i="12"/>
  <c r="CE6" i="12"/>
  <c r="CF6" i="12"/>
  <c r="CG6" i="12"/>
  <c r="CH6" i="12"/>
  <c r="CI6" i="12"/>
  <c r="CJ6" i="12"/>
  <c r="CK6" i="12"/>
  <c r="E6" i="12"/>
  <c r="E4" i="12"/>
  <c r="F4" i="12"/>
  <c r="G4" i="12"/>
  <c r="H4" i="12"/>
  <c r="I4" i="12"/>
  <c r="J4" i="12"/>
  <c r="K4" i="12"/>
  <c r="L4" i="12"/>
  <c r="M4" i="12"/>
  <c r="N4" i="12"/>
  <c r="O4" i="12"/>
  <c r="P4" i="12"/>
  <c r="Q4" i="12"/>
  <c r="R4" i="12"/>
  <c r="S4" i="12"/>
  <c r="T4" i="12"/>
  <c r="U4" i="12"/>
  <c r="V4" i="12"/>
  <c r="W4" i="12"/>
  <c r="X4" i="12"/>
  <c r="Y4" i="12"/>
  <c r="Z4" i="12"/>
  <c r="AA4" i="12"/>
  <c r="AB4" i="12"/>
  <c r="AC4" i="12"/>
  <c r="AD4" i="12"/>
  <c r="AE4" i="12"/>
  <c r="AF4" i="12"/>
  <c r="AG4" i="12"/>
  <c r="AH4" i="12"/>
  <c r="AI4" i="12"/>
  <c r="AJ4" i="12"/>
  <c r="AK4" i="12"/>
  <c r="AL4" i="12"/>
  <c r="AM4" i="12"/>
  <c r="AN4" i="12"/>
  <c r="AO4" i="12"/>
  <c r="AP4" i="12"/>
  <c r="AQ4" i="12"/>
  <c r="AR4" i="12"/>
  <c r="AS4" i="12"/>
  <c r="AT4" i="12"/>
  <c r="AU4" i="12"/>
  <c r="AV4" i="12"/>
  <c r="AW4" i="12"/>
  <c r="AX4" i="12"/>
  <c r="AY4" i="12"/>
  <c r="AZ4" i="12"/>
  <c r="BA4" i="12"/>
  <c r="BB4" i="12"/>
  <c r="BC4" i="12"/>
  <c r="BD4" i="12"/>
  <c r="BE4" i="12"/>
  <c r="BF4" i="12"/>
  <c r="BG4" i="12"/>
  <c r="BH4" i="12"/>
  <c r="BI4" i="12"/>
  <c r="BJ4" i="12"/>
  <c r="BK4" i="12"/>
  <c r="BL4" i="12"/>
  <c r="BM4" i="12"/>
  <c r="BN4" i="12"/>
  <c r="BO4" i="12"/>
  <c r="BP4" i="12"/>
  <c r="BQ4" i="12"/>
  <c r="BR4" i="12"/>
  <c r="BS4" i="12"/>
  <c r="BT4" i="12"/>
  <c r="BU4" i="12"/>
  <c r="BV4" i="12"/>
  <c r="BW4" i="12"/>
  <c r="BX4" i="12"/>
  <c r="BY4" i="12"/>
  <c r="BZ4" i="12"/>
  <c r="CA4" i="12"/>
  <c r="CB4" i="12"/>
  <c r="CC4" i="12"/>
  <c r="CD4" i="12"/>
  <c r="CE4" i="12"/>
  <c r="CF4" i="12"/>
  <c r="CG4" i="12"/>
  <c r="CH4" i="12"/>
  <c r="CI4" i="12"/>
  <c r="CJ4" i="12"/>
  <c r="CK4" i="12"/>
  <c r="O10" i="9"/>
  <c r="D22" i="12" l="1"/>
  <c r="D24" i="12"/>
  <c r="D25" i="12"/>
  <c r="D6" i="12"/>
  <c r="D23" i="12"/>
  <c r="D7" i="12"/>
  <c r="D17" i="12"/>
  <c r="D11" i="12"/>
  <c r="D15" i="12"/>
  <c r="D18" i="12"/>
  <c r="D8" i="12"/>
  <c r="D12" i="12"/>
  <c r="D19" i="12"/>
  <c r="D13" i="12"/>
  <c r="D20" i="12"/>
  <c r="D10" i="12"/>
  <c r="D14" i="12"/>
  <c r="D21" i="12"/>
  <c r="D16" i="12"/>
  <c r="D9" i="12"/>
  <c r="D4" i="12"/>
  <c r="CT38" i="3"/>
  <c r="AI37" i="3"/>
  <c r="AJ37" i="3" s="1"/>
  <c r="AI38" i="3"/>
  <c r="AJ38" i="3" s="1"/>
  <c r="BP38" i="3"/>
  <c r="BQ38" i="3" s="1"/>
  <c r="BL38" i="3"/>
  <c r="BM38" i="3" s="1"/>
  <c r="BE38" i="3"/>
  <c r="BF38" i="3" s="1"/>
  <c r="BA38" i="3"/>
  <c r="BB38" i="3" s="1"/>
  <c r="AW38" i="3"/>
  <c r="AX38" i="3" s="1"/>
  <c r="AS38" i="3"/>
  <c r="AT38" i="3" s="1"/>
  <c r="AN38" i="3"/>
  <c r="AO38" i="3" s="1"/>
  <c r="R38" i="3"/>
  <c r="CS38" i="3"/>
  <c r="CT37" i="3"/>
  <c r="BP37" i="3"/>
  <c r="BQ37" i="3" s="1"/>
  <c r="BL37" i="3"/>
  <c r="BM37" i="3" s="1"/>
  <c r="BE37" i="3"/>
  <c r="BF37" i="3" s="1"/>
  <c r="BA37" i="3"/>
  <c r="BB37" i="3" s="1"/>
  <c r="AW37" i="3"/>
  <c r="AX37" i="3" s="1"/>
  <c r="AS37" i="3"/>
  <c r="AT37" i="3" s="1"/>
  <c r="AN37" i="3"/>
  <c r="AO37" i="3" s="1"/>
  <c r="R37" i="3"/>
  <c r="CS37" i="3"/>
  <c r="CU38" i="3" l="1"/>
  <c r="CU37" i="3"/>
  <c r="P120" i="9"/>
  <c r="P121" i="9" s="1"/>
  <c r="Q120" i="9"/>
  <c r="Q121" i="9" s="1"/>
  <c r="R120" i="9"/>
  <c r="R121" i="9" s="1"/>
  <c r="S120" i="9"/>
  <c r="S121" i="9" s="1"/>
  <c r="T120" i="9"/>
  <c r="T121" i="9" s="1"/>
  <c r="U120" i="9"/>
  <c r="V120" i="9"/>
  <c r="V121" i="9" s="1"/>
  <c r="W120" i="9"/>
  <c r="W121" i="9" s="1"/>
  <c r="X120" i="9"/>
  <c r="X121" i="9" s="1"/>
  <c r="Y120" i="9"/>
  <c r="Y121" i="9" s="1"/>
  <c r="Z120" i="9"/>
  <c r="Z121" i="9" s="1"/>
  <c r="AA120" i="9"/>
  <c r="AA121" i="9" s="1"/>
  <c r="AB120" i="9"/>
  <c r="AB121" i="9" s="1"/>
  <c r="AC120" i="9"/>
  <c r="AD120" i="9"/>
  <c r="AE120" i="9"/>
  <c r="AF120" i="9"/>
  <c r="AG120" i="9"/>
  <c r="AH120" i="9"/>
  <c r="AI120" i="9"/>
  <c r="AJ120" i="9"/>
  <c r="AJ121" i="9" s="1"/>
  <c r="AK120" i="9"/>
  <c r="AK121" i="9" s="1"/>
  <c r="AL120" i="9"/>
  <c r="AL121" i="9" s="1"/>
  <c r="AM120" i="9"/>
  <c r="AN120" i="9"/>
  <c r="AO120" i="9"/>
  <c r="AO121" i="9" s="1"/>
  <c r="AP120" i="9"/>
  <c r="AP121" i="9" s="1"/>
  <c r="AQ120" i="9"/>
  <c r="AQ121" i="9" s="1"/>
  <c r="AR120" i="9"/>
  <c r="AR121" i="9" s="1"/>
  <c r="AS120" i="9"/>
  <c r="AT120" i="9"/>
  <c r="AU120" i="9"/>
  <c r="AU121" i="9" s="1"/>
  <c r="AV120" i="9"/>
  <c r="AW120" i="9"/>
  <c r="AW121" i="9" s="1"/>
  <c r="AX120" i="9"/>
  <c r="AY120" i="9"/>
  <c r="AZ120" i="9"/>
  <c r="BA120" i="9"/>
  <c r="BB120" i="9"/>
  <c r="BB121" i="9" s="1"/>
  <c r="BC120" i="9"/>
  <c r="BD120" i="9"/>
  <c r="BE120" i="9"/>
  <c r="BE121" i="9" s="1"/>
  <c r="BF120" i="9"/>
  <c r="BF121" i="9" s="1"/>
  <c r="BG120" i="9"/>
  <c r="BG121" i="9" s="1"/>
  <c r="BH120" i="9"/>
  <c r="BH121" i="9" s="1"/>
  <c r="BI120" i="9"/>
  <c r="BI121" i="9" s="1"/>
  <c r="BJ120" i="9"/>
  <c r="BJ121" i="9" s="1"/>
  <c r="BK120" i="9"/>
  <c r="BL120" i="9"/>
  <c r="BL121" i="9" s="1"/>
  <c r="BM120" i="9"/>
  <c r="BM121" i="9" s="1"/>
  <c r="BN120" i="9"/>
  <c r="BO120" i="9"/>
  <c r="BP120" i="9"/>
  <c r="BQ120" i="9"/>
  <c r="BR120" i="9"/>
  <c r="BR121" i="9" s="1"/>
  <c r="BS120" i="9"/>
  <c r="BS121" i="9" s="1"/>
  <c r="BT120" i="9"/>
  <c r="BT121" i="9" s="1"/>
  <c r="BU120" i="9"/>
  <c r="BU121" i="9" s="1"/>
  <c r="BV120" i="9"/>
  <c r="BV121" i="9" s="1"/>
  <c r="BW120" i="9"/>
  <c r="BW121" i="9" s="1"/>
  <c r="BX120" i="9"/>
  <c r="BY120" i="9"/>
  <c r="BY121" i="9" s="1"/>
  <c r="BZ120" i="9"/>
  <c r="CA120" i="9"/>
  <c r="CB120" i="9"/>
  <c r="CC120" i="9"/>
  <c r="CC121" i="9" s="1"/>
  <c r="CD120" i="9"/>
  <c r="CE120" i="9"/>
  <c r="CF120" i="9"/>
  <c r="CF121" i="9" s="1"/>
  <c r="CG120" i="9"/>
  <c r="CG121" i="9" s="1"/>
  <c r="CH120" i="9"/>
  <c r="CH121" i="9" s="1"/>
  <c r="CI120" i="9"/>
  <c r="CJ120" i="9"/>
  <c r="CK120" i="9"/>
  <c r="CK121" i="9" s="1"/>
  <c r="CL120" i="9"/>
  <c r="CL121" i="9" s="1"/>
  <c r="CM120" i="9"/>
  <c r="CM121" i="9" s="1"/>
  <c r="CN120" i="9"/>
  <c r="CO120" i="9"/>
  <c r="CP120" i="9"/>
  <c r="CP121" i="9" s="1"/>
  <c r="CQ120" i="9"/>
  <c r="CR120" i="9"/>
  <c r="CR121" i="9" s="1"/>
  <c r="CS120" i="9"/>
  <c r="CS121" i="9" s="1"/>
  <c r="CT120" i="9"/>
  <c r="CU120" i="9"/>
  <c r="CU121" i="9" s="1"/>
  <c r="O120" i="9"/>
  <c r="O121" i="9" s="1"/>
  <c r="P116" i="9"/>
  <c r="Q116" i="9"/>
  <c r="R116" i="9"/>
  <c r="S116" i="9"/>
  <c r="T116" i="9"/>
  <c r="U116" i="9"/>
  <c r="V116" i="9"/>
  <c r="W116" i="9"/>
  <c r="X116" i="9"/>
  <c r="Y116" i="9"/>
  <c r="Z116" i="9"/>
  <c r="AA116" i="9"/>
  <c r="AB116" i="9"/>
  <c r="AC116" i="9"/>
  <c r="AD116" i="9"/>
  <c r="AE116" i="9"/>
  <c r="AF116" i="9"/>
  <c r="AG116" i="9"/>
  <c r="AH116" i="9"/>
  <c r="AI116" i="9"/>
  <c r="AJ116" i="9"/>
  <c r="AK116" i="9"/>
  <c r="AL116" i="9"/>
  <c r="AM116" i="9"/>
  <c r="AN116" i="9"/>
  <c r="AO116" i="9"/>
  <c r="AP116" i="9"/>
  <c r="AQ116" i="9"/>
  <c r="AR116" i="9"/>
  <c r="AS116" i="9"/>
  <c r="AT116" i="9"/>
  <c r="AU116" i="9"/>
  <c r="AV116" i="9"/>
  <c r="AW116" i="9"/>
  <c r="AX116" i="9"/>
  <c r="AY116" i="9"/>
  <c r="AZ116" i="9"/>
  <c r="BA116" i="9"/>
  <c r="BB116" i="9"/>
  <c r="BC116" i="9"/>
  <c r="BD116" i="9"/>
  <c r="BE116" i="9"/>
  <c r="BF116" i="9"/>
  <c r="BG116" i="9"/>
  <c r="BH116" i="9"/>
  <c r="BI116" i="9"/>
  <c r="BJ116" i="9"/>
  <c r="BK116" i="9"/>
  <c r="BL116" i="9"/>
  <c r="BM116" i="9"/>
  <c r="BN116" i="9"/>
  <c r="BO116" i="9"/>
  <c r="BP116" i="9"/>
  <c r="BQ116" i="9"/>
  <c r="BR116" i="9"/>
  <c r="BS116" i="9"/>
  <c r="BT116" i="9"/>
  <c r="BU116" i="9"/>
  <c r="BV116" i="9"/>
  <c r="BW116" i="9"/>
  <c r="BX116" i="9"/>
  <c r="BY116" i="9"/>
  <c r="BZ116" i="9"/>
  <c r="CA116" i="9"/>
  <c r="CB116" i="9"/>
  <c r="CC116" i="9"/>
  <c r="CD116" i="9"/>
  <c r="CE116" i="9"/>
  <c r="CF116" i="9"/>
  <c r="CG116" i="9"/>
  <c r="CH116" i="9"/>
  <c r="CI116" i="9"/>
  <c r="CJ116" i="9"/>
  <c r="CK116" i="9"/>
  <c r="CL116" i="9"/>
  <c r="CM116" i="9"/>
  <c r="CN116" i="9"/>
  <c r="CP116" i="9"/>
  <c r="CQ116" i="9"/>
  <c r="CR116" i="9"/>
  <c r="CS116" i="9"/>
  <c r="CU116" i="9"/>
  <c r="P115" i="9"/>
  <c r="Q115" i="9"/>
  <c r="R115" i="9"/>
  <c r="S115" i="9"/>
  <c r="T115" i="9"/>
  <c r="U115" i="9"/>
  <c r="V115" i="9"/>
  <c r="W115" i="9"/>
  <c r="X115" i="9"/>
  <c r="Y115" i="9"/>
  <c r="Z115" i="9"/>
  <c r="AA115" i="9"/>
  <c r="AB115" i="9"/>
  <c r="AC115" i="9"/>
  <c r="AD115" i="9"/>
  <c r="AE115" i="9"/>
  <c r="AF115" i="9"/>
  <c r="AG115" i="9"/>
  <c r="AH115" i="9"/>
  <c r="AI115" i="9"/>
  <c r="AJ115" i="9"/>
  <c r="AK115" i="9"/>
  <c r="AL115" i="9"/>
  <c r="AM115" i="9"/>
  <c r="AN115" i="9"/>
  <c r="AO115" i="9"/>
  <c r="AP115" i="9"/>
  <c r="AQ115" i="9"/>
  <c r="AR115" i="9"/>
  <c r="AS115" i="9"/>
  <c r="AT115" i="9"/>
  <c r="AU115" i="9"/>
  <c r="AV115" i="9"/>
  <c r="AW115" i="9"/>
  <c r="AX115" i="9"/>
  <c r="AY115" i="9"/>
  <c r="AZ115" i="9"/>
  <c r="BA115" i="9"/>
  <c r="BB115" i="9"/>
  <c r="BC115" i="9"/>
  <c r="BD115" i="9"/>
  <c r="BE115" i="9"/>
  <c r="BF115" i="9"/>
  <c r="BG115" i="9"/>
  <c r="BH115" i="9"/>
  <c r="BI115" i="9"/>
  <c r="BJ115" i="9"/>
  <c r="BK115" i="9"/>
  <c r="BL115" i="9"/>
  <c r="BM115" i="9"/>
  <c r="BN115" i="9"/>
  <c r="BO115" i="9"/>
  <c r="BP115" i="9"/>
  <c r="BQ115" i="9"/>
  <c r="BR115" i="9"/>
  <c r="BS115" i="9"/>
  <c r="BT115" i="9"/>
  <c r="BU115" i="9"/>
  <c r="BV115" i="9"/>
  <c r="BW115" i="9"/>
  <c r="BX115" i="9"/>
  <c r="BY115" i="9"/>
  <c r="BZ115" i="9"/>
  <c r="CA115" i="9"/>
  <c r="CB115" i="9"/>
  <c r="CC115" i="9"/>
  <c r="CD115" i="9"/>
  <c r="CE115" i="9"/>
  <c r="CF115" i="9"/>
  <c r="CG115" i="9"/>
  <c r="CH115" i="9"/>
  <c r="CI115" i="9"/>
  <c r="CJ115" i="9"/>
  <c r="CK115" i="9"/>
  <c r="CL115" i="9"/>
  <c r="CM115" i="9"/>
  <c r="CN115" i="9"/>
  <c r="CO115" i="9"/>
  <c r="CP115" i="9"/>
  <c r="CQ115" i="9"/>
  <c r="CR115" i="9"/>
  <c r="CS115" i="9"/>
  <c r="CU115" i="9"/>
  <c r="O116" i="9"/>
  <c r="O115" i="9"/>
  <c r="O114" i="9"/>
  <c r="P114" i="9"/>
  <c r="Q114" i="9"/>
  <c r="R114" i="9"/>
  <c r="S114" i="9"/>
  <c r="T114" i="9"/>
  <c r="U114" i="9"/>
  <c r="W114" i="9"/>
  <c r="X114" i="9"/>
  <c r="Y114" i="9"/>
  <c r="Z114" i="9"/>
  <c r="AA114" i="9"/>
  <c r="AB114" i="9"/>
  <c r="AC114" i="9"/>
  <c r="AD114" i="9"/>
  <c r="AE114" i="9"/>
  <c r="AF114" i="9"/>
  <c r="AG114" i="9"/>
  <c r="AH114" i="9"/>
  <c r="AI114" i="9"/>
  <c r="AJ114" i="9"/>
  <c r="AK114" i="9"/>
  <c r="AL114" i="9"/>
  <c r="AM114" i="9"/>
  <c r="AN114" i="9"/>
  <c r="AO114" i="9"/>
  <c r="AP114" i="9"/>
  <c r="AQ114" i="9"/>
  <c r="AR114" i="9"/>
  <c r="AS114" i="9"/>
  <c r="AT114" i="9"/>
  <c r="AU114" i="9"/>
  <c r="AV114" i="9"/>
  <c r="AW114" i="9"/>
  <c r="AX114" i="9"/>
  <c r="AY114" i="9"/>
  <c r="AZ114" i="9"/>
  <c r="BA114" i="9"/>
  <c r="BB114" i="9"/>
  <c r="BC114" i="9"/>
  <c r="BD114" i="9"/>
  <c r="BE114" i="9"/>
  <c r="BF114" i="9"/>
  <c r="BG114" i="9"/>
  <c r="BH114" i="9"/>
  <c r="BI114" i="9"/>
  <c r="BJ114" i="9"/>
  <c r="BK114" i="9"/>
  <c r="BL114" i="9"/>
  <c r="BM114" i="9"/>
  <c r="BN114" i="9"/>
  <c r="BO114" i="9"/>
  <c r="BP114" i="9"/>
  <c r="BQ114" i="9"/>
  <c r="BR114" i="9"/>
  <c r="BS114" i="9"/>
  <c r="BT114" i="9"/>
  <c r="BU114" i="9"/>
  <c r="BV114" i="9"/>
  <c r="BW114" i="9"/>
  <c r="BX114" i="9"/>
  <c r="BY114" i="9"/>
  <c r="BZ114" i="9"/>
  <c r="CA114" i="9"/>
  <c r="CB114" i="9"/>
  <c r="CC114" i="9"/>
  <c r="CD114" i="9"/>
  <c r="CE114" i="9"/>
  <c r="CF114" i="9"/>
  <c r="CG114" i="9"/>
  <c r="CH114" i="9"/>
  <c r="CI114" i="9"/>
  <c r="CJ114" i="9"/>
  <c r="CK114" i="9"/>
  <c r="CL114" i="9"/>
  <c r="CM114" i="9"/>
  <c r="CN114" i="9"/>
  <c r="CO114" i="9"/>
  <c r="CP114" i="9"/>
  <c r="CQ114" i="9"/>
  <c r="CR114" i="9"/>
  <c r="CS114" i="9"/>
  <c r="CU114" i="9"/>
  <c r="P113" i="9"/>
  <c r="Q113" i="9"/>
  <c r="R113" i="9"/>
  <c r="S113" i="9"/>
  <c r="T113" i="9"/>
  <c r="U113" i="9"/>
  <c r="V113" i="9"/>
  <c r="W113" i="9"/>
  <c r="X113" i="9"/>
  <c r="Y113" i="9"/>
  <c r="Z113" i="9"/>
  <c r="AA113" i="9"/>
  <c r="AB113" i="9"/>
  <c r="AC113" i="9"/>
  <c r="AD113" i="9"/>
  <c r="AE113" i="9"/>
  <c r="AF113" i="9"/>
  <c r="AG113" i="9"/>
  <c r="AH113" i="9"/>
  <c r="AI113" i="9"/>
  <c r="AJ113" i="9"/>
  <c r="AK113" i="9"/>
  <c r="AL113" i="9"/>
  <c r="AM113" i="9"/>
  <c r="AN113" i="9"/>
  <c r="AO113" i="9"/>
  <c r="AP113" i="9"/>
  <c r="AQ113" i="9"/>
  <c r="AR113" i="9"/>
  <c r="AS113" i="9"/>
  <c r="AT113" i="9"/>
  <c r="AU113" i="9"/>
  <c r="AV113" i="9"/>
  <c r="AW113" i="9"/>
  <c r="AX113" i="9"/>
  <c r="AY113" i="9"/>
  <c r="AZ113" i="9"/>
  <c r="BA113" i="9"/>
  <c r="BB113" i="9"/>
  <c r="BC113" i="9"/>
  <c r="BD113" i="9"/>
  <c r="BE113" i="9"/>
  <c r="BF113" i="9"/>
  <c r="BG113" i="9"/>
  <c r="BH113" i="9"/>
  <c r="BI113" i="9"/>
  <c r="BJ113" i="9"/>
  <c r="BK113" i="9"/>
  <c r="BL113" i="9"/>
  <c r="BM113" i="9"/>
  <c r="BN113" i="9"/>
  <c r="BO113" i="9"/>
  <c r="BP113" i="9"/>
  <c r="BQ113" i="9"/>
  <c r="BR113" i="9"/>
  <c r="BS113" i="9"/>
  <c r="BT113" i="9"/>
  <c r="BU113" i="9"/>
  <c r="BV113" i="9"/>
  <c r="BW113" i="9"/>
  <c r="BX113" i="9"/>
  <c r="BY113" i="9"/>
  <c r="BZ113" i="9"/>
  <c r="CA113" i="9"/>
  <c r="CB113" i="9"/>
  <c r="CC113" i="9"/>
  <c r="CD113" i="9"/>
  <c r="CE113" i="9"/>
  <c r="CF113" i="9"/>
  <c r="CG113" i="9"/>
  <c r="CH113" i="9"/>
  <c r="CI113" i="9"/>
  <c r="CJ113" i="9"/>
  <c r="CK113" i="9"/>
  <c r="CL113" i="9"/>
  <c r="CM113" i="9"/>
  <c r="CN113" i="9"/>
  <c r="CO113" i="9"/>
  <c r="CP113" i="9"/>
  <c r="CQ113" i="9"/>
  <c r="CR113" i="9"/>
  <c r="CS113" i="9"/>
  <c r="CT113" i="9"/>
  <c r="CU113" i="9"/>
  <c r="P112" i="9"/>
  <c r="Q112" i="9"/>
  <c r="R112" i="9"/>
  <c r="S112" i="9"/>
  <c r="T112" i="9"/>
  <c r="U112" i="9"/>
  <c r="V112" i="9"/>
  <c r="W112" i="9"/>
  <c r="X112" i="9"/>
  <c r="Y112" i="9"/>
  <c r="Z112" i="9"/>
  <c r="AA112" i="9"/>
  <c r="AB112" i="9"/>
  <c r="AC112" i="9"/>
  <c r="AD112" i="9"/>
  <c r="AE112" i="9"/>
  <c r="AF112" i="9"/>
  <c r="AG112" i="9"/>
  <c r="AH112" i="9"/>
  <c r="AI112" i="9"/>
  <c r="AJ112" i="9"/>
  <c r="AK112" i="9"/>
  <c r="AL112" i="9"/>
  <c r="AM112" i="9"/>
  <c r="AN112" i="9"/>
  <c r="AO112" i="9"/>
  <c r="AP112" i="9"/>
  <c r="AQ112" i="9"/>
  <c r="AR112" i="9"/>
  <c r="AS112" i="9"/>
  <c r="AT112" i="9"/>
  <c r="AU112" i="9"/>
  <c r="AV112" i="9"/>
  <c r="AW112" i="9"/>
  <c r="AX112" i="9"/>
  <c r="AY112" i="9"/>
  <c r="AZ112" i="9"/>
  <c r="BA112" i="9"/>
  <c r="BB112" i="9"/>
  <c r="BC112" i="9"/>
  <c r="BD112" i="9"/>
  <c r="BE112" i="9"/>
  <c r="BF112" i="9"/>
  <c r="BG112" i="9"/>
  <c r="BH112" i="9"/>
  <c r="BI112" i="9"/>
  <c r="BJ112" i="9"/>
  <c r="BK112" i="9"/>
  <c r="BL112" i="9"/>
  <c r="BM112" i="9"/>
  <c r="BN112" i="9"/>
  <c r="BO112" i="9"/>
  <c r="BP112" i="9"/>
  <c r="BQ112" i="9"/>
  <c r="BR112" i="9"/>
  <c r="BS112" i="9"/>
  <c r="BT112" i="9"/>
  <c r="BU112" i="9"/>
  <c r="BV112" i="9"/>
  <c r="BW112" i="9"/>
  <c r="BX112" i="9"/>
  <c r="BY112" i="9"/>
  <c r="BZ112" i="9"/>
  <c r="CA112" i="9"/>
  <c r="CB112" i="9"/>
  <c r="CC112" i="9"/>
  <c r="CD112" i="9"/>
  <c r="CE112" i="9"/>
  <c r="CF112" i="9"/>
  <c r="CG112" i="9"/>
  <c r="CH112" i="9"/>
  <c r="CI112" i="9"/>
  <c r="CJ112" i="9"/>
  <c r="CK112" i="9"/>
  <c r="CL112" i="9"/>
  <c r="CM112" i="9"/>
  <c r="CN112" i="9"/>
  <c r="CO112" i="9"/>
  <c r="CP112" i="9"/>
  <c r="CQ112" i="9"/>
  <c r="CR112" i="9"/>
  <c r="CS112" i="9"/>
  <c r="CT112" i="9"/>
  <c r="CU112" i="9"/>
  <c r="O113" i="9"/>
  <c r="O112" i="9"/>
  <c r="O111" i="9"/>
  <c r="P111" i="9"/>
  <c r="Q111" i="9"/>
  <c r="R111" i="9"/>
  <c r="S111" i="9"/>
  <c r="T111" i="9"/>
  <c r="U111" i="9"/>
  <c r="V111" i="9"/>
  <c r="W111" i="9"/>
  <c r="X111" i="9"/>
  <c r="Y111" i="9"/>
  <c r="Z111" i="9"/>
  <c r="AA111" i="9"/>
  <c r="AB111" i="9"/>
  <c r="AC111" i="9"/>
  <c r="AD111" i="9"/>
  <c r="AE111" i="9"/>
  <c r="AF111" i="9"/>
  <c r="AG111" i="9"/>
  <c r="AH111" i="9"/>
  <c r="AI111" i="9"/>
  <c r="AJ111" i="9"/>
  <c r="AK111" i="9"/>
  <c r="AL111" i="9"/>
  <c r="AM111" i="9"/>
  <c r="AN111" i="9"/>
  <c r="AO111" i="9"/>
  <c r="AP111" i="9"/>
  <c r="AQ111" i="9"/>
  <c r="AR111" i="9"/>
  <c r="AS111" i="9"/>
  <c r="AT111" i="9"/>
  <c r="AU111" i="9"/>
  <c r="AV111" i="9"/>
  <c r="AW111" i="9"/>
  <c r="AX111" i="9"/>
  <c r="AY111" i="9"/>
  <c r="AZ111" i="9"/>
  <c r="BA111" i="9"/>
  <c r="BB111" i="9"/>
  <c r="BC111" i="9"/>
  <c r="BD111" i="9"/>
  <c r="BE111" i="9"/>
  <c r="BF111" i="9"/>
  <c r="BG111" i="9"/>
  <c r="BH111" i="9"/>
  <c r="BI111" i="9"/>
  <c r="BJ111" i="9"/>
  <c r="BK111" i="9"/>
  <c r="BL111" i="9"/>
  <c r="BM111" i="9"/>
  <c r="BN111" i="9"/>
  <c r="BO111" i="9"/>
  <c r="BP111" i="9"/>
  <c r="BQ111" i="9"/>
  <c r="BR111" i="9"/>
  <c r="BS111" i="9"/>
  <c r="BT111" i="9"/>
  <c r="BU111" i="9"/>
  <c r="BV111" i="9"/>
  <c r="BW111" i="9"/>
  <c r="BX111" i="9"/>
  <c r="BY111" i="9"/>
  <c r="BZ111" i="9"/>
  <c r="CA111" i="9"/>
  <c r="CB111" i="9"/>
  <c r="CC111" i="9"/>
  <c r="CD111" i="9"/>
  <c r="CE111" i="9"/>
  <c r="CF111" i="9"/>
  <c r="CG111" i="9"/>
  <c r="CH111" i="9"/>
  <c r="CI111" i="9"/>
  <c r="CJ111" i="9"/>
  <c r="CK111" i="9"/>
  <c r="CL111" i="9"/>
  <c r="CM111" i="9"/>
  <c r="CN111" i="9"/>
  <c r="CO111" i="9"/>
  <c r="CP111" i="9"/>
  <c r="CQ111" i="9"/>
  <c r="CR111" i="9"/>
  <c r="CS111" i="9"/>
  <c r="CT111" i="9"/>
  <c r="CU111" i="9"/>
  <c r="CU67" i="9"/>
  <c r="P105" i="9"/>
  <c r="Q105" i="9"/>
  <c r="R105" i="9"/>
  <c r="S105" i="9"/>
  <c r="T105" i="9"/>
  <c r="U105" i="9"/>
  <c r="W105" i="9"/>
  <c r="X105" i="9"/>
  <c r="Y105" i="9"/>
  <c r="Z105" i="9"/>
  <c r="AA105" i="9"/>
  <c r="AB105" i="9"/>
  <c r="AC105" i="9"/>
  <c r="AD105" i="9"/>
  <c r="AE105" i="9"/>
  <c r="AF105" i="9"/>
  <c r="AG105" i="9"/>
  <c r="AH105" i="9"/>
  <c r="AI105" i="9"/>
  <c r="AJ105" i="9"/>
  <c r="AK105" i="9"/>
  <c r="AL105" i="9"/>
  <c r="AM105" i="9"/>
  <c r="AN105" i="9"/>
  <c r="AO105" i="9"/>
  <c r="AP105" i="9"/>
  <c r="AQ105" i="9"/>
  <c r="AR105" i="9"/>
  <c r="AS105" i="9"/>
  <c r="AT105" i="9"/>
  <c r="AU105" i="9"/>
  <c r="AV105" i="9"/>
  <c r="AW105" i="9"/>
  <c r="AX105" i="9"/>
  <c r="AY105" i="9"/>
  <c r="AZ105" i="9"/>
  <c r="BA105" i="9"/>
  <c r="BB105" i="9"/>
  <c r="BC105" i="9"/>
  <c r="BD105" i="9"/>
  <c r="BE105" i="9"/>
  <c r="BF105" i="9"/>
  <c r="BG105" i="9"/>
  <c r="BH105" i="9"/>
  <c r="BI105" i="9"/>
  <c r="BJ105" i="9"/>
  <c r="BK105" i="9"/>
  <c r="BL105" i="9"/>
  <c r="BM105" i="9"/>
  <c r="BN105" i="9"/>
  <c r="BO105" i="9"/>
  <c r="BP105" i="9"/>
  <c r="BQ105" i="9"/>
  <c r="BR105" i="9"/>
  <c r="BS105" i="9"/>
  <c r="BT105" i="9"/>
  <c r="BV105" i="9"/>
  <c r="BW105" i="9"/>
  <c r="BX105" i="9"/>
  <c r="BY105" i="9"/>
  <c r="BZ105" i="9"/>
  <c r="CA105" i="9"/>
  <c r="CB105" i="9"/>
  <c r="CC105" i="9"/>
  <c r="CD105" i="9"/>
  <c r="CE105" i="9"/>
  <c r="CF105" i="9"/>
  <c r="CG105" i="9"/>
  <c r="CH105" i="9"/>
  <c r="CI105" i="9"/>
  <c r="CJ105" i="9"/>
  <c r="CK105" i="9"/>
  <c r="CL105" i="9"/>
  <c r="CM105" i="9"/>
  <c r="CN105" i="9"/>
  <c r="CO105" i="9"/>
  <c r="CP105" i="9"/>
  <c r="CQ105" i="9"/>
  <c r="CR105" i="9"/>
  <c r="CS105" i="9"/>
  <c r="CT105" i="9"/>
  <c r="CU105" i="9"/>
  <c r="P103" i="9"/>
  <c r="Q103" i="9"/>
  <c r="R103" i="9"/>
  <c r="S103" i="9"/>
  <c r="T103" i="9"/>
  <c r="U103" i="9"/>
  <c r="V103" i="9"/>
  <c r="W103" i="9"/>
  <c r="X103" i="9"/>
  <c r="Y103" i="9"/>
  <c r="Z103" i="9"/>
  <c r="AA103" i="9"/>
  <c r="AB103" i="9"/>
  <c r="AC103" i="9"/>
  <c r="AD103" i="9"/>
  <c r="AE103" i="9"/>
  <c r="AF103" i="9"/>
  <c r="AG103" i="9"/>
  <c r="AH103" i="9"/>
  <c r="AI103" i="9"/>
  <c r="AJ103" i="9"/>
  <c r="AK103" i="9"/>
  <c r="AL103" i="9"/>
  <c r="AM103" i="9"/>
  <c r="AN103" i="9"/>
  <c r="AO103" i="9"/>
  <c r="AP103" i="9"/>
  <c r="AQ103" i="9"/>
  <c r="AR103" i="9"/>
  <c r="AS103" i="9"/>
  <c r="AT103" i="9"/>
  <c r="AU103" i="9"/>
  <c r="AV103" i="9"/>
  <c r="AW103" i="9"/>
  <c r="AX103" i="9"/>
  <c r="AY103" i="9"/>
  <c r="AZ103" i="9"/>
  <c r="BA103" i="9"/>
  <c r="BB103" i="9"/>
  <c r="BC103" i="9"/>
  <c r="BD103" i="9"/>
  <c r="BE103" i="9"/>
  <c r="BF103" i="9"/>
  <c r="BG103" i="9"/>
  <c r="BH103" i="9"/>
  <c r="BI103" i="9"/>
  <c r="BJ103" i="9"/>
  <c r="BK103" i="9"/>
  <c r="BL103" i="9"/>
  <c r="BM103" i="9"/>
  <c r="BN103" i="9"/>
  <c r="BO103" i="9"/>
  <c r="BP103" i="9"/>
  <c r="BQ103" i="9"/>
  <c r="BR103" i="9"/>
  <c r="BS103" i="9"/>
  <c r="BT103" i="9"/>
  <c r="BV103" i="9"/>
  <c r="BW103" i="9"/>
  <c r="BX103" i="9"/>
  <c r="BY103" i="9"/>
  <c r="BZ103" i="9"/>
  <c r="CA103" i="9"/>
  <c r="CB103" i="9"/>
  <c r="CC103" i="9"/>
  <c r="CD103" i="9"/>
  <c r="CE103" i="9"/>
  <c r="CF103" i="9"/>
  <c r="CG103" i="9"/>
  <c r="CH103" i="9"/>
  <c r="CI103" i="9"/>
  <c r="CJ103" i="9"/>
  <c r="CK103" i="9"/>
  <c r="CL103" i="9"/>
  <c r="CM103" i="9"/>
  <c r="CN103" i="9"/>
  <c r="CO103" i="9"/>
  <c r="CP103" i="9"/>
  <c r="CQ103" i="9"/>
  <c r="CR103" i="9"/>
  <c r="CS103" i="9"/>
  <c r="CT103" i="9"/>
  <c r="CU103" i="9"/>
  <c r="P101" i="9"/>
  <c r="Q101" i="9"/>
  <c r="R101" i="9"/>
  <c r="S101" i="9"/>
  <c r="T101" i="9"/>
  <c r="U101" i="9"/>
  <c r="W101" i="9"/>
  <c r="X101" i="9"/>
  <c r="Y101" i="9"/>
  <c r="Z101" i="9"/>
  <c r="AA101" i="9"/>
  <c r="AB101" i="9"/>
  <c r="AC101" i="9"/>
  <c r="AD101" i="9"/>
  <c r="AE101" i="9"/>
  <c r="AF101" i="9"/>
  <c r="AG101" i="9"/>
  <c r="AH101" i="9"/>
  <c r="AI101" i="9"/>
  <c r="AJ101" i="9"/>
  <c r="AK101" i="9"/>
  <c r="AL101" i="9"/>
  <c r="AM101" i="9"/>
  <c r="AN101" i="9"/>
  <c r="AO101" i="9"/>
  <c r="AP101" i="9"/>
  <c r="AQ101" i="9"/>
  <c r="AR101" i="9"/>
  <c r="AS101" i="9"/>
  <c r="AT101" i="9"/>
  <c r="AU101" i="9"/>
  <c r="AV101" i="9"/>
  <c r="AW101" i="9"/>
  <c r="AX101" i="9"/>
  <c r="AY101" i="9"/>
  <c r="AZ101" i="9"/>
  <c r="BA101" i="9"/>
  <c r="BB101" i="9"/>
  <c r="BC101" i="9"/>
  <c r="BD101" i="9"/>
  <c r="BE101" i="9"/>
  <c r="BF101" i="9"/>
  <c r="BG101" i="9"/>
  <c r="BH101" i="9"/>
  <c r="BI101" i="9"/>
  <c r="BJ101" i="9"/>
  <c r="BK101" i="9"/>
  <c r="BL101" i="9"/>
  <c r="BM101" i="9"/>
  <c r="BN101" i="9"/>
  <c r="BO101" i="9"/>
  <c r="BP101" i="9"/>
  <c r="BQ101" i="9"/>
  <c r="BR101" i="9"/>
  <c r="BS101" i="9"/>
  <c r="BT101" i="9"/>
  <c r="BU101" i="9"/>
  <c r="BV101" i="9"/>
  <c r="BW101" i="9"/>
  <c r="BX101" i="9"/>
  <c r="BY101" i="9"/>
  <c r="BZ101" i="9"/>
  <c r="CA101" i="9"/>
  <c r="CB101" i="9"/>
  <c r="CC101" i="9"/>
  <c r="CD101" i="9"/>
  <c r="CE101" i="9"/>
  <c r="CF101" i="9"/>
  <c r="CG101" i="9"/>
  <c r="CH101" i="9"/>
  <c r="CI101" i="9"/>
  <c r="CJ101" i="9"/>
  <c r="CK101" i="9"/>
  <c r="CL101" i="9"/>
  <c r="CM101" i="9"/>
  <c r="CN101" i="9"/>
  <c r="CO101" i="9"/>
  <c r="CP101" i="9"/>
  <c r="CQ101" i="9"/>
  <c r="CR101" i="9"/>
  <c r="CS101" i="9"/>
  <c r="CT101" i="9"/>
  <c r="CU101" i="9"/>
  <c r="P99" i="9"/>
  <c r="Q99" i="9"/>
  <c r="R99" i="9"/>
  <c r="S99" i="9"/>
  <c r="T99" i="9"/>
  <c r="U99" i="9"/>
  <c r="V99" i="9"/>
  <c r="W99" i="9"/>
  <c r="X99" i="9"/>
  <c r="Y99" i="9"/>
  <c r="Z99" i="9"/>
  <c r="AA99" i="9"/>
  <c r="AB99" i="9"/>
  <c r="AC99" i="9"/>
  <c r="AD99" i="9"/>
  <c r="AE99" i="9"/>
  <c r="AF99" i="9"/>
  <c r="AG99" i="9"/>
  <c r="AH99" i="9"/>
  <c r="AI99" i="9"/>
  <c r="AJ99" i="9"/>
  <c r="AK99" i="9"/>
  <c r="AL99" i="9"/>
  <c r="AM99" i="9"/>
  <c r="AN99" i="9"/>
  <c r="AO99" i="9"/>
  <c r="AP99" i="9"/>
  <c r="AQ99" i="9"/>
  <c r="AR99" i="9"/>
  <c r="AS99" i="9"/>
  <c r="AT99" i="9"/>
  <c r="AU99" i="9"/>
  <c r="AV99" i="9"/>
  <c r="AW99" i="9"/>
  <c r="AX99" i="9"/>
  <c r="AY99" i="9"/>
  <c r="AZ99" i="9"/>
  <c r="BA99" i="9"/>
  <c r="BB99" i="9"/>
  <c r="BC99" i="9"/>
  <c r="BD99" i="9"/>
  <c r="BE99" i="9"/>
  <c r="BF99" i="9"/>
  <c r="BG99" i="9"/>
  <c r="BH99" i="9"/>
  <c r="BI99" i="9"/>
  <c r="BJ99" i="9"/>
  <c r="BK99" i="9"/>
  <c r="BL99" i="9"/>
  <c r="BM99" i="9"/>
  <c r="BN99" i="9"/>
  <c r="BO99" i="9"/>
  <c r="BP99" i="9"/>
  <c r="BQ99" i="9"/>
  <c r="BR99" i="9"/>
  <c r="BS99" i="9"/>
  <c r="BT99" i="9"/>
  <c r="BU99" i="9"/>
  <c r="BV99" i="9"/>
  <c r="BW99" i="9"/>
  <c r="BX99" i="9"/>
  <c r="BY99" i="9"/>
  <c r="BZ99" i="9"/>
  <c r="CA99" i="9"/>
  <c r="CB99" i="9"/>
  <c r="CC99" i="9"/>
  <c r="CD99" i="9"/>
  <c r="CE99" i="9"/>
  <c r="CF99" i="9"/>
  <c r="CG99" i="9"/>
  <c r="CH99" i="9"/>
  <c r="CI99" i="9"/>
  <c r="CJ99" i="9"/>
  <c r="CK99" i="9"/>
  <c r="CL99" i="9"/>
  <c r="CM99" i="9"/>
  <c r="CN99" i="9"/>
  <c r="CO99" i="9"/>
  <c r="CP99" i="9"/>
  <c r="CQ99" i="9"/>
  <c r="CR99" i="9"/>
  <c r="CS99" i="9"/>
  <c r="CT99" i="9"/>
  <c r="CU99" i="9"/>
  <c r="P97" i="9"/>
  <c r="Q97" i="9"/>
  <c r="R97" i="9"/>
  <c r="S97" i="9"/>
  <c r="T97" i="9"/>
  <c r="U97" i="9"/>
  <c r="V97" i="9"/>
  <c r="W97" i="9"/>
  <c r="X97" i="9"/>
  <c r="Y97" i="9"/>
  <c r="Z97" i="9"/>
  <c r="AA97" i="9"/>
  <c r="AB97" i="9"/>
  <c r="AC97" i="9"/>
  <c r="AD97" i="9"/>
  <c r="AE97" i="9"/>
  <c r="AF97" i="9"/>
  <c r="AG97" i="9"/>
  <c r="AH97" i="9"/>
  <c r="AI97" i="9"/>
  <c r="AJ97" i="9"/>
  <c r="AK97" i="9"/>
  <c r="AL97" i="9"/>
  <c r="AM97" i="9"/>
  <c r="AN97" i="9"/>
  <c r="AO97" i="9"/>
  <c r="AP97" i="9"/>
  <c r="AQ97" i="9"/>
  <c r="AR97" i="9"/>
  <c r="AS97" i="9"/>
  <c r="AT97" i="9"/>
  <c r="AU97" i="9"/>
  <c r="AV97" i="9"/>
  <c r="AW97" i="9"/>
  <c r="AX97" i="9"/>
  <c r="AY97" i="9"/>
  <c r="AZ97" i="9"/>
  <c r="BA97" i="9"/>
  <c r="BB97" i="9"/>
  <c r="BC97" i="9"/>
  <c r="BD97" i="9"/>
  <c r="BE97" i="9"/>
  <c r="BF97" i="9"/>
  <c r="BG97" i="9"/>
  <c r="BH97" i="9"/>
  <c r="BI97" i="9"/>
  <c r="BJ97" i="9"/>
  <c r="BK97" i="9"/>
  <c r="BL97" i="9"/>
  <c r="BM97" i="9"/>
  <c r="BN97" i="9"/>
  <c r="BO97" i="9"/>
  <c r="BP97" i="9"/>
  <c r="BQ97" i="9"/>
  <c r="BR97" i="9"/>
  <c r="BS97" i="9"/>
  <c r="BT97" i="9"/>
  <c r="BU97" i="9"/>
  <c r="BV97" i="9"/>
  <c r="BW97" i="9"/>
  <c r="BX97" i="9"/>
  <c r="BY97" i="9"/>
  <c r="BZ97" i="9"/>
  <c r="CA97" i="9"/>
  <c r="CB97" i="9"/>
  <c r="CC97" i="9"/>
  <c r="CD97" i="9"/>
  <c r="CE97" i="9"/>
  <c r="CF97" i="9"/>
  <c r="CG97" i="9"/>
  <c r="CH97" i="9"/>
  <c r="CI97" i="9"/>
  <c r="CJ97" i="9"/>
  <c r="CK97" i="9"/>
  <c r="CL97" i="9"/>
  <c r="CM97" i="9"/>
  <c r="CN97" i="9"/>
  <c r="CO97" i="9"/>
  <c r="CP97" i="9"/>
  <c r="CQ97" i="9"/>
  <c r="CR97" i="9"/>
  <c r="CS97" i="9"/>
  <c r="CT97" i="9"/>
  <c r="CU97" i="9"/>
  <c r="P95" i="9"/>
  <c r="Q95" i="9"/>
  <c r="R95" i="9"/>
  <c r="S95" i="9"/>
  <c r="T95" i="9"/>
  <c r="U95" i="9"/>
  <c r="V95" i="9"/>
  <c r="W95" i="9"/>
  <c r="X95" i="9"/>
  <c r="Y95" i="9"/>
  <c r="Z95" i="9"/>
  <c r="AA95" i="9"/>
  <c r="AB95" i="9"/>
  <c r="AC95" i="9"/>
  <c r="AD95" i="9"/>
  <c r="AE95" i="9"/>
  <c r="AF95" i="9"/>
  <c r="AG95" i="9"/>
  <c r="AH95" i="9"/>
  <c r="AI95" i="9"/>
  <c r="AJ95" i="9"/>
  <c r="AK95" i="9"/>
  <c r="AL95" i="9"/>
  <c r="AM95" i="9"/>
  <c r="AN95" i="9"/>
  <c r="AO95" i="9"/>
  <c r="AP95" i="9"/>
  <c r="AQ95" i="9"/>
  <c r="AR95" i="9"/>
  <c r="AS95" i="9"/>
  <c r="AT95" i="9"/>
  <c r="AU95" i="9"/>
  <c r="AV95" i="9"/>
  <c r="AW95" i="9"/>
  <c r="AX95" i="9"/>
  <c r="AY95" i="9"/>
  <c r="AZ95" i="9"/>
  <c r="BA95" i="9"/>
  <c r="BB95" i="9"/>
  <c r="BC95" i="9"/>
  <c r="BD95" i="9"/>
  <c r="BE95" i="9"/>
  <c r="BF95" i="9"/>
  <c r="BG95" i="9"/>
  <c r="BH95" i="9"/>
  <c r="BI95" i="9"/>
  <c r="BJ95" i="9"/>
  <c r="BK95" i="9"/>
  <c r="BL95" i="9"/>
  <c r="BM95" i="9"/>
  <c r="BN95" i="9"/>
  <c r="BO95" i="9"/>
  <c r="BP95" i="9"/>
  <c r="BQ95" i="9"/>
  <c r="BR95" i="9"/>
  <c r="BS95" i="9"/>
  <c r="BT95" i="9"/>
  <c r="BU95" i="9"/>
  <c r="BV95" i="9"/>
  <c r="BW95" i="9"/>
  <c r="BX95" i="9"/>
  <c r="BY95" i="9"/>
  <c r="BZ95" i="9"/>
  <c r="CA95" i="9"/>
  <c r="CB95" i="9"/>
  <c r="CC95" i="9"/>
  <c r="CD95" i="9"/>
  <c r="CE95" i="9"/>
  <c r="CF95" i="9"/>
  <c r="CG95" i="9"/>
  <c r="CH95" i="9"/>
  <c r="CI95" i="9"/>
  <c r="CJ95" i="9"/>
  <c r="CK95" i="9"/>
  <c r="CL95" i="9"/>
  <c r="CM95" i="9"/>
  <c r="CN95" i="9"/>
  <c r="CO95" i="9"/>
  <c r="CP95" i="9"/>
  <c r="CQ95" i="9"/>
  <c r="CR95" i="9"/>
  <c r="CS95" i="9"/>
  <c r="CT95" i="9"/>
  <c r="CU95" i="9"/>
  <c r="P93" i="9"/>
  <c r="Q93" i="9"/>
  <c r="R93" i="9"/>
  <c r="S93" i="9"/>
  <c r="T93" i="9"/>
  <c r="U93" i="9"/>
  <c r="V93" i="9"/>
  <c r="W93" i="9"/>
  <c r="X93" i="9"/>
  <c r="Y93" i="9"/>
  <c r="Z93" i="9"/>
  <c r="AA93" i="9"/>
  <c r="AB93" i="9"/>
  <c r="AC93" i="9"/>
  <c r="AD93" i="9"/>
  <c r="AE93" i="9"/>
  <c r="AF93" i="9"/>
  <c r="AG93" i="9"/>
  <c r="AH93" i="9"/>
  <c r="AI93" i="9"/>
  <c r="AJ93" i="9"/>
  <c r="AK93" i="9"/>
  <c r="AL93" i="9"/>
  <c r="AM93" i="9"/>
  <c r="AN93" i="9"/>
  <c r="AO93" i="9"/>
  <c r="AP93" i="9"/>
  <c r="AQ93" i="9"/>
  <c r="AR93" i="9"/>
  <c r="AS93" i="9"/>
  <c r="AT93" i="9"/>
  <c r="AU93" i="9"/>
  <c r="AV93" i="9"/>
  <c r="AW93" i="9"/>
  <c r="AX93" i="9"/>
  <c r="AY93" i="9"/>
  <c r="AZ93" i="9"/>
  <c r="BA93" i="9"/>
  <c r="BB93" i="9"/>
  <c r="BC93" i="9"/>
  <c r="BD93" i="9"/>
  <c r="BE93" i="9"/>
  <c r="BF93" i="9"/>
  <c r="BG93" i="9"/>
  <c r="BH93" i="9"/>
  <c r="BI93" i="9"/>
  <c r="BJ93" i="9"/>
  <c r="BK93" i="9"/>
  <c r="BL93" i="9"/>
  <c r="BM93" i="9"/>
  <c r="BN93" i="9"/>
  <c r="BO93" i="9"/>
  <c r="BP93" i="9"/>
  <c r="BQ93" i="9"/>
  <c r="BR93" i="9"/>
  <c r="BS93" i="9"/>
  <c r="BT93" i="9"/>
  <c r="BU93" i="9"/>
  <c r="BV93" i="9"/>
  <c r="BW93" i="9"/>
  <c r="BX93" i="9"/>
  <c r="BY93" i="9"/>
  <c r="BZ93" i="9"/>
  <c r="CA93" i="9"/>
  <c r="CB93" i="9"/>
  <c r="CC93" i="9"/>
  <c r="CD93" i="9"/>
  <c r="CE93" i="9"/>
  <c r="CF93" i="9"/>
  <c r="CG93" i="9"/>
  <c r="CH93" i="9"/>
  <c r="CI93" i="9"/>
  <c r="CJ93" i="9"/>
  <c r="CK93" i="9"/>
  <c r="CL93" i="9"/>
  <c r="CM93" i="9"/>
  <c r="CN93" i="9"/>
  <c r="CO93" i="9"/>
  <c r="CP93" i="9"/>
  <c r="CQ93" i="9"/>
  <c r="CR93" i="9"/>
  <c r="CS93" i="9"/>
  <c r="CT93" i="9"/>
  <c r="CU93" i="9"/>
  <c r="P91" i="9"/>
  <c r="Q91" i="9"/>
  <c r="R91" i="9"/>
  <c r="S91" i="9"/>
  <c r="T91" i="9"/>
  <c r="U91" i="9"/>
  <c r="V91" i="9"/>
  <c r="W91" i="9"/>
  <c r="X91" i="9"/>
  <c r="Y91" i="9"/>
  <c r="Z91" i="9"/>
  <c r="AA91" i="9"/>
  <c r="AB91" i="9"/>
  <c r="AC91" i="9"/>
  <c r="AD91" i="9"/>
  <c r="AE91" i="9"/>
  <c r="AF91" i="9"/>
  <c r="AG91" i="9"/>
  <c r="AH91" i="9"/>
  <c r="AI91" i="9"/>
  <c r="AJ91" i="9"/>
  <c r="AK91" i="9"/>
  <c r="AL91" i="9"/>
  <c r="AM91" i="9"/>
  <c r="AN91" i="9"/>
  <c r="AO91" i="9"/>
  <c r="AP91" i="9"/>
  <c r="AQ91" i="9"/>
  <c r="AR91" i="9"/>
  <c r="AS91" i="9"/>
  <c r="AT91" i="9"/>
  <c r="AU91" i="9"/>
  <c r="AV91" i="9"/>
  <c r="AW91" i="9"/>
  <c r="AX91" i="9"/>
  <c r="AY91" i="9"/>
  <c r="AZ91" i="9"/>
  <c r="BA91" i="9"/>
  <c r="BB91" i="9"/>
  <c r="BC91" i="9"/>
  <c r="BD91" i="9"/>
  <c r="BE91" i="9"/>
  <c r="BF91" i="9"/>
  <c r="BG91" i="9"/>
  <c r="BH91" i="9"/>
  <c r="BI91" i="9"/>
  <c r="BJ91" i="9"/>
  <c r="BK91" i="9"/>
  <c r="BL91" i="9"/>
  <c r="BM91" i="9"/>
  <c r="BN91" i="9"/>
  <c r="BO91" i="9"/>
  <c r="BP91" i="9"/>
  <c r="BQ91" i="9"/>
  <c r="BR91" i="9"/>
  <c r="BS91" i="9"/>
  <c r="BT91" i="9"/>
  <c r="BU91" i="9"/>
  <c r="BV91" i="9"/>
  <c r="BW91" i="9"/>
  <c r="BX91" i="9"/>
  <c r="BY91" i="9"/>
  <c r="BZ91" i="9"/>
  <c r="CA91" i="9"/>
  <c r="CB91" i="9"/>
  <c r="CC91" i="9"/>
  <c r="CD91" i="9"/>
  <c r="CE91" i="9"/>
  <c r="CF91" i="9"/>
  <c r="CG91" i="9"/>
  <c r="CH91" i="9"/>
  <c r="CI91" i="9"/>
  <c r="CJ91" i="9"/>
  <c r="CK91" i="9"/>
  <c r="CL91" i="9"/>
  <c r="CM91" i="9"/>
  <c r="CN91" i="9"/>
  <c r="CO91" i="9"/>
  <c r="CP91" i="9"/>
  <c r="CQ91" i="9"/>
  <c r="CR91" i="9"/>
  <c r="CS91" i="9"/>
  <c r="CT91" i="9"/>
  <c r="CU91" i="9"/>
  <c r="P89" i="9"/>
  <c r="Q89" i="9"/>
  <c r="R89" i="9"/>
  <c r="S89" i="9"/>
  <c r="T89" i="9"/>
  <c r="U89" i="9"/>
  <c r="W89" i="9"/>
  <c r="X89" i="9"/>
  <c r="Y89" i="9"/>
  <c r="Z89" i="9"/>
  <c r="AA89" i="9"/>
  <c r="AB89" i="9"/>
  <c r="AC89" i="9"/>
  <c r="AD89" i="9"/>
  <c r="AE89" i="9"/>
  <c r="AF89" i="9"/>
  <c r="AG89" i="9"/>
  <c r="AH89" i="9"/>
  <c r="AI89" i="9"/>
  <c r="AJ89" i="9"/>
  <c r="AK89" i="9"/>
  <c r="AL89" i="9"/>
  <c r="AM89" i="9"/>
  <c r="AN89" i="9"/>
  <c r="AO89" i="9"/>
  <c r="AP89" i="9"/>
  <c r="AQ89" i="9"/>
  <c r="AR89" i="9"/>
  <c r="AS89" i="9"/>
  <c r="AT89" i="9"/>
  <c r="AU89" i="9"/>
  <c r="AV89" i="9"/>
  <c r="AW89" i="9"/>
  <c r="AX89" i="9"/>
  <c r="AY89" i="9"/>
  <c r="AZ89" i="9"/>
  <c r="BA89" i="9"/>
  <c r="BB89" i="9"/>
  <c r="BC89" i="9"/>
  <c r="BD89" i="9"/>
  <c r="BE89" i="9"/>
  <c r="BF89" i="9"/>
  <c r="BG89" i="9"/>
  <c r="BH89" i="9"/>
  <c r="BI89" i="9"/>
  <c r="BJ89" i="9"/>
  <c r="BK89" i="9"/>
  <c r="BL89" i="9"/>
  <c r="BM89" i="9"/>
  <c r="BN89" i="9"/>
  <c r="BO89" i="9"/>
  <c r="BP89" i="9"/>
  <c r="BQ89" i="9"/>
  <c r="BR89" i="9"/>
  <c r="BS89" i="9"/>
  <c r="BT89" i="9"/>
  <c r="BV89" i="9"/>
  <c r="BW89" i="9"/>
  <c r="BX89" i="9"/>
  <c r="BY89" i="9"/>
  <c r="BZ89" i="9"/>
  <c r="CA89" i="9"/>
  <c r="CB89" i="9"/>
  <c r="CC89" i="9"/>
  <c r="CD89" i="9"/>
  <c r="CE89" i="9"/>
  <c r="CF89" i="9"/>
  <c r="CG89" i="9"/>
  <c r="CH89" i="9"/>
  <c r="CI89" i="9"/>
  <c r="CJ89" i="9"/>
  <c r="CK89" i="9"/>
  <c r="CL89" i="9"/>
  <c r="CM89" i="9"/>
  <c r="CN89" i="9"/>
  <c r="CP89" i="9"/>
  <c r="CQ89" i="9"/>
  <c r="CS89" i="9"/>
  <c r="CT89" i="9"/>
  <c r="CU89" i="9"/>
  <c r="P87" i="9"/>
  <c r="Q87" i="9"/>
  <c r="R87" i="9"/>
  <c r="S87" i="9"/>
  <c r="T87" i="9"/>
  <c r="U87" i="9"/>
  <c r="W87" i="9"/>
  <c r="X87" i="9"/>
  <c r="Y87" i="9"/>
  <c r="Z87" i="9"/>
  <c r="AA87" i="9"/>
  <c r="AB87" i="9"/>
  <c r="AC87" i="9"/>
  <c r="AD87" i="9"/>
  <c r="AE87" i="9"/>
  <c r="AF87" i="9"/>
  <c r="AG87" i="9"/>
  <c r="AH87" i="9"/>
  <c r="AI87" i="9"/>
  <c r="AJ87" i="9"/>
  <c r="AK87" i="9"/>
  <c r="AL87" i="9"/>
  <c r="AM87" i="9"/>
  <c r="AN87" i="9"/>
  <c r="AO87" i="9"/>
  <c r="AP87" i="9"/>
  <c r="AQ87" i="9"/>
  <c r="AR87" i="9"/>
  <c r="AS87" i="9"/>
  <c r="AT87" i="9"/>
  <c r="AU87" i="9"/>
  <c r="AV87" i="9"/>
  <c r="AW87" i="9"/>
  <c r="AX87" i="9"/>
  <c r="AY87" i="9"/>
  <c r="AZ87" i="9"/>
  <c r="BA87" i="9"/>
  <c r="BB87" i="9"/>
  <c r="BC87" i="9"/>
  <c r="BD87" i="9"/>
  <c r="BE87" i="9"/>
  <c r="BF87" i="9"/>
  <c r="BG87" i="9"/>
  <c r="BH87" i="9"/>
  <c r="BI87" i="9"/>
  <c r="BJ87" i="9"/>
  <c r="BK87" i="9"/>
  <c r="BL87" i="9"/>
  <c r="BM87" i="9"/>
  <c r="BN87" i="9"/>
  <c r="BO87" i="9"/>
  <c r="BP87" i="9"/>
  <c r="BQ87" i="9"/>
  <c r="BR87" i="9"/>
  <c r="BS87" i="9"/>
  <c r="BT87" i="9"/>
  <c r="BU87" i="9"/>
  <c r="BV87" i="9"/>
  <c r="BW87" i="9"/>
  <c r="BX87" i="9"/>
  <c r="BY87" i="9"/>
  <c r="BZ87" i="9"/>
  <c r="CA87" i="9"/>
  <c r="CB87" i="9"/>
  <c r="CC87" i="9"/>
  <c r="CD87" i="9"/>
  <c r="CE87" i="9"/>
  <c r="CF87" i="9"/>
  <c r="CG87" i="9"/>
  <c r="CH87" i="9"/>
  <c r="CI87" i="9"/>
  <c r="CJ87" i="9"/>
  <c r="CK87" i="9"/>
  <c r="CL87" i="9"/>
  <c r="CM87" i="9"/>
  <c r="CN87" i="9"/>
  <c r="CO87" i="9"/>
  <c r="CP87" i="9"/>
  <c r="CQ87" i="9"/>
  <c r="CS87" i="9"/>
  <c r="CT87" i="9"/>
  <c r="CU87" i="9"/>
  <c r="P85" i="9"/>
  <c r="Q85" i="9"/>
  <c r="R85" i="9"/>
  <c r="S85" i="9"/>
  <c r="T85" i="9"/>
  <c r="U85" i="9"/>
  <c r="W85" i="9"/>
  <c r="X85" i="9"/>
  <c r="Y85" i="9"/>
  <c r="Z85" i="9"/>
  <c r="AA85" i="9"/>
  <c r="AB85" i="9"/>
  <c r="AC85" i="9"/>
  <c r="AD85" i="9"/>
  <c r="AE85" i="9"/>
  <c r="AF85" i="9"/>
  <c r="AG85" i="9"/>
  <c r="AH85" i="9"/>
  <c r="AI85" i="9"/>
  <c r="AJ85" i="9"/>
  <c r="AK85" i="9"/>
  <c r="AL85" i="9"/>
  <c r="AM85" i="9"/>
  <c r="AN85" i="9"/>
  <c r="AO85" i="9"/>
  <c r="AP85" i="9"/>
  <c r="AQ85" i="9"/>
  <c r="AR85" i="9"/>
  <c r="AS85" i="9"/>
  <c r="AT85" i="9"/>
  <c r="AU85" i="9"/>
  <c r="AV85" i="9"/>
  <c r="AW85" i="9"/>
  <c r="AX85" i="9"/>
  <c r="AY85" i="9"/>
  <c r="AZ85" i="9"/>
  <c r="BA85" i="9"/>
  <c r="BB85" i="9"/>
  <c r="BC85" i="9"/>
  <c r="BD85" i="9"/>
  <c r="BE85" i="9"/>
  <c r="BF85" i="9"/>
  <c r="BG85" i="9"/>
  <c r="BH85" i="9"/>
  <c r="BI85" i="9"/>
  <c r="BJ85" i="9"/>
  <c r="BK85" i="9"/>
  <c r="BL85" i="9"/>
  <c r="BM85" i="9"/>
  <c r="BN85" i="9"/>
  <c r="BO85" i="9"/>
  <c r="BP85" i="9"/>
  <c r="BQ85" i="9"/>
  <c r="BR85" i="9"/>
  <c r="BS85" i="9"/>
  <c r="BT85" i="9"/>
  <c r="BU85" i="9"/>
  <c r="BV85" i="9"/>
  <c r="BW85" i="9"/>
  <c r="BX85" i="9"/>
  <c r="BY85" i="9"/>
  <c r="BZ85" i="9"/>
  <c r="CA85" i="9"/>
  <c r="CB85" i="9"/>
  <c r="CC85" i="9"/>
  <c r="CD85" i="9"/>
  <c r="CE85" i="9"/>
  <c r="CF85" i="9"/>
  <c r="CG85" i="9"/>
  <c r="CH85" i="9"/>
  <c r="CI85" i="9"/>
  <c r="CJ85" i="9"/>
  <c r="CK85" i="9"/>
  <c r="CL85" i="9"/>
  <c r="CM85" i="9"/>
  <c r="CN85" i="9"/>
  <c r="CO85" i="9"/>
  <c r="CP85" i="9"/>
  <c r="CQ85" i="9"/>
  <c r="CR85" i="9"/>
  <c r="CS85" i="9"/>
  <c r="CT85" i="9"/>
  <c r="CU85" i="9"/>
  <c r="P83" i="9"/>
  <c r="Q83" i="9"/>
  <c r="R83" i="9"/>
  <c r="S83" i="9"/>
  <c r="T83" i="9"/>
  <c r="U83" i="9"/>
  <c r="V83" i="9"/>
  <c r="W83" i="9"/>
  <c r="X83" i="9"/>
  <c r="Y83" i="9"/>
  <c r="Z83" i="9"/>
  <c r="AA83" i="9"/>
  <c r="AB83" i="9"/>
  <c r="AC83" i="9"/>
  <c r="AD83" i="9"/>
  <c r="AE83" i="9"/>
  <c r="AF83" i="9"/>
  <c r="AG83" i="9"/>
  <c r="AH83" i="9"/>
  <c r="AI83" i="9"/>
  <c r="AJ83" i="9"/>
  <c r="AK83" i="9"/>
  <c r="AL83" i="9"/>
  <c r="AM83" i="9"/>
  <c r="AN83" i="9"/>
  <c r="AO83" i="9"/>
  <c r="AP83" i="9"/>
  <c r="AQ83" i="9"/>
  <c r="AR83" i="9"/>
  <c r="AS83" i="9"/>
  <c r="AT83" i="9"/>
  <c r="AU83" i="9"/>
  <c r="AV83" i="9"/>
  <c r="AW83" i="9"/>
  <c r="AX83" i="9"/>
  <c r="AY83" i="9"/>
  <c r="AZ83" i="9"/>
  <c r="BA83" i="9"/>
  <c r="BB83" i="9"/>
  <c r="BC83" i="9"/>
  <c r="BD83" i="9"/>
  <c r="BE83" i="9"/>
  <c r="BF83" i="9"/>
  <c r="BG83" i="9"/>
  <c r="BH83" i="9"/>
  <c r="BI83" i="9"/>
  <c r="BJ83" i="9"/>
  <c r="BK83" i="9"/>
  <c r="BL83" i="9"/>
  <c r="BM83" i="9"/>
  <c r="BN83" i="9"/>
  <c r="BO83" i="9"/>
  <c r="BP83" i="9"/>
  <c r="BQ83" i="9"/>
  <c r="BR83" i="9"/>
  <c r="BS83" i="9"/>
  <c r="BT83" i="9"/>
  <c r="BV83" i="9"/>
  <c r="BW83" i="9"/>
  <c r="BX83" i="9"/>
  <c r="BY83" i="9"/>
  <c r="BZ83" i="9"/>
  <c r="CA83" i="9"/>
  <c r="CB83" i="9"/>
  <c r="CC83" i="9"/>
  <c r="CD83" i="9"/>
  <c r="CE83" i="9"/>
  <c r="CF83" i="9"/>
  <c r="CG83" i="9"/>
  <c r="CH83" i="9"/>
  <c r="CI83" i="9"/>
  <c r="CJ83" i="9"/>
  <c r="CK83" i="9"/>
  <c r="CL83" i="9"/>
  <c r="CM83" i="9"/>
  <c r="CN83" i="9"/>
  <c r="CO83" i="9"/>
  <c r="CP83" i="9"/>
  <c r="CQ83" i="9"/>
  <c r="CR83" i="9"/>
  <c r="CS83" i="9"/>
  <c r="CT83" i="9"/>
  <c r="CU83" i="9"/>
  <c r="P81" i="9"/>
  <c r="Q81" i="9"/>
  <c r="R81" i="9"/>
  <c r="S81" i="9"/>
  <c r="T81" i="9"/>
  <c r="U81" i="9"/>
  <c r="W81" i="9"/>
  <c r="X81" i="9"/>
  <c r="Y81" i="9"/>
  <c r="Z81" i="9"/>
  <c r="AA81" i="9"/>
  <c r="AB81" i="9"/>
  <c r="AC81" i="9"/>
  <c r="AD81" i="9"/>
  <c r="AE81" i="9"/>
  <c r="AF81" i="9"/>
  <c r="AG81" i="9"/>
  <c r="AH81" i="9"/>
  <c r="AI81" i="9"/>
  <c r="AJ81" i="9"/>
  <c r="AK81" i="9"/>
  <c r="AL81" i="9"/>
  <c r="AM81" i="9"/>
  <c r="AN81" i="9"/>
  <c r="AO81" i="9"/>
  <c r="AP81" i="9"/>
  <c r="AQ81" i="9"/>
  <c r="AR81" i="9"/>
  <c r="AS81" i="9"/>
  <c r="AT81" i="9"/>
  <c r="AU81" i="9"/>
  <c r="AV81" i="9"/>
  <c r="AW81" i="9"/>
  <c r="AX81" i="9"/>
  <c r="AY81" i="9"/>
  <c r="AZ81" i="9"/>
  <c r="BA81" i="9"/>
  <c r="BB81" i="9"/>
  <c r="BC81" i="9"/>
  <c r="BD81" i="9"/>
  <c r="BE81" i="9"/>
  <c r="BF81" i="9"/>
  <c r="BG81" i="9"/>
  <c r="BH81" i="9"/>
  <c r="BI81" i="9"/>
  <c r="BJ81" i="9"/>
  <c r="BK81" i="9"/>
  <c r="BL81" i="9"/>
  <c r="BM81" i="9"/>
  <c r="BN81" i="9"/>
  <c r="BO81" i="9"/>
  <c r="BP81" i="9"/>
  <c r="BQ81" i="9"/>
  <c r="BR81" i="9"/>
  <c r="BS81" i="9"/>
  <c r="BT81" i="9"/>
  <c r="BU81" i="9"/>
  <c r="BV81" i="9"/>
  <c r="BW81" i="9"/>
  <c r="BX81" i="9"/>
  <c r="BY81" i="9"/>
  <c r="BZ81" i="9"/>
  <c r="CA81" i="9"/>
  <c r="CB81" i="9"/>
  <c r="CC81" i="9"/>
  <c r="CD81" i="9"/>
  <c r="CE81" i="9"/>
  <c r="CF81" i="9"/>
  <c r="CG81" i="9"/>
  <c r="CH81" i="9"/>
  <c r="CI81" i="9"/>
  <c r="CJ81" i="9"/>
  <c r="CK81" i="9"/>
  <c r="CL81" i="9"/>
  <c r="CM81" i="9"/>
  <c r="CN81" i="9"/>
  <c r="CO81" i="9"/>
  <c r="CP81" i="9"/>
  <c r="CQ81" i="9"/>
  <c r="CR81" i="9"/>
  <c r="CS81" i="9"/>
  <c r="CT81" i="9"/>
  <c r="CU81" i="9"/>
  <c r="P79" i="9"/>
  <c r="Q79" i="9"/>
  <c r="R79" i="9"/>
  <c r="S79" i="9"/>
  <c r="T79" i="9"/>
  <c r="U79" i="9"/>
  <c r="V79" i="9"/>
  <c r="W79" i="9"/>
  <c r="X79" i="9"/>
  <c r="Y79" i="9"/>
  <c r="Z79" i="9"/>
  <c r="AA79" i="9"/>
  <c r="AB79" i="9"/>
  <c r="AC79" i="9"/>
  <c r="AD79" i="9"/>
  <c r="AE79" i="9"/>
  <c r="AF79" i="9"/>
  <c r="AG79" i="9"/>
  <c r="AH79" i="9"/>
  <c r="AI79" i="9"/>
  <c r="AJ79" i="9"/>
  <c r="AK79" i="9"/>
  <c r="AL79" i="9"/>
  <c r="AM79" i="9"/>
  <c r="AN79" i="9"/>
  <c r="AO79" i="9"/>
  <c r="AP79" i="9"/>
  <c r="AQ79" i="9"/>
  <c r="AR79" i="9"/>
  <c r="AS79" i="9"/>
  <c r="AT79" i="9"/>
  <c r="AU79" i="9"/>
  <c r="AV79" i="9"/>
  <c r="AW79" i="9"/>
  <c r="AX79" i="9"/>
  <c r="AY79" i="9"/>
  <c r="AZ79" i="9"/>
  <c r="BA79" i="9"/>
  <c r="BB79" i="9"/>
  <c r="BC79" i="9"/>
  <c r="BD79" i="9"/>
  <c r="BE79" i="9"/>
  <c r="BF79" i="9"/>
  <c r="BG79" i="9"/>
  <c r="BH79" i="9"/>
  <c r="BI79" i="9"/>
  <c r="BJ79" i="9"/>
  <c r="BK79" i="9"/>
  <c r="BL79" i="9"/>
  <c r="BM79" i="9"/>
  <c r="BN79" i="9"/>
  <c r="BO79" i="9"/>
  <c r="BP79" i="9"/>
  <c r="BQ79" i="9"/>
  <c r="BR79" i="9"/>
  <c r="BS79" i="9"/>
  <c r="BT79" i="9"/>
  <c r="BU79" i="9"/>
  <c r="BV79" i="9"/>
  <c r="BW79" i="9"/>
  <c r="BX79" i="9"/>
  <c r="BY79" i="9"/>
  <c r="BZ79" i="9"/>
  <c r="CA79" i="9"/>
  <c r="CB79" i="9"/>
  <c r="CC79" i="9"/>
  <c r="CD79" i="9"/>
  <c r="CE79" i="9"/>
  <c r="CF79" i="9"/>
  <c r="CG79" i="9"/>
  <c r="CH79" i="9"/>
  <c r="CI79" i="9"/>
  <c r="CJ79" i="9"/>
  <c r="CK79" i="9"/>
  <c r="CL79" i="9"/>
  <c r="CM79" i="9"/>
  <c r="CN79" i="9"/>
  <c r="CO79" i="9"/>
  <c r="CP79" i="9"/>
  <c r="CQ79" i="9"/>
  <c r="CR79" i="9"/>
  <c r="CS79" i="9"/>
  <c r="CT79" i="9"/>
  <c r="CU79" i="9"/>
  <c r="P77" i="9"/>
  <c r="Q77" i="9"/>
  <c r="R77" i="9"/>
  <c r="S77" i="9"/>
  <c r="T77" i="9"/>
  <c r="U77" i="9"/>
  <c r="W77" i="9"/>
  <c r="X77" i="9"/>
  <c r="Y77" i="9"/>
  <c r="Z77" i="9"/>
  <c r="AA77" i="9"/>
  <c r="AB77" i="9"/>
  <c r="AC77" i="9"/>
  <c r="AD77" i="9"/>
  <c r="AE77" i="9"/>
  <c r="AF77" i="9"/>
  <c r="AG77" i="9"/>
  <c r="AH77" i="9"/>
  <c r="AI77" i="9"/>
  <c r="AJ77" i="9"/>
  <c r="AK77" i="9"/>
  <c r="AL77" i="9"/>
  <c r="AM77" i="9"/>
  <c r="AN77" i="9"/>
  <c r="AO77" i="9"/>
  <c r="AP77" i="9"/>
  <c r="AQ77" i="9"/>
  <c r="AR77" i="9"/>
  <c r="AS77" i="9"/>
  <c r="AT77" i="9"/>
  <c r="AU77" i="9"/>
  <c r="AV77" i="9"/>
  <c r="AW77" i="9"/>
  <c r="AX77" i="9"/>
  <c r="AY77" i="9"/>
  <c r="AZ77" i="9"/>
  <c r="BA77" i="9"/>
  <c r="BB77" i="9"/>
  <c r="BC77" i="9"/>
  <c r="BD77" i="9"/>
  <c r="BE77" i="9"/>
  <c r="BF77" i="9"/>
  <c r="BG77" i="9"/>
  <c r="BH77" i="9"/>
  <c r="BI77" i="9"/>
  <c r="BJ77" i="9"/>
  <c r="BK77" i="9"/>
  <c r="BL77" i="9"/>
  <c r="BM77" i="9"/>
  <c r="BN77" i="9"/>
  <c r="BO77" i="9"/>
  <c r="BP77" i="9"/>
  <c r="BQ77" i="9"/>
  <c r="BR77" i="9"/>
  <c r="BS77" i="9"/>
  <c r="BT77" i="9"/>
  <c r="BU77" i="9"/>
  <c r="BV77" i="9"/>
  <c r="BW77" i="9"/>
  <c r="BX77" i="9"/>
  <c r="BY77" i="9"/>
  <c r="BZ77" i="9"/>
  <c r="CA77" i="9"/>
  <c r="CB77" i="9"/>
  <c r="CC77" i="9"/>
  <c r="CD77" i="9"/>
  <c r="CE77" i="9"/>
  <c r="CF77" i="9"/>
  <c r="CG77" i="9"/>
  <c r="CH77" i="9"/>
  <c r="CI77" i="9"/>
  <c r="CJ77" i="9"/>
  <c r="CK77" i="9"/>
  <c r="CL77" i="9"/>
  <c r="CM77" i="9"/>
  <c r="CN77" i="9"/>
  <c r="CP77" i="9"/>
  <c r="CQ77" i="9"/>
  <c r="CR77" i="9"/>
  <c r="CS77" i="9"/>
  <c r="CT77" i="9"/>
  <c r="CU77" i="9"/>
  <c r="P75" i="9"/>
  <c r="Q75" i="9"/>
  <c r="R75" i="9"/>
  <c r="S75" i="9"/>
  <c r="T75" i="9"/>
  <c r="U75" i="9"/>
  <c r="V75" i="9"/>
  <c r="W75" i="9"/>
  <c r="X75" i="9"/>
  <c r="Y75" i="9"/>
  <c r="Z75" i="9"/>
  <c r="AA75" i="9"/>
  <c r="AB75" i="9"/>
  <c r="AC75" i="9"/>
  <c r="AD75" i="9"/>
  <c r="AE75" i="9"/>
  <c r="AF75" i="9"/>
  <c r="AG75" i="9"/>
  <c r="AH75" i="9"/>
  <c r="AI75" i="9"/>
  <c r="AJ75" i="9"/>
  <c r="AK75" i="9"/>
  <c r="AL75" i="9"/>
  <c r="AM75" i="9"/>
  <c r="AN75" i="9"/>
  <c r="AO75" i="9"/>
  <c r="AP75" i="9"/>
  <c r="AQ75" i="9"/>
  <c r="AR75" i="9"/>
  <c r="AS75" i="9"/>
  <c r="AT75" i="9"/>
  <c r="AU75" i="9"/>
  <c r="AV75" i="9"/>
  <c r="AW75" i="9"/>
  <c r="AX75" i="9"/>
  <c r="AY75" i="9"/>
  <c r="AZ75" i="9"/>
  <c r="BA75" i="9"/>
  <c r="BB75" i="9"/>
  <c r="BC75" i="9"/>
  <c r="BD75" i="9"/>
  <c r="BE75" i="9"/>
  <c r="BF75" i="9"/>
  <c r="BG75" i="9"/>
  <c r="BH75" i="9"/>
  <c r="BI75" i="9"/>
  <c r="BJ75" i="9"/>
  <c r="BK75" i="9"/>
  <c r="BL75" i="9"/>
  <c r="BM75" i="9"/>
  <c r="BN75" i="9"/>
  <c r="BO75" i="9"/>
  <c r="BP75" i="9"/>
  <c r="BQ75" i="9"/>
  <c r="BR75" i="9"/>
  <c r="BS75" i="9"/>
  <c r="BT75" i="9"/>
  <c r="BU75" i="9"/>
  <c r="BV75" i="9"/>
  <c r="BW75" i="9"/>
  <c r="BX75" i="9"/>
  <c r="BY75" i="9"/>
  <c r="BZ75" i="9"/>
  <c r="CA75" i="9"/>
  <c r="CB75" i="9"/>
  <c r="CC75" i="9"/>
  <c r="CD75" i="9"/>
  <c r="CE75" i="9"/>
  <c r="CF75" i="9"/>
  <c r="CG75" i="9"/>
  <c r="CH75" i="9"/>
  <c r="CI75" i="9"/>
  <c r="CJ75" i="9"/>
  <c r="CK75" i="9"/>
  <c r="CL75" i="9"/>
  <c r="CM75" i="9"/>
  <c r="CN75" i="9"/>
  <c r="CO75" i="9"/>
  <c r="CP75" i="9"/>
  <c r="CQ75" i="9"/>
  <c r="CR75" i="9"/>
  <c r="CS75" i="9"/>
  <c r="CT75" i="9"/>
  <c r="CU75" i="9"/>
  <c r="P73" i="9"/>
  <c r="Q73" i="9"/>
  <c r="R73" i="9"/>
  <c r="S73" i="9"/>
  <c r="T73" i="9"/>
  <c r="U73" i="9"/>
  <c r="V73" i="9"/>
  <c r="W73" i="9"/>
  <c r="X73" i="9"/>
  <c r="Y73" i="9"/>
  <c r="Z73" i="9"/>
  <c r="AA73" i="9"/>
  <c r="AB73" i="9"/>
  <c r="AC73" i="9"/>
  <c r="AD73" i="9"/>
  <c r="AE73" i="9"/>
  <c r="AF73" i="9"/>
  <c r="AG73" i="9"/>
  <c r="AH73" i="9"/>
  <c r="AI73" i="9"/>
  <c r="AJ73" i="9"/>
  <c r="AK73" i="9"/>
  <c r="AL73" i="9"/>
  <c r="AM73" i="9"/>
  <c r="AN73" i="9"/>
  <c r="AO73" i="9"/>
  <c r="AP73" i="9"/>
  <c r="AQ73" i="9"/>
  <c r="AR73" i="9"/>
  <c r="AS73" i="9"/>
  <c r="AT73" i="9"/>
  <c r="AU73" i="9"/>
  <c r="AV73" i="9"/>
  <c r="AW73" i="9"/>
  <c r="AX73" i="9"/>
  <c r="AY73" i="9"/>
  <c r="AZ73" i="9"/>
  <c r="BA73" i="9"/>
  <c r="BB73" i="9"/>
  <c r="BC73" i="9"/>
  <c r="BD73" i="9"/>
  <c r="BE73" i="9"/>
  <c r="BF73" i="9"/>
  <c r="BG73" i="9"/>
  <c r="BH73" i="9"/>
  <c r="BI73" i="9"/>
  <c r="BJ73" i="9"/>
  <c r="BK73" i="9"/>
  <c r="BL73" i="9"/>
  <c r="BM73" i="9"/>
  <c r="BN73" i="9"/>
  <c r="BO73" i="9"/>
  <c r="BP73" i="9"/>
  <c r="BQ73" i="9"/>
  <c r="BR73" i="9"/>
  <c r="BS73" i="9"/>
  <c r="BT73" i="9"/>
  <c r="BU73" i="9"/>
  <c r="BV73" i="9"/>
  <c r="BW73" i="9"/>
  <c r="BX73" i="9"/>
  <c r="BY73" i="9"/>
  <c r="BZ73" i="9"/>
  <c r="CA73" i="9"/>
  <c r="CB73" i="9"/>
  <c r="CC73" i="9"/>
  <c r="CD73" i="9"/>
  <c r="CE73" i="9"/>
  <c r="CF73" i="9"/>
  <c r="CG73" i="9"/>
  <c r="CH73" i="9"/>
  <c r="CI73" i="9"/>
  <c r="CJ73" i="9"/>
  <c r="CK73" i="9"/>
  <c r="CL73" i="9"/>
  <c r="CM73" i="9"/>
  <c r="CN73" i="9"/>
  <c r="CO73" i="9"/>
  <c r="CP73" i="9"/>
  <c r="CQ73" i="9"/>
  <c r="CR73" i="9"/>
  <c r="CS73" i="9"/>
  <c r="CT73" i="9"/>
  <c r="CU73" i="9"/>
  <c r="P71" i="9"/>
  <c r="Q71" i="9"/>
  <c r="R71" i="9"/>
  <c r="S71" i="9"/>
  <c r="T71" i="9"/>
  <c r="U71" i="9"/>
  <c r="W71" i="9"/>
  <c r="X71" i="9"/>
  <c r="Y71" i="9"/>
  <c r="Z71" i="9"/>
  <c r="AA71" i="9"/>
  <c r="AB71" i="9"/>
  <c r="AC71" i="9"/>
  <c r="AD71" i="9"/>
  <c r="AE71" i="9"/>
  <c r="AF71" i="9"/>
  <c r="AG71" i="9"/>
  <c r="AH71" i="9"/>
  <c r="AI71" i="9"/>
  <c r="AJ71" i="9"/>
  <c r="AK71" i="9"/>
  <c r="AL71" i="9"/>
  <c r="AM71" i="9"/>
  <c r="AN71" i="9"/>
  <c r="AO71" i="9"/>
  <c r="AP71" i="9"/>
  <c r="AQ71" i="9"/>
  <c r="AR71" i="9"/>
  <c r="AS71" i="9"/>
  <c r="AT71" i="9"/>
  <c r="AU71" i="9"/>
  <c r="AV71" i="9"/>
  <c r="AW71" i="9"/>
  <c r="AX71" i="9"/>
  <c r="AY71" i="9"/>
  <c r="AZ71" i="9"/>
  <c r="BA71" i="9"/>
  <c r="BB71" i="9"/>
  <c r="BC71" i="9"/>
  <c r="BD71" i="9"/>
  <c r="BE71" i="9"/>
  <c r="BF71" i="9"/>
  <c r="BG71" i="9"/>
  <c r="BH71" i="9"/>
  <c r="BI71" i="9"/>
  <c r="BJ71" i="9"/>
  <c r="BK71" i="9"/>
  <c r="BL71" i="9"/>
  <c r="BM71" i="9"/>
  <c r="BN71" i="9"/>
  <c r="BO71" i="9"/>
  <c r="BP71" i="9"/>
  <c r="BQ71" i="9"/>
  <c r="BR71" i="9"/>
  <c r="BS71" i="9"/>
  <c r="BT71" i="9"/>
  <c r="BU71" i="9"/>
  <c r="BV71" i="9"/>
  <c r="BW71" i="9"/>
  <c r="BX71" i="9"/>
  <c r="BY71" i="9"/>
  <c r="BZ71" i="9"/>
  <c r="CA71" i="9"/>
  <c r="CB71" i="9"/>
  <c r="CC71" i="9"/>
  <c r="CD71" i="9"/>
  <c r="CE71" i="9"/>
  <c r="CF71" i="9"/>
  <c r="CG71" i="9"/>
  <c r="CH71" i="9"/>
  <c r="CI71" i="9"/>
  <c r="CJ71" i="9"/>
  <c r="CK71" i="9"/>
  <c r="CL71" i="9"/>
  <c r="CM71" i="9"/>
  <c r="CN71" i="9"/>
  <c r="CO71" i="9"/>
  <c r="CP71" i="9"/>
  <c r="CQ71" i="9"/>
  <c r="CR71" i="9"/>
  <c r="CS71" i="9"/>
  <c r="CT71" i="9"/>
  <c r="CU71" i="9"/>
  <c r="P69" i="9"/>
  <c r="Q69" i="9"/>
  <c r="R69" i="9"/>
  <c r="S69" i="9"/>
  <c r="T69" i="9"/>
  <c r="U69" i="9"/>
  <c r="W69" i="9"/>
  <c r="X69" i="9"/>
  <c r="Y69" i="9"/>
  <c r="Z69" i="9"/>
  <c r="AA69" i="9"/>
  <c r="AB69" i="9"/>
  <c r="AC69" i="9"/>
  <c r="AD69" i="9"/>
  <c r="AE69" i="9"/>
  <c r="AF69" i="9"/>
  <c r="AG69" i="9"/>
  <c r="AH69" i="9"/>
  <c r="AI69" i="9"/>
  <c r="AJ69" i="9"/>
  <c r="AK69" i="9"/>
  <c r="AL69" i="9"/>
  <c r="AM69" i="9"/>
  <c r="AN69" i="9"/>
  <c r="AO69" i="9"/>
  <c r="AP69" i="9"/>
  <c r="AQ69" i="9"/>
  <c r="AR69" i="9"/>
  <c r="AS69" i="9"/>
  <c r="AT69" i="9"/>
  <c r="AU69" i="9"/>
  <c r="AV69" i="9"/>
  <c r="AW69" i="9"/>
  <c r="AX69" i="9"/>
  <c r="AY69" i="9"/>
  <c r="AZ69" i="9"/>
  <c r="BA69" i="9"/>
  <c r="BB69" i="9"/>
  <c r="BC69" i="9"/>
  <c r="BD69" i="9"/>
  <c r="BE69" i="9"/>
  <c r="BF69" i="9"/>
  <c r="BG69" i="9"/>
  <c r="BH69" i="9"/>
  <c r="BI69" i="9"/>
  <c r="BJ69" i="9"/>
  <c r="BK69" i="9"/>
  <c r="BL69" i="9"/>
  <c r="BM69" i="9"/>
  <c r="BN69" i="9"/>
  <c r="BO69" i="9"/>
  <c r="BP69" i="9"/>
  <c r="BQ69" i="9"/>
  <c r="BR69" i="9"/>
  <c r="BS69" i="9"/>
  <c r="BT69" i="9"/>
  <c r="BV69" i="9"/>
  <c r="BW69" i="9"/>
  <c r="BX69" i="9"/>
  <c r="BY69" i="9"/>
  <c r="BZ69" i="9"/>
  <c r="CA69" i="9"/>
  <c r="CB69" i="9"/>
  <c r="CC69" i="9"/>
  <c r="CD69" i="9"/>
  <c r="CE69" i="9"/>
  <c r="CF69" i="9"/>
  <c r="CG69" i="9"/>
  <c r="CH69" i="9"/>
  <c r="CI69" i="9"/>
  <c r="CJ69" i="9"/>
  <c r="CK69" i="9"/>
  <c r="CL69" i="9"/>
  <c r="CM69" i="9"/>
  <c r="CN69" i="9"/>
  <c r="CO69" i="9"/>
  <c r="CP69" i="9"/>
  <c r="CQ69" i="9"/>
  <c r="CR69" i="9"/>
  <c r="CS69" i="9"/>
  <c r="CT69" i="9"/>
  <c r="CU69" i="9"/>
  <c r="O105" i="9"/>
  <c r="O103" i="9"/>
  <c r="O101" i="9"/>
  <c r="O99" i="9"/>
  <c r="O97" i="9"/>
  <c r="O95" i="9"/>
  <c r="O93" i="9"/>
  <c r="O91" i="9"/>
  <c r="O89" i="9"/>
  <c r="O87" i="9"/>
  <c r="O85" i="9"/>
  <c r="O83" i="9"/>
  <c r="O81" i="9"/>
  <c r="O79" i="9"/>
  <c r="O77" i="9"/>
  <c r="O75" i="9"/>
  <c r="O73" i="9"/>
  <c r="O71" i="9"/>
  <c r="O69" i="9"/>
  <c r="P67" i="9"/>
  <c r="Q67" i="9"/>
  <c r="R67" i="9"/>
  <c r="S67" i="9"/>
  <c r="T67" i="9"/>
  <c r="U67" i="9"/>
  <c r="W67" i="9"/>
  <c r="X67" i="9"/>
  <c r="Y67" i="9"/>
  <c r="Z67" i="9"/>
  <c r="AA67" i="9"/>
  <c r="AB67" i="9"/>
  <c r="AC67" i="9"/>
  <c r="AD67" i="9"/>
  <c r="AE67" i="9"/>
  <c r="AF67" i="9"/>
  <c r="AG67" i="9"/>
  <c r="AH67" i="9"/>
  <c r="AI67" i="9"/>
  <c r="AJ67" i="9"/>
  <c r="AK67" i="9"/>
  <c r="AL67" i="9"/>
  <c r="AM67" i="9"/>
  <c r="AN67" i="9"/>
  <c r="AO67" i="9"/>
  <c r="AP67" i="9"/>
  <c r="AQ67" i="9"/>
  <c r="AR67" i="9"/>
  <c r="AS67" i="9"/>
  <c r="AT67" i="9"/>
  <c r="AU67" i="9"/>
  <c r="AV67" i="9"/>
  <c r="AW67" i="9"/>
  <c r="AX67" i="9"/>
  <c r="AY67" i="9"/>
  <c r="AZ67" i="9"/>
  <c r="BA67" i="9"/>
  <c r="BB67" i="9"/>
  <c r="BC67" i="9"/>
  <c r="BD67" i="9"/>
  <c r="BE67" i="9"/>
  <c r="BF67" i="9"/>
  <c r="BG67" i="9"/>
  <c r="BH67" i="9"/>
  <c r="BI67" i="9"/>
  <c r="BJ67" i="9"/>
  <c r="BK67" i="9"/>
  <c r="BL67" i="9"/>
  <c r="BM67" i="9"/>
  <c r="BN67" i="9"/>
  <c r="BO67" i="9"/>
  <c r="BP67" i="9"/>
  <c r="BQ67" i="9"/>
  <c r="BR67" i="9"/>
  <c r="BS67" i="9"/>
  <c r="BT67" i="9"/>
  <c r="BU67" i="9"/>
  <c r="BV67" i="9"/>
  <c r="BW67" i="9"/>
  <c r="BX67" i="9"/>
  <c r="BY67" i="9"/>
  <c r="BZ67" i="9"/>
  <c r="CA67" i="9"/>
  <c r="CB67" i="9"/>
  <c r="CC67" i="9"/>
  <c r="CD67" i="9"/>
  <c r="CE67" i="9"/>
  <c r="CF67" i="9"/>
  <c r="CG67" i="9"/>
  <c r="CH67" i="9"/>
  <c r="CI67" i="9"/>
  <c r="CJ67" i="9"/>
  <c r="CK67" i="9"/>
  <c r="CL67" i="9"/>
  <c r="CM67" i="9"/>
  <c r="CN67" i="9"/>
  <c r="CO67" i="9"/>
  <c r="CP67" i="9"/>
  <c r="CQ67" i="9"/>
  <c r="CR67" i="9"/>
  <c r="CS67" i="9"/>
  <c r="CT67" i="9"/>
  <c r="O67" i="9"/>
  <c r="P66" i="9"/>
  <c r="Q66" i="9"/>
  <c r="R66" i="9"/>
  <c r="S66" i="9"/>
  <c r="T66" i="9"/>
  <c r="U66" i="9"/>
  <c r="V66" i="9"/>
  <c r="W66" i="9"/>
  <c r="X66" i="9"/>
  <c r="Y66" i="9"/>
  <c r="AC66" i="9"/>
  <c r="AD66" i="9"/>
  <c r="AE66" i="9"/>
  <c r="AF66" i="9"/>
  <c r="AG66" i="9"/>
  <c r="AH66" i="9"/>
  <c r="AI66" i="9"/>
  <c r="AJ66" i="9"/>
  <c r="AK66" i="9"/>
  <c r="AL66" i="9"/>
  <c r="AM66" i="9"/>
  <c r="AN66" i="9"/>
  <c r="AP66" i="9"/>
  <c r="AQ66" i="9"/>
  <c r="AR66" i="9"/>
  <c r="AS66" i="9"/>
  <c r="AT66" i="9"/>
  <c r="AU66" i="9"/>
  <c r="AV66" i="9"/>
  <c r="AW66" i="9"/>
  <c r="AX66" i="9"/>
  <c r="AY66" i="9"/>
  <c r="AZ66" i="9"/>
  <c r="BA66" i="9"/>
  <c r="BB66" i="9"/>
  <c r="BC66" i="9"/>
  <c r="BD66" i="9"/>
  <c r="BE66" i="9"/>
  <c r="BF66" i="9"/>
  <c r="BG66" i="9"/>
  <c r="BI66" i="9"/>
  <c r="BJ66" i="9"/>
  <c r="BK66" i="9"/>
  <c r="BL66" i="9"/>
  <c r="BN66" i="9"/>
  <c r="BP66" i="9"/>
  <c r="BQ66" i="9"/>
  <c r="BR66" i="9"/>
  <c r="BS66" i="9"/>
  <c r="BT66" i="9"/>
  <c r="BV66" i="9"/>
  <c r="BW66" i="9"/>
  <c r="BX66" i="9"/>
  <c r="BZ66" i="9"/>
  <c r="CA66" i="9"/>
  <c r="CB66" i="9"/>
  <c r="CC66" i="9"/>
  <c r="CD66" i="9"/>
  <c r="CE66" i="9"/>
  <c r="CF66" i="9"/>
  <c r="CG66" i="9"/>
  <c r="CH66" i="9"/>
  <c r="CI66" i="9"/>
  <c r="CJ66" i="9"/>
  <c r="CK66" i="9"/>
  <c r="CL66" i="9"/>
  <c r="CM66" i="9"/>
  <c r="CN66" i="9"/>
  <c r="CO66" i="9"/>
  <c r="CP66" i="9"/>
  <c r="CQ66" i="9"/>
  <c r="CS66" i="9"/>
  <c r="CT66" i="9"/>
  <c r="CU66" i="9"/>
  <c r="O66" i="9"/>
  <c r="O65" i="9"/>
  <c r="P65" i="9"/>
  <c r="Q65" i="9"/>
  <c r="R65" i="9"/>
  <c r="S65" i="9"/>
  <c r="T65" i="9"/>
  <c r="U65" i="9"/>
  <c r="V65" i="9"/>
  <c r="W65" i="9"/>
  <c r="X65" i="9"/>
  <c r="Y65" i="9"/>
  <c r="Z65" i="9"/>
  <c r="AA65" i="9"/>
  <c r="AB65" i="9"/>
  <c r="AC65" i="9"/>
  <c r="AD65" i="9"/>
  <c r="AE65" i="9"/>
  <c r="AF65" i="9"/>
  <c r="AG65" i="9"/>
  <c r="AH65" i="9"/>
  <c r="AI65" i="9"/>
  <c r="AJ65" i="9"/>
  <c r="AK65" i="9"/>
  <c r="AL65" i="9"/>
  <c r="AM65" i="9"/>
  <c r="AN65" i="9"/>
  <c r="AO65" i="9"/>
  <c r="AP65" i="9"/>
  <c r="AQ65" i="9"/>
  <c r="AR65" i="9"/>
  <c r="AS65" i="9"/>
  <c r="AT65" i="9"/>
  <c r="AU65" i="9"/>
  <c r="AV65" i="9"/>
  <c r="AW65" i="9"/>
  <c r="AX65" i="9"/>
  <c r="AY65" i="9"/>
  <c r="AZ65" i="9"/>
  <c r="BA65" i="9"/>
  <c r="BB65" i="9"/>
  <c r="BC65" i="9"/>
  <c r="BD65" i="9"/>
  <c r="BE65" i="9"/>
  <c r="BF65" i="9"/>
  <c r="BG65" i="9"/>
  <c r="BH65" i="9"/>
  <c r="BI65" i="9"/>
  <c r="BJ65" i="9"/>
  <c r="BK65" i="9"/>
  <c r="BL65" i="9"/>
  <c r="BM65" i="9"/>
  <c r="BN65" i="9"/>
  <c r="BO65" i="9"/>
  <c r="BP65" i="9"/>
  <c r="BQ65" i="9"/>
  <c r="BR65" i="9"/>
  <c r="BS65" i="9"/>
  <c r="BT65" i="9"/>
  <c r="BV65" i="9"/>
  <c r="BW65" i="9"/>
  <c r="BX65" i="9"/>
  <c r="BY65" i="9"/>
  <c r="BZ65" i="9"/>
  <c r="CA65" i="9"/>
  <c r="CB65" i="9"/>
  <c r="CC65" i="9"/>
  <c r="CD65" i="9"/>
  <c r="CE65" i="9"/>
  <c r="CF65" i="9"/>
  <c r="CG65" i="9"/>
  <c r="CH65" i="9"/>
  <c r="CI65" i="9"/>
  <c r="CJ65" i="9"/>
  <c r="CK65" i="9"/>
  <c r="CL65" i="9"/>
  <c r="CM65" i="9"/>
  <c r="CN65" i="9"/>
  <c r="CO65" i="9"/>
  <c r="CP65" i="9"/>
  <c r="CQ65" i="9"/>
  <c r="CR65" i="9"/>
  <c r="CS65" i="9"/>
  <c r="CT65" i="9"/>
  <c r="CU65" i="9"/>
  <c r="O55" i="9"/>
  <c r="P62" i="9"/>
  <c r="Q62" i="9"/>
  <c r="R62" i="9"/>
  <c r="S62" i="9"/>
  <c r="T62" i="9"/>
  <c r="U62" i="9"/>
  <c r="V62" i="9"/>
  <c r="W62" i="9"/>
  <c r="X62" i="9"/>
  <c r="Y62" i="9"/>
  <c r="AC62" i="9"/>
  <c r="AD62" i="9"/>
  <c r="AE62" i="9"/>
  <c r="AF62" i="9"/>
  <c r="AG62" i="9"/>
  <c r="AH62" i="9"/>
  <c r="AI62" i="9"/>
  <c r="AJ62" i="9"/>
  <c r="AK62" i="9"/>
  <c r="AL62" i="9"/>
  <c r="AM62" i="9"/>
  <c r="AN62" i="9"/>
  <c r="AP62" i="9"/>
  <c r="AQ62" i="9"/>
  <c r="AR62" i="9"/>
  <c r="AS62" i="9"/>
  <c r="AT62" i="9"/>
  <c r="AU62" i="9"/>
  <c r="AV62" i="9"/>
  <c r="AW62" i="9"/>
  <c r="AX62" i="9"/>
  <c r="AY62" i="9"/>
  <c r="AZ62" i="9"/>
  <c r="BA62" i="9"/>
  <c r="BB62" i="9"/>
  <c r="BC62" i="9"/>
  <c r="BD62" i="9"/>
  <c r="BE62" i="9"/>
  <c r="BF62" i="9"/>
  <c r="BG62" i="9"/>
  <c r="BI62" i="9"/>
  <c r="BJ62" i="9"/>
  <c r="BK62" i="9"/>
  <c r="BL62" i="9"/>
  <c r="BN62" i="9"/>
  <c r="BP62" i="9"/>
  <c r="BQ62" i="9"/>
  <c r="BR62" i="9"/>
  <c r="BS62" i="9"/>
  <c r="BT62" i="9"/>
  <c r="BV62" i="9"/>
  <c r="BW62" i="9"/>
  <c r="BX62" i="9"/>
  <c r="BZ62" i="9"/>
  <c r="CA62" i="9"/>
  <c r="CB62" i="9"/>
  <c r="CC62" i="9"/>
  <c r="CD62" i="9"/>
  <c r="CE62" i="9"/>
  <c r="CF62" i="9"/>
  <c r="CG62" i="9"/>
  <c r="CH62" i="9"/>
  <c r="CI62" i="9"/>
  <c r="CJ62" i="9"/>
  <c r="CK62" i="9"/>
  <c r="CL62" i="9"/>
  <c r="CM62" i="9"/>
  <c r="CN62" i="9"/>
  <c r="CO62" i="9"/>
  <c r="CP62" i="9"/>
  <c r="CQ62" i="9"/>
  <c r="CS62" i="9"/>
  <c r="CT62" i="9"/>
  <c r="CU62" i="9"/>
  <c r="O62" i="9"/>
  <c r="P60" i="9"/>
  <c r="Q60" i="9"/>
  <c r="R60" i="9"/>
  <c r="S60" i="9"/>
  <c r="T60" i="9"/>
  <c r="U60" i="9"/>
  <c r="V60" i="9"/>
  <c r="W60" i="9"/>
  <c r="X60" i="9"/>
  <c r="Y60" i="9"/>
  <c r="Z60" i="9"/>
  <c r="AA60" i="9"/>
  <c r="AB60" i="9"/>
  <c r="AC60" i="9"/>
  <c r="AD60" i="9"/>
  <c r="AE60" i="9"/>
  <c r="AF60" i="9"/>
  <c r="AG60" i="9"/>
  <c r="AH60" i="9"/>
  <c r="AI60" i="9"/>
  <c r="AJ60" i="9"/>
  <c r="AK60" i="9"/>
  <c r="AL60" i="9"/>
  <c r="AM60" i="9"/>
  <c r="AN60" i="9"/>
  <c r="AO60" i="9"/>
  <c r="AP60" i="9"/>
  <c r="AQ60" i="9"/>
  <c r="AR60" i="9"/>
  <c r="AS60" i="9"/>
  <c r="AT60" i="9"/>
  <c r="AU60" i="9"/>
  <c r="AV60" i="9"/>
  <c r="AW60" i="9"/>
  <c r="AX60" i="9"/>
  <c r="AY60" i="9"/>
  <c r="AZ60" i="9"/>
  <c r="BA60" i="9"/>
  <c r="BB60" i="9"/>
  <c r="BC60" i="9"/>
  <c r="BD60" i="9"/>
  <c r="BE60" i="9"/>
  <c r="BF60" i="9"/>
  <c r="BG60" i="9"/>
  <c r="BH60" i="9"/>
  <c r="BI60" i="9"/>
  <c r="BJ60" i="9"/>
  <c r="BK60" i="9"/>
  <c r="BL60" i="9"/>
  <c r="BM60" i="9"/>
  <c r="BN60" i="9"/>
  <c r="BO60" i="9"/>
  <c r="BP60" i="9"/>
  <c r="BQ60" i="9"/>
  <c r="BR60" i="9"/>
  <c r="BS60" i="9"/>
  <c r="BT60" i="9"/>
  <c r="BU60" i="9"/>
  <c r="BV60" i="9"/>
  <c r="BW60" i="9"/>
  <c r="BX60" i="9"/>
  <c r="BY60" i="9"/>
  <c r="BZ60" i="9"/>
  <c r="CA60" i="9"/>
  <c r="CB60" i="9"/>
  <c r="CC60" i="9"/>
  <c r="CD60" i="9"/>
  <c r="CE60" i="9"/>
  <c r="CF60" i="9"/>
  <c r="CG60" i="9"/>
  <c r="CH60" i="9"/>
  <c r="CI60" i="9"/>
  <c r="CJ60" i="9"/>
  <c r="CK60" i="9"/>
  <c r="CL60" i="9"/>
  <c r="CM60" i="9"/>
  <c r="CN60" i="9"/>
  <c r="CO60" i="9"/>
  <c r="CP60" i="9"/>
  <c r="CQ60" i="9"/>
  <c r="CR60" i="9"/>
  <c r="CS60" i="9"/>
  <c r="CT60" i="9"/>
  <c r="CU60" i="9"/>
  <c r="O60" i="9"/>
  <c r="P55" i="9"/>
  <c r="Q55" i="9"/>
  <c r="R55" i="9"/>
  <c r="S55" i="9"/>
  <c r="T55" i="9"/>
  <c r="U55" i="9"/>
  <c r="V55" i="9"/>
  <c r="W55" i="9"/>
  <c r="X55" i="9"/>
  <c r="Y55" i="9"/>
  <c r="Z55" i="9"/>
  <c r="AA55" i="9"/>
  <c r="AC55" i="9"/>
  <c r="AD55" i="9"/>
  <c r="AE55" i="9"/>
  <c r="AF55" i="9"/>
  <c r="AG55" i="9"/>
  <c r="AH55" i="9"/>
  <c r="AI55" i="9"/>
  <c r="AJ55" i="9"/>
  <c r="AK55" i="9"/>
  <c r="AL55" i="9"/>
  <c r="AM55" i="9"/>
  <c r="AN55" i="9"/>
  <c r="AO55" i="9"/>
  <c r="AP55" i="9"/>
  <c r="AQ55" i="9"/>
  <c r="AR55" i="9"/>
  <c r="AS55" i="9"/>
  <c r="AT55" i="9"/>
  <c r="AU55" i="9"/>
  <c r="AV55" i="9"/>
  <c r="AW55" i="9"/>
  <c r="AX55" i="9"/>
  <c r="AY55" i="9"/>
  <c r="AZ55" i="9"/>
  <c r="BA55" i="9"/>
  <c r="BB55" i="9"/>
  <c r="BC55" i="9"/>
  <c r="BD55" i="9"/>
  <c r="BE55" i="9"/>
  <c r="BF55" i="9"/>
  <c r="BG55" i="9"/>
  <c r="BH55" i="9"/>
  <c r="BI55" i="9"/>
  <c r="BJ55" i="9"/>
  <c r="BK55" i="9"/>
  <c r="BL55" i="9"/>
  <c r="BM55" i="9"/>
  <c r="BN55" i="9"/>
  <c r="BO55" i="9"/>
  <c r="BP55" i="9"/>
  <c r="BQ55" i="9"/>
  <c r="BR55" i="9"/>
  <c r="BS55" i="9"/>
  <c r="BT55" i="9"/>
  <c r="BU55" i="9"/>
  <c r="BV55" i="9"/>
  <c r="BW55" i="9"/>
  <c r="BX55" i="9"/>
  <c r="BY55" i="9"/>
  <c r="BZ55" i="9"/>
  <c r="CA55" i="9"/>
  <c r="CB55" i="9"/>
  <c r="CC55" i="9"/>
  <c r="CD55" i="9"/>
  <c r="CE55" i="9"/>
  <c r="CF55" i="9"/>
  <c r="CG55" i="9"/>
  <c r="CH55" i="9"/>
  <c r="CI55" i="9"/>
  <c r="CJ55" i="9"/>
  <c r="CK55" i="9"/>
  <c r="CL55" i="9"/>
  <c r="CM55" i="9"/>
  <c r="CN55" i="9"/>
  <c r="CO55" i="9"/>
  <c r="CP55" i="9"/>
  <c r="CQ55" i="9"/>
  <c r="CR55" i="9"/>
  <c r="CS55" i="9"/>
  <c r="CT55" i="9"/>
  <c r="CU55" i="9"/>
  <c r="P53" i="9"/>
  <c r="Q53" i="9"/>
  <c r="R53" i="9"/>
  <c r="S53" i="9"/>
  <c r="T53" i="9"/>
  <c r="U53" i="9"/>
  <c r="V53" i="9"/>
  <c r="W53" i="9"/>
  <c r="X53" i="9"/>
  <c r="Y53" i="9"/>
  <c r="Z53" i="9"/>
  <c r="AA53" i="9"/>
  <c r="AB53" i="9"/>
  <c r="AC53" i="9"/>
  <c r="AD53" i="9"/>
  <c r="AE53" i="9"/>
  <c r="AF53" i="9"/>
  <c r="AG53" i="9"/>
  <c r="AH53" i="9"/>
  <c r="AI53" i="9"/>
  <c r="AJ53" i="9"/>
  <c r="AK53" i="9"/>
  <c r="AL53" i="9"/>
  <c r="AM53" i="9"/>
  <c r="AN53" i="9"/>
  <c r="AO53" i="9"/>
  <c r="AP53" i="9"/>
  <c r="AQ53" i="9"/>
  <c r="AR53" i="9"/>
  <c r="AS53" i="9"/>
  <c r="AT53" i="9"/>
  <c r="AU53" i="9"/>
  <c r="AV53" i="9"/>
  <c r="AW53" i="9"/>
  <c r="AX53" i="9"/>
  <c r="AY53" i="9"/>
  <c r="AZ53" i="9"/>
  <c r="BA53" i="9"/>
  <c r="BB53" i="9"/>
  <c r="BC53" i="9"/>
  <c r="BD53" i="9"/>
  <c r="BE53" i="9"/>
  <c r="BF53" i="9"/>
  <c r="BG53" i="9"/>
  <c r="BH53" i="9"/>
  <c r="BI53" i="9"/>
  <c r="BJ53" i="9"/>
  <c r="BK53" i="9"/>
  <c r="BL53" i="9"/>
  <c r="BM53" i="9"/>
  <c r="BN53" i="9"/>
  <c r="BO53" i="9"/>
  <c r="BP53" i="9"/>
  <c r="BQ53" i="9"/>
  <c r="BR53" i="9"/>
  <c r="BS53" i="9"/>
  <c r="BT53" i="9"/>
  <c r="BU53" i="9"/>
  <c r="BV53" i="9"/>
  <c r="BW53" i="9"/>
  <c r="BX53" i="9"/>
  <c r="BY53" i="9"/>
  <c r="BZ53" i="9"/>
  <c r="CA53" i="9"/>
  <c r="CB53" i="9"/>
  <c r="CC53" i="9"/>
  <c r="CD53" i="9"/>
  <c r="CE53" i="9"/>
  <c r="CF53" i="9"/>
  <c r="CG53" i="9"/>
  <c r="CH53" i="9"/>
  <c r="CI53" i="9"/>
  <c r="CJ53" i="9"/>
  <c r="CK53" i="9"/>
  <c r="CL53" i="9"/>
  <c r="CM53" i="9"/>
  <c r="CN53" i="9"/>
  <c r="CO53" i="9"/>
  <c r="CP53" i="9"/>
  <c r="CQ53" i="9"/>
  <c r="CR53" i="9"/>
  <c r="CS53" i="9"/>
  <c r="CT53" i="9"/>
  <c r="CU53" i="9"/>
  <c r="O53" i="9"/>
  <c r="P51" i="9"/>
  <c r="Q51" i="9"/>
  <c r="R51" i="9"/>
  <c r="S51" i="9"/>
  <c r="T51" i="9"/>
  <c r="U51" i="9"/>
  <c r="V51" i="9"/>
  <c r="W51" i="9"/>
  <c r="X51" i="9"/>
  <c r="Y51" i="9"/>
  <c r="Z51" i="9"/>
  <c r="AA51" i="9"/>
  <c r="AB51" i="9"/>
  <c r="AC51" i="9"/>
  <c r="AD51" i="9"/>
  <c r="AE51" i="9"/>
  <c r="AF51" i="9"/>
  <c r="AG51" i="9"/>
  <c r="AH51" i="9"/>
  <c r="AI51" i="9"/>
  <c r="AJ51" i="9"/>
  <c r="AK51" i="9"/>
  <c r="AL51" i="9"/>
  <c r="AM51" i="9"/>
  <c r="AN51" i="9"/>
  <c r="AO51" i="9"/>
  <c r="AP51" i="9"/>
  <c r="AQ51" i="9"/>
  <c r="AR51" i="9"/>
  <c r="AS51" i="9"/>
  <c r="AT51" i="9"/>
  <c r="AU51" i="9"/>
  <c r="AV51" i="9"/>
  <c r="AW51" i="9"/>
  <c r="AX51" i="9"/>
  <c r="AY51" i="9"/>
  <c r="AZ51" i="9"/>
  <c r="BA51" i="9"/>
  <c r="BB51" i="9"/>
  <c r="BC51" i="9"/>
  <c r="BD51" i="9"/>
  <c r="BE51" i="9"/>
  <c r="BF51" i="9"/>
  <c r="BG51" i="9"/>
  <c r="BH51" i="9"/>
  <c r="BI51" i="9"/>
  <c r="BJ51" i="9"/>
  <c r="BK51" i="9"/>
  <c r="BL51" i="9"/>
  <c r="BM51" i="9"/>
  <c r="BN51" i="9"/>
  <c r="BO51" i="9"/>
  <c r="BP51" i="9"/>
  <c r="BQ51" i="9"/>
  <c r="BR51" i="9"/>
  <c r="BS51" i="9"/>
  <c r="BT51" i="9"/>
  <c r="BU51" i="9"/>
  <c r="BV51" i="9"/>
  <c r="BW51" i="9"/>
  <c r="BX51" i="9"/>
  <c r="BY51" i="9"/>
  <c r="BZ51" i="9"/>
  <c r="CA51" i="9"/>
  <c r="CB51" i="9"/>
  <c r="CC51" i="9"/>
  <c r="CD51" i="9"/>
  <c r="CE51" i="9"/>
  <c r="CF51" i="9"/>
  <c r="CG51" i="9"/>
  <c r="CH51" i="9"/>
  <c r="CI51" i="9"/>
  <c r="CJ51" i="9"/>
  <c r="CK51" i="9"/>
  <c r="CL51" i="9"/>
  <c r="CM51" i="9"/>
  <c r="CN51" i="9"/>
  <c r="CP51" i="9"/>
  <c r="CQ51" i="9"/>
  <c r="CR51" i="9"/>
  <c r="CS51" i="9"/>
  <c r="CU51" i="9"/>
  <c r="O51" i="9"/>
  <c r="P49" i="9"/>
  <c r="Q49" i="9"/>
  <c r="R49" i="9"/>
  <c r="S49" i="9"/>
  <c r="T49" i="9"/>
  <c r="U49" i="9"/>
  <c r="V49" i="9"/>
  <c r="W49" i="9"/>
  <c r="X49" i="9"/>
  <c r="Y49" i="9"/>
  <c r="AA49" i="9"/>
  <c r="AB49" i="9"/>
  <c r="AC49" i="9"/>
  <c r="AD49" i="9"/>
  <c r="AE49" i="9"/>
  <c r="AF49" i="9"/>
  <c r="AG49" i="9"/>
  <c r="AH49" i="9"/>
  <c r="AI49" i="9"/>
  <c r="AJ49" i="9"/>
  <c r="AK49" i="9"/>
  <c r="AL49" i="9"/>
  <c r="AM49" i="9"/>
  <c r="AN49" i="9"/>
  <c r="AO49" i="9"/>
  <c r="AP49" i="9"/>
  <c r="AQ49" i="9"/>
  <c r="AR49" i="9"/>
  <c r="AS49" i="9"/>
  <c r="AT49" i="9"/>
  <c r="AU49" i="9"/>
  <c r="AV49" i="9"/>
  <c r="AW49" i="9"/>
  <c r="AX49" i="9"/>
  <c r="AY49" i="9"/>
  <c r="AZ49" i="9"/>
  <c r="BA49" i="9"/>
  <c r="BB49" i="9"/>
  <c r="BC49" i="9"/>
  <c r="BD49" i="9"/>
  <c r="BE49" i="9"/>
  <c r="BF49" i="9"/>
  <c r="BG49" i="9"/>
  <c r="BH49" i="9"/>
  <c r="BI49" i="9"/>
  <c r="BJ49" i="9"/>
  <c r="BK49" i="9"/>
  <c r="BL49" i="9"/>
  <c r="BM49" i="9"/>
  <c r="BN49" i="9"/>
  <c r="BO49" i="9"/>
  <c r="BP49" i="9"/>
  <c r="BQ49" i="9"/>
  <c r="BR49" i="9"/>
  <c r="BS49" i="9"/>
  <c r="BT49" i="9"/>
  <c r="BU49" i="9"/>
  <c r="BV49" i="9"/>
  <c r="BW49" i="9"/>
  <c r="BX49" i="9"/>
  <c r="BY49" i="9"/>
  <c r="BZ49" i="9"/>
  <c r="CA49" i="9"/>
  <c r="CB49" i="9"/>
  <c r="CC49" i="9"/>
  <c r="CD49" i="9"/>
  <c r="CE49" i="9"/>
  <c r="CF49" i="9"/>
  <c r="CG49" i="9"/>
  <c r="CH49" i="9"/>
  <c r="CI49" i="9"/>
  <c r="CJ49" i="9"/>
  <c r="CK49" i="9"/>
  <c r="CL49" i="9"/>
  <c r="CM49" i="9"/>
  <c r="CN49" i="9"/>
  <c r="CO49" i="9"/>
  <c r="CP49" i="9"/>
  <c r="CQ49" i="9"/>
  <c r="CR49" i="9"/>
  <c r="CS49" i="9"/>
  <c r="CT49" i="9"/>
  <c r="CU49" i="9"/>
  <c r="O49" i="9"/>
  <c r="O47" i="9"/>
  <c r="P47" i="9"/>
  <c r="Q47" i="9"/>
  <c r="R47" i="9"/>
  <c r="S47" i="9"/>
  <c r="T47" i="9"/>
  <c r="U47" i="9"/>
  <c r="V47" i="9"/>
  <c r="W47" i="9"/>
  <c r="X47" i="9"/>
  <c r="Y47" i="9"/>
  <c r="Z47" i="9"/>
  <c r="AA47" i="9"/>
  <c r="AB47" i="9"/>
  <c r="AC47" i="9"/>
  <c r="AD47" i="9"/>
  <c r="AE47" i="9"/>
  <c r="AF47" i="9"/>
  <c r="AG47" i="9"/>
  <c r="AH47" i="9"/>
  <c r="AI47" i="9"/>
  <c r="AJ47" i="9"/>
  <c r="AK47" i="9"/>
  <c r="AL47" i="9"/>
  <c r="AM47" i="9"/>
  <c r="AN47" i="9"/>
  <c r="AO47" i="9"/>
  <c r="AP47" i="9"/>
  <c r="AQ47" i="9"/>
  <c r="AR47" i="9"/>
  <c r="AS47" i="9"/>
  <c r="AT47" i="9"/>
  <c r="AU47" i="9"/>
  <c r="AV47" i="9"/>
  <c r="AW47" i="9"/>
  <c r="AX47" i="9"/>
  <c r="AY47" i="9"/>
  <c r="AZ47" i="9"/>
  <c r="BA47" i="9"/>
  <c r="BB47" i="9"/>
  <c r="BC47" i="9"/>
  <c r="BD47" i="9"/>
  <c r="BE47" i="9"/>
  <c r="BF47" i="9"/>
  <c r="BG47" i="9"/>
  <c r="BH47" i="9"/>
  <c r="BI47" i="9"/>
  <c r="BJ47" i="9"/>
  <c r="BK47" i="9"/>
  <c r="BL47" i="9"/>
  <c r="BM47" i="9"/>
  <c r="BN47" i="9"/>
  <c r="BO47" i="9"/>
  <c r="BP47" i="9"/>
  <c r="BQ47" i="9"/>
  <c r="BR47" i="9"/>
  <c r="BS47" i="9"/>
  <c r="BT47" i="9"/>
  <c r="BV47" i="9"/>
  <c r="BW47" i="9"/>
  <c r="BX47" i="9"/>
  <c r="BY47" i="9"/>
  <c r="BZ47" i="9"/>
  <c r="CA47" i="9"/>
  <c r="CB47" i="9"/>
  <c r="CC47" i="9"/>
  <c r="CD47" i="9"/>
  <c r="CE47" i="9"/>
  <c r="CF47" i="9"/>
  <c r="CG47" i="9"/>
  <c r="CH47" i="9"/>
  <c r="CI47" i="9"/>
  <c r="CJ47" i="9"/>
  <c r="CK47" i="9"/>
  <c r="CL47" i="9"/>
  <c r="CM47" i="9"/>
  <c r="CN47" i="9"/>
  <c r="CO47" i="9"/>
  <c r="CP47" i="9"/>
  <c r="CQ47" i="9"/>
  <c r="CR47" i="9"/>
  <c r="CS47" i="9"/>
  <c r="CT47" i="9"/>
  <c r="CU47" i="9"/>
  <c r="P46" i="9"/>
  <c r="Q46" i="9"/>
  <c r="R46" i="9"/>
  <c r="S46" i="9"/>
  <c r="T46" i="9"/>
  <c r="U46" i="9"/>
  <c r="W46" i="9"/>
  <c r="X46" i="9"/>
  <c r="Y46" i="9"/>
  <c r="Z46" i="9"/>
  <c r="AA46" i="9"/>
  <c r="AB46" i="9"/>
  <c r="AC46" i="9"/>
  <c r="AD46" i="9"/>
  <c r="AE46" i="9"/>
  <c r="AF46" i="9"/>
  <c r="AG46" i="9"/>
  <c r="AH46" i="9"/>
  <c r="AI46" i="9"/>
  <c r="AJ46" i="9"/>
  <c r="AK46" i="9"/>
  <c r="AM46" i="9"/>
  <c r="AN46" i="9"/>
  <c r="AO46" i="9"/>
  <c r="AP46" i="9"/>
  <c r="AQ46" i="9"/>
  <c r="AR46" i="9"/>
  <c r="AS46" i="9"/>
  <c r="AT46" i="9"/>
  <c r="AU46" i="9"/>
  <c r="AV46" i="9"/>
  <c r="AW46" i="9"/>
  <c r="AX46" i="9"/>
  <c r="AY46" i="9"/>
  <c r="AZ46" i="9"/>
  <c r="BA46" i="9"/>
  <c r="BB46" i="9"/>
  <c r="BC46" i="9"/>
  <c r="BD46" i="9"/>
  <c r="BE46" i="9"/>
  <c r="BF46" i="9"/>
  <c r="BG46" i="9"/>
  <c r="BH46" i="9"/>
  <c r="BI46" i="9"/>
  <c r="BJ46" i="9"/>
  <c r="BK46" i="9"/>
  <c r="BL46" i="9"/>
  <c r="BM46" i="9"/>
  <c r="BN46" i="9"/>
  <c r="BO46" i="9"/>
  <c r="BP46" i="9"/>
  <c r="BQ46" i="9"/>
  <c r="BR46" i="9"/>
  <c r="BS46" i="9"/>
  <c r="BT46" i="9"/>
  <c r="BU46" i="9"/>
  <c r="BV46" i="9"/>
  <c r="BW46" i="9"/>
  <c r="BX46" i="9"/>
  <c r="BY46" i="9"/>
  <c r="BZ46" i="9"/>
  <c r="CA46" i="9"/>
  <c r="CB46" i="9"/>
  <c r="CC46" i="9"/>
  <c r="CD46" i="9"/>
  <c r="CE46" i="9"/>
  <c r="CF46" i="9"/>
  <c r="CG46" i="9"/>
  <c r="CH46" i="9"/>
  <c r="CI46" i="9"/>
  <c r="CJ46" i="9"/>
  <c r="CK46" i="9"/>
  <c r="CL46" i="9"/>
  <c r="CM46" i="9"/>
  <c r="CN46" i="9"/>
  <c r="CP46" i="9"/>
  <c r="CQ46" i="9"/>
  <c r="CR46" i="9"/>
  <c r="CS46" i="9"/>
  <c r="CU46" i="9"/>
  <c r="O46" i="9"/>
  <c r="O45" i="9"/>
  <c r="T45" i="9"/>
  <c r="V45" i="9"/>
  <c r="W45" i="9"/>
  <c r="X45" i="9"/>
  <c r="Y45" i="9"/>
  <c r="Z45" i="9"/>
  <c r="AA45" i="9"/>
  <c r="AB45" i="9"/>
  <c r="AC45" i="9"/>
  <c r="AD45" i="9"/>
  <c r="AE45" i="9"/>
  <c r="AF45" i="9"/>
  <c r="AG45" i="9"/>
  <c r="AH45" i="9"/>
  <c r="AI45" i="9"/>
  <c r="AJ45" i="9"/>
  <c r="AK45" i="9"/>
  <c r="AL45" i="9"/>
  <c r="AM45" i="9"/>
  <c r="AN45" i="9"/>
  <c r="AO45" i="9"/>
  <c r="AP45" i="9"/>
  <c r="AQ45" i="9"/>
  <c r="AR45" i="9"/>
  <c r="AS45" i="9"/>
  <c r="AT45" i="9"/>
  <c r="AU45" i="9"/>
  <c r="AV45" i="9"/>
  <c r="AW45" i="9"/>
  <c r="AX45" i="9"/>
  <c r="AY45" i="9"/>
  <c r="AZ45" i="9"/>
  <c r="BA45" i="9"/>
  <c r="BB45" i="9"/>
  <c r="BC45" i="9"/>
  <c r="BD45" i="9"/>
  <c r="BE45" i="9"/>
  <c r="BF45" i="9"/>
  <c r="BG45" i="9"/>
  <c r="BH45" i="9"/>
  <c r="BJ45" i="9"/>
  <c r="BK45" i="9"/>
  <c r="BM45" i="9"/>
  <c r="BN45" i="9"/>
  <c r="BP45" i="9"/>
  <c r="BQ45" i="9"/>
  <c r="BR45" i="9"/>
  <c r="BS45" i="9"/>
  <c r="BT45" i="9"/>
  <c r="BV45" i="9"/>
  <c r="BW45" i="9"/>
  <c r="BX45" i="9"/>
  <c r="BY45" i="9"/>
  <c r="BZ45" i="9"/>
  <c r="CA45" i="9"/>
  <c r="CB45" i="9"/>
  <c r="CC45" i="9"/>
  <c r="CD45" i="9"/>
  <c r="CE45" i="9"/>
  <c r="CF45" i="9"/>
  <c r="CG45" i="9"/>
  <c r="CH45" i="9"/>
  <c r="CI45" i="9"/>
  <c r="CJ45" i="9"/>
  <c r="CK45" i="9"/>
  <c r="CL45" i="9"/>
  <c r="CM45" i="9"/>
  <c r="CN45" i="9"/>
  <c r="CO45" i="9"/>
  <c r="CP45" i="9"/>
  <c r="CQ45" i="9"/>
  <c r="CS45" i="9"/>
  <c r="CT45" i="9"/>
  <c r="CU45" i="9"/>
  <c r="Q45" i="9"/>
  <c r="R45" i="9"/>
  <c r="S45" i="9"/>
  <c r="O44" i="9"/>
  <c r="Q44" i="9"/>
  <c r="R44" i="9"/>
  <c r="S44" i="9"/>
  <c r="T44" i="9"/>
  <c r="W44" i="9"/>
  <c r="X44" i="9"/>
  <c r="Y44" i="9"/>
  <c r="Z44" i="9"/>
  <c r="AA44" i="9"/>
  <c r="AB44" i="9"/>
  <c r="AC44" i="9"/>
  <c r="AD44" i="9"/>
  <c r="AE44" i="9"/>
  <c r="AF44" i="9"/>
  <c r="AG44" i="9"/>
  <c r="AH44" i="9"/>
  <c r="AI44" i="9"/>
  <c r="AJ44" i="9"/>
  <c r="AK44" i="9"/>
  <c r="AM44" i="9"/>
  <c r="AN44" i="9"/>
  <c r="AO44" i="9"/>
  <c r="AP44" i="9"/>
  <c r="AQ44" i="9"/>
  <c r="AR44" i="9"/>
  <c r="AS44" i="9"/>
  <c r="AT44" i="9"/>
  <c r="AU44" i="9"/>
  <c r="AV44" i="9"/>
  <c r="AW44" i="9"/>
  <c r="AX44" i="9"/>
  <c r="AY44" i="9"/>
  <c r="AZ44" i="9"/>
  <c r="BA44" i="9"/>
  <c r="BB44" i="9"/>
  <c r="BC44" i="9"/>
  <c r="BD44" i="9"/>
  <c r="BE44" i="9"/>
  <c r="BF44" i="9"/>
  <c r="BG44" i="9"/>
  <c r="BH44" i="9"/>
  <c r="BJ44" i="9"/>
  <c r="BK44" i="9"/>
  <c r="BM44" i="9"/>
  <c r="BN44" i="9"/>
  <c r="BP44" i="9"/>
  <c r="BQ44" i="9"/>
  <c r="BR44" i="9"/>
  <c r="BS44" i="9"/>
  <c r="BT44" i="9"/>
  <c r="BV44" i="9"/>
  <c r="BW44" i="9"/>
  <c r="BX44" i="9"/>
  <c r="BY44" i="9"/>
  <c r="BZ44" i="9"/>
  <c r="CA44" i="9"/>
  <c r="CB44" i="9"/>
  <c r="CC44" i="9"/>
  <c r="CD44" i="9"/>
  <c r="CE44" i="9"/>
  <c r="CF44" i="9"/>
  <c r="CG44" i="9"/>
  <c r="CH44" i="9"/>
  <c r="CI44" i="9"/>
  <c r="CJ44" i="9"/>
  <c r="CK44" i="9"/>
  <c r="CL44" i="9"/>
  <c r="CM44" i="9"/>
  <c r="CN44" i="9"/>
  <c r="CP44" i="9"/>
  <c r="CQ44" i="9"/>
  <c r="CS44" i="9"/>
  <c r="CU44" i="9"/>
  <c r="CU22" i="9"/>
  <c r="CT22" i="9"/>
  <c r="CS22" i="9"/>
  <c r="CR22" i="9"/>
  <c r="CP22" i="9"/>
  <c r="CO22" i="9"/>
  <c r="CM22" i="9"/>
  <c r="CL22" i="9"/>
  <c r="CK22" i="9"/>
  <c r="CH22" i="9"/>
  <c r="CG22" i="9"/>
  <c r="CF22" i="9"/>
  <c r="CC22" i="9"/>
  <c r="BY22" i="9"/>
  <c r="BX22" i="9"/>
  <c r="BW22" i="9"/>
  <c r="BV22" i="9"/>
  <c r="BU22" i="9"/>
  <c r="BT22" i="9"/>
  <c r="BS22" i="9"/>
  <c r="BR22" i="9"/>
  <c r="BO22" i="9"/>
  <c r="BM22" i="9"/>
  <c r="BL22" i="9"/>
  <c r="BJ22" i="9"/>
  <c r="BI22" i="9"/>
  <c r="BH22" i="9"/>
  <c r="BG22" i="9"/>
  <c r="BF22" i="9"/>
  <c r="BE22" i="9"/>
  <c r="BB22" i="9"/>
  <c r="AY22" i="9"/>
  <c r="AW22" i="9"/>
  <c r="AU22" i="9"/>
  <c r="AR22" i="9"/>
  <c r="AQ22" i="9"/>
  <c r="AP22" i="9"/>
  <c r="AO22" i="9"/>
  <c r="AL22" i="9"/>
  <c r="AK22" i="9"/>
  <c r="AB22" i="9"/>
  <c r="AA22" i="9"/>
  <c r="Z22" i="9"/>
  <c r="W22" i="9"/>
  <c r="V22" i="9"/>
  <c r="U22" i="9"/>
  <c r="T22" i="9"/>
  <c r="S22" i="9"/>
  <c r="R22" i="9"/>
  <c r="Q22" i="9"/>
  <c r="P22" i="9"/>
  <c r="O22" i="9"/>
  <c r="P19" i="9"/>
  <c r="Q19" i="9"/>
  <c r="R19" i="9"/>
  <c r="S19" i="9"/>
  <c r="T19" i="9"/>
  <c r="U19" i="9"/>
  <c r="V19" i="9"/>
  <c r="W19" i="9"/>
  <c r="X19" i="9"/>
  <c r="Y19" i="9"/>
  <c r="Z19" i="9"/>
  <c r="AA19" i="9"/>
  <c r="AB19" i="9"/>
  <c r="AC19" i="9"/>
  <c r="AD19" i="9"/>
  <c r="AE19" i="9"/>
  <c r="AF19" i="9"/>
  <c r="AG19" i="9"/>
  <c r="AH19" i="9"/>
  <c r="AI19" i="9"/>
  <c r="AJ19" i="9"/>
  <c r="AK19" i="9"/>
  <c r="AL19" i="9"/>
  <c r="AM19" i="9"/>
  <c r="AN19" i="9"/>
  <c r="AO19" i="9"/>
  <c r="AP19" i="9"/>
  <c r="AQ19" i="9"/>
  <c r="AR19" i="9"/>
  <c r="AS19" i="9"/>
  <c r="AT19" i="9"/>
  <c r="AU19" i="9"/>
  <c r="AV19" i="9"/>
  <c r="AW19" i="9"/>
  <c r="AX19" i="9"/>
  <c r="AY19" i="9"/>
  <c r="AZ19" i="9"/>
  <c r="BA19" i="9"/>
  <c r="BB19" i="9"/>
  <c r="BC19" i="9"/>
  <c r="BD19" i="9"/>
  <c r="BE19" i="9"/>
  <c r="BF19" i="9"/>
  <c r="BG19" i="9"/>
  <c r="BH19" i="9"/>
  <c r="BI19" i="9"/>
  <c r="BJ19" i="9"/>
  <c r="BK19" i="9"/>
  <c r="BL19" i="9"/>
  <c r="BM19" i="9"/>
  <c r="BN19" i="9"/>
  <c r="BO19" i="9"/>
  <c r="BP19" i="9"/>
  <c r="BQ19" i="9"/>
  <c r="BR19" i="9"/>
  <c r="BS19" i="9"/>
  <c r="BT19" i="9"/>
  <c r="BU19" i="9"/>
  <c r="BV19" i="9"/>
  <c r="BW19" i="9"/>
  <c r="BX19" i="9"/>
  <c r="BY19" i="9"/>
  <c r="BZ19" i="9"/>
  <c r="CA19" i="9"/>
  <c r="CB19" i="9"/>
  <c r="CC19" i="9"/>
  <c r="CD19" i="9"/>
  <c r="CE19" i="9"/>
  <c r="CF19" i="9"/>
  <c r="CG19" i="9"/>
  <c r="CH19" i="9"/>
  <c r="CI19" i="9"/>
  <c r="CJ19" i="9"/>
  <c r="CK19" i="9"/>
  <c r="CL19" i="9"/>
  <c r="CM19" i="9"/>
  <c r="CN19" i="9"/>
  <c r="CO19" i="9"/>
  <c r="CP19" i="9"/>
  <c r="CQ19" i="9"/>
  <c r="CR19" i="9"/>
  <c r="CS19" i="9"/>
  <c r="CT19" i="9"/>
  <c r="CU19" i="9"/>
  <c r="O19" i="9"/>
  <c r="P18" i="9"/>
  <c r="Q18" i="9"/>
  <c r="R18" i="9"/>
  <c r="S18" i="9"/>
  <c r="T18" i="9"/>
  <c r="U18" i="9"/>
  <c r="V18" i="9"/>
  <c r="W18" i="9"/>
  <c r="X18" i="9"/>
  <c r="Y18" i="9"/>
  <c r="Z18" i="9"/>
  <c r="AA18" i="9"/>
  <c r="AB18" i="9"/>
  <c r="AC18" i="9"/>
  <c r="AD18" i="9"/>
  <c r="AE18" i="9"/>
  <c r="AF18" i="9"/>
  <c r="AG18" i="9"/>
  <c r="AH18" i="9"/>
  <c r="AI18" i="9"/>
  <c r="AJ18" i="9"/>
  <c r="AK18" i="9"/>
  <c r="AL18" i="9"/>
  <c r="AM18" i="9"/>
  <c r="AN18" i="9"/>
  <c r="AO18" i="9"/>
  <c r="AP18" i="9"/>
  <c r="AQ18" i="9"/>
  <c r="AR18" i="9"/>
  <c r="AS18" i="9"/>
  <c r="AT18" i="9"/>
  <c r="AU18" i="9"/>
  <c r="AV18" i="9"/>
  <c r="AW18" i="9"/>
  <c r="AX18" i="9"/>
  <c r="AY18" i="9"/>
  <c r="AZ18" i="9"/>
  <c r="BA18" i="9"/>
  <c r="BB18" i="9"/>
  <c r="BC18" i="9"/>
  <c r="BD18" i="9"/>
  <c r="BE18" i="9"/>
  <c r="BF18" i="9"/>
  <c r="BG18" i="9"/>
  <c r="BH18" i="9"/>
  <c r="BI18" i="9"/>
  <c r="BJ18" i="9"/>
  <c r="BK18" i="9"/>
  <c r="BL18" i="9"/>
  <c r="BM18" i="9"/>
  <c r="BN18" i="9"/>
  <c r="BO18" i="9"/>
  <c r="BP18" i="9"/>
  <c r="BQ18" i="9"/>
  <c r="BR18" i="9"/>
  <c r="BS18" i="9"/>
  <c r="BT18" i="9"/>
  <c r="BU18" i="9"/>
  <c r="BV18" i="9"/>
  <c r="BW18" i="9"/>
  <c r="BX18" i="9"/>
  <c r="BY18" i="9"/>
  <c r="BZ18" i="9"/>
  <c r="CA18" i="9"/>
  <c r="CB18" i="9"/>
  <c r="CC18" i="9"/>
  <c r="CD18" i="9"/>
  <c r="CE18" i="9"/>
  <c r="CF18" i="9"/>
  <c r="CG18" i="9"/>
  <c r="CH18" i="9"/>
  <c r="CI18" i="9"/>
  <c r="CJ18" i="9"/>
  <c r="CK18" i="9"/>
  <c r="CL18" i="9"/>
  <c r="CM18" i="9"/>
  <c r="CN18" i="9"/>
  <c r="CO18" i="9"/>
  <c r="CP18" i="9"/>
  <c r="CQ18" i="9"/>
  <c r="CR18" i="9"/>
  <c r="CS18" i="9"/>
  <c r="CT18" i="9"/>
  <c r="CU18" i="9"/>
  <c r="O18" i="9"/>
  <c r="O17" i="9"/>
  <c r="P17" i="9"/>
  <c r="Q17" i="9"/>
  <c r="R17" i="9"/>
  <c r="S17" i="9"/>
  <c r="T17" i="9"/>
  <c r="U17" i="9"/>
  <c r="V17" i="9"/>
  <c r="W17" i="9"/>
  <c r="X17" i="9"/>
  <c r="Y17" i="9"/>
  <c r="Z17" i="9"/>
  <c r="AA17" i="9"/>
  <c r="AB17" i="9"/>
  <c r="AC17" i="9"/>
  <c r="AD17" i="9"/>
  <c r="AE17" i="9"/>
  <c r="AF17" i="9"/>
  <c r="AG17" i="9"/>
  <c r="AH17" i="9"/>
  <c r="AI17" i="9"/>
  <c r="AJ17" i="9"/>
  <c r="AK17" i="9"/>
  <c r="AL17" i="9"/>
  <c r="AM17" i="9"/>
  <c r="AN17" i="9"/>
  <c r="AO17" i="9"/>
  <c r="AP17" i="9"/>
  <c r="AQ17" i="9"/>
  <c r="AR17" i="9"/>
  <c r="AS17" i="9"/>
  <c r="AT17" i="9"/>
  <c r="AU17" i="9"/>
  <c r="AV17" i="9"/>
  <c r="AW17" i="9"/>
  <c r="AX17" i="9"/>
  <c r="AY17" i="9"/>
  <c r="AZ17" i="9"/>
  <c r="BA17" i="9"/>
  <c r="BB17" i="9"/>
  <c r="BC17" i="9"/>
  <c r="BD17" i="9"/>
  <c r="BE17" i="9"/>
  <c r="BF17" i="9"/>
  <c r="BG17" i="9"/>
  <c r="BH17" i="9"/>
  <c r="BI17" i="9"/>
  <c r="BJ17" i="9"/>
  <c r="BK17" i="9"/>
  <c r="BL17" i="9"/>
  <c r="BM17" i="9"/>
  <c r="BN17" i="9"/>
  <c r="BO17" i="9"/>
  <c r="BP17" i="9"/>
  <c r="BQ17" i="9"/>
  <c r="BR17" i="9"/>
  <c r="BS17" i="9"/>
  <c r="BT17" i="9"/>
  <c r="BU17" i="9"/>
  <c r="BV17" i="9"/>
  <c r="BW17" i="9"/>
  <c r="BX17" i="9"/>
  <c r="BY17" i="9"/>
  <c r="BZ17" i="9"/>
  <c r="CA17" i="9"/>
  <c r="CB17" i="9"/>
  <c r="CC17" i="9"/>
  <c r="CD17" i="9"/>
  <c r="CE17" i="9"/>
  <c r="CF17" i="9"/>
  <c r="CG17" i="9"/>
  <c r="CH17" i="9"/>
  <c r="CI17" i="9"/>
  <c r="CJ17" i="9"/>
  <c r="CK17" i="9"/>
  <c r="CL17" i="9"/>
  <c r="CM17" i="9"/>
  <c r="CN17" i="9"/>
  <c r="CO17" i="9"/>
  <c r="CP17" i="9"/>
  <c r="CQ17" i="9"/>
  <c r="CR17" i="9"/>
  <c r="CS17" i="9"/>
  <c r="CT17" i="9"/>
  <c r="CU17" i="9"/>
  <c r="V118" i="9" l="1"/>
  <c r="R118" i="9"/>
  <c r="BV57" i="9"/>
  <c r="BV58" i="9" s="1"/>
  <c r="BR57" i="9"/>
  <c r="BR59" i="9" s="1"/>
  <c r="BN57" i="9"/>
  <c r="BN59" i="9" s="1"/>
  <c r="BJ57" i="9"/>
  <c r="BJ59" i="9" s="1"/>
  <c r="BF57" i="9"/>
  <c r="BF59" i="9" s="1"/>
  <c r="BB57" i="9"/>
  <c r="BB58" i="9" s="1"/>
  <c r="AX57" i="9"/>
  <c r="AX59" i="9" s="1"/>
  <c r="AT57" i="9"/>
  <c r="AT59" i="9" s="1"/>
  <c r="AP57" i="9"/>
  <c r="AP59" i="9" s="1"/>
  <c r="AL57" i="9"/>
  <c r="AL59" i="9" s="1"/>
  <c r="AH57" i="9"/>
  <c r="AH59" i="9" s="1"/>
  <c r="AD57" i="9"/>
  <c r="AD58" i="9" s="1"/>
  <c r="Z57" i="9"/>
  <c r="Z59" i="9" s="1"/>
  <c r="V57" i="9"/>
  <c r="V59" i="9" s="1"/>
  <c r="R57" i="9"/>
  <c r="R59" i="9" s="1"/>
  <c r="N112" i="9"/>
  <c r="L5" i="13" s="1"/>
  <c r="N5" i="13" s="1"/>
  <c r="N113" i="9"/>
  <c r="L6" i="13" s="1"/>
  <c r="N6" i="13" s="1"/>
  <c r="N121" i="9"/>
  <c r="O117" i="9"/>
  <c r="CS117" i="9"/>
  <c r="CO117" i="9"/>
  <c r="CK117" i="9"/>
  <c r="CG117" i="9"/>
  <c r="CC117" i="9"/>
  <c r="BY117" i="9"/>
  <c r="BU117" i="9"/>
  <c r="BQ117" i="9"/>
  <c r="BM117" i="9"/>
  <c r="BI117" i="9"/>
  <c r="BE117" i="9"/>
  <c r="BA117" i="9"/>
  <c r="AW117" i="9"/>
  <c r="AS117" i="9"/>
  <c r="AO117" i="9"/>
  <c r="AK117" i="9"/>
  <c r="AG117" i="9"/>
  <c r="AC117" i="9"/>
  <c r="Y117" i="9"/>
  <c r="U117" i="9"/>
  <c r="Q117" i="9"/>
  <c r="CS118" i="9"/>
  <c r="CK118" i="9"/>
  <c r="CG118" i="9"/>
  <c r="CC118" i="9"/>
  <c r="BY118" i="9"/>
  <c r="BU118" i="9"/>
  <c r="BQ118" i="9"/>
  <c r="BM118" i="9"/>
  <c r="BI118" i="9"/>
  <c r="BE118" i="9"/>
  <c r="BA118" i="9"/>
  <c r="AW118" i="9"/>
  <c r="AS118" i="9"/>
  <c r="AO118" i="9"/>
  <c r="AK118" i="9"/>
  <c r="AG118" i="9"/>
  <c r="AC118" i="9"/>
  <c r="Y118" i="9"/>
  <c r="U118" i="9"/>
  <c r="Q118" i="9"/>
  <c r="CR117" i="9"/>
  <c r="CN117" i="9"/>
  <c r="CJ117" i="9"/>
  <c r="CF117" i="9"/>
  <c r="CB117" i="9"/>
  <c r="BX117" i="9"/>
  <c r="BT117" i="9"/>
  <c r="BP117" i="9"/>
  <c r="BL117" i="9"/>
  <c r="BH117" i="9"/>
  <c r="BD117" i="9"/>
  <c r="AZ117" i="9"/>
  <c r="AV117" i="9"/>
  <c r="AR117" i="9"/>
  <c r="AN117" i="9"/>
  <c r="AJ117" i="9"/>
  <c r="AF117" i="9"/>
  <c r="AB117" i="9"/>
  <c r="X117" i="9"/>
  <c r="T117" i="9"/>
  <c r="P117" i="9"/>
  <c r="CR119" i="9"/>
  <c r="CN119" i="9"/>
  <c r="CJ119" i="9"/>
  <c r="CF119" i="9"/>
  <c r="CB119" i="9"/>
  <c r="BX119" i="9"/>
  <c r="BT119" i="9"/>
  <c r="BP119" i="9"/>
  <c r="BL119" i="9"/>
  <c r="BH119" i="9"/>
  <c r="BD119" i="9"/>
  <c r="AZ119" i="9"/>
  <c r="AV119" i="9"/>
  <c r="AR119" i="9"/>
  <c r="AN119" i="9"/>
  <c r="AJ119" i="9"/>
  <c r="AF119" i="9"/>
  <c r="AB119" i="9"/>
  <c r="X119" i="9"/>
  <c r="T119" i="9"/>
  <c r="P119" i="9"/>
  <c r="CU117" i="9"/>
  <c r="CQ117" i="9"/>
  <c r="CM117" i="9"/>
  <c r="CI117" i="9"/>
  <c r="CE117" i="9"/>
  <c r="CA117" i="9"/>
  <c r="BW117" i="9"/>
  <c r="BS117" i="9"/>
  <c r="BO117" i="9"/>
  <c r="BK117" i="9"/>
  <c r="BG117" i="9"/>
  <c r="BC117" i="9"/>
  <c r="AY117" i="9"/>
  <c r="AU117" i="9"/>
  <c r="AQ117" i="9"/>
  <c r="AM117" i="9"/>
  <c r="AI117" i="9"/>
  <c r="AE117" i="9"/>
  <c r="AA117" i="9"/>
  <c r="W117" i="9"/>
  <c r="S117" i="9"/>
  <c r="CU119" i="9"/>
  <c r="CQ119" i="9"/>
  <c r="CM119" i="9"/>
  <c r="CI119" i="9"/>
  <c r="CE119" i="9"/>
  <c r="CA119" i="9"/>
  <c r="BW119" i="9"/>
  <c r="BS119" i="9"/>
  <c r="BO119" i="9"/>
  <c r="BK119" i="9"/>
  <c r="BG119" i="9"/>
  <c r="BC119" i="9"/>
  <c r="AY119" i="9"/>
  <c r="AU119" i="9"/>
  <c r="AQ119" i="9"/>
  <c r="AM119" i="9"/>
  <c r="AI119" i="9"/>
  <c r="AE119" i="9"/>
  <c r="AA119" i="9"/>
  <c r="W119" i="9"/>
  <c r="S119" i="9"/>
  <c r="CP117" i="9"/>
  <c r="CL117" i="9"/>
  <c r="CH117" i="9"/>
  <c r="CD117" i="9"/>
  <c r="BZ117" i="9"/>
  <c r="BV117" i="9"/>
  <c r="BR117" i="9"/>
  <c r="BN117" i="9"/>
  <c r="BJ117" i="9"/>
  <c r="BF117" i="9"/>
  <c r="BB117" i="9"/>
  <c r="AX117" i="9"/>
  <c r="AT117" i="9"/>
  <c r="AP117" i="9"/>
  <c r="AL117" i="9"/>
  <c r="AH117" i="9"/>
  <c r="AD117" i="9"/>
  <c r="Z117" i="9"/>
  <c r="CP119" i="9"/>
  <c r="CL119" i="9"/>
  <c r="CH119" i="9"/>
  <c r="CD119" i="9"/>
  <c r="BZ119" i="9"/>
  <c r="BV119" i="9"/>
  <c r="BR119" i="9"/>
  <c r="BN119" i="9"/>
  <c r="BJ119" i="9"/>
  <c r="BF119" i="9"/>
  <c r="BB119" i="9"/>
  <c r="AX119" i="9"/>
  <c r="AT119" i="9"/>
  <c r="AP119" i="9"/>
  <c r="AL119" i="9"/>
  <c r="AH119" i="9"/>
  <c r="AD119" i="9"/>
  <c r="Z119" i="9"/>
  <c r="R119" i="9"/>
  <c r="CN63" i="9"/>
  <c r="CJ63" i="9"/>
  <c r="CF63" i="9"/>
  <c r="CB63" i="9"/>
  <c r="BX63" i="9"/>
  <c r="BT63" i="9"/>
  <c r="BP63" i="9"/>
  <c r="BH63" i="9"/>
  <c r="BD63" i="9"/>
  <c r="AZ63" i="9"/>
  <c r="AV63" i="9"/>
  <c r="AR63" i="9"/>
  <c r="AN63" i="9"/>
  <c r="AJ63" i="9"/>
  <c r="AF63" i="9"/>
  <c r="AB63" i="9"/>
  <c r="X63" i="9"/>
  <c r="T63" i="9"/>
  <c r="CP57" i="9"/>
  <c r="CP59" i="9" s="1"/>
  <c r="CL57" i="9"/>
  <c r="CL58" i="9" s="1"/>
  <c r="CH57" i="9"/>
  <c r="CH59" i="9" s="1"/>
  <c r="CD57" i="9"/>
  <c r="CD58" i="9" s="1"/>
  <c r="BZ57" i="9"/>
  <c r="BZ59" i="9" s="1"/>
  <c r="N75" i="9"/>
  <c r="J78" i="11" s="1"/>
  <c r="N91" i="9"/>
  <c r="J86" i="11" s="1"/>
  <c r="N99" i="9"/>
  <c r="J90" i="11" s="1"/>
  <c r="CU63" i="9"/>
  <c r="CQ63" i="9"/>
  <c r="CM63" i="9"/>
  <c r="CI63" i="9"/>
  <c r="CE63" i="9"/>
  <c r="CA63" i="9"/>
  <c r="BW63" i="9"/>
  <c r="BS63" i="9"/>
  <c r="BK63" i="9"/>
  <c r="BG50" i="9"/>
  <c r="BC50" i="9"/>
  <c r="AY50" i="9"/>
  <c r="AU50" i="9"/>
  <c r="AQ50" i="9"/>
  <c r="AM63" i="9"/>
  <c r="AI63" i="9"/>
  <c r="AE63" i="9"/>
  <c r="AA63" i="9"/>
  <c r="W63" i="9"/>
  <c r="S63" i="9"/>
  <c r="O63" i="9"/>
  <c r="N93" i="9"/>
  <c r="J87" i="11" s="1"/>
  <c r="CP63" i="9"/>
  <c r="CL63" i="9"/>
  <c r="CH63" i="9"/>
  <c r="CD63" i="9"/>
  <c r="BZ63" i="9"/>
  <c r="BV63" i="9"/>
  <c r="BR63" i="9"/>
  <c r="BN54" i="9"/>
  <c r="BJ63" i="9"/>
  <c r="BF54" i="9"/>
  <c r="BB63" i="9"/>
  <c r="AX54" i="9"/>
  <c r="AT63" i="9"/>
  <c r="AP54" i="9"/>
  <c r="AH63" i="9"/>
  <c r="AD63" i="9"/>
  <c r="Z63" i="9"/>
  <c r="R63" i="9"/>
  <c r="R107" i="9"/>
  <c r="R92" i="9" s="1"/>
  <c r="N79" i="9"/>
  <c r="J80" i="11" s="1"/>
  <c r="N95" i="9"/>
  <c r="J88" i="11" s="1"/>
  <c r="CS63" i="9"/>
  <c r="CK63" i="9"/>
  <c r="CG63" i="9"/>
  <c r="CC63" i="9"/>
  <c r="BY63" i="9"/>
  <c r="BQ61" i="9"/>
  <c r="BM61" i="9"/>
  <c r="BE61" i="9"/>
  <c r="BA61" i="9"/>
  <c r="AW61" i="9"/>
  <c r="AS61" i="9"/>
  <c r="AO61" i="9"/>
  <c r="AK61" i="9"/>
  <c r="AG61" i="9"/>
  <c r="AC61" i="9"/>
  <c r="Y63" i="9"/>
  <c r="Q63" i="9"/>
  <c r="CU57" i="9"/>
  <c r="CU58" i="9" s="1"/>
  <c r="CQ57" i="9"/>
  <c r="CQ59" i="9" s="1"/>
  <c r="CM57" i="9"/>
  <c r="CM59" i="9" s="1"/>
  <c r="CI57" i="9"/>
  <c r="CI59" i="9" s="1"/>
  <c r="CE57" i="9"/>
  <c r="CE58" i="9" s="1"/>
  <c r="CA57" i="9"/>
  <c r="CA58" i="9" s="1"/>
  <c r="BW57" i="9"/>
  <c r="BW59" i="9" s="1"/>
  <c r="BS57" i="9"/>
  <c r="BS59" i="9" s="1"/>
  <c r="BO57" i="9"/>
  <c r="BO59" i="9" s="1"/>
  <c r="BK57" i="9"/>
  <c r="BK59" i="9" s="1"/>
  <c r="BG57" i="9"/>
  <c r="BG59" i="9" s="1"/>
  <c r="BC57" i="9"/>
  <c r="BC59" i="9" s="1"/>
  <c r="AY57" i="9"/>
  <c r="AY59" i="9" s="1"/>
  <c r="AU57" i="9"/>
  <c r="AU58" i="9" s="1"/>
  <c r="AQ57" i="9"/>
  <c r="AQ59" i="9" s="1"/>
  <c r="AM57" i="9"/>
  <c r="AM59" i="9" s="1"/>
  <c r="AI57" i="9"/>
  <c r="AI59" i="9" s="1"/>
  <c r="AE57" i="9"/>
  <c r="AE58" i="9" s="1"/>
  <c r="AA57" i="9"/>
  <c r="AA59" i="9" s="1"/>
  <c r="W57" i="9"/>
  <c r="W59" i="9" s="1"/>
  <c r="S57" i="9"/>
  <c r="S59" i="9" s="1"/>
  <c r="N73" i="9"/>
  <c r="J77" i="11" s="1"/>
  <c r="N97" i="9"/>
  <c r="J89" i="11" s="1"/>
  <c r="O107" i="9"/>
  <c r="CS107" i="9"/>
  <c r="CS102" i="9" s="1"/>
  <c r="CK107" i="9"/>
  <c r="CG107" i="9"/>
  <c r="CG96" i="9" s="1"/>
  <c r="CC107" i="9"/>
  <c r="CC94" i="9" s="1"/>
  <c r="BY107" i="9"/>
  <c r="BY92" i="9" s="1"/>
  <c r="BQ107" i="9"/>
  <c r="BQ100" i="9" s="1"/>
  <c r="BM107" i="9"/>
  <c r="BM102" i="9" s="1"/>
  <c r="BI107" i="9"/>
  <c r="BI104" i="9" s="1"/>
  <c r="BE107" i="9"/>
  <c r="BE68" i="9" s="1"/>
  <c r="BA107" i="9"/>
  <c r="BA100" i="9" s="1"/>
  <c r="AW107" i="9"/>
  <c r="AW94" i="9" s="1"/>
  <c r="AS107" i="9"/>
  <c r="AS92" i="9" s="1"/>
  <c r="AO107" i="9"/>
  <c r="AO90" i="9" s="1"/>
  <c r="AK107" i="9"/>
  <c r="AK100" i="9" s="1"/>
  <c r="AG107" i="9"/>
  <c r="AG96" i="9" s="1"/>
  <c r="AC107" i="9"/>
  <c r="AC104" i="9" s="1"/>
  <c r="CN107" i="9"/>
  <c r="CN100" i="9" s="1"/>
  <c r="CJ107" i="9"/>
  <c r="CJ86" i="9" s="1"/>
  <c r="CF107" i="9"/>
  <c r="CF96" i="9" s="1"/>
  <c r="CB107" i="9"/>
  <c r="CB74" i="9" s="1"/>
  <c r="BX107" i="9"/>
  <c r="BX96" i="9" s="1"/>
  <c r="BT107" i="9"/>
  <c r="BT78" i="9" s="1"/>
  <c r="BP107" i="9"/>
  <c r="BP104" i="9" s="1"/>
  <c r="BL107" i="9"/>
  <c r="BL94" i="9" s="1"/>
  <c r="BH107" i="9"/>
  <c r="BH100" i="9" s="1"/>
  <c r="BD107" i="9"/>
  <c r="BD96" i="9" s="1"/>
  <c r="AZ107" i="9"/>
  <c r="AZ96" i="9" s="1"/>
  <c r="AV107" i="9"/>
  <c r="AV82" i="9" s="1"/>
  <c r="AR107" i="9"/>
  <c r="AR104" i="9" s="1"/>
  <c r="AN107" i="9"/>
  <c r="AN90" i="9" s="1"/>
  <c r="AJ107" i="9"/>
  <c r="AJ104" i="9" s="1"/>
  <c r="AF107" i="9"/>
  <c r="AF74" i="9" s="1"/>
  <c r="AB107" i="9"/>
  <c r="AB106" i="9" s="1"/>
  <c r="CU107" i="9"/>
  <c r="CU106" i="9" s="1"/>
  <c r="CQ107" i="9"/>
  <c r="CQ96" i="9" s="1"/>
  <c r="CM107" i="9"/>
  <c r="CI107" i="9"/>
  <c r="CI92" i="9" s="1"/>
  <c r="CE107" i="9"/>
  <c r="CA107" i="9"/>
  <c r="CA96" i="9" s="1"/>
  <c r="BW107" i="9"/>
  <c r="BS107" i="9"/>
  <c r="BS92" i="9" s="1"/>
  <c r="BO107" i="9"/>
  <c r="BK107" i="9"/>
  <c r="BK96" i="9" s="1"/>
  <c r="BG107" i="9"/>
  <c r="BC107" i="9"/>
  <c r="BC92" i="9" s="1"/>
  <c r="AY107" i="9"/>
  <c r="AU107" i="9"/>
  <c r="AU96" i="9" s="1"/>
  <c r="AQ107" i="9"/>
  <c r="AM107" i="9"/>
  <c r="AM92" i="9" s="1"/>
  <c r="AI107" i="9"/>
  <c r="AE107" i="9"/>
  <c r="AE96" i="9" s="1"/>
  <c r="AA107" i="9"/>
  <c r="W107" i="9"/>
  <c r="W92" i="9" s="1"/>
  <c r="S107" i="9"/>
  <c r="R94" i="9"/>
  <c r="R102" i="9"/>
  <c r="CT107" i="9"/>
  <c r="CP107" i="9"/>
  <c r="CP96" i="9" s="1"/>
  <c r="CL107" i="9"/>
  <c r="CH107" i="9"/>
  <c r="CH100" i="9" s="1"/>
  <c r="CD107" i="9"/>
  <c r="BZ107" i="9"/>
  <c r="BZ96" i="9" s="1"/>
  <c r="BV107" i="9"/>
  <c r="BR107" i="9"/>
  <c r="BR92" i="9" s="1"/>
  <c r="BN107" i="9"/>
  <c r="BJ107" i="9"/>
  <c r="BJ96" i="9" s="1"/>
  <c r="BF107" i="9"/>
  <c r="BB107" i="9"/>
  <c r="BB92" i="9" s="1"/>
  <c r="AX107" i="9"/>
  <c r="AT107" i="9"/>
  <c r="AT96" i="9" s="1"/>
  <c r="AP107" i="9"/>
  <c r="AL107" i="9"/>
  <c r="AL92" i="9" s="1"/>
  <c r="AH107" i="9"/>
  <c r="Z107" i="9"/>
  <c r="Z94" i="9" s="1"/>
  <c r="T107" i="9"/>
  <c r="T84" i="9" s="1"/>
  <c r="X107" i="9"/>
  <c r="X78" i="9" s="1"/>
  <c r="P107" i="9"/>
  <c r="P94" i="9" s="1"/>
  <c r="Y107" i="9"/>
  <c r="U107" i="9"/>
  <c r="U90" i="9" s="1"/>
  <c r="AD107" i="9"/>
  <c r="Q107" i="9"/>
  <c r="Q96" i="9" s="1"/>
  <c r="CR118" i="9"/>
  <c r="CN118" i="9"/>
  <c r="CJ118" i="9"/>
  <c r="CF118" i="9"/>
  <c r="CB118" i="9"/>
  <c r="BX118" i="9"/>
  <c r="BT118" i="9"/>
  <c r="BP118" i="9"/>
  <c r="BL118" i="9"/>
  <c r="BH118" i="9"/>
  <c r="BD118" i="9"/>
  <c r="AZ118" i="9"/>
  <c r="AV118" i="9"/>
  <c r="AR118" i="9"/>
  <c r="AN118" i="9"/>
  <c r="AJ118" i="9"/>
  <c r="AF118" i="9"/>
  <c r="AB118" i="9"/>
  <c r="X118" i="9"/>
  <c r="T118" i="9"/>
  <c r="P118" i="9"/>
  <c r="CS119" i="9"/>
  <c r="CK119" i="9"/>
  <c r="CG119" i="9"/>
  <c r="CC119" i="9"/>
  <c r="BY119" i="9"/>
  <c r="BU119" i="9"/>
  <c r="BQ119" i="9"/>
  <c r="BM119" i="9"/>
  <c r="BI119" i="9"/>
  <c r="BE119" i="9"/>
  <c r="BA119" i="9"/>
  <c r="AW119" i="9"/>
  <c r="AS119" i="9"/>
  <c r="AO119" i="9"/>
  <c r="AK119" i="9"/>
  <c r="AG119" i="9"/>
  <c r="AC119" i="9"/>
  <c r="Y119" i="9"/>
  <c r="U119" i="9"/>
  <c r="Q119" i="9"/>
  <c r="R117" i="9"/>
  <c r="CU118" i="9"/>
  <c r="CQ118" i="9"/>
  <c r="CM118" i="9"/>
  <c r="CI118" i="9"/>
  <c r="CE118" i="9"/>
  <c r="CA118" i="9"/>
  <c r="BW118" i="9"/>
  <c r="BS118" i="9"/>
  <c r="BO118" i="9"/>
  <c r="BK118" i="9"/>
  <c r="BG118" i="9"/>
  <c r="BC118" i="9"/>
  <c r="AY118" i="9"/>
  <c r="AU118" i="9"/>
  <c r="AQ118" i="9"/>
  <c r="AM118" i="9"/>
  <c r="AI118" i="9"/>
  <c r="AE118" i="9"/>
  <c r="AA118" i="9"/>
  <c r="W118" i="9"/>
  <c r="S118" i="9"/>
  <c r="O118" i="9"/>
  <c r="N111" i="9"/>
  <c r="L4" i="13" s="1"/>
  <c r="N4" i="13" s="1"/>
  <c r="CP118" i="9"/>
  <c r="CL118" i="9"/>
  <c r="CH118" i="9"/>
  <c r="CD118" i="9"/>
  <c r="BZ118" i="9"/>
  <c r="BV118" i="9"/>
  <c r="BR118" i="9"/>
  <c r="BN118" i="9"/>
  <c r="BJ118" i="9"/>
  <c r="BF118" i="9"/>
  <c r="BB118" i="9"/>
  <c r="AX118" i="9"/>
  <c r="AT118" i="9"/>
  <c r="AP118" i="9"/>
  <c r="AL118" i="9"/>
  <c r="AH118" i="9"/>
  <c r="AD118" i="9"/>
  <c r="Z118" i="9"/>
  <c r="O119" i="9"/>
  <c r="BG63" i="9"/>
  <c r="BC63" i="9"/>
  <c r="AY63" i="9"/>
  <c r="AU63" i="9"/>
  <c r="AQ63" i="9"/>
  <c r="CU48" i="9"/>
  <c r="CQ48" i="9"/>
  <c r="CM48" i="9"/>
  <c r="CI48" i="9"/>
  <c r="CE48" i="9"/>
  <c r="CA48" i="9"/>
  <c r="BW48" i="9"/>
  <c r="BS48" i="9"/>
  <c r="BK48" i="9"/>
  <c r="BG48" i="9"/>
  <c r="BN63" i="9"/>
  <c r="BF63" i="9"/>
  <c r="AX63" i="9"/>
  <c r="AP63" i="9"/>
  <c r="CP48" i="9"/>
  <c r="CL48" i="9"/>
  <c r="CH48" i="9"/>
  <c r="CD48" i="9"/>
  <c r="BZ48" i="9"/>
  <c r="BV48" i="9"/>
  <c r="BR48" i="9"/>
  <c r="BN48" i="9"/>
  <c r="BJ48" i="9"/>
  <c r="BF48" i="9"/>
  <c r="BB48" i="9"/>
  <c r="AX48" i="9"/>
  <c r="AT48" i="9"/>
  <c r="AP48" i="9"/>
  <c r="AH48" i="9"/>
  <c r="AD48" i="9"/>
  <c r="Z48" i="9"/>
  <c r="R48" i="9"/>
  <c r="BQ63" i="9"/>
  <c r="BM63" i="9"/>
  <c r="BE63" i="9"/>
  <c r="BA63" i="9"/>
  <c r="AW63" i="9"/>
  <c r="AS63" i="9"/>
  <c r="AO63" i="9"/>
  <c r="AK63" i="9"/>
  <c r="AG63" i="9"/>
  <c r="AC63" i="9"/>
  <c r="CN48" i="9"/>
  <c r="CJ48" i="9"/>
  <c r="CF48" i="9"/>
  <c r="CB48" i="9"/>
  <c r="BX48" i="9"/>
  <c r="BT48" i="9"/>
  <c r="BP48" i="9"/>
  <c r="BH48" i="9"/>
  <c r="BD48" i="9"/>
  <c r="AZ48" i="9"/>
  <c r="AV48" i="9"/>
  <c r="AR48" i="9"/>
  <c r="AN48" i="9"/>
  <c r="AJ48" i="9"/>
  <c r="AF48" i="9"/>
  <c r="AB48" i="9"/>
  <c r="X48" i="9"/>
  <c r="T48" i="9"/>
  <c r="CP50" i="9"/>
  <c r="CL50" i="9"/>
  <c r="CH50" i="9"/>
  <c r="CD50" i="9"/>
  <c r="BZ50" i="9"/>
  <c r="BV50" i="9"/>
  <c r="BR50" i="9"/>
  <c r="BN50" i="9"/>
  <c r="BJ50" i="9"/>
  <c r="BF50" i="9"/>
  <c r="BB50" i="9"/>
  <c r="AX50" i="9"/>
  <c r="AT50" i="9"/>
  <c r="AP50" i="9"/>
  <c r="AH50" i="9"/>
  <c r="AM54" i="9"/>
  <c r="AM52" i="9"/>
  <c r="AM50" i="9"/>
  <c r="AI54" i="9"/>
  <c r="AI50" i="9"/>
  <c r="AE54" i="9"/>
  <c r="AE52" i="9"/>
  <c r="AE50" i="9"/>
  <c r="AA54" i="9"/>
  <c r="AA50" i="9"/>
  <c r="W54" i="9"/>
  <c r="W52" i="9"/>
  <c r="W50" i="9"/>
  <c r="S54" i="9"/>
  <c r="S50" i="9"/>
  <c r="BC48" i="9"/>
  <c r="AY48" i="9"/>
  <c r="AU48" i="9"/>
  <c r="AQ48" i="9"/>
  <c r="AM48" i="9"/>
  <c r="AI48" i="9"/>
  <c r="AE48" i="9"/>
  <c r="AA48" i="9"/>
  <c r="W48" i="9"/>
  <c r="S48" i="9"/>
  <c r="CS50" i="9"/>
  <c r="CK50" i="9"/>
  <c r="CG50" i="9"/>
  <c r="CC50" i="9"/>
  <c r="BY50" i="9"/>
  <c r="BQ50" i="9"/>
  <c r="BM50" i="9"/>
  <c r="BE50" i="9"/>
  <c r="BA50" i="9"/>
  <c r="AW50" i="9"/>
  <c r="AS50" i="9"/>
  <c r="AO50" i="9"/>
  <c r="AK50" i="9"/>
  <c r="AG50" i="9"/>
  <c r="AC50" i="9"/>
  <c r="Y50" i="9"/>
  <c r="Q50" i="9"/>
  <c r="BR56" i="9"/>
  <c r="BR54" i="9"/>
  <c r="BR52" i="9"/>
  <c r="BJ54" i="9"/>
  <c r="BJ52" i="9"/>
  <c r="BB56" i="9"/>
  <c r="BB54" i="9"/>
  <c r="BB52" i="9"/>
  <c r="AT54" i="9"/>
  <c r="AT52" i="9"/>
  <c r="AH56" i="9"/>
  <c r="AH54" i="9"/>
  <c r="AH52" i="9"/>
  <c r="AD56" i="9"/>
  <c r="AD54" i="9"/>
  <c r="AD50" i="9"/>
  <c r="AD52" i="9"/>
  <c r="Z56" i="9"/>
  <c r="Z54" i="9"/>
  <c r="Z52" i="9"/>
  <c r="R56" i="9"/>
  <c r="R54" i="9"/>
  <c r="R52" i="9"/>
  <c r="R50" i="9"/>
  <c r="O50" i="9"/>
  <c r="CN50" i="9"/>
  <c r="CJ50" i="9"/>
  <c r="CF50" i="9"/>
  <c r="CB50" i="9"/>
  <c r="BX50" i="9"/>
  <c r="BT50" i="9"/>
  <c r="BP50" i="9"/>
  <c r="BH50" i="9"/>
  <c r="BD50" i="9"/>
  <c r="AZ50" i="9"/>
  <c r="AV50" i="9"/>
  <c r="AR50" i="9"/>
  <c r="AN50" i="9"/>
  <c r="AJ50" i="9"/>
  <c r="AF50" i="9"/>
  <c r="AB50" i="9"/>
  <c r="X50" i="9"/>
  <c r="T50" i="9"/>
  <c r="Y61" i="9"/>
  <c r="Y56" i="9"/>
  <c r="Q61" i="9"/>
  <c r="Q56" i="9"/>
  <c r="CS48" i="9"/>
  <c r="CK48" i="9"/>
  <c r="CG48" i="9"/>
  <c r="CC48" i="9"/>
  <c r="BY48" i="9"/>
  <c r="BQ48" i="9"/>
  <c r="BM48" i="9"/>
  <c r="BE48" i="9"/>
  <c r="BA48" i="9"/>
  <c r="AW48" i="9"/>
  <c r="AS48" i="9"/>
  <c r="AO48" i="9"/>
  <c r="AK48" i="9"/>
  <c r="AG48" i="9"/>
  <c r="AC48" i="9"/>
  <c r="Y48" i="9"/>
  <c r="Q48" i="9"/>
  <c r="CU50" i="9"/>
  <c r="CQ50" i="9"/>
  <c r="CM50" i="9"/>
  <c r="CI50" i="9"/>
  <c r="CE50" i="9"/>
  <c r="CA50" i="9"/>
  <c r="BW50" i="9"/>
  <c r="BS50" i="9"/>
  <c r="BK50" i="9"/>
  <c r="O57" i="9"/>
  <c r="CR57" i="9"/>
  <c r="CN57" i="9"/>
  <c r="CN52" i="9"/>
  <c r="CJ57" i="9"/>
  <c r="CJ52" i="9"/>
  <c r="CF57" i="9"/>
  <c r="CF110" i="9" s="1"/>
  <c r="CF52" i="9"/>
  <c r="CB57" i="9"/>
  <c r="CB52" i="9"/>
  <c r="BX57" i="9"/>
  <c r="BX52" i="9"/>
  <c r="BT57" i="9"/>
  <c r="BT52" i="9"/>
  <c r="BP57" i="9"/>
  <c r="BP110" i="9" s="1"/>
  <c r="BP52" i="9"/>
  <c r="BL57" i="9"/>
  <c r="BH57" i="9"/>
  <c r="BH110" i="9" s="1"/>
  <c r="BH52" i="9"/>
  <c r="BD57" i="9"/>
  <c r="BD52" i="9"/>
  <c r="AZ57" i="9"/>
  <c r="AZ52" i="9"/>
  <c r="AV57" i="9"/>
  <c r="AV52" i="9"/>
  <c r="AR57" i="9"/>
  <c r="AR110" i="9" s="1"/>
  <c r="AR52" i="9"/>
  <c r="AN57" i="9"/>
  <c r="AN52" i="9"/>
  <c r="AJ57" i="9"/>
  <c r="AJ52" i="9"/>
  <c r="AF57" i="9"/>
  <c r="AF52" i="9"/>
  <c r="AB52" i="9"/>
  <c r="X57" i="9"/>
  <c r="X52" i="9"/>
  <c r="T57" i="9"/>
  <c r="T52" i="9"/>
  <c r="P57" i="9"/>
  <c r="CP52" i="9"/>
  <c r="CH52" i="9"/>
  <c r="BZ52" i="9"/>
  <c r="O54" i="9"/>
  <c r="N53" i="9"/>
  <c r="CN54" i="9"/>
  <c r="CJ54" i="9"/>
  <c r="CF54" i="9"/>
  <c r="CB54" i="9"/>
  <c r="BX54" i="9"/>
  <c r="BT54" i="9"/>
  <c r="BP54" i="9"/>
  <c r="BH54" i="9"/>
  <c r="BD54" i="9"/>
  <c r="AZ54" i="9"/>
  <c r="AV54" i="9"/>
  <c r="AR54" i="9"/>
  <c r="AN54" i="9"/>
  <c r="AJ54" i="9"/>
  <c r="AF54" i="9"/>
  <c r="AB54" i="9"/>
  <c r="X54" i="9"/>
  <c r="T54" i="9"/>
  <c r="CS56" i="9"/>
  <c r="CK56" i="9"/>
  <c r="CG56" i="9"/>
  <c r="CC56" i="9"/>
  <c r="BY56" i="9"/>
  <c r="BC58" i="9"/>
  <c r="AM58" i="9"/>
  <c r="AE59" i="9"/>
  <c r="W58" i="9"/>
  <c r="CU52" i="9"/>
  <c r="CM52" i="9"/>
  <c r="CE52" i="9"/>
  <c r="BW52" i="9"/>
  <c r="BG52" i="9"/>
  <c r="AY52" i="9"/>
  <c r="AQ52" i="9"/>
  <c r="AI52" i="9"/>
  <c r="AA52" i="9"/>
  <c r="S52" i="9"/>
  <c r="CU54" i="9"/>
  <c r="CQ54" i="9"/>
  <c r="CM54" i="9"/>
  <c r="CI54" i="9"/>
  <c r="CE54" i="9"/>
  <c r="CA54" i="9"/>
  <c r="BW54" i="9"/>
  <c r="BS54" i="9"/>
  <c r="BK54" i="9"/>
  <c r="BG54" i="9"/>
  <c r="BC54" i="9"/>
  <c r="AY54" i="9"/>
  <c r="AU54" i="9"/>
  <c r="AQ54" i="9"/>
  <c r="CP58" i="9"/>
  <c r="CL59" i="9"/>
  <c r="CD59" i="9"/>
  <c r="BZ58" i="9"/>
  <c r="BJ58" i="9"/>
  <c r="BF58" i="9"/>
  <c r="AT58" i="9"/>
  <c r="AH58" i="9"/>
  <c r="CL52" i="9"/>
  <c r="CD52" i="9"/>
  <c r="BV52" i="9"/>
  <c r="BN52" i="9"/>
  <c r="BF52" i="9"/>
  <c r="AX52" i="9"/>
  <c r="AP52" i="9"/>
  <c r="CP54" i="9"/>
  <c r="CL54" i="9"/>
  <c r="CH54" i="9"/>
  <c r="CD54" i="9"/>
  <c r="BZ54" i="9"/>
  <c r="BV54" i="9"/>
  <c r="O48" i="9"/>
  <c r="CS57" i="9"/>
  <c r="CS52" i="9"/>
  <c r="CK57" i="9"/>
  <c r="CK52" i="9"/>
  <c r="CG57" i="9"/>
  <c r="CG52" i="9"/>
  <c r="CC57" i="9"/>
  <c r="CC52" i="9"/>
  <c r="BY57" i="9"/>
  <c r="BY52" i="9"/>
  <c r="BU57" i="9"/>
  <c r="BQ57" i="9"/>
  <c r="BQ52" i="9"/>
  <c r="BM57" i="9"/>
  <c r="BM52" i="9"/>
  <c r="BI57" i="9"/>
  <c r="BI110" i="9" s="1"/>
  <c r="BE57" i="9"/>
  <c r="BE52" i="9"/>
  <c r="BA57" i="9"/>
  <c r="BA52" i="9"/>
  <c r="AW57" i="9"/>
  <c r="AW52" i="9"/>
  <c r="AS52" i="9"/>
  <c r="AS57" i="9"/>
  <c r="AS110" i="9" s="1"/>
  <c r="AO57" i="9"/>
  <c r="AO52" i="9"/>
  <c r="AK57" i="9"/>
  <c r="AK52" i="9"/>
  <c r="AG57" i="9"/>
  <c r="AG52" i="9"/>
  <c r="AC57" i="9"/>
  <c r="AC52" i="9"/>
  <c r="Y57" i="9"/>
  <c r="Y52" i="9"/>
  <c r="U57" i="9"/>
  <c r="Q57" i="9"/>
  <c r="Q52" i="9"/>
  <c r="CQ52" i="9"/>
  <c r="CI52" i="9"/>
  <c r="CA52" i="9"/>
  <c r="BS52" i="9"/>
  <c r="BK52" i="9"/>
  <c r="BC52" i="9"/>
  <c r="AU52" i="9"/>
  <c r="O52" i="9"/>
  <c r="CS54" i="9"/>
  <c r="CK54" i="9"/>
  <c r="CG54" i="9"/>
  <c r="CC54" i="9"/>
  <c r="BY54" i="9"/>
  <c r="BQ54" i="9"/>
  <c r="BM54" i="9"/>
  <c r="BE54" i="9"/>
  <c r="BA54" i="9"/>
  <c r="AW54" i="9"/>
  <c r="AS54" i="9"/>
  <c r="AO54" i="9"/>
  <c r="AK54" i="9"/>
  <c r="AG54" i="9"/>
  <c r="AC54" i="9"/>
  <c r="Y54" i="9"/>
  <c r="Q54" i="9"/>
  <c r="CP56" i="9"/>
  <c r="CL56" i="9"/>
  <c r="CH56" i="9"/>
  <c r="CD56" i="9"/>
  <c r="BZ56" i="9"/>
  <c r="BV56" i="9"/>
  <c r="BN56" i="9"/>
  <c r="BJ56" i="9"/>
  <c r="BF56" i="9"/>
  <c r="AX56" i="9"/>
  <c r="AT56" i="9"/>
  <c r="AP56" i="9"/>
  <c r="O56" i="9"/>
  <c r="CN56" i="9"/>
  <c r="CJ56" i="9"/>
  <c r="CF56" i="9"/>
  <c r="CB56" i="9"/>
  <c r="BX56" i="9"/>
  <c r="BT56" i="9"/>
  <c r="BP56" i="9"/>
  <c r="BH56" i="9"/>
  <c r="BD56" i="9"/>
  <c r="AZ56" i="9"/>
  <c r="AV56" i="9"/>
  <c r="AR56" i="9"/>
  <c r="AN56" i="9"/>
  <c r="AJ56" i="9"/>
  <c r="AF56" i="9"/>
  <c r="X56" i="9"/>
  <c r="T56" i="9"/>
  <c r="CU56" i="9"/>
  <c r="CQ56" i="9"/>
  <c r="CM56" i="9"/>
  <c r="CI56" i="9"/>
  <c r="CE56" i="9"/>
  <c r="CA56" i="9"/>
  <c r="BW56" i="9"/>
  <c r="BS56" i="9"/>
  <c r="BK56" i="9"/>
  <c r="BG56" i="9"/>
  <c r="BC56" i="9"/>
  <c r="AY56" i="9"/>
  <c r="AU56" i="9"/>
  <c r="AQ56" i="9"/>
  <c r="AM56" i="9"/>
  <c r="AI56" i="9"/>
  <c r="AE56" i="9"/>
  <c r="AA56" i="9"/>
  <c r="W56" i="9"/>
  <c r="S56" i="9"/>
  <c r="BQ56" i="9"/>
  <c r="BM56" i="9"/>
  <c r="BE56" i="9"/>
  <c r="BA56" i="9"/>
  <c r="AW56" i="9"/>
  <c r="AS56" i="9"/>
  <c r="AO56" i="9"/>
  <c r="AK56" i="9"/>
  <c r="AG56" i="9"/>
  <c r="AC56" i="9"/>
  <c r="CU61" i="9"/>
  <c r="CQ61" i="9"/>
  <c r="CM61" i="9"/>
  <c r="CI61" i="9"/>
  <c r="CE61" i="9"/>
  <c r="CA61" i="9"/>
  <c r="BW61" i="9"/>
  <c r="BS61" i="9"/>
  <c r="CP61" i="9"/>
  <c r="CL61" i="9"/>
  <c r="CH61" i="9"/>
  <c r="CD61" i="9"/>
  <c r="BZ61" i="9"/>
  <c r="BV61" i="9"/>
  <c r="BR61" i="9"/>
  <c r="BN61" i="9"/>
  <c r="BJ61" i="9"/>
  <c r="BF61" i="9"/>
  <c r="BB61" i="9"/>
  <c r="AX61" i="9"/>
  <c r="AT61" i="9"/>
  <c r="AP61" i="9"/>
  <c r="AH61" i="9"/>
  <c r="AD61" i="9"/>
  <c r="Z61" i="9"/>
  <c r="R61" i="9"/>
  <c r="CS61" i="9"/>
  <c r="CK61" i="9"/>
  <c r="CG61" i="9"/>
  <c r="CC61" i="9"/>
  <c r="BY61" i="9"/>
  <c r="O61" i="9"/>
  <c r="N60" i="9"/>
  <c r="CN61" i="9"/>
  <c r="CJ61" i="9"/>
  <c r="CF61" i="9"/>
  <c r="CB61" i="9"/>
  <c r="BX61" i="9"/>
  <c r="BT61" i="9"/>
  <c r="BP61" i="9"/>
  <c r="BH61" i="9"/>
  <c r="BD61" i="9"/>
  <c r="AZ61" i="9"/>
  <c r="AV61" i="9"/>
  <c r="AR61" i="9"/>
  <c r="AN61" i="9"/>
  <c r="AJ61" i="9"/>
  <c r="AF61" i="9"/>
  <c r="AB61" i="9"/>
  <c r="X61" i="9"/>
  <c r="T61" i="9"/>
  <c r="BK61" i="9"/>
  <c r="BG61" i="9"/>
  <c r="BC61" i="9"/>
  <c r="AY61" i="9"/>
  <c r="AU61" i="9"/>
  <c r="AQ61" i="9"/>
  <c r="AM61" i="9"/>
  <c r="AI61" i="9"/>
  <c r="AE61" i="9"/>
  <c r="AA61" i="9"/>
  <c r="W61" i="9"/>
  <c r="S61" i="9"/>
  <c r="N18" i="9"/>
  <c r="I29" i="13" s="1"/>
  <c r="K29" i="13" s="1"/>
  <c r="N19" i="9"/>
  <c r="I31" i="13" s="1"/>
  <c r="K31" i="13" s="1"/>
  <c r="N17" i="9"/>
  <c r="I30" i="13" s="1"/>
  <c r="K30" i="13" s="1"/>
  <c r="O14" i="9"/>
  <c r="P10" i="9"/>
  <c r="Q10" i="9"/>
  <c r="Q14" i="9" s="1"/>
  <c r="R10" i="9"/>
  <c r="R14" i="9" s="1"/>
  <c r="S10" i="9"/>
  <c r="S14" i="9" s="1"/>
  <c r="T10" i="9"/>
  <c r="T14" i="9" s="1"/>
  <c r="U10" i="9"/>
  <c r="U14" i="9" s="1"/>
  <c r="V10" i="9"/>
  <c r="V14" i="9" s="1"/>
  <c r="W10" i="9"/>
  <c r="W14" i="9" s="1"/>
  <c r="X10" i="9"/>
  <c r="X14" i="9" s="1"/>
  <c r="Y10" i="9"/>
  <c r="Y14" i="9" s="1"/>
  <c r="Z10" i="9"/>
  <c r="Z14" i="9" s="1"/>
  <c r="AA10" i="9"/>
  <c r="AA14" i="9" s="1"/>
  <c r="AB10" i="9"/>
  <c r="AB14" i="9" s="1"/>
  <c r="AC10" i="9"/>
  <c r="AC14" i="9" s="1"/>
  <c r="AD10" i="9"/>
  <c r="AD14" i="9" s="1"/>
  <c r="AE10" i="9"/>
  <c r="AE14" i="9" s="1"/>
  <c r="AF10" i="9"/>
  <c r="AF14" i="9" s="1"/>
  <c r="AG10" i="9"/>
  <c r="AG14" i="9" s="1"/>
  <c r="AH10" i="9"/>
  <c r="AH14" i="9" s="1"/>
  <c r="AI10" i="9"/>
  <c r="AI14" i="9" s="1"/>
  <c r="AJ10" i="9"/>
  <c r="AJ14" i="9" s="1"/>
  <c r="AK10" i="9"/>
  <c r="AK14" i="9" s="1"/>
  <c r="AL10" i="9"/>
  <c r="AL14" i="9" s="1"/>
  <c r="AM10" i="9"/>
  <c r="AM14" i="9" s="1"/>
  <c r="AN10" i="9"/>
  <c r="AN14" i="9" s="1"/>
  <c r="AO10" i="9"/>
  <c r="AO14" i="9" s="1"/>
  <c r="AP10" i="9"/>
  <c r="AP14" i="9" s="1"/>
  <c r="AQ10" i="9"/>
  <c r="AQ14" i="9" s="1"/>
  <c r="AR10" i="9"/>
  <c r="AR14" i="9" s="1"/>
  <c r="AS10" i="9"/>
  <c r="AS14" i="9" s="1"/>
  <c r="AT10" i="9"/>
  <c r="AT14" i="9" s="1"/>
  <c r="AU10" i="9"/>
  <c r="AU14" i="9" s="1"/>
  <c r="AV10" i="9"/>
  <c r="AV14" i="9" s="1"/>
  <c r="AW10" i="9"/>
  <c r="AW14" i="9" s="1"/>
  <c r="AX10" i="9"/>
  <c r="AX14" i="9" s="1"/>
  <c r="AY10" i="9"/>
  <c r="AY14" i="9" s="1"/>
  <c r="AZ10" i="9"/>
  <c r="AZ14" i="9" s="1"/>
  <c r="BA10" i="9"/>
  <c r="BA14" i="9" s="1"/>
  <c r="BB10" i="9"/>
  <c r="BB14" i="9" s="1"/>
  <c r="BC10" i="9"/>
  <c r="BC14" i="9" s="1"/>
  <c r="BD10" i="9"/>
  <c r="BD14" i="9" s="1"/>
  <c r="BE10" i="9"/>
  <c r="BE14" i="9" s="1"/>
  <c r="BF10" i="9"/>
  <c r="BF14" i="9" s="1"/>
  <c r="BG10" i="9"/>
  <c r="BG14" i="9" s="1"/>
  <c r="BH10" i="9"/>
  <c r="BH14" i="9" s="1"/>
  <c r="BI10" i="9"/>
  <c r="BI14" i="9" s="1"/>
  <c r="BJ10" i="9"/>
  <c r="BJ14" i="9" s="1"/>
  <c r="BK10" i="9"/>
  <c r="BK14" i="9" s="1"/>
  <c r="BL10" i="9"/>
  <c r="BL14" i="9" s="1"/>
  <c r="BM10" i="9"/>
  <c r="BM14" i="9" s="1"/>
  <c r="BN10" i="9"/>
  <c r="BN14" i="9" s="1"/>
  <c r="BO10" i="9"/>
  <c r="BO14" i="9" s="1"/>
  <c r="BP10" i="9"/>
  <c r="BP14" i="9" s="1"/>
  <c r="BQ10" i="9"/>
  <c r="BQ14" i="9" s="1"/>
  <c r="BR10" i="9"/>
  <c r="BR14" i="9" s="1"/>
  <c r="BS10" i="9"/>
  <c r="BS14" i="9" s="1"/>
  <c r="BT10" i="9"/>
  <c r="BT14" i="9" s="1"/>
  <c r="BU10" i="9"/>
  <c r="BU14" i="9" s="1"/>
  <c r="BV10" i="9"/>
  <c r="BV14" i="9" s="1"/>
  <c r="BW10" i="9"/>
  <c r="BW14" i="9" s="1"/>
  <c r="BX10" i="9"/>
  <c r="BX14" i="9" s="1"/>
  <c r="BY10" i="9"/>
  <c r="BY14" i="9" s="1"/>
  <c r="BZ10" i="9"/>
  <c r="BZ14" i="9" s="1"/>
  <c r="CA10" i="9"/>
  <c r="CA14" i="9" s="1"/>
  <c r="CB10" i="9"/>
  <c r="CB14" i="9" s="1"/>
  <c r="CC10" i="9"/>
  <c r="CC14" i="9" s="1"/>
  <c r="CD10" i="9"/>
  <c r="CD14" i="9" s="1"/>
  <c r="CE10" i="9"/>
  <c r="CE14" i="9" s="1"/>
  <c r="CF10" i="9"/>
  <c r="CF14" i="9" s="1"/>
  <c r="CG10" i="9"/>
  <c r="CG14" i="9" s="1"/>
  <c r="CH10" i="9"/>
  <c r="CH14" i="9" s="1"/>
  <c r="CI10" i="9"/>
  <c r="CI14" i="9" s="1"/>
  <c r="CJ10" i="9"/>
  <c r="CJ14" i="9" s="1"/>
  <c r="CK10" i="9"/>
  <c r="CK14" i="9" s="1"/>
  <c r="CL10" i="9"/>
  <c r="CL14" i="9" s="1"/>
  <c r="CM10" i="9"/>
  <c r="CM14" i="9" s="1"/>
  <c r="CN10" i="9"/>
  <c r="CN14" i="9" s="1"/>
  <c r="CO10" i="9"/>
  <c r="CO14" i="9" s="1"/>
  <c r="CP10" i="9"/>
  <c r="CP14" i="9" s="1"/>
  <c r="CQ10" i="9"/>
  <c r="CQ14" i="9" s="1"/>
  <c r="CR10" i="9"/>
  <c r="CR14" i="9" s="1"/>
  <c r="CS10" i="9"/>
  <c r="CS14" i="9" s="1"/>
  <c r="CT10" i="9"/>
  <c r="CT14" i="9" s="1"/>
  <c r="CU10" i="9"/>
  <c r="CU14" i="9" s="1"/>
  <c r="U231" i="4"/>
  <c r="V231" i="4"/>
  <c r="W231" i="4"/>
  <c r="X231" i="4"/>
  <c r="Y231" i="4"/>
  <c r="Z231" i="4"/>
  <c r="AA231" i="4"/>
  <c r="AB231" i="4"/>
  <c r="AC231" i="4"/>
  <c r="AD231" i="4"/>
  <c r="AE231" i="4"/>
  <c r="AF231" i="4"/>
  <c r="AG231" i="4"/>
  <c r="AH231" i="4"/>
  <c r="AI231" i="4"/>
  <c r="AK231" i="4"/>
  <c r="AL231" i="4"/>
  <c r="AM231" i="4"/>
  <c r="AN231" i="4"/>
  <c r="AO231" i="4"/>
  <c r="AP231" i="4"/>
  <c r="AQ231" i="4"/>
  <c r="AR231" i="4"/>
  <c r="AS231" i="4"/>
  <c r="AT231" i="4"/>
  <c r="AU231" i="4"/>
  <c r="AV231" i="4"/>
  <c r="AW231" i="4"/>
  <c r="AX231" i="4"/>
  <c r="AY231" i="4"/>
  <c r="AZ231" i="4"/>
  <c r="BA231" i="4"/>
  <c r="BB231" i="4"/>
  <c r="BC231" i="4"/>
  <c r="BD231" i="4"/>
  <c r="BE231" i="4"/>
  <c r="BF231" i="4"/>
  <c r="BG231" i="4"/>
  <c r="BH231" i="4"/>
  <c r="BI231" i="4"/>
  <c r="BJ231" i="4"/>
  <c r="BK231" i="4"/>
  <c r="BL231" i="4"/>
  <c r="BM231" i="4"/>
  <c r="BN231" i="4"/>
  <c r="BO231" i="4"/>
  <c r="BP231" i="4"/>
  <c r="BQ231" i="4"/>
  <c r="BR231" i="4"/>
  <c r="BT231" i="4"/>
  <c r="BU231" i="4"/>
  <c r="BV231" i="4"/>
  <c r="BW231" i="4"/>
  <c r="BX231" i="4"/>
  <c r="BY231" i="4"/>
  <c r="BZ231" i="4"/>
  <c r="CA231" i="4"/>
  <c r="CB231" i="4"/>
  <c r="CC231" i="4"/>
  <c r="CD231" i="4"/>
  <c r="CE231" i="4"/>
  <c r="CF231" i="4"/>
  <c r="CG231" i="4"/>
  <c r="CH231" i="4"/>
  <c r="CI231" i="4"/>
  <c r="CJ231" i="4"/>
  <c r="CK231" i="4"/>
  <c r="CL231" i="4"/>
  <c r="CM231" i="4"/>
  <c r="CN231" i="4"/>
  <c r="CO231" i="4"/>
  <c r="CQ231" i="4"/>
  <c r="CR231" i="4"/>
  <c r="CS231" i="4"/>
  <c r="CT231" i="4"/>
  <c r="CV231" i="4"/>
  <c r="Q231" i="4"/>
  <c r="R231" i="4"/>
  <c r="S231" i="4"/>
  <c r="P231" i="4"/>
  <c r="U164" i="4"/>
  <c r="V164" i="4"/>
  <c r="W164" i="4"/>
  <c r="X164" i="4"/>
  <c r="Y164" i="4"/>
  <c r="Z164" i="4"/>
  <c r="AD164" i="4"/>
  <c r="AE164" i="4"/>
  <c r="AF164" i="4"/>
  <c r="AG164" i="4"/>
  <c r="AH164" i="4"/>
  <c r="AI164" i="4"/>
  <c r="AJ164" i="4"/>
  <c r="AL164" i="4"/>
  <c r="AM164" i="4"/>
  <c r="AN164" i="4"/>
  <c r="AO164" i="4"/>
  <c r="AQ164" i="4"/>
  <c r="AR164" i="4"/>
  <c r="AS164" i="4"/>
  <c r="AT164" i="4"/>
  <c r="AU164" i="4"/>
  <c r="AV164" i="4"/>
  <c r="AW164" i="4"/>
  <c r="AX164" i="4"/>
  <c r="AY164" i="4"/>
  <c r="AZ164" i="4"/>
  <c r="BA164" i="4"/>
  <c r="BB164" i="4"/>
  <c r="BC164" i="4"/>
  <c r="BD164" i="4"/>
  <c r="BE164" i="4"/>
  <c r="BF164" i="4"/>
  <c r="BG164" i="4"/>
  <c r="BH164" i="4"/>
  <c r="BJ164" i="4"/>
  <c r="BK164" i="4"/>
  <c r="BL164" i="4"/>
  <c r="BM164" i="4"/>
  <c r="BO164" i="4"/>
  <c r="BQ164" i="4"/>
  <c r="BS164" i="4"/>
  <c r="BU164" i="4"/>
  <c r="BW164" i="4"/>
  <c r="BX164" i="4"/>
  <c r="BY164" i="4"/>
  <c r="CA164" i="4"/>
  <c r="CB164" i="4"/>
  <c r="CC164" i="4"/>
  <c r="CD164" i="4"/>
  <c r="CE164" i="4"/>
  <c r="CF164" i="4"/>
  <c r="CG164" i="4"/>
  <c r="CH164" i="4"/>
  <c r="CI164" i="4"/>
  <c r="CJ164" i="4"/>
  <c r="CL164" i="4"/>
  <c r="CM164" i="4"/>
  <c r="CN164" i="4"/>
  <c r="CO164" i="4"/>
  <c r="CP164" i="4"/>
  <c r="CQ164" i="4"/>
  <c r="CR164" i="4"/>
  <c r="CT164" i="4"/>
  <c r="CU164" i="4"/>
  <c r="CV164" i="4"/>
  <c r="R164" i="4"/>
  <c r="S164" i="4"/>
  <c r="T164" i="4"/>
  <c r="P164" i="4"/>
  <c r="Q132" i="4"/>
  <c r="R132" i="4"/>
  <c r="S132" i="4"/>
  <c r="T132" i="4"/>
  <c r="U132" i="4"/>
  <c r="V132" i="4"/>
  <c r="W132" i="4"/>
  <c r="X132" i="4"/>
  <c r="Y132" i="4"/>
  <c r="Z132" i="4"/>
  <c r="AA132" i="4"/>
  <c r="AB132" i="4"/>
  <c r="AC132" i="4"/>
  <c r="AD132" i="4"/>
  <c r="AE132" i="4"/>
  <c r="AF132" i="4"/>
  <c r="AG132" i="4"/>
  <c r="AH132" i="4"/>
  <c r="AI132" i="4"/>
  <c r="AJ132" i="4"/>
  <c r="AK132" i="4"/>
  <c r="AL132" i="4"/>
  <c r="AM132" i="4"/>
  <c r="AN132" i="4"/>
  <c r="AO132" i="4"/>
  <c r="AP132" i="4"/>
  <c r="AQ132" i="4"/>
  <c r="AR132" i="4"/>
  <c r="AS132" i="4"/>
  <c r="AT132" i="4"/>
  <c r="AU132" i="4"/>
  <c r="AV132" i="4"/>
  <c r="AW132" i="4"/>
  <c r="AX132" i="4"/>
  <c r="AY132" i="4"/>
  <c r="AZ132" i="4"/>
  <c r="BA132" i="4"/>
  <c r="BB132" i="4"/>
  <c r="BC132" i="4"/>
  <c r="BD132" i="4"/>
  <c r="BE132" i="4"/>
  <c r="BF132" i="4"/>
  <c r="BG132" i="4"/>
  <c r="BH132" i="4"/>
  <c r="BI132" i="4"/>
  <c r="BJ132" i="4"/>
  <c r="BK132" i="4"/>
  <c r="BL132" i="4"/>
  <c r="BM132" i="4"/>
  <c r="BN132" i="4"/>
  <c r="BO132" i="4"/>
  <c r="BP132" i="4"/>
  <c r="BQ132" i="4"/>
  <c r="BR132" i="4"/>
  <c r="BS132" i="4"/>
  <c r="BT132" i="4"/>
  <c r="BU132" i="4"/>
  <c r="BV132" i="4"/>
  <c r="BW132" i="4"/>
  <c r="BX132" i="4"/>
  <c r="BY132" i="4"/>
  <c r="BZ132" i="4"/>
  <c r="CA132" i="4"/>
  <c r="CB132" i="4"/>
  <c r="CC132" i="4"/>
  <c r="CD132" i="4"/>
  <c r="CE132" i="4"/>
  <c r="CF132" i="4"/>
  <c r="CG132" i="4"/>
  <c r="CH132" i="4"/>
  <c r="CI132" i="4"/>
  <c r="CJ132" i="4"/>
  <c r="CK132" i="4"/>
  <c r="CL132" i="4"/>
  <c r="CM132" i="4"/>
  <c r="CN132" i="4"/>
  <c r="CO132" i="4"/>
  <c r="CP132" i="4"/>
  <c r="CQ132" i="4"/>
  <c r="CR132" i="4"/>
  <c r="CS132" i="4"/>
  <c r="CT132" i="4"/>
  <c r="CU132" i="4"/>
  <c r="CV132" i="4"/>
  <c r="P132" i="4"/>
  <c r="P131" i="4"/>
  <c r="Q131" i="4"/>
  <c r="R131" i="4"/>
  <c r="S131" i="4"/>
  <c r="T131" i="4"/>
  <c r="U131" i="4"/>
  <c r="V131" i="4"/>
  <c r="W131" i="4"/>
  <c r="X131" i="4"/>
  <c r="Y131" i="4"/>
  <c r="Z131" i="4"/>
  <c r="AA131" i="4"/>
  <c r="AB131" i="4"/>
  <c r="AC131" i="4"/>
  <c r="AD131" i="4"/>
  <c r="AE131" i="4"/>
  <c r="AF131" i="4"/>
  <c r="AG131" i="4"/>
  <c r="AH131" i="4"/>
  <c r="AI131" i="4"/>
  <c r="AJ131" i="4"/>
  <c r="AK131" i="4"/>
  <c r="AL131" i="4"/>
  <c r="AM131" i="4"/>
  <c r="AN131" i="4"/>
  <c r="AO131" i="4"/>
  <c r="AP131" i="4"/>
  <c r="AQ131" i="4"/>
  <c r="AR131" i="4"/>
  <c r="AS131" i="4"/>
  <c r="AT131" i="4"/>
  <c r="AU131" i="4"/>
  <c r="AV131" i="4"/>
  <c r="AW131" i="4"/>
  <c r="AX131" i="4"/>
  <c r="AY131" i="4"/>
  <c r="AZ131" i="4"/>
  <c r="BA131" i="4"/>
  <c r="BB131" i="4"/>
  <c r="BC131" i="4"/>
  <c r="BD131" i="4"/>
  <c r="BE131" i="4"/>
  <c r="BF131" i="4"/>
  <c r="BG131" i="4"/>
  <c r="BH131" i="4"/>
  <c r="BI131" i="4"/>
  <c r="BJ131" i="4"/>
  <c r="BK131" i="4"/>
  <c r="BL131" i="4"/>
  <c r="BM131" i="4"/>
  <c r="BN131" i="4"/>
  <c r="BO131" i="4"/>
  <c r="BP131" i="4"/>
  <c r="BQ131" i="4"/>
  <c r="BR131" i="4"/>
  <c r="BS131" i="4"/>
  <c r="BT131" i="4"/>
  <c r="BU131" i="4"/>
  <c r="BV131" i="4"/>
  <c r="BW131" i="4"/>
  <c r="BX131" i="4"/>
  <c r="BY131" i="4"/>
  <c r="BZ131" i="4"/>
  <c r="CA131" i="4"/>
  <c r="CB131" i="4"/>
  <c r="CC131" i="4"/>
  <c r="CD131" i="4"/>
  <c r="CE131" i="4"/>
  <c r="CF131" i="4"/>
  <c r="CG131" i="4"/>
  <c r="CH131" i="4"/>
  <c r="CI131" i="4"/>
  <c r="CJ131" i="4"/>
  <c r="CK131" i="4"/>
  <c r="CL131" i="4"/>
  <c r="CM131" i="4"/>
  <c r="CN131" i="4"/>
  <c r="CO131" i="4"/>
  <c r="CP131" i="4"/>
  <c r="CQ131" i="4"/>
  <c r="CR131" i="4"/>
  <c r="CS131" i="4"/>
  <c r="CT131" i="4"/>
  <c r="CU131" i="4"/>
  <c r="CV131" i="4"/>
  <c r="P130" i="4"/>
  <c r="Q130" i="4"/>
  <c r="R130" i="4"/>
  <c r="S130" i="4"/>
  <c r="T130" i="4"/>
  <c r="U130" i="4"/>
  <c r="V130" i="4"/>
  <c r="W130" i="4"/>
  <c r="X130" i="4"/>
  <c r="Y130" i="4"/>
  <c r="Z130" i="4"/>
  <c r="AA130" i="4"/>
  <c r="AB130" i="4"/>
  <c r="AC130" i="4"/>
  <c r="AD130" i="4"/>
  <c r="AE130" i="4"/>
  <c r="AF130" i="4"/>
  <c r="AG130" i="4"/>
  <c r="AH130" i="4"/>
  <c r="AI130" i="4"/>
  <c r="AJ130" i="4"/>
  <c r="AK130" i="4"/>
  <c r="AL130" i="4"/>
  <c r="AM130" i="4"/>
  <c r="AN130" i="4"/>
  <c r="AO130" i="4"/>
  <c r="AP130" i="4"/>
  <c r="AQ130" i="4"/>
  <c r="AR130" i="4"/>
  <c r="AS130" i="4"/>
  <c r="AT130" i="4"/>
  <c r="AU130" i="4"/>
  <c r="AV130" i="4"/>
  <c r="AW130" i="4"/>
  <c r="AX130" i="4"/>
  <c r="AY130" i="4"/>
  <c r="AZ130" i="4"/>
  <c r="BA130" i="4"/>
  <c r="BB130" i="4"/>
  <c r="BC130" i="4"/>
  <c r="BD130" i="4"/>
  <c r="BE130" i="4"/>
  <c r="BF130" i="4"/>
  <c r="BG130" i="4"/>
  <c r="BH130" i="4"/>
  <c r="BI130" i="4"/>
  <c r="BJ130" i="4"/>
  <c r="BK130" i="4"/>
  <c r="BL130" i="4"/>
  <c r="BM130" i="4"/>
  <c r="BN130" i="4"/>
  <c r="BO130" i="4"/>
  <c r="BP130" i="4"/>
  <c r="BQ130" i="4"/>
  <c r="BR130" i="4"/>
  <c r="BS130" i="4"/>
  <c r="BT130" i="4"/>
  <c r="BU130" i="4"/>
  <c r="BV130" i="4"/>
  <c r="BW130" i="4"/>
  <c r="BX130" i="4"/>
  <c r="BY130" i="4"/>
  <c r="BZ130" i="4"/>
  <c r="CA130" i="4"/>
  <c r="CB130" i="4"/>
  <c r="CC130" i="4"/>
  <c r="CD130" i="4"/>
  <c r="CE130" i="4"/>
  <c r="CF130" i="4"/>
  <c r="CG130" i="4"/>
  <c r="CH130" i="4"/>
  <c r="CI130" i="4"/>
  <c r="CJ130" i="4"/>
  <c r="CK130" i="4"/>
  <c r="CL130" i="4"/>
  <c r="CM130" i="4"/>
  <c r="CN130" i="4"/>
  <c r="CO130" i="4"/>
  <c r="CP130" i="4"/>
  <c r="CQ130" i="4"/>
  <c r="CR130" i="4"/>
  <c r="CS130" i="4"/>
  <c r="CT130" i="4"/>
  <c r="CU130" i="4"/>
  <c r="CV130" i="4"/>
  <c r="Q83" i="4"/>
  <c r="R83" i="4"/>
  <c r="S83" i="4"/>
  <c r="T83" i="4"/>
  <c r="U83" i="4"/>
  <c r="V83" i="4"/>
  <c r="W83" i="4"/>
  <c r="X83" i="4"/>
  <c r="Y83" i="4"/>
  <c r="Z83" i="4"/>
  <c r="AD83" i="4"/>
  <c r="AE83" i="4"/>
  <c r="AF83" i="4"/>
  <c r="AG83" i="4"/>
  <c r="AH83" i="4"/>
  <c r="AI83" i="4"/>
  <c r="AJ83" i="4"/>
  <c r="AL83" i="4"/>
  <c r="AM83" i="4"/>
  <c r="AN83" i="4"/>
  <c r="AO83" i="4"/>
  <c r="AQ83" i="4"/>
  <c r="AR83" i="4"/>
  <c r="AS83" i="4"/>
  <c r="AT83" i="4"/>
  <c r="AU83" i="4"/>
  <c r="AV83" i="4"/>
  <c r="AW83" i="4"/>
  <c r="AX83" i="4"/>
  <c r="AY83" i="4"/>
  <c r="AZ83" i="4"/>
  <c r="BA83" i="4"/>
  <c r="BB83" i="4"/>
  <c r="BC83" i="4"/>
  <c r="BD83" i="4"/>
  <c r="BE83" i="4"/>
  <c r="BF83" i="4"/>
  <c r="BG83" i="4"/>
  <c r="BH83" i="4"/>
  <c r="BJ83" i="4"/>
  <c r="BK83" i="4"/>
  <c r="BL83" i="4"/>
  <c r="BM83" i="4"/>
  <c r="BO83" i="4"/>
  <c r="BQ83" i="4"/>
  <c r="BS83" i="4"/>
  <c r="BU83" i="4"/>
  <c r="BW83" i="4"/>
  <c r="BX83" i="4"/>
  <c r="BY83" i="4"/>
  <c r="CA83" i="4"/>
  <c r="CB83" i="4"/>
  <c r="CC83" i="4"/>
  <c r="CD83" i="4"/>
  <c r="CE83" i="4"/>
  <c r="CF83" i="4"/>
  <c r="CG83" i="4"/>
  <c r="CH83" i="4"/>
  <c r="CI83" i="4"/>
  <c r="CJ83" i="4"/>
  <c r="CL83" i="4"/>
  <c r="CM83" i="4"/>
  <c r="CN83" i="4"/>
  <c r="CO83" i="4"/>
  <c r="CP83" i="4"/>
  <c r="CQ83" i="4"/>
  <c r="CR83" i="4"/>
  <c r="CT83" i="4"/>
  <c r="CU83" i="4"/>
  <c r="CV83" i="4"/>
  <c r="P83" i="4"/>
  <c r="R82" i="4"/>
  <c r="S82" i="4"/>
  <c r="T82" i="4"/>
  <c r="U82" i="4"/>
  <c r="V82" i="4"/>
  <c r="W82" i="4"/>
  <c r="X82" i="4"/>
  <c r="Y82" i="4"/>
  <c r="Z82" i="4"/>
  <c r="AA82" i="4"/>
  <c r="AB82" i="4"/>
  <c r="AC82" i="4"/>
  <c r="AD82" i="4"/>
  <c r="AE82" i="4"/>
  <c r="AF82" i="4"/>
  <c r="AG82" i="4"/>
  <c r="AH82" i="4"/>
  <c r="AI82" i="4"/>
  <c r="AJ82" i="4"/>
  <c r="AK82" i="4"/>
  <c r="AL82" i="4"/>
  <c r="AM82" i="4"/>
  <c r="AN82" i="4"/>
  <c r="AO82" i="4"/>
  <c r="AP82" i="4"/>
  <c r="AQ82" i="4"/>
  <c r="AR82" i="4"/>
  <c r="AS82" i="4"/>
  <c r="AT82" i="4"/>
  <c r="AU82" i="4"/>
  <c r="AV82" i="4"/>
  <c r="AW82" i="4"/>
  <c r="AX82" i="4"/>
  <c r="AY82" i="4"/>
  <c r="AZ82" i="4"/>
  <c r="BA82" i="4"/>
  <c r="BB82" i="4"/>
  <c r="BC82" i="4"/>
  <c r="BD82" i="4"/>
  <c r="BE82" i="4"/>
  <c r="BF82" i="4"/>
  <c r="BG82" i="4"/>
  <c r="BH82" i="4"/>
  <c r="BI82" i="4"/>
  <c r="BJ82" i="4"/>
  <c r="BK82" i="4"/>
  <c r="BL82" i="4"/>
  <c r="BM82" i="4"/>
  <c r="BN82" i="4"/>
  <c r="BO82" i="4"/>
  <c r="BP82" i="4"/>
  <c r="BQ82" i="4"/>
  <c r="BR82" i="4"/>
  <c r="BS82" i="4"/>
  <c r="BT82" i="4"/>
  <c r="BU82" i="4"/>
  <c r="BW82" i="4"/>
  <c r="BX82" i="4"/>
  <c r="BY82" i="4"/>
  <c r="BZ82" i="4"/>
  <c r="CA82" i="4"/>
  <c r="CB82" i="4"/>
  <c r="CC82" i="4"/>
  <c r="CD82" i="4"/>
  <c r="CE82" i="4"/>
  <c r="CF82" i="4"/>
  <c r="CG82" i="4"/>
  <c r="CH82" i="4"/>
  <c r="CI82" i="4"/>
  <c r="CJ82" i="4"/>
  <c r="CK82" i="4"/>
  <c r="CL82" i="4"/>
  <c r="CM82" i="4"/>
  <c r="CN82" i="4"/>
  <c r="CO82" i="4"/>
  <c r="CP82" i="4"/>
  <c r="CQ82" i="4"/>
  <c r="CR82" i="4"/>
  <c r="CS82" i="4"/>
  <c r="CT82" i="4"/>
  <c r="CU82" i="4"/>
  <c r="CV82" i="4"/>
  <c r="P82" i="4"/>
  <c r="Q58" i="4"/>
  <c r="R58" i="4"/>
  <c r="S58" i="4"/>
  <c r="T58" i="4"/>
  <c r="U58" i="4"/>
  <c r="V58" i="4"/>
  <c r="W58" i="4"/>
  <c r="X58" i="4"/>
  <c r="Y58" i="4"/>
  <c r="Z58" i="4"/>
  <c r="AA58" i="4"/>
  <c r="AB58" i="4"/>
  <c r="AC58" i="4"/>
  <c r="AD58" i="4"/>
  <c r="AE58" i="4"/>
  <c r="AF58" i="4"/>
  <c r="AG58" i="4"/>
  <c r="AH58" i="4"/>
  <c r="AI58" i="4"/>
  <c r="AJ58" i="4"/>
  <c r="AK58" i="4"/>
  <c r="AL58" i="4"/>
  <c r="AM58" i="4"/>
  <c r="AN58" i="4"/>
  <c r="AO58" i="4"/>
  <c r="AP58" i="4"/>
  <c r="AQ58" i="4"/>
  <c r="AR58" i="4"/>
  <c r="AS58" i="4"/>
  <c r="AT58" i="4"/>
  <c r="AU58" i="4"/>
  <c r="AV58" i="4"/>
  <c r="AW58" i="4"/>
  <c r="AX58" i="4"/>
  <c r="AY58" i="4"/>
  <c r="AZ58" i="4"/>
  <c r="BA58" i="4"/>
  <c r="BB58" i="4"/>
  <c r="BC58" i="4"/>
  <c r="BD58" i="4"/>
  <c r="BE58" i="4"/>
  <c r="BF58" i="4"/>
  <c r="BG58" i="4"/>
  <c r="BH58" i="4"/>
  <c r="BI58" i="4"/>
  <c r="BJ58" i="4"/>
  <c r="BK58" i="4"/>
  <c r="BL58" i="4"/>
  <c r="BM58" i="4"/>
  <c r="BN58" i="4"/>
  <c r="BO58" i="4"/>
  <c r="BP58" i="4"/>
  <c r="BQ58" i="4"/>
  <c r="BR58" i="4"/>
  <c r="BS58" i="4"/>
  <c r="BT58" i="4"/>
  <c r="BU58" i="4"/>
  <c r="BV58" i="4"/>
  <c r="BW58" i="4"/>
  <c r="BX58" i="4"/>
  <c r="BY58" i="4"/>
  <c r="CA58" i="4"/>
  <c r="CB58" i="4"/>
  <c r="CC58" i="4"/>
  <c r="CD58" i="4"/>
  <c r="CE58" i="4"/>
  <c r="CF58" i="4"/>
  <c r="CG58" i="4"/>
  <c r="CH58" i="4"/>
  <c r="CI58" i="4"/>
  <c r="CJ58" i="4"/>
  <c r="CK58" i="4"/>
  <c r="CL58" i="4"/>
  <c r="CM58" i="4"/>
  <c r="CN58" i="4"/>
  <c r="CO58" i="4"/>
  <c r="CP58" i="4"/>
  <c r="CQ58" i="4"/>
  <c r="CR58" i="4"/>
  <c r="CS58" i="4"/>
  <c r="CT58" i="4"/>
  <c r="CU58" i="4"/>
  <c r="CV58" i="4"/>
  <c r="Q57" i="4"/>
  <c r="R57" i="4"/>
  <c r="S57" i="4"/>
  <c r="T57" i="4"/>
  <c r="U57" i="4"/>
  <c r="V57" i="4"/>
  <c r="W57" i="4"/>
  <c r="X57" i="4"/>
  <c r="Y57" i="4"/>
  <c r="Z57" i="4"/>
  <c r="AA57" i="4"/>
  <c r="AB57" i="4"/>
  <c r="AC57" i="4"/>
  <c r="AD57" i="4"/>
  <c r="AE57" i="4"/>
  <c r="AF57" i="4"/>
  <c r="AG57" i="4"/>
  <c r="AH57" i="4"/>
  <c r="AI57" i="4"/>
  <c r="AJ57" i="4"/>
  <c r="AK57" i="4"/>
  <c r="AL57" i="4"/>
  <c r="AM57" i="4"/>
  <c r="AN57" i="4"/>
  <c r="AO57" i="4"/>
  <c r="AP57" i="4"/>
  <c r="AQ57" i="4"/>
  <c r="AR57" i="4"/>
  <c r="AS57" i="4"/>
  <c r="AT57" i="4"/>
  <c r="AU57" i="4"/>
  <c r="AV57" i="4"/>
  <c r="AW57" i="4"/>
  <c r="AX57" i="4"/>
  <c r="AY57" i="4"/>
  <c r="AZ57" i="4"/>
  <c r="BA57" i="4"/>
  <c r="BB57" i="4"/>
  <c r="BC57" i="4"/>
  <c r="BD57" i="4"/>
  <c r="BE57" i="4"/>
  <c r="BF57" i="4"/>
  <c r="BG57" i="4"/>
  <c r="BH57" i="4"/>
  <c r="BI57" i="4"/>
  <c r="BJ57" i="4"/>
  <c r="BK57" i="4"/>
  <c r="BL57" i="4"/>
  <c r="BM57" i="4"/>
  <c r="BN57" i="4"/>
  <c r="BO57" i="4"/>
  <c r="BP57" i="4"/>
  <c r="BQ57" i="4"/>
  <c r="BR57" i="4"/>
  <c r="BS57" i="4"/>
  <c r="BT57" i="4"/>
  <c r="BU57" i="4"/>
  <c r="BV57" i="4"/>
  <c r="BW57" i="4"/>
  <c r="BX57" i="4"/>
  <c r="BY57" i="4"/>
  <c r="BZ57" i="4"/>
  <c r="CA57" i="4"/>
  <c r="CB57" i="4"/>
  <c r="CC57" i="4"/>
  <c r="CD57" i="4"/>
  <c r="CE57" i="4"/>
  <c r="CF57" i="4"/>
  <c r="CG57" i="4"/>
  <c r="CH57" i="4"/>
  <c r="CI57" i="4"/>
  <c r="CJ57" i="4"/>
  <c r="CK57" i="4"/>
  <c r="CL57" i="4"/>
  <c r="CM57" i="4"/>
  <c r="CN57" i="4"/>
  <c r="CO57" i="4"/>
  <c r="CP57" i="4"/>
  <c r="CQ57" i="4"/>
  <c r="CR57" i="4"/>
  <c r="CS57" i="4"/>
  <c r="CT57" i="4"/>
  <c r="CU57" i="4"/>
  <c r="CV57"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T56" i="4"/>
  <c r="CU56" i="4"/>
  <c r="CV56" i="4"/>
  <c r="Q55" i="4"/>
  <c r="R55" i="4"/>
  <c r="S55" i="4"/>
  <c r="T55" i="4"/>
  <c r="U55" i="4"/>
  <c r="V55" i="4"/>
  <c r="W55" i="4"/>
  <c r="X55" i="4"/>
  <c r="Y55" i="4"/>
  <c r="Z55" i="4"/>
  <c r="AA55" i="4"/>
  <c r="AB55" i="4"/>
  <c r="AC55" i="4"/>
  <c r="AD55" i="4"/>
  <c r="AE55" i="4"/>
  <c r="AF55" i="4"/>
  <c r="AG55" i="4"/>
  <c r="AH55" i="4"/>
  <c r="AI55" i="4"/>
  <c r="AJ55" i="4"/>
  <c r="AK55" i="4"/>
  <c r="AL55" i="4"/>
  <c r="AM55" i="4"/>
  <c r="AN55" i="4"/>
  <c r="AO55" i="4"/>
  <c r="AP55" i="4"/>
  <c r="AQ55" i="4"/>
  <c r="AR55" i="4"/>
  <c r="AS55" i="4"/>
  <c r="AT55" i="4"/>
  <c r="AU55" i="4"/>
  <c r="AV55" i="4"/>
  <c r="AW55" i="4"/>
  <c r="AX55" i="4"/>
  <c r="AY55" i="4"/>
  <c r="AZ55" i="4"/>
  <c r="BA55" i="4"/>
  <c r="BB55" i="4"/>
  <c r="BC55" i="4"/>
  <c r="BD55" i="4"/>
  <c r="BE55" i="4"/>
  <c r="BF55" i="4"/>
  <c r="BG55" i="4"/>
  <c r="BH55" i="4"/>
  <c r="BI55" i="4"/>
  <c r="BJ55" i="4"/>
  <c r="BK55" i="4"/>
  <c r="BL55" i="4"/>
  <c r="BM55" i="4"/>
  <c r="BN55" i="4"/>
  <c r="BO55" i="4"/>
  <c r="BP55" i="4"/>
  <c r="BQ55" i="4"/>
  <c r="BR55" i="4"/>
  <c r="BS55" i="4"/>
  <c r="BT55" i="4"/>
  <c r="BU55" i="4"/>
  <c r="BV55" i="4"/>
  <c r="BW55" i="4"/>
  <c r="BX55" i="4"/>
  <c r="BY55" i="4"/>
  <c r="BZ55" i="4"/>
  <c r="CA55" i="4"/>
  <c r="CB55" i="4"/>
  <c r="CC55" i="4"/>
  <c r="CD55" i="4"/>
  <c r="CE55" i="4"/>
  <c r="CF55" i="4"/>
  <c r="CG55" i="4"/>
  <c r="CH55" i="4"/>
  <c r="CI55" i="4"/>
  <c r="CJ55" i="4"/>
  <c r="CK55" i="4"/>
  <c r="CL55" i="4"/>
  <c r="CM55" i="4"/>
  <c r="CN55" i="4"/>
  <c r="CO55" i="4"/>
  <c r="CP55" i="4"/>
  <c r="CQ55" i="4"/>
  <c r="CR55" i="4"/>
  <c r="CS55" i="4"/>
  <c r="CT55" i="4"/>
  <c r="CU55" i="4"/>
  <c r="CV55" i="4"/>
  <c r="Q54" i="4"/>
  <c r="R54" i="4"/>
  <c r="S54" i="4"/>
  <c r="T54" i="4"/>
  <c r="U54" i="4"/>
  <c r="V54" i="4"/>
  <c r="W54" i="4"/>
  <c r="X54" i="4"/>
  <c r="Y54" i="4"/>
  <c r="Z54" i="4"/>
  <c r="AA54" i="4"/>
  <c r="AB54" i="4"/>
  <c r="AC54" i="4"/>
  <c r="AD54" i="4"/>
  <c r="AE54" i="4"/>
  <c r="AF54" i="4"/>
  <c r="AG54" i="4"/>
  <c r="AH54" i="4"/>
  <c r="AI54" i="4"/>
  <c r="AJ54" i="4"/>
  <c r="AK54" i="4"/>
  <c r="AL54" i="4"/>
  <c r="AM54" i="4"/>
  <c r="AN54" i="4"/>
  <c r="AO54" i="4"/>
  <c r="AP54" i="4"/>
  <c r="AQ54" i="4"/>
  <c r="AR54" i="4"/>
  <c r="AS54" i="4"/>
  <c r="AT54" i="4"/>
  <c r="AU54" i="4"/>
  <c r="AV54" i="4"/>
  <c r="AW54" i="4"/>
  <c r="AX54" i="4"/>
  <c r="AY54" i="4"/>
  <c r="AZ54" i="4"/>
  <c r="BA54" i="4"/>
  <c r="BB54" i="4"/>
  <c r="BC54" i="4"/>
  <c r="BD54" i="4"/>
  <c r="BE54" i="4"/>
  <c r="BF54" i="4"/>
  <c r="BG54" i="4"/>
  <c r="BH54" i="4"/>
  <c r="BI54" i="4"/>
  <c r="BJ54" i="4"/>
  <c r="BK54" i="4"/>
  <c r="BL54" i="4"/>
  <c r="BM54" i="4"/>
  <c r="BN54" i="4"/>
  <c r="BO54" i="4"/>
  <c r="BP54" i="4"/>
  <c r="BQ54" i="4"/>
  <c r="BR54" i="4"/>
  <c r="BS54" i="4"/>
  <c r="BT54" i="4"/>
  <c r="BU54" i="4"/>
  <c r="BV54" i="4"/>
  <c r="BW54" i="4"/>
  <c r="BX54" i="4"/>
  <c r="BY54" i="4"/>
  <c r="BZ54" i="4"/>
  <c r="CA54" i="4"/>
  <c r="CB54" i="4"/>
  <c r="CC54" i="4"/>
  <c r="CD54" i="4"/>
  <c r="CE54" i="4"/>
  <c r="CF54" i="4"/>
  <c r="CG54" i="4"/>
  <c r="CH54" i="4"/>
  <c r="CI54" i="4"/>
  <c r="CJ54" i="4"/>
  <c r="CK54" i="4"/>
  <c r="CL54" i="4"/>
  <c r="CM54" i="4"/>
  <c r="CN54" i="4"/>
  <c r="CO54" i="4"/>
  <c r="CP54" i="4"/>
  <c r="CQ54" i="4"/>
  <c r="CR54" i="4"/>
  <c r="CS54" i="4"/>
  <c r="CT54" i="4"/>
  <c r="CU54" i="4"/>
  <c r="CV54" i="4"/>
  <c r="Q53" i="4"/>
  <c r="R53" i="4"/>
  <c r="S53" i="4"/>
  <c r="T53" i="4"/>
  <c r="U53" i="4"/>
  <c r="V53" i="4"/>
  <c r="W53" i="4"/>
  <c r="X53" i="4"/>
  <c r="Y53" i="4"/>
  <c r="Z53" i="4"/>
  <c r="AA53" i="4"/>
  <c r="AB53" i="4"/>
  <c r="AC53" i="4"/>
  <c r="AD53" i="4"/>
  <c r="AE53" i="4"/>
  <c r="AF53" i="4"/>
  <c r="AG53" i="4"/>
  <c r="AH53" i="4"/>
  <c r="AI53" i="4"/>
  <c r="AJ53" i="4"/>
  <c r="AK53" i="4"/>
  <c r="AL53" i="4"/>
  <c r="AM53" i="4"/>
  <c r="AN53" i="4"/>
  <c r="AO53" i="4"/>
  <c r="AP53" i="4"/>
  <c r="AQ53" i="4"/>
  <c r="AR53" i="4"/>
  <c r="AS53" i="4"/>
  <c r="AT53" i="4"/>
  <c r="AU53" i="4"/>
  <c r="AV53" i="4"/>
  <c r="AW53" i="4"/>
  <c r="AX53" i="4"/>
  <c r="AY53" i="4"/>
  <c r="AZ53" i="4"/>
  <c r="BA53" i="4"/>
  <c r="BB53" i="4"/>
  <c r="BC53" i="4"/>
  <c r="BD53" i="4"/>
  <c r="BE53" i="4"/>
  <c r="BF53" i="4"/>
  <c r="BG53" i="4"/>
  <c r="BH53" i="4"/>
  <c r="BI53" i="4"/>
  <c r="BJ53" i="4"/>
  <c r="BK53" i="4"/>
  <c r="BL53" i="4"/>
  <c r="BM53" i="4"/>
  <c r="BN53" i="4"/>
  <c r="BO53" i="4"/>
  <c r="BP53" i="4"/>
  <c r="BQ53" i="4"/>
  <c r="BR53" i="4"/>
  <c r="BS53" i="4"/>
  <c r="BT53" i="4"/>
  <c r="BU53" i="4"/>
  <c r="BV53" i="4"/>
  <c r="BW53" i="4"/>
  <c r="BX53" i="4"/>
  <c r="BY53" i="4"/>
  <c r="BZ53" i="4"/>
  <c r="CA53" i="4"/>
  <c r="CB53" i="4"/>
  <c r="CC53" i="4"/>
  <c r="CD53" i="4"/>
  <c r="CE53" i="4"/>
  <c r="CF53" i="4"/>
  <c r="CG53" i="4"/>
  <c r="CH53" i="4"/>
  <c r="CI53" i="4"/>
  <c r="CJ53" i="4"/>
  <c r="CK53" i="4"/>
  <c r="CL53" i="4"/>
  <c r="CM53" i="4"/>
  <c r="CN53" i="4"/>
  <c r="CO53" i="4"/>
  <c r="CP53" i="4"/>
  <c r="CQ53" i="4"/>
  <c r="CR53" i="4"/>
  <c r="CS53" i="4"/>
  <c r="CT53" i="4"/>
  <c r="CU53" i="4"/>
  <c r="CV53" i="4"/>
  <c r="P58" i="4"/>
  <c r="P57" i="4"/>
  <c r="P56" i="4"/>
  <c r="P55" i="4"/>
  <c r="P54" i="4"/>
  <c r="P53" i="4"/>
  <c r="P52" i="4"/>
  <c r="AD52" i="4"/>
  <c r="AE52" i="4"/>
  <c r="AF52" i="4"/>
  <c r="AG52" i="4"/>
  <c r="AH52" i="4"/>
  <c r="AI52" i="4"/>
  <c r="AJ52" i="4"/>
  <c r="AK52" i="4"/>
  <c r="AL52" i="4"/>
  <c r="AM52" i="4"/>
  <c r="AN52" i="4"/>
  <c r="AO52" i="4"/>
  <c r="AP52" i="4"/>
  <c r="AQ52" i="4"/>
  <c r="AR52" i="4"/>
  <c r="AS52" i="4"/>
  <c r="AT52" i="4"/>
  <c r="AU52" i="4"/>
  <c r="AV52" i="4"/>
  <c r="AW52" i="4"/>
  <c r="AX52" i="4"/>
  <c r="AY52" i="4"/>
  <c r="AZ52" i="4"/>
  <c r="BA52" i="4"/>
  <c r="BB52" i="4"/>
  <c r="BC52" i="4"/>
  <c r="BD52" i="4"/>
  <c r="BE52" i="4"/>
  <c r="BF52" i="4"/>
  <c r="BG52" i="4"/>
  <c r="BH52" i="4"/>
  <c r="BI52" i="4"/>
  <c r="BJ52" i="4"/>
  <c r="BK52" i="4"/>
  <c r="BL52" i="4"/>
  <c r="BM52" i="4"/>
  <c r="BN52" i="4"/>
  <c r="BO52" i="4"/>
  <c r="BP52" i="4"/>
  <c r="BQ52" i="4"/>
  <c r="BR52" i="4"/>
  <c r="BS52" i="4"/>
  <c r="BT52" i="4"/>
  <c r="BU52" i="4"/>
  <c r="BV52" i="4"/>
  <c r="BW52" i="4"/>
  <c r="BX52" i="4"/>
  <c r="BY52" i="4"/>
  <c r="BZ52" i="4"/>
  <c r="CA52" i="4"/>
  <c r="CB52" i="4"/>
  <c r="CC52" i="4"/>
  <c r="CD52" i="4"/>
  <c r="CE52" i="4"/>
  <c r="CF52" i="4"/>
  <c r="CG52" i="4"/>
  <c r="CH52" i="4"/>
  <c r="CI52" i="4"/>
  <c r="CJ52" i="4"/>
  <c r="CK52" i="4"/>
  <c r="CL52" i="4"/>
  <c r="CM52" i="4"/>
  <c r="CN52" i="4"/>
  <c r="CO52" i="4"/>
  <c r="CP52" i="4"/>
  <c r="CQ52" i="4"/>
  <c r="CR52" i="4"/>
  <c r="CS52" i="4"/>
  <c r="CT52" i="4"/>
  <c r="CV52" i="4"/>
  <c r="S52" i="4"/>
  <c r="T52" i="4"/>
  <c r="U52" i="4"/>
  <c r="V52" i="4"/>
  <c r="W52" i="4"/>
  <c r="X52" i="4"/>
  <c r="Y52" i="4"/>
  <c r="Z52" i="4"/>
  <c r="AA52" i="4"/>
  <c r="AB52" i="4"/>
  <c r="AC52" i="4"/>
  <c r="Q52" i="4"/>
  <c r="R52" i="4"/>
  <c r="P38" i="4"/>
  <c r="Q42" i="4"/>
  <c r="R42" i="4"/>
  <c r="S42" i="4"/>
  <c r="T42" i="4"/>
  <c r="U42" i="4"/>
  <c r="V42" i="4"/>
  <c r="W42" i="4"/>
  <c r="X42" i="4"/>
  <c r="Y42" i="4"/>
  <c r="Z42" i="4"/>
  <c r="AA42" i="4"/>
  <c r="AB42" i="4"/>
  <c r="AC42" i="4"/>
  <c r="AD42" i="4"/>
  <c r="AE42" i="4"/>
  <c r="AF42" i="4"/>
  <c r="AG42" i="4"/>
  <c r="AH42" i="4"/>
  <c r="AI42" i="4"/>
  <c r="AJ42" i="4"/>
  <c r="AK42" i="4"/>
  <c r="AL42" i="4"/>
  <c r="AM42" i="4"/>
  <c r="AN42" i="4"/>
  <c r="AO42" i="4"/>
  <c r="AP42" i="4"/>
  <c r="AQ42" i="4"/>
  <c r="AR42" i="4"/>
  <c r="AS42" i="4"/>
  <c r="AT42" i="4"/>
  <c r="AU42" i="4"/>
  <c r="AV42" i="4"/>
  <c r="AW42" i="4"/>
  <c r="AX42" i="4"/>
  <c r="AY42" i="4"/>
  <c r="AZ42" i="4"/>
  <c r="BA42" i="4"/>
  <c r="BB42" i="4"/>
  <c r="BC42" i="4"/>
  <c r="BD42" i="4"/>
  <c r="BE42" i="4"/>
  <c r="BF42" i="4"/>
  <c r="BG42" i="4"/>
  <c r="BH42" i="4"/>
  <c r="BI42" i="4"/>
  <c r="BJ42" i="4"/>
  <c r="BK42" i="4"/>
  <c r="BL42" i="4"/>
  <c r="BM42" i="4"/>
  <c r="BN42" i="4"/>
  <c r="BO42" i="4"/>
  <c r="BP42" i="4"/>
  <c r="BQ42" i="4"/>
  <c r="BR42" i="4"/>
  <c r="BS42" i="4"/>
  <c r="BT42" i="4"/>
  <c r="BU42" i="4"/>
  <c r="BV42" i="4"/>
  <c r="BW42" i="4"/>
  <c r="BX42" i="4"/>
  <c r="BY42" i="4"/>
  <c r="CA42" i="4"/>
  <c r="CB42" i="4"/>
  <c r="CC42" i="4"/>
  <c r="CD42" i="4"/>
  <c r="CE42" i="4"/>
  <c r="CF42" i="4"/>
  <c r="CG42" i="4"/>
  <c r="CH42" i="4"/>
  <c r="CI42" i="4"/>
  <c r="CJ42" i="4"/>
  <c r="CK42" i="4"/>
  <c r="CL42" i="4"/>
  <c r="CM42" i="4"/>
  <c r="CN42" i="4"/>
  <c r="CO42" i="4"/>
  <c r="CP42" i="4"/>
  <c r="CQ42" i="4"/>
  <c r="CR42" i="4"/>
  <c r="CS42" i="4"/>
  <c r="CT42" i="4"/>
  <c r="CU42" i="4"/>
  <c r="CV42" i="4"/>
  <c r="Q41" i="4"/>
  <c r="R41" i="4"/>
  <c r="S41" i="4"/>
  <c r="T41" i="4"/>
  <c r="U41" i="4"/>
  <c r="V41" i="4"/>
  <c r="W41" i="4"/>
  <c r="X41" i="4"/>
  <c r="Y41" i="4"/>
  <c r="Z41" i="4"/>
  <c r="AA41" i="4"/>
  <c r="AB41" i="4"/>
  <c r="AC41" i="4"/>
  <c r="AD41" i="4"/>
  <c r="AE41" i="4"/>
  <c r="AF41" i="4"/>
  <c r="AG41" i="4"/>
  <c r="AH41" i="4"/>
  <c r="AI41" i="4"/>
  <c r="AJ41" i="4"/>
  <c r="AK41" i="4"/>
  <c r="AL41" i="4"/>
  <c r="AM41" i="4"/>
  <c r="AN41" i="4"/>
  <c r="AO41" i="4"/>
  <c r="AP41" i="4"/>
  <c r="AQ41" i="4"/>
  <c r="AR41" i="4"/>
  <c r="AS41" i="4"/>
  <c r="AT41" i="4"/>
  <c r="AU41" i="4"/>
  <c r="AV41" i="4"/>
  <c r="AW41" i="4"/>
  <c r="AX41" i="4"/>
  <c r="AY41" i="4"/>
  <c r="AZ41" i="4"/>
  <c r="BA41" i="4"/>
  <c r="BB41" i="4"/>
  <c r="BC41" i="4"/>
  <c r="BD41" i="4"/>
  <c r="BE41" i="4"/>
  <c r="BF41" i="4"/>
  <c r="BG41" i="4"/>
  <c r="BH41" i="4"/>
  <c r="BI41" i="4"/>
  <c r="BJ41" i="4"/>
  <c r="BK41" i="4"/>
  <c r="BL41" i="4"/>
  <c r="BM41" i="4"/>
  <c r="BN41" i="4"/>
  <c r="BO41" i="4"/>
  <c r="BP41" i="4"/>
  <c r="BQ41" i="4"/>
  <c r="BR41" i="4"/>
  <c r="BS41" i="4"/>
  <c r="BT41" i="4"/>
  <c r="BU41" i="4"/>
  <c r="BV41" i="4"/>
  <c r="BW41" i="4"/>
  <c r="BX41" i="4"/>
  <c r="BY41" i="4"/>
  <c r="BZ41" i="4"/>
  <c r="CA41" i="4"/>
  <c r="CB41" i="4"/>
  <c r="CC41" i="4"/>
  <c r="CD41" i="4"/>
  <c r="CE41" i="4"/>
  <c r="CF41" i="4"/>
  <c r="CG41" i="4"/>
  <c r="CH41" i="4"/>
  <c r="CI41" i="4"/>
  <c r="CJ41" i="4"/>
  <c r="CK41" i="4"/>
  <c r="CL41" i="4"/>
  <c r="CM41" i="4"/>
  <c r="CN41" i="4"/>
  <c r="CO41" i="4"/>
  <c r="CP41" i="4"/>
  <c r="CQ41" i="4"/>
  <c r="CR41" i="4"/>
  <c r="CS41" i="4"/>
  <c r="CT41" i="4"/>
  <c r="CU41" i="4"/>
  <c r="CV41" i="4"/>
  <c r="P42" i="4"/>
  <c r="P41" i="4"/>
  <c r="Q40" i="4"/>
  <c r="R40" i="4"/>
  <c r="S40" i="4"/>
  <c r="T40" i="4"/>
  <c r="U40" i="4"/>
  <c r="V40" i="4"/>
  <c r="W40" i="4"/>
  <c r="X40" i="4"/>
  <c r="Y40" i="4"/>
  <c r="Z40" i="4"/>
  <c r="AA40" i="4"/>
  <c r="AB40" i="4"/>
  <c r="AC40" i="4"/>
  <c r="AD40" i="4"/>
  <c r="AE40" i="4"/>
  <c r="AF40" i="4"/>
  <c r="AG40" i="4"/>
  <c r="AH40" i="4"/>
  <c r="AI40" i="4"/>
  <c r="AJ40" i="4"/>
  <c r="AK40" i="4"/>
  <c r="AL40" i="4"/>
  <c r="AM40" i="4"/>
  <c r="AN40" i="4"/>
  <c r="AO40" i="4"/>
  <c r="AP40" i="4"/>
  <c r="AQ40" i="4"/>
  <c r="AR40" i="4"/>
  <c r="AS40" i="4"/>
  <c r="AT40" i="4"/>
  <c r="AU40" i="4"/>
  <c r="AV40" i="4"/>
  <c r="AW40" i="4"/>
  <c r="AX40" i="4"/>
  <c r="AY40" i="4"/>
  <c r="AZ40" i="4"/>
  <c r="BA40" i="4"/>
  <c r="BB40" i="4"/>
  <c r="BC40" i="4"/>
  <c r="BD40" i="4"/>
  <c r="BE40" i="4"/>
  <c r="BF40" i="4"/>
  <c r="BG40" i="4"/>
  <c r="BH40" i="4"/>
  <c r="BI40" i="4"/>
  <c r="BJ40" i="4"/>
  <c r="BK40" i="4"/>
  <c r="BL40" i="4"/>
  <c r="BM40" i="4"/>
  <c r="BN40" i="4"/>
  <c r="BO40" i="4"/>
  <c r="BP40" i="4"/>
  <c r="BQ40" i="4"/>
  <c r="BR40" i="4"/>
  <c r="BS40" i="4"/>
  <c r="BT40" i="4"/>
  <c r="BU40" i="4"/>
  <c r="BV40" i="4"/>
  <c r="BW40" i="4"/>
  <c r="BX40" i="4"/>
  <c r="BY40" i="4"/>
  <c r="BZ40" i="4"/>
  <c r="CA40" i="4"/>
  <c r="CB40" i="4"/>
  <c r="CC40" i="4"/>
  <c r="CD40" i="4"/>
  <c r="CE40" i="4"/>
  <c r="CF40" i="4"/>
  <c r="CG40" i="4"/>
  <c r="CH40" i="4"/>
  <c r="CI40" i="4"/>
  <c r="CJ40" i="4"/>
  <c r="CK40" i="4"/>
  <c r="CL40" i="4"/>
  <c r="CM40" i="4"/>
  <c r="CN40" i="4"/>
  <c r="CO40" i="4"/>
  <c r="CP40" i="4"/>
  <c r="CQ40" i="4"/>
  <c r="CR40" i="4"/>
  <c r="CS40" i="4"/>
  <c r="CT40" i="4"/>
  <c r="CU40" i="4"/>
  <c r="CV40" i="4"/>
  <c r="P40" i="4"/>
  <c r="Q39" i="4"/>
  <c r="R39" i="4"/>
  <c r="S39" i="4"/>
  <c r="T39" i="4"/>
  <c r="U39" i="4"/>
  <c r="V39" i="4"/>
  <c r="W39" i="4"/>
  <c r="X39" i="4"/>
  <c r="Y39" i="4"/>
  <c r="Z39" i="4"/>
  <c r="AA39" i="4"/>
  <c r="AB39" i="4"/>
  <c r="AC39" i="4"/>
  <c r="AD39" i="4"/>
  <c r="AE39" i="4"/>
  <c r="AF39" i="4"/>
  <c r="AG39" i="4"/>
  <c r="AH39" i="4"/>
  <c r="AI39" i="4"/>
  <c r="AJ39" i="4"/>
  <c r="AK39" i="4"/>
  <c r="AL39" i="4"/>
  <c r="AM39" i="4"/>
  <c r="AN39" i="4"/>
  <c r="AO39" i="4"/>
  <c r="AP39" i="4"/>
  <c r="AQ39" i="4"/>
  <c r="AR39" i="4"/>
  <c r="AS39" i="4"/>
  <c r="AT39" i="4"/>
  <c r="AU39" i="4"/>
  <c r="AV39" i="4"/>
  <c r="AW39" i="4"/>
  <c r="AX39" i="4"/>
  <c r="AY39" i="4"/>
  <c r="AZ39" i="4"/>
  <c r="BA39" i="4"/>
  <c r="BB39" i="4"/>
  <c r="BC39" i="4"/>
  <c r="BD39" i="4"/>
  <c r="BE39" i="4"/>
  <c r="BF39" i="4"/>
  <c r="BG39" i="4"/>
  <c r="BH39" i="4"/>
  <c r="BI39" i="4"/>
  <c r="BJ39" i="4"/>
  <c r="BK39" i="4"/>
  <c r="BL39" i="4"/>
  <c r="BM39" i="4"/>
  <c r="BN39" i="4"/>
  <c r="BO39" i="4"/>
  <c r="BP39" i="4"/>
  <c r="BQ39" i="4"/>
  <c r="BR39" i="4"/>
  <c r="BS39" i="4"/>
  <c r="BT39" i="4"/>
  <c r="BU39" i="4"/>
  <c r="BV39" i="4"/>
  <c r="BW39" i="4"/>
  <c r="BX39" i="4"/>
  <c r="BY39" i="4"/>
  <c r="BZ39" i="4"/>
  <c r="CA39" i="4"/>
  <c r="CB39" i="4"/>
  <c r="CC39" i="4"/>
  <c r="CD39" i="4"/>
  <c r="CE39" i="4"/>
  <c r="CF39" i="4"/>
  <c r="CG39" i="4"/>
  <c r="CH39" i="4"/>
  <c r="CI39" i="4"/>
  <c r="CJ39" i="4"/>
  <c r="CK39" i="4"/>
  <c r="CL39" i="4"/>
  <c r="CM39" i="4"/>
  <c r="CN39" i="4"/>
  <c r="CO39" i="4"/>
  <c r="CP39" i="4"/>
  <c r="CQ39" i="4"/>
  <c r="CR39" i="4"/>
  <c r="CS39" i="4"/>
  <c r="CT39" i="4"/>
  <c r="CU39" i="4"/>
  <c r="CV39" i="4"/>
  <c r="P39" i="4"/>
  <c r="Q38" i="4"/>
  <c r="R38" i="4"/>
  <c r="S38" i="4"/>
  <c r="T38" i="4"/>
  <c r="U38" i="4"/>
  <c r="V38" i="4"/>
  <c r="W38" i="4"/>
  <c r="X38" i="4"/>
  <c r="Y38" i="4"/>
  <c r="Z38" i="4"/>
  <c r="AA38" i="4"/>
  <c r="AB38" i="4"/>
  <c r="AC38" i="4"/>
  <c r="AD38" i="4"/>
  <c r="AE38" i="4"/>
  <c r="AF38" i="4"/>
  <c r="AG38" i="4"/>
  <c r="AH38" i="4"/>
  <c r="AI38" i="4"/>
  <c r="AJ38" i="4"/>
  <c r="AK38" i="4"/>
  <c r="AL38" i="4"/>
  <c r="AM38" i="4"/>
  <c r="AN38" i="4"/>
  <c r="AO38" i="4"/>
  <c r="AP38" i="4"/>
  <c r="AQ38" i="4"/>
  <c r="AR38" i="4"/>
  <c r="AS38" i="4"/>
  <c r="AT38" i="4"/>
  <c r="AU38" i="4"/>
  <c r="AV38" i="4"/>
  <c r="AW38" i="4"/>
  <c r="AX38" i="4"/>
  <c r="AY38" i="4"/>
  <c r="AZ38" i="4"/>
  <c r="BA38" i="4"/>
  <c r="BB38" i="4"/>
  <c r="BC38" i="4"/>
  <c r="BD38" i="4"/>
  <c r="BE38" i="4"/>
  <c r="BF38" i="4"/>
  <c r="BG38" i="4"/>
  <c r="BH38" i="4"/>
  <c r="BI38" i="4"/>
  <c r="BJ38" i="4"/>
  <c r="BK38" i="4"/>
  <c r="BL38" i="4"/>
  <c r="BM38" i="4"/>
  <c r="BN38" i="4"/>
  <c r="BO38" i="4"/>
  <c r="BP38" i="4"/>
  <c r="BQ38" i="4"/>
  <c r="BR38" i="4"/>
  <c r="BS38" i="4"/>
  <c r="BT38" i="4"/>
  <c r="BU38" i="4"/>
  <c r="BV38" i="4"/>
  <c r="BW38" i="4"/>
  <c r="BX38" i="4"/>
  <c r="BY38" i="4"/>
  <c r="CA38" i="4"/>
  <c r="CB38" i="4"/>
  <c r="CC38" i="4"/>
  <c r="CD38" i="4"/>
  <c r="CE38" i="4"/>
  <c r="CF38" i="4"/>
  <c r="CG38" i="4"/>
  <c r="CH38" i="4"/>
  <c r="CI38" i="4"/>
  <c r="CJ38" i="4"/>
  <c r="CK38" i="4"/>
  <c r="CL38" i="4"/>
  <c r="CN38" i="4"/>
  <c r="CO38" i="4"/>
  <c r="CQ38" i="4"/>
  <c r="CR38" i="4"/>
  <c r="CT38" i="4"/>
  <c r="CU38" i="4"/>
  <c r="CV38" i="4"/>
  <c r="P37" i="4"/>
  <c r="S37" i="4"/>
  <c r="T37" i="4"/>
  <c r="U37" i="4"/>
  <c r="V37" i="4"/>
  <c r="W37" i="4"/>
  <c r="X37" i="4"/>
  <c r="Y37" i="4"/>
  <c r="Z37" i="4"/>
  <c r="AA37" i="4"/>
  <c r="AB37" i="4"/>
  <c r="AC37" i="4"/>
  <c r="AD37" i="4"/>
  <c r="AE37" i="4"/>
  <c r="AF37" i="4"/>
  <c r="AG37" i="4"/>
  <c r="AH37" i="4"/>
  <c r="AI37" i="4"/>
  <c r="AJ37" i="4"/>
  <c r="AK37" i="4"/>
  <c r="AL37" i="4"/>
  <c r="AM37" i="4"/>
  <c r="AN37" i="4"/>
  <c r="AO37" i="4"/>
  <c r="AP37" i="4"/>
  <c r="AQ37" i="4"/>
  <c r="AR37" i="4"/>
  <c r="AS37" i="4"/>
  <c r="AT37" i="4"/>
  <c r="AU37" i="4"/>
  <c r="AV37" i="4"/>
  <c r="AW37" i="4"/>
  <c r="AX37" i="4"/>
  <c r="AY37" i="4"/>
  <c r="AZ37" i="4"/>
  <c r="BA37" i="4"/>
  <c r="BB37" i="4"/>
  <c r="BC37" i="4"/>
  <c r="BD37" i="4"/>
  <c r="BE37" i="4"/>
  <c r="BF37" i="4"/>
  <c r="BG37" i="4"/>
  <c r="BH37" i="4"/>
  <c r="BI37" i="4"/>
  <c r="BJ37" i="4"/>
  <c r="BK37" i="4"/>
  <c r="BL37" i="4"/>
  <c r="BM37" i="4"/>
  <c r="BN37" i="4"/>
  <c r="BO37" i="4"/>
  <c r="BP37" i="4"/>
  <c r="BQ37" i="4"/>
  <c r="BR37" i="4"/>
  <c r="BS37" i="4"/>
  <c r="BT37" i="4"/>
  <c r="BU37" i="4"/>
  <c r="BV37" i="4"/>
  <c r="BW37" i="4"/>
  <c r="BX37" i="4"/>
  <c r="BY37" i="4"/>
  <c r="BZ37" i="4"/>
  <c r="CA37" i="4"/>
  <c r="CB37" i="4"/>
  <c r="CC37" i="4"/>
  <c r="CD37" i="4"/>
  <c r="CE37" i="4"/>
  <c r="CF37" i="4"/>
  <c r="CG37" i="4"/>
  <c r="CH37" i="4"/>
  <c r="CI37" i="4"/>
  <c r="CJ37" i="4"/>
  <c r="CK37" i="4"/>
  <c r="CL37" i="4"/>
  <c r="CM37" i="4"/>
  <c r="CN37" i="4"/>
  <c r="CO37" i="4"/>
  <c r="CQ37" i="4"/>
  <c r="CR37" i="4"/>
  <c r="CS37" i="4"/>
  <c r="CT37" i="4"/>
  <c r="CU37" i="4"/>
  <c r="CV37" i="4"/>
  <c r="R37" i="4"/>
  <c r="Q37" i="4"/>
  <c r="AD36" i="4"/>
  <c r="AE36" i="4"/>
  <c r="AG36" i="4"/>
  <c r="AH36" i="4"/>
  <c r="AN36" i="4"/>
  <c r="AO36" i="4"/>
  <c r="AY36" i="4"/>
  <c r="BB36" i="4"/>
  <c r="BD36" i="4"/>
  <c r="BE36" i="4"/>
  <c r="BQ36" i="4"/>
  <c r="CA36" i="4"/>
  <c r="CB36" i="4"/>
  <c r="CJ36" i="4"/>
  <c r="CO36" i="4"/>
  <c r="CR36" i="4"/>
  <c r="CV35" i="4"/>
  <c r="CU35" i="4"/>
  <c r="CT35" i="4"/>
  <c r="CQ35" i="4"/>
  <c r="CS35" i="4"/>
  <c r="CP35" i="4"/>
  <c r="CN35" i="4"/>
  <c r="CM35" i="4"/>
  <c r="CL35" i="4"/>
  <c r="CK35" i="4"/>
  <c r="CI35" i="4"/>
  <c r="CH35" i="4"/>
  <c r="CG35" i="4"/>
  <c r="CF35" i="4"/>
  <c r="CE35" i="4"/>
  <c r="CD35" i="4"/>
  <c r="CC35" i="4"/>
  <c r="BZ35" i="4"/>
  <c r="BY35" i="4"/>
  <c r="BX35" i="4"/>
  <c r="BW35" i="4"/>
  <c r="BV35" i="4"/>
  <c r="BU35" i="4"/>
  <c r="BT35" i="4"/>
  <c r="BS35" i="4"/>
  <c r="BR35" i="4"/>
  <c r="BP35" i="4"/>
  <c r="BO35" i="4"/>
  <c r="BN35" i="4"/>
  <c r="BM35" i="4"/>
  <c r="BL35" i="4"/>
  <c r="BK35" i="4"/>
  <c r="BJ35" i="4"/>
  <c r="BI35" i="4"/>
  <c r="BH35" i="4"/>
  <c r="BG35" i="4"/>
  <c r="BF35" i="4"/>
  <c r="BC35" i="4"/>
  <c r="BA35" i="4"/>
  <c r="AZ35" i="4"/>
  <c r="AX35" i="4"/>
  <c r="AW35" i="4"/>
  <c r="AV35" i="4"/>
  <c r="AU35" i="4"/>
  <c r="AT35" i="4"/>
  <c r="AS35" i="4"/>
  <c r="AR35" i="4"/>
  <c r="AQ35" i="4"/>
  <c r="AP35" i="4"/>
  <c r="AM35" i="4"/>
  <c r="AL35" i="4"/>
  <c r="AK35" i="4"/>
  <c r="AJ35" i="4"/>
  <c r="AI35" i="4"/>
  <c r="AF35" i="4"/>
  <c r="AC35" i="4"/>
  <c r="AB35" i="4"/>
  <c r="AA35" i="4"/>
  <c r="Z35" i="4"/>
  <c r="Y35" i="4"/>
  <c r="X35" i="4"/>
  <c r="W35" i="4"/>
  <c r="V35" i="4"/>
  <c r="U35" i="4"/>
  <c r="T35" i="4"/>
  <c r="S35" i="4"/>
  <c r="R35" i="4"/>
  <c r="Q35" i="4"/>
  <c r="P35" i="4"/>
  <c r="CV34" i="4"/>
  <c r="CU34" i="4"/>
  <c r="CT34" i="4"/>
  <c r="CS34" i="4"/>
  <c r="CQ34" i="4"/>
  <c r="CP34" i="4"/>
  <c r="CN34" i="4"/>
  <c r="CM34" i="4"/>
  <c r="CL34" i="4"/>
  <c r="CK34" i="4"/>
  <c r="CI34" i="4"/>
  <c r="CH34" i="4"/>
  <c r="CG34" i="4"/>
  <c r="CF34" i="4"/>
  <c r="CE34" i="4"/>
  <c r="CD34" i="4"/>
  <c r="CC34" i="4"/>
  <c r="BZ34" i="4"/>
  <c r="BY34" i="4"/>
  <c r="BX34" i="4"/>
  <c r="BW34" i="4"/>
  <c r="BV34" i="4"/>
  <c r="BU34" i="4"/>
  <c r="BT34" i="4"/>
  <c r="BS34" i="4"/>
  <c r="BR34" i="4"/>
  <c r="BP34" i="4"/>
  <c r="BO34" i="4"/>
  <c r="BN34" i="4"/>
  <c r="BM34" i="4"/>
  <c r="BL34" i="4"/>
  <c r="BK34" i="4"/>
  <c r="BJ34" i="4"/>
  <c r="BI34" i="4"/>
  <c r="BH34" i="4"/>
  <c r="BG34" i="4"/>
  <c r="BF34" i="4"/>
  <c r="BC34" i="4"/>
  <c r="BA34" i="4"/>
  <c r="AZ34" i="4"/>
  <c r="AW34" i="4"/>
  <c r="AX34" i="4"/>
  <c r="AV34" i="4"/>
  <c r="AU34" i="4"/>
  <c r="AT34" i="4"/>
  <c r="AS34" i="4"/>
  <c r="AR34" i="4"/>
  <c r="AQ34" i="4"/>
  <c r="AP34" i="4"/>
  <c r="AM34" i="4"/>
  <c r="AL34" i="4"/>
  <c r="AK34" i="4"/>
  <c r="AJ34" i="4"/>
  <c r="AI34" i="4"/>
  <c r="AF34" i="4"/>
  <c r="AC34" i="4"/>
  <c r="AB34" i="4"/>
  <c r="AA34" i="4"/>
  <c r="Z34" i="4"/>
  <c r="Y34" i="4"/>
  <c r="X34" i="4"/>
  <c r="W34" i="4"/>
  <c r="V34" i="4"/>
  <c r="U34" i="4"/>
  <c r="T34" i="4"/>
  <c r="S34" i="4"/>
  <c r="R34" i="4"/>
  <c r="Q34" i="4"/>
  <c r="P34" i="4"/>
  <c r="CV33" i="4"/>
  <c r="CU33" i="4"/>
  <c r="CT33" i="4"/>
  <c r="CS33" i="4"/>
  <c r="CQ33" i="4"/>
  <c r="CP33" i="4"/>
  <c r="CN33" i="4"/>
  <c r="CM33" i="4"/>
  <c r="CL33" i="4"/>
  <c r="CK33" i="4"/>
  <c r="CI33" i="4"/>
  <c r="CH33" i="4"/>
  <c r="CG33" i="4"/>
  <c r="CF33" i="4"/>
  <c r="CE33" i="4"/>
  <c r="CD33" i="4"/>
  <c r="CC33" i="4"/>
  <c r="BZ33" i="4"/>
  <c r="BY33" i="4"/>
  <c r="BX33" i="4"/>
  <c r="BW33" i="4"/>
  <c r="BV33" i="4"/>
  <c r="BU33" i="4"/>
  <c r="BT33" i="4"/>
  <c r="BS33" i="4"/>
  <c r="BR33" i="4"/>
  <c r="BP33" i="4"/>
  <c r="BO33" i="4"/>
  <c r="BN33" i="4"/>
  <c r="BM33" i="4"/>
  <c r="BL33" i="4"/>
  <c r="BK33" i="4"/>
  <c r="BJ33" i="4"/>
  <c r="BI33" i="4"/>
  <c r="BH33" i="4"/>
  <c r="BG33" i="4"/>
  <c r="BF33" i="4"/>
  <c r="BC33" i="4"/>
  <c r="BA33" i="4"/>
  <c r="AZ33" i="4"/>
  <c r="AX33" i="4"/>
  <c r="AW33" i="4"/>
  <c r="AV33" i="4"/>
  <c r="AU33" i="4"/>
  <c r="AT33" i="4"/>
  <c r="AS33" i="4"/>
  <c r="AR33" i="4"/>
  <c r="AQ33" i="4"/>
  <c r="AP33" i="4"/>
  <c r="AM33" i="4"/>
  <c r="AL33" i="4"/>
  <c r="AK33" i="4"/>
  <c r="AJ33" i="4"/>
  <c r="AI33" i="4"/>
  <c r="AF33" i="4"/>
  <c r="AC33" i="4"/>
  <c r="AB33" i="4"/>
  <c r="AA33" i="4"/>
  <c r="Z33" i="4"/>
  <c r="Y33" i="4"/>
  <c r="X33" i="4"/>
  <c r="W33" i="4"/>
  <c r="V33" i="4"/>
  <c r="U33" i="4"/>
  <c r="T33" i="4"/>
  <c r="S33" i="4"/>
  <c r="R33" i="4"/>
  <c r="Q33" i="4"/>
  <c r="P33" i="4"/>
  <c r="CV32" i="4"/>
  <c r="CU32" i="4"/>
  <c r="CT32" i="4"/>
  <c r="CS32" i="4"/>
  <c r="CQ32" i="4"/>
  <c r="CP32" i="4"/>
  <c r="CN32" i="4"/>
  <c r="CM32" i="4"/>
  <c r="CL32" i="4"/>
  <c r="CK32" i="4"/>
  <c r="CI32" i="4"/>
  <c r="CH32" i="4"/>
  <c r="CG32" i="4"/>
  <c r="CF32" i="4"/>
  <c r="CE32" i="4"/>
  <c r="CD32" i="4"/>
  <c r="CC32" i="4"/>
  <c r="BZ32" i="4"/>
  <c r="BY32" i="4"/>
  <c r="BX32" i="4"/>
  <c r="BW32" i="4"/>
  <c r="BV32" i="4"/>
  <c r="BU32" i="4"/>
  <c r="BT32" i="4"/>
  <c r="BS32" i="4"/>
  <c r="BR32" i="4"/>
  <c r="BP32" i="4"/>
  <c r="BO32" i="4"/>
  <c r="BN32" i="4"/>
  <c r="BM32" i="4"/>
  <c r="BL32" i="4"/>
  <c r="BK32" i="4"/>
  <c r="BJ32" i="4"/>
  <c r="BI32" i="4"/>
  <c r="BH32" i="4"/>
  <c r="BG32" i="4"/>
  <c r="BF32" i="4"/>
  <c r="BC32" i="4"/>
  <c r="BA32" i="4"/>
  <c r="AZ32" i="4"/>
  <c r="AX32" i="4"/>
  <c r="AW32" i="4"/>
  <c r="AV32" i="4"/>
  <c r="AU32" i="4"/>
  <c r="AT32" i="4"/>
  <c r="AS32" i="4"/>
  <c r="AR32" i="4"/>
  <c r="AQ32" i="4"/>
  <c r="AP32" i="4"/>
  <c r="AM32" i="4"/>
  <c r="AL32" i="4"/>
  <c r="AK32" i="4"/>
  <c r="AJ32" i="4"/>
  <c r="AI32" i="4"/>
  <c r="AF32" i="4"/>
  <c r="AC32" i="4"/>
  <c r="AB32" i="4"/>
  <c r="AA32" i="4"/>
  <c r="Z32" i="4"/>
  <c r="Y32" i="4"/>
  <c r="X32" i="4"/>
  <c r="W32" i="4"/>
  <c r="V32" i="4"/>
  <c r="U32" i="4"/>
  <c r="T32" i="4"/>
  <c r="S32" i="4"/>
  <c r="R32" i="4"/>
  <c r="Q32" i="4"/>
  <c r="P32" i="4"/>
  <c r="CV31" i="4"/>
  <c r="CU31" i="4"/>
  <c r="CT31" i="4"/>
  <c r="CS31" i="4"/>
  <c r="CQ31" i="4"/>
  <c r="CP31" i="4"/>
  <c r="CN31" i="4"/>
  <c r="CM31" i="4"/>
  <c r="CL31" i="4"/>
  <c r="CK31" i="4"/>
  <c r="CI31" i="4"/>
  <c r="CH31" i="4"/>
  <c r="CG31" i="4"/>
  <c r="CF31" i="4"/>
  <c r="CE31" i="4"/>
  <c r="CD31" i="4"/>
  <c r="CC31" i="4"/>
  <c r="BZ31" i="4"/>
  <c r="BY31" i="4"/>
  <c r="BX31" i="4"/>
  <c r="BW31" i="4"/>
  <c r="BV31" i="4"/>
  <c r="BU31" i="4"/>
  <c r="BT31" i="4"/>
  <c r="BS31" i="4"/>
  <c r="BR31" i="4"/>
  <c r="BP31" i="4"/>
  <c r="BO31" i="4"/>
  <c r="BN31" i="4"/>
  <c r="BM31" i="4"/>
  <c r="BL31" i="4"/>
  <c r="BK31" i="4"/>
  <c r="BJ31" i="4"/>
  <c r="BI31" i="4"/>
  <c r="BH31" i="4"/>
  <c r="BG31" i="4"/>
  <c r="BF31" i="4"/>
  <c r="BC31" i="4"/>
  <c r="BA31" i="4"/>
  <c r="AZ31" i="4"/>
  <c r="AX31" i="4"/>
  <c r="AW31" i="4"/>
  <c r="AV31" i="4"/>
  <c r="AU31" i="4"/>
  <c r="AT31" i="4"/>
  <c r="AS31" i="4"/>
  <c r="AR31" i="4"/>
  <c r="AQ31" i="4"/>
  <c r="AP31" i="4"/>
  <c r="AM31" i="4"/>
  <c r="AL31" i="4"/>
  <c r="AK31" i="4"/>
  <c r="AJ31" i="4"/>
  <c r="AI31" i="4"/>
  <c r="AF31" i="4"/>
  <c r="AC31" i="4"/>
  <c r="AB31" i="4"/>
  <c r="AA31" i="4"/>
  <c r="Z31" i="4"/>
  <c r="Y31" i="4"/>
  <c r="X31" i="4"/>
  <c r="W31" i="4"/>
  <c r="V31" i="4"/>
  <c r="U31" i="4"/>
  <c r="T31" i="4"/>
  <c r="S31" i="4"/>
  <c r="R31" i="4"/>
  <c r="Q31" i="4"/>
  <c r="P31" i="4"/>
  <c r="CV30" i="4"/>
  <c r="CU30" i="4"/>
  <c r="CT30" i="4"/>
  <c r="CS30" i="4"/>
  <c r="CQ30" i="4"/>
  <c r="CP30" i="4"/>
  <c r="CN30" i="4"/>
  <c r="CM30" i="4"/>
  <c r="CL30" i="4"/>
  <c r="CK30" i="4"/>
  <c r="CI30" i="4"/>
  <c r="CH30" i="4"/>
  <c r="CG30" i="4"/>
  <c r="CF30" i="4"/>
  <c r="CE30" i="4"/>
  <c r="CD30" i="4"/>
  <c r="CC30" i="4"/>
  <c r="BZ30" i="4"/>
  <c r="BY30" i="4"/>
  <c r="BX30" i="4"/>
  <c r="BW30" i="4"/>
  <c r="BV30" i="4"/>
  <c r="BU30" i="4"/>
  <c r="BT30" i="4"/>
  <c r="BS30" i="4"/>
  <c r="BR30" i="4"/>
  <c r="BP30" i="4"/>
  <c r="BO30" i="4"/>
  <c r="BN30" i="4"/>
  <c r="BM30" i="4"/>
  <c r="BL30" i="4"/>
  <c r="BK30" i="4"/>
  <c r="BJ30" i="4"/>
  <c r="BI30" i="4"/>
  <c r="BH30" i="4"/>
  <c r="BG30" i="4"/>
  <c r="BF30" i="4"/>
  <c r="BC30" i="4"/>
  <c r="BA30" i="4"/>
  <c r="AZ30" i="4"/>
  <c r="AX30" i="4"/>
  <c r="AW30" i="4"/>
  <c r="AV30" i="4"/>
  <c r="AU30" i="4"/>
  <c r="AT30" i="4"/>
  <c r="AS30" i="4"/>
  <c r="AR30" i="4"/>
  <c r="AQ30" i="4"/>
  <c r="AP30" i="4"/>
  <c r="AM30" i="4"/>
  <c r="AL30" i="4"/>
  <c r="AK30" i="4"/>
  <c r="AJ30" i="4"/>
  <c r="AI30" i="4"/>
  <c r="AF30" i="4"/>
  <c r="AC30" i="4"/>
  <c r="AB30" i="4"/>
  <c r="AA30" i="4"/>
  <c r="Z30" i="4"/>
  <c r="Y30" i="4"/>
  <c r="X30" i="4"/>
  <c r="W30" i="4"/>
  <c r="V30" i="4"/>
  <c r="U30" i="4"/>
  <c r="T30" i="4"/>
  <c r="S30" i="4"/>
  <c r="R30" i="4"/>
  <c r="Q30" i="4"/>
  <c r="P30" i="4"/>
  <c r="BV59" i="9" l="1"/>
  <c r="Z58" i="9"/>
  <c r="CA59" i="9"/>
  <c r="AK110" i="9"/>
  <c r="BA110" i="9"/>
  <c r="CK110" i="9"/>
  <c r="AU59" i="9"/>
  <c r="AP58" i="9"/>
  <c r="BK58" i="9"/>
  <c r="CQ58" i="9"/>
  <c r="BT110" i="9"/>
  <c r="CJ110" i="9"/>
  <c r="BQ110" i="9"/>
  <c r="BD110" i="9"/>
  <c r="BG58" i="9"/>
  <c r="AC110" i="9"/>
  <c r="CC110" i="9"/>
  <c r="AX58" i="9"/>
  <c r="BS58" i="9"/>
  <c r="CI58" i="9"/>
  <c r="X110" i="9"/>
  <c r="R58" i="9"/>
  <c r="BN58" i="9"/>
  <c r="BL110" i="9"/>
  <c r="CB110" i="9"/>
  <c r="O110" i="9"/>
  <c r="AN110" i="9"/>
  <c r="U110" i="9"/>
  <c r="CM58" i="9"/>
  <c r="BB59" i="9"/>
  <c r="AA58" i="9"/>
  <c r="BM110" i="9"/>
  <c r="CH58" i="9"/>
  <c r="AJ110" i="9"/>
  <c r="AZ110" i="9"/>
  <c r="AG110" i="9"/>
  <c r="AW110" i="9"/>
  <c r="CG110" i="9"/>
  <c r="BR58" i="9"/>
  <c r="AQ58" i="9"/>
  <c r="BW58" i="9"/>
  <c r="CU68" i="9"/>
  <c r="AD59" i="9"/>
  <c r="Y110" i="9"/>
  <c r="AO110" i="9"/>
  <c r="BE110" i="9"/>
  <c r="BY110" i="9"/>
  <c r="CS110" i="9"/>
  <c r="S58" i="9"/>
  <c r="AI58" i="9"/>
  <c r="AY58" i="9"/>
  <c r="CE59" i="9"/>
  <c r="CU59" i="9"/>
  <c r="R98" i="9"/>
  <c r="BX110" i="9"/>
  <c r="CN110" i="9"/>
  <c r="R106" i="9"/>
  <c r="R104" i="9"/>
  <c r="R96" i="9"/>
  <c r="T110" i="9"/>
  <c r="R100" i="9"/>
  <c r="AF110" i="9"/>
  <c r="AV110" i="9"/>
  <c r="Q110" i="9"/>
  <c r="P110" i="9"/>
  <c r="R110" i="9"/>
  <c r="AN106" i="9"/>
  <c r="CN106" i="9"/>
  <c r="CF106" i="9"/>
  <c r="BH106" i="9"/>
  <c r="Z106" i="9"/>
  <c r="CH106" i="9"/>
  <c r="AF106" i="9"/>
  <c r="BX106" i="9"/>
  <c r="BX104" i="9"/>
  <c r="BT98" i="9"/>
  <c r="BP106" i="9"/>
  <c r="BL102" i="9"/>
  <c r="CN96" i="9"/>
  <c r="AV106" i="9"/>
  <c r="BX92" i="9"/>
  <c r="BP100" i="9"/>
  <c r="H18" i="11"/>
  <c r="H45" i="11"/>
  <c r="H50" i="11"/>
  <c r="H21" i="11"/>
  <c r="AJ106" i="9"/>
  <c r="AR106" i="9"/>
  <c r="AZ106" i="9"/>
  <c r="AZ104" i="9"/>
  <c r="CF104" i="9"/>
  <c r="BT102" i="9"/>
  <c r="AR100" i="9"/>
  <c r="BX100" i="9"/>
  <c r="CB98" i="9"/>
  <c r="BP96" i="9"/>
  <c r="CB94" i="9"/>
  <c r="CF92" i="9"/>
  <c r="P106" i="9"/>
  <c r="CH102" i="9"/>
  <c r="CH98" i="9"/>
  <c r="CH94" i="9"/>
  <c r="BL106" i="9"/>
  <c r="BT106" i="9"/>
  <c r="CB106" i="9"/>
  <c r="CJ106" i="9"/>
  <c r="BH104" i="9"/>
  <c r="CN104" i="9"/>
  <c r="CB102" i="9"/>
  <c r="AZ100" i="9"/>
  <c r="CF100" i="9"/>
  <c r="CJ98" i="9"/>
  <c r="CJ94" i="9"/>
  <c r="CN92" i="9"/>
  <c r="T106" i="9"/>
  <c r="CQ104" i="9"/>
  <c r="AV102" i="9"/>
  <c r="CJ102" i="9"/>
  <c r="AD109" i="9"/>
  <c r="AD76" i="9"/>
  <c r="AD84" i="9"/>
  <c r="AD108" i="9"/>
  <c r="AD110" i="9"/>
  <c r="AD70" i="9"/>
  <c r="AD78" i="9"/>
  <c r="AD86" i="9"/>
  <c r="AD68" i="9"/>
  <c r="AD72" i="9"/>
  <c r="AD80" i="9"/>
  <c r="AD88" i="9"/>
  <c r="AD74" i="9"/>
  <c r="AD82" i="9"/>
  <c r="AD90" i="9"/>
  <c r="Y74" i="9"/>
  <c r="Y82" i="9"/>
  <c r="Y109" i="9"/>
  <c r="Y76" i="9"/>
  <c r="Y84" i="9"/>
  <c r="Y70" i="9"/>
  <c r="Y78" i="9"/>
  <c r="Y86" i="9"/>
  <c r="Y108" i="9"/>
  <c r="Y94" i="9"/>
  <c r="Y72" i="9"/>
  <c r="Y80" i="9"/>
  <c r="Y88" i="9"/>
  <c r="AH110" i="9"/>
  <c r="AH70" i="9"/>
  <c r="AH78" i="9"/>
  <c r="AH86" i="9"/>
  <c r="AH68" i="9"/>
  <c r="AH72" i="9"/>
  <c r="AH80" i="9"/>
  <c r="AH88" i="9"/>
  <c r="AH74" i="9"/>
  <c r="AH82" i="9"/>
  <c r="AH90" i="9"/>
  <c r="AH108" i="9"/>
  <c r="AH109" i="9"/>
  <c r="AH76" i="9"/>
  <c r="AH84" i="9"/>
  <c r="AP74" i="9"/>
  <c r="AP82" i="9"/>
  <c r="AP90" i="9"/>
  <c r="AP109" i="9"/>
  <c r="AP76" i="9"/>
  <c r="AP84" i="9"/>
  <c r="AP110" i="9"/>
  <c r="AP70" i="9"/>
  <c r="AP78" i="9"/>
  <c r="AP86" i="9"/>
  <c r="AP108" i="9"/>
  <c r="AP68" i="9"/>
  <c r="AP72" i="9"/>
  <c r="AP80" i="9"/>
  <c r="AP88" i="9"/>
  <c r="AX110" i="9"/>
  <c r="AX70" i="9"/>
  <c r="AX78" i="9"/>
  <c r="AX86" i="9"/>
  <c r="AX68" i="9"/>
  <c r="AX72" i="9"/>
  <c r="AX80" i="9"/>
  <c r="AX88" i="9"/>
  <c r="AX74" i="9"/>
  <c r="AX82" i="9"/>
  <c r="AX90" i="9"/>
  <c r="AX108" i="9"/>
  <c r="AX109" i="9"/>
  <c r="AX76" i="9"/>
  <c r="AX84" i="9"/>
  <c r="BF74" i="9"/>
  <c r="BF82" i="9"/>
  <c r="BF90" i="9"/>
  <c r="BF109" i="9"/>
  <c r="BF76" i="9"/>
  <c r="BF84" i="9"/>
  <c r="BF110" i="9"/>
  <c r="BF70" i="9"/>
  <c r="BF78" i="9"/>
  <c r="BF86" i="9"/>
  <c r="BF108" i="9"/>
  <c r="BF68" i="9"/>
  <c r="BF72" i="9"/>
  <c r="BF80" i="9"/>
  <c r="BF88" i="9"/>
  <c r="BN110" i="9"/>
  <c r="BN70" i="9"/>
  <c r="BN78" i="9"/>
  <c r="BN86" i="9"/>
  <c r="BN68" i="9"/>
  <c r="BN72" i="9"/>
  <c r="BN80" i="9"/>
  <c r="BN88" i="9"/>
  <c r="BN74" i="9"/>
  <c r="BN82" i="9"/>
  <c r="BN90" i="9"/>
  <c r="BN108" i="9"/>
  <c r="BN109" i="9"/>
  <c r="BN76" i="9"/>
  <c r="BN84" i="9"/>
  <c r="BV74" i="9"/>
  <c r="BV82" i="9"/>
  <c r="BV90" i="9"/>
  <c r="BV109" i="9"/>
  <c r="BV76" i="9"/>
  <c r="BV84" i="9"/>
  <c r="BV110" i="9"/>
  <c r="BV70" i="9"/>
  <c r="BV78" i="9"/>
  <c r="BV86" i="9"/>
  <c r="BV108" i="9"/>
  <c r="BV68" i="9"/>
  <c r="BV72" i="9"/>
  <c r="BV80" i="9"/>
  <c r="BV88" i="9"/>
  <c r="CD70" i="9"/>
  <c r="CD78" i="9"/>
  <c r="CD86" i="9"/>
  <c r="CD68" i="9"/>
  <c r="CD72" i="9"/>
  <c r="CD80" i="9"/>
  <c r="CD88" i="9"/>
  <c r="CD74" i="9"/>
  <c r="CD82" i="9"/>
  <c r="CD90" i="9"/>
  <c r="CD108" i="9"/>
  <c r="CD109" i="9"/>
  <c r="CD76" i="9"/>
  <c r="CD84" i="9"/>
  <c r="CD92" i="9"/>
  <c r="CL74" i="9"/>
  <c r="CL82" i="9"/>
  <c r="CL90" i="9"/>
  <c r="CL109" i="9"/>
  <c r="CL76" i="9"/>
  <c r="CL84" i="9"/>
  <c r="CL92" i="9"/>
  <c r="CL70" i="9"/>
  <c r="CL78" i="9"/>
  <c r="CL86" i="9"/>
  <c r="CL108" i="9"/>
  <c r="CL68" i="9"/>
  <c r="CL72" i="9"/>
  <c r="CL80" i="9"/>
  <c r="CL88" i="9"/>
  <c r="CT70" i="9"/>
  <c r="CT78" i="9"/>
  <c r="CT86" i="9"/>
  <c r="CT68" i="9"/>
  <c r="CT72" i="9"/>
  <c r="CT80" i="9"/>
  <c r="CT88" i="9"/>
  <c r="CT74" i="9"/>
  <c r="CT82" i="9"/>
  <c r="CT90" i="9"/>
  <c r="CT109" i="9"/>
  <c r="CT76" i="9"/>
  <c r="CT84" i="9"/>
  <c r="CT92" i="9"/>
  <c r="Z104" i="9"/>
  <c r="AP104" i="9"/>
  <c r="BF104" i="9"/>
  <c r="BV104" i="9"/>
  <c r="CL104" i="9"/>
  <c r="AL102" i="9"/>
  <c r="BB102" i="9"/>
  <c r="BR102" i="9"/>
  <c r="AH100" i="9"/>
  <c r="AX100" i="9"/>
  <c r="BN100" i="9"/>
  <c r="CD100" i="9"/>
  <c r="CT100" i="9"/>
  <c r="AD98" i="9"/>
  <c r="AT98" i="9"/>
  <c r="BJ98" i="9"/>
  <c r="BZ98" i="9"/>
  <c r="CP98" i="9"/>
  <c r="Z96" i="9"/>
  <c r="AP96" i="9"/>
  <c r="BF96" i="9"/>
  <c r="BV96" i="9"/>
  <c r="CL96" i="9"/>
  <c r="AL94" i="9"/>
  <c r="BB94" i="9"/>
  <c r="BR94" i="9"/>
  <c r="AH92" i="9"/>
  <c r="AX92" i="9"/>
  <c r="BN92" i="9"/>
  <c r="S74" i="9"/>
  <c r="S82" i="9"/>
  <c r="S108" i="9"/>
  <c r="S76" i="9"/>
  <c r="S84" i="9"/>
  <c r="S68" i="9"/>
  <c r="S109" i="9"/>
  <c r="S70" i="9"/>
  <c r="S78" i="9"/>
  <c r="S86" i="9"/>
  <c r="S72" i="9"/>
  <c r="S80" i="9"/>
  <c r="S88" i="9"/>
  <c r="AA109" i="9"/>
  <c r="AA70" i="9"/>
  <c r="AA78" i="9"/>
  <c r="AA86" i="9"/>
  <c r="AA108" i="9"/>
  <c r="AA72" i="9"/>
  <c r="AA80" i="9"/>
  <c r="AA88" i="9"/>
  <c r="AA74" i="9"/>
  <c r="AA82" i="9"/>
  <c r="AA90" i="9"/>
  <c r="AA76" i="9"/>
  <c r="AA84" i="9"/>
  <c r="AA68" i="9"/>
  <c r="AI74" i="9"/>
  <c r="AI82" i="9"/>
  <c r="AI90" i="9"/>
  <c r="AI108" i="9"/>
  <c r="AI76" i="9"/>
  <c r="AI84" i="9"/>
  <c r="AI68" i="9"/>
  <c r="AI109" i="9"/>
  <c r="AI70" i="9"/>
  <c r="AI78" i="9"/>
  <c r="AI86" i="9"/>
  <c r="AI72" i="9"/>
  <c r="AI80" i="9"/>
  <c r="AI88" i="9"/>
  <c r="AQ109" i="9"/>
  <c r="AQ70" i="9"/>
  <c r="AQ78" i="9"/>
  <c r="AQ86" i="9"/>
  <c r="AQ108" i="9"/>
  <c r="AQ72" i="9"/>
  <c r="AQ80" i="9"/>
  <c r="AQ88" i="9"/>
  <c r="AQ74" i="9"/>
  <c r="AQ82" i="9"/>
  <c r="AQ90" i="9"/>
  <c r="AQ76" i="9"/>
  <c r="AQ84" i="9"/>
  <c r="AQ68" i="9"/>
  <c r="AY74" i="9"/>
  <c r="AY82" i="9"/>
  <c r="AY90" i="9"/>
  <c r="AY108" i="9"/>
  <c r="AY76" i="9"/>
  <c r="AY84" i="9"/>
  <c r="AY68" i="9"/>
  <c r="AY109" i="9"/>
  <c r="AY70" i="9"/>
  <c r="AY78" i="9"/>
  <c r="AY86" i="9"/>
  <c r="AY72" i="9"/>
  <c r="AY80" i="9"/>
  <c r="AY88" i="9"/>
  <c r="BG109" i="9"/>
  <c r="BG70" i="9"/>
  <c r="BG78" i="9"/>
  <c r="BG86" i="9"/>
  <c r="BG108" i="9"/>
  <c r="BG72" i="9"/>
  <c r="BG80" i="9"/>
  <c r="BG88" i="9"/>
  <c r="BG74" i="9"/>
  <c r="BG82" i="9"/>
  <c r="BG90" i="9"/>
  <c r="BG76" i="9"/>
  <c r="BG84" i="9"/>
  <c r="BG68" i="9"/>
  <c r="BO74" i="9"/>
  <c r="BO82" i="9"/>
  <c r="BO90" i="9"/>
  <c r="BO76" i="9"/>
  <c r="BO84" i="9"/>
  <c r="BO68" i="9"/>
  <c r="BO109" i="9"/>
  <c r="BO70" i="9"/>
  <c r="BO78" i="9"/>
  <c r="BO86" i="9"/>
  <c r="BO72" i="9"/>
  <c r="BO80" i="9"/>
  <c r="BO88" i="9"/>
  <c r="BW109" i="9"/>
  <c r="BW70" i="9"/>
  <c r="BW78" i="9"/>
  <c r="BW86" i="9"/>
  <c r="BW108" i="9"/>
  <c r="BW72" i="9"/>
  <c r="BW80" i="9"/>
  <c r="BW88" i="9"/>
  <c r="BW74" i="9"/>
  <c r="BW82" i="9"/>
  <c r="BW90" i="9"/>
  <c r="BW76" i="9"/>
  <c r="BW84" i="9"/>
  <c r="BW68" i="9"/>
  <c r="CE74" i="9"/>
  <c r="CE82" i="9"/>
  <c r="CE90" i="9"/>
  <c r="CE108" i="9"/>
  <c r="CE76" i="9"/>
  <c r="CE84" i="9"/>
  <c r="CE68" i="9"/>
  <c r="CE109" i="9"/>
  <c r="CE70" i="9"/>
  <c r="CE78" i="9"/>
  <c r="CE86" i="9"/>
  <c r="CE72" i="9"/>
  <c r="CE80" i="9"/>
  <c r="CE88" i="9"/>
  <c r="CM109" i="9"/>
  <c r="CM70" i="9"/>
  <c r="CM78" i="9"/>
  <c r="CM86" i="9"/>
  <c r="CM108" i="9"/>
  <c r="CM72" i="9"/>
  <c r="CM80" i="9"/>
  <c r="CM88" i="9"/>
  <c r="CM74" i="9"/>
  <c r="CM82" i="9"/>
  <c r="CM90" i="9"/>
  <c r="CM76" i="9"/>
  <c r="CM84" i="9"/>
  <c r="CM68" i="9"/>
  <c r="CU74" i="9"/>
  <c r="CU82" i="9"/>
  <c r="CU90" i="9"/>
  <c r="CU108" i="9"/>
  <c r="CU76" i="9"/>
  <c r="CU84" i="9"/>
  <c r="CU109" i="9"/>
  <c r="CU70" i="9"/>
  <c r="CU78" i="9"/>
  <c r="CU86" i="9"/>
  <c r="CU72" i="9"/>
  <c r="CU80" i="9"/>
  <c r="CU88" i="9"/>
  <c r="AA104" i="9"/>
  <c r="AQ104" i="9"/>
  <c r="BG104" i="9"/>
  <c r="BW104" i="9"/>
  <c r="CM104" i="9"/>
  <c r="W102" i="9"/>
  <c r="AM102" i="9"/>
  <c r="BC102" i="9"/>
  <c r="BS102" i="9"/>
  <c r="CI102" i="9"/>
  <c r="S100" i="9"/>
  <c r="AI100" i="9"/>
  <c r="AY100" i="9"/>
  <c r="BO100" i="9"/>
  <c r="CE100" i="9"/>
  <c r="CU100" i="9"/>
  <c r="AE98" i="9"/>
  <c r="AU98" i="9"/>
  <c r="BK98" i="9"/>
  <c r="CA98" i="9"/>
  <c r="CQ98" i="9"/>
  <c r="AA96" i="9"/>
  <c r="AQ96" i="9"/>
  <c r="BG96" i="9"/>
  <c r="BW96" i="9"/>
  <c r="CM96" i="9"/>
  <c r="W94" i="9"/>
  <c r="AM94" i="9"/>
  <c r="BC94" i="9"/>
  <c r="BS94" i="9"/>
  <c r="CI94" i="9"/>
  <c r="S92" i="9"/>
  <c r="AI92" i="9"/>
  <c r="AY92" i="9"/>
  <c r="BO92" i="9"/>
  <c r="CE92" i="9"/>
  <c r="CU92" i="9"/>
  <c r="AB109" i="9"/>
  <c r="AB74" i="9"/>
  <c r="AB82" i="9"/>
  <c r="AB68" i="9"/>
  <c r="AB76" i="9"/>
  <c r="AB84" i="9"/>
  <c r="AB108" i="9"/>
  <c r="AB70" i="9"/>
  <c r="AB78" i="9"/>
  <c r="AB86" i="9"/>
  <c r="AJ68" i="9"/>
  <c r="AJ70" i="9"/>
  <c r="AJ78" i="9"/>
  <c r="AJ86" i="9"/>
  <c r="AJ72" i="9"/>
  <c r="AJ80" i="9"/>
  <c r="AJ88" i="9"/>
  <c r="AJ108" i="9"/>
  <c r="AJ109" i="9"/>
  <c r="AJ74" i="9"/>
  <c r="AJ82" i="9"/>
  <c r="AR109" i="9"/>
  <c r="AR74" i="9"/>
  <c r="AR82" i="9"/>
  <c r="AR68" i="9"/>
  <c r="AR76" i="9"/>
  <c r="AR84" i="9"/>
  <c r="AR108" i="9"/>
  <c r="AR70" i="9"/>
  <c r="AR78" i="9"/>
  <c r="AR86" i="9"/>
  <c r="AZ68" i="9"/>
  <c r="AZ70" i="9"/>
  <c r="AZ78" i="9"/>
  <c r="AZ86" i="9"/>
  <c r="AZ72" i="9"/>
  <c r="AZ80" i="9"/>
  <c r="AZ88" i="9"/>
  <c r="AZ108" i="9"/>
  <c r="AZ109" i="9"/>
  <c r="AZ74" i="9"/>
  <c r="AZ82" i="9"/>
  <c r="BH109" i="9"/>
  <c r="BH74" i="9"/>
  <c r="BH82" i="9"/>
  <c r="BH68" i="9"/>
  <c r="BH76" i="9"/>
  <c r="BH84" i="9"/>
  <c r="BH108" i="9"/>
  <c r="BH70" i="9"/>
  <c r="BH78" i="9"/>
  <c r="BH86" i="9"/>
  <c r="BP68" i="9"/>
  <c r="BP70" i="9"/>
  <c r="BP78" i="9"/>
  <c r="BP86" i="9"/>
  <c r="BP72" i="9"/>
  <c r="BP80" i="9"/>
  <c r="BP88" i="9"/>
  <c r="BP108" i="9"/>
  <c r="BP109" i="9"/>
  <c r="BP74" i="9"/>
  <c r="BP82" i="9"/>
  <c r="BX109" i="9"/>
  <c r="BX74" i="9"/>
  <c r="BX82" i="9"/>
  <c r="BX68" i="9"/>
  <c r="BX76" i="9"/>
  <c r="BX84" i="9"/>
  <c r="BX108" i="9"/>
  <c r="BX70" i="9"/>
  <c r="BX78" i="9"/>
  <c r="BX86" i="9"/>
  <c r="CF68" i="9"/>
  <c r="CF70" i="9"/>
  <c r="CF78" i="9"/>
  <c r="CF86" i="9"/>
  <c r="CF72" i="9"/>
  <c r="CF80" i="9"/>
  <c r="CF88" i="9"/>
  <c r="CF108" i="9"/>
  <c r="CF109" i="9"/>
  <c r="CF74" i="9"/>
  <c r="CF82" i="9"/>
  <c r="CF90" i="9"/>
  <c r="CN109" i="9"/>
  <c r="CN74" i="9"/>
  <c r="CN82" i="9"/>
  <c r="CN68" i="9"/>
  <c r="CN76" i="9"/>
  <c r="CN84" i="9"/>
  <c r="CN108" i="9"/>
  <c r="CN70" i="9"/>
  <c r="CN78" i="9"/>
  <c r="CN86" i="9"/>
  <c r="P104" i="9"/>
  <c r="AF104" i="9"/>
  <c r="AV104" i="9"/>
  <c r="BL104" i="9"/>
  <c r="CB104" i="9"/>
  <c r="AB102" i="9"/>
  <c r="AR102" i="9"/>
  <c r="BH102" i="9"/>
  <c r="BX102" i="9"/>
  <c r="CN102" i="9"/>
  <c r="X100" i="9"/>
  <c r="AN100" i="9"/>
  <c r="BD100" i="9"/>
  <c r="BT100" i="9"/>
  <c r="CJ100" i="9"/>
  <c r="T98" i="9"/>
  <c r="AJ98" i="9"/>
  <c r="AZ98" i="9"/>
  <c r="BP98" i="9"/>
  <c r="CF98" i="9"/>
  <c r="P96" i="9"/>
  <c r="AF96" i="9"/>
  <c r="AV96" i="9"/>
  <c r="BL96" i="9"/>
  <c r="CB96" i="9"/>
  <c r="AB94" i="9"/>
  <c r="AR94" i="9"/>
  <c r="BH94" i="9"/>
  <c r="BX94" i="9"/>
  <c r="CN94" i="9"/>
  <c r="X92" i="9"/>
  <c r="AN92" i="9"/>
  <c r="BD92" i="9"/>
  <c r="BT92" i="9"/>
  <c r="CJ92" i="9"/>
  <c r="T90" i="9"/>
  <c r="AJ90" i="9"/>
  <c r="AZ90" i="9"/>
  <c r="BP90" i="9"/>
  <c r="AC106" i="9"/>
  <c r="AK106" i="9"/>
  <c r="AS106" i="9"/>
  <c r="BA106" i="9"/>
  <c r="BI106" i="9"/>
  <c r="BQ106" i="9"/>
  <c r="BY106" i="9"/>
  <c r="CG106" i="9"/>
  <c r="U104" i="9"/>
  <c r="AK104" i="9"/>
  <c r="BA104" i="9"/>
  <c r="BQ104" i="9"/>
  <c r="CG104" i="9"/>
  <c r="Q102" i="9"/>
  <c r="AG102" i="9"/>
  <c r="AW102" i="9"/>
  <c r="CC102" i="9"/>
  <c r="AC100" i="9"/>
  <c r="AS100" i="9"/>
  <c r="BI100" i="9"/>
  <c r="BY100" i="9"/>
  <c r="Y98" i="9"/>
  <c r="AO98" i="9"/>
  <c r="BE98" i="9"/>
  <c r="BA96" i="9"/>
  <c r="Q94" i="9"/>
  <c r="AC92" i="9"/>
  <c r="BI92" i="9"/>
  <c r="AR88" i="9"/>
  <c r="CN88" i="9"/>
  <c r="BT86" i="9"/>
  <c r="AZ84" i="9"/>
  <c r="AF82" i="9"/>
  <c r="BX80" i="9"/>
  <c r="BD78" i="9"/>
  <c r="AJ76" i="9"/>
  <c r="P74" i="9"/>
  <c r="BH72" i="9"/>
  <c r="AN70" i="9"/>
  <c r="W110" i="9"/>
  <c r="AM110" i="9"/>
  <c r="BC110" i="9"/>
  <c r="BS110" i="9"/>
  <c r="CI110" i="9"/>
  <c r="Q106" i="9"/>
  <c r="Y106" i="9"/>
  <c r="AH106" i="9"/>
  <c r="AP106" i="9"/>
  <c r="AX106" i="9"/>
  <c r="BF106" i="9"/>
  <c r="BN106" i="9"/>
  <c r="BV106" i="9"/>
  <c r="CD106" i="9"/>
  <c r="CL106" i="9"/>
  <c r="CT106" i="9"/>
  <c r="AD104" i="9"/>
  <c r="AT104" i="9"/>
  <c r="BJ104" i="9"/>
  <c r="BZ104" i="9"/>
  <c r="CP104" i="9"/>
  <c r="Z102" i="9"/>
  <c r="AP102" i="9"/>
  <c r="BF102" i="9"/>
  <c r="BV102" i="9"/>
  <c r="CL102" i="9"/>
  <c r="AL100" i="9"/>
  <c r="BB100" i="9"/>
  <c r="BR100" i="9"/>
  <c r="AH98" i="9"/>
  <c r="AX98" i="9"/>
  <c r="BN98" i="9"/>
  <c r="CD98" i="9"/>
  <c r="CT98" i="9"/>
  <c r="AD96" i="9"/>
  <c r="AP94" i="9"/>
  <c r="BF94" i="9"/>
  <c r="BV94" i="9"/>
  <c r="CL94" i="9"/>
  <c r="S106" i="9"/>
  <c r="AA106" i="9"/>
  <c r="AI106" i="9"/>
  <c r="AQ106" i="9"/>
  <c r="AY106" i="9"/>
  <c r="BG106" i="9"/>
  <c r="BO106" i="9"/>
  <c r="BW106" i="9"/>
  <c r="CE106" i="9"/>
  <c r="CM106" i="9"/>
  <c r="AE104" i="9"/>
  <c r="AU104" i="9"/>
  <c r="BK104" i="9"/>
  <c r="CA104" i="9"/>
  <c r="AA102" i="9"/>
  <c r="AQ102" i="9"/>
  <c r="BG102" i="9"/>
  <c r="BW102" i="9"/>
  <c r="CM102" i="9"/>
  <c r="W100" i="9"/>
  <c r="AM100" i="9"/>
  <c r="BC100" i="9"/>
  <c r="BS100" i="9"/>
  <c r="CI100" i="9"/>
  <c r="S98" i="9"/>
  <c r="AI98" i="9"/>
  <c r="AY98" i="9"/>
  <c r="BO98" i="9"/>
  <c r="CE98" i="9"/>
  <c r="CU98" i="9"/>
  <c r="AA94" i="9"/>
  <c r="AQ94" i="9"/>
  <c r="BG94" i="9"/>
  <c r="BW94" i="9"/>
  <c r="CM94" i="9"/>
  <c r="S90" i="9"/>
  <c r="T104" i="9"/>
  <c r="P102" i="9"/>
  <c r="AF102" i="9"/>
  <c r="AB100" i="9"/>
  <c r="X98" i="9"/>
  <c r="AN98" i="9"/>
  <c r="BD98" i="9"/>
  <c r="T96" i="9"/>
  <c r="AJ96" i="9"/>
  <c r="AF94" i="9"/>
  <c r="AV94" i="9"/>
  <c r="AB92" i="9"/>
  <c r="AR92" i="9"/>
  <c r="BH92" i="9"/>
  <c r="X90" i="9"/>
  <c r="BD90" i="9"/>
  <c r="BT90" i="9"/>
  <c r="AG70" i="9"/>
  <c r="AG78" i="9"/>
  <c r="AG86" i="9"/>
  <c r="AG72" i="9"/>
  <c r="AG80" i="9"/>
  <c r="AG88" i="9"/>
  <c r="AG74" i="9"/>
  <c r="AG82" i="9"/>
  <c r="AG108" i="9"/>
  <c r="AG68" i="9"/>
  <c r="AG90" i="9"/>
  <c r="AG109" i="9"/>
  <c r="AG76" i="9"/>
  <c r="AG84" i="9"/>
  <c r="AG92" i="9"/>
  <c r="AO74" i="9"/>
  <c r="AO82" i="9"/>
  <c r="AO109" i="9"/>
  <c r="AO76" i="9"/>
  <c r="AO84" i="9"/>
  <c r="AO70" i="9"/>
  <c r="AO78" i="9"/>
  <c r="AO86" i="9"/>
  <c r="AO108" i="9"/>
  <c r="AO94" i="9"/>
  <c r="AO72" i="9"/>
  <c r="AO80" i="9"/>
  <c r="AO88" i="9"/>
  <c r="AW70" i="9"/>
  <c r="AW78" i="9"/>
  <c r="AW86" i="9"/>
  <c r="AW72" i="9"/>
  <c r="AW80" i="9"/>
  <c r="AW88" i="9"/>
  <c r="AW74" i="9"/>
  <c r="AW82" i="9"/>
  <c r="AW108" i="9"/>
  <c r="AW68" i="9"/>
  <c r="AW90" i="9"/>
  <c r="AW109" i="9"/>
  <c r="AW76" i="9"/>
  <c r="AW84" i="9"/>
  <c r="AW92" i="9"/>
  <c r="BE74" i="9"/>
  <c r="BE82" i="9"/>
  <c r="BE90" i="9"/>
  <c r="BE109" i="9"/>
  <c r="BE76" i="9"/>
  <c r="BE84" i="9"/>
  <c r="BE70" i="9"/>
  <c r="BE78" i="9"/>
  <c r="BE86" i="9"/>
  <c r="BE108" i="9"/>
  <c r="BE94" i="9"/>
  <c r="BE72" i="9"/>
  <c r="BE80" i="9"/>
  <c r="BE88" i="9"/>
  <c r="BM70" i="9"/>
  <c r="BM78" i="9"/>
  <c r="BM86" i="9"/>
  <c r="BM72" i="9"/>
  <c r="BM80" i="9"/>
  <c r="BM88" i="9"/>
  <c r="BM74" i="9"/>
  <c r="BM82" i="9"/>
  <c r="BM90" i="9"/>
  <c r="BM108" i="9"/>
  <c r="BM68" i="9"/>
  <c r="BM109" i="9"/>
  <c r="BM76" i="9"/>
  <c r="BM84" i="9"/>
  <c r="BM92" i="9"/>
  <c r="CC70" i="9"/>
  <c r="CC78" i="9"/>
  <c r="CC86" i="9"/>
  <c r="CC72" i="9"/>
  <c r="CC80" i="9"/>
  <c r="CC88" i="9"/>
  <c r="CC74" i="9"/>
  <c r="CC82" i="9"/>
  <c r="CC90" i="9"/>
  <c r="CC108" i="9"/>
  <c r="CC68" i="9"/>
  <c r="CC98" i="9"/>
  <c r="CC109" i="9"/>
  <c r="CC76" i="9"/>
  <c r="CC84" i="9"/>
  <c r="CC92" i="9"/>
  <c r="CK74" i="9"/>
  <c r="CK82" i="9"/>
  <c r="CK90" i="9"/>
  <c r="CK109" i="9"/>
  <c r="CK76" i="9"/>
  <c r="CK84" i="9"/>
  <c r="CK70" i="9"/>
  <c r="CK78" i="9"/>
  <c r="CK86" i="9"/>
  <c r="CK108" i="9"/>
  <c r="CK94" i="9"/>
  <c r="CK72" i="9"/>
  <c r="CK80" i="9"/>
  <c r="CK88" i="9"/>
  <c r="CK96" i="9"/>
  <c r="CS70" i="9"/>
  <c r="CS78" i="9"/>
  <c r="CS86" i="9"/>
  <c r="CS72" i="9"/>
  <c r="CS80" i="9"/>
  <c r="CS88" i="9"/>
  <c r="CS74" i="9"/>
  <c r="CS82" i="9"/>
  <c r="CS90" i="9"/>
  <c r="CS108" i="9"/>
  <c r="CS68" i="9"/>
  <c r="CS98" i="9"/>
  <c r="CS109" i="9"/>
  <c r="CS76" i="9"/>
  <c r="CS84" i="9"/>
  <c r="CS92" i="9"/>
  <c r="Y104" i="9"/>
  <c r="AO104" i="9"/>
  <c r="BE104" i="9"/>
  <c r="CK104" i="9"/>
  <c r="U102" i="9"/>
  <c r="AK102" i="9"/>
  <c r="BA102" i="9"/>
  <c r="BQ102" i="9"/>
  <c r="CG102" i="9"/>
  <c r="Q100" i="9"/>
  <c r="AG100" i="9"/>
  <c r="AW100" i="9"/>
  <c r="BM100" i="9"/>
  <c r="CC100" i="9"/>
  <c r="CS100" i="9"/>
  <c r="AC98" i="9"/>
  <c r="AS98" i="9"/>
  <c r="BI98" i="9"/>
  <c r="BY98" i="9"/>
  <c r="AK96" i="9"/>
  <c r="BE96" i="9"/>
  <c r="CC96" i="9"/>
  <c r="AC94" i="9"/>
  <c r="BI94" i="9"/>
  <c r="AO92" i="9"/>
  <c r="BA90" i="9"/>
  <c r="X88" i="9"/>
  <c r="BD88" i="9"/>
  <c r="X86" i="9"/>
  <c r="BP84" i="9"/>
  <c r="AB80" i="9"/>
  <c r="CN80" i="9"/>
  <c r="AZ76" i="9"/>
  <c r="BX72" i="9"/>
  <c r="BD70" i="9"/>
  <c r="O84" i="9"/>
  <c r="O100" i="9"/>
  <c r="O68" i="9"/>
  <c r="O94" i="9"/>
  <c r="O80" i="9"/>
  <c r="O96" i="9"/>
  <c r="O78" i="9"/>
  <c r="O82" i="9"/>
  <c r="O76" i="9"/>
  <c r="O92" i="9"/>
  <c r="O108" i="9"/>
  <c r="O102" i="9"/>
  <c r="O88" i="9"/>
  <c r="O104" i="9"/>
  <c r="O98" i="9"/>
  <c r="O109" i="9"/>
  <c r="O70" i="9"/>
  <c r="O86" i="9"/>
  <c r="O72" i="9"/>
  <c r="O74" i="9"/>
  <c r="O90" i="9"/>
  <c r="O106" i="9"/>
  <c r="Q70" i="9"/>
  <c r="Q78" i="9"/>
  <c r="Q86" i="9"/>
  <c r="Q72" i="9"/>
  <c r="Q80" i="9"/>
  <c r="Q88" i="9"/>
  <c r="Q74" i="9"/>
  <c r="Q82" i="9"/>
  <c r="Q108" i="9"/>
  <c r="Q68" i="9"/>
  <c r="Q90" i="9"/>
  <c r="Q109" i="9"/>
  <c r="Q76" i="9"/>
  <c r="Q84" i="9"/>
  <c r="Q92" i="9"/>
  <c r="U72" i="9"/>
  <c r="U80" i="9"/>
  <c r="U88" i="9"/>
  <c r="U74" i="9"/>
  <c r="U82" i="9"/>
  <c r="U68" i="9"/>
  <c r="U109" i="9"/>
  <c r="U76" i="9"/>
  <c r="U84" i="9"/>
  <c r="U92" i="9"/>
  <c r="U70" i="9"/>
  <c r="U78" i="9"/>
  <c r="U86" i="9"/>
  <c r="U94" i="9"/>
  <c r="P109" i="9"/>
  <c r="P68" i="9"/>
  <c r="P76" i="9"/>
  <c r="P84" i="9"/>
  <c r="P70" i="9"/>
  <c r="P78" i="9"/>
  <c r="P86" i="9"/>
  <c r="P72" i="9"/>
  <c r="P80" i="9"/>
  <c r="P88" i="9"/>
  <c r="Z74" i="9"/>
  <c r="Z82" i="9"/>
  <c r="Z90" i="9"/>
  <c r="Z109" i="9"/>
  <c r="Z76" i="9"/>
  <c r="Z84" i="9"/>
  <c r="Z110" i="9"/>
  <c r="Z70" i="9"/>
  <c r="Z78" i="9"/>
  <c r="Z86" i="9"/>
  <c r="Z108" i="9"/>
  <c r="Z68" i="9"/>
  <c r="Z72" i="9"/>
  <c r="Z80" i="9"/>
  <c r="Z88" i="9"/>
  <c r="AL72" i="9"/>
  <c r="AL80" i="9"/>
  <c r="AL88" i="9"/>
  <c r="AL74" i="9"/>
  <c r="AL82" i="9"/>
  <c r="AL90" i="9"/>
  <c r="AL109" i="9"/>
  <c r="AL76" i="9"/>
  <c r="AL84" i="9"/>
  <c r="AL110" i="9"/>
  <c r="AL70" i="9"/>
  <c r="AL78" i="9"/>
  <c r="AL86" i="9"/>
  <c r="AL68" i="9"/>
  <c r="AT109" i="9"/>
  <c r="AT76" i="9"/>
  <c r="AT84" i="9"/>
  <c r="AT108" i="9"/>
  <c r="AT110" i="9"/>
  <c r="AT70" i="9"/>
  <c r="AT78" i="9"/>
  <c r="AT86" i="9"/>
  <c r="AT68" i="9"/>
  <c r="AT72" i="9"/>
  <c r="AT80" i="9"/>
  <c r="AT88" i="9"/>
  <c r="AT74" i="9"/>
  <c r="AT82" i="9"/>
  <c r="AT90" i="9"/>
  <c r="BB72" i="9"/>
  <c r="BB80" i="9"/>
  <c r="BB88" i="9"/>
  <c r="BB108" i="9"/>
  <c r="BB74" i="9"/>
  <c r="BB82" i="9"/>
  <c r="BB90" i="9"/>
  <c r="BB109" i="9"/>
  <c r="BB76" i="9"/>
  <c r="BB84" i="9"/>
  <c r="BB110" i="9"/>
  <c r="BB70" i="9"/>
  <c r="BB78" i="9"/>
  <c r="BB86" i="9"/>
  <c r="BB68" i="9"/>
  <c r="BJ109" i="9"/>
  <c r="BJ76" i="9"/>
  <c r="BJ84" i="9"/>
  <c r="BJ108" i="9"/>
  <c r="BJ110" i="9"/>
  <c r="BJ70" i="9"/>
  <c r="BJ78" i="9"/>
  <c r="BJ86" i="9"/>
  <c r="BJ68" i="9"/>
  <c r="BJ72" i="9"/>
  <c r="BJ80" i="9"/>
  <c r="BJ88" i="9"/>
  <c r="BJ74" i="9"/>
  <c r="BJ82" i="9"/>
  <c r="BJ90" i="9"/>
  <c r="BR72" i="9"/>
  <c r="BR80" i="9"/>
  <c r="BR88" i="9"/>
  <c r="BR108" i="9"/>
  <c r="BR74" i="9"/>
  <c r="BR82" i="9"/>
  <c r="BR90" i="9"/>
  <c r="BR109" i="9"/>
  <c r="BR76" i="9"/>
  <c r="BR84" i="9"/>
  <c r="BR110" i="9"/>
  <c r="BR70" i="9"/>
  <c r="BR78" i="9"/>
  <c r="BR86" i="9"/>
  <c r="BR68" i="9"/>
  <c r="BZ109" i="9"/>
  <c r="BZ76" i="9"/>
  <c r="BZ84" i="9"/>
  <c r="BZ92" i="9"/>
  <c r="BZ108" i="9"/>
  <c r="BZ70" i="9"/>
  <c r="BZ78" i="9"/>
  <c r="BZ86" i="9"/>
  <c r="BZ68" i="9"/>
  <c r="BZ72" i="9"/>
  <c r="BZ80" i="9"/>
  <c r="BZ88" i="9"/>
  <c r="BZ74" i="9"/>
  <c r="BZ82" i="9"/>
  <c r="BZ90" i="9"/>
  <c r="CP109" i="9"/>
  <c r="CP76" i="9"/>
  <c r="CP84" i="9"/>
  <c r="CP92" i="9"/>
  <c r="CP108" i="9"/>
  <c r="CP70" i="9"/>
  <c r="CP78" i="9"/>
  <c r="CP86" i="9"/>
  <c r="CP68" i="9"/>
  <c r="CP72" i="9"/>
  <c r="CP80" i="9"/>
  <c r="CP88" i="9"/>
  <c r="CP74" i="9"/>
  <c r="CP82" i="9"/>
  <c r="CP90" i="9"/>
  <c r="AH104" i="9"/>
  <c r="AX104" i="9"/>
  <c r="BN104" i="9"/>
  <c r="CD104" i="9"/>
  <c r="CT104" i="9"/>
  <c r="AD102" i="9"/>
  <c r="AT102" i="9"/>
  <c r="BJ102" i="9"/>
  <c r="BZ102" i="9"/>
  <c r="CP102" i="9"/>
  <c r="Z100" i="9"/>
  <c r="AP100" i="9"/>
  <c r="BF100" i="9"/>
  <c r="BV100" i="9"/>
  <c r="CL100" i="9"/>
  <c r="AL98" i="9"/>
  <c r="BB98" i="9"/>
  <c r="BR98" i="9"/>
  <c r="AH96" i="9"/>
  <c r="AX96" i="9"/>
  <c r="BN96" i="9"/>
  <c r="CD96" i="9"/>
  <c r="CT96" i="9"/>
  <c r="AD94" i="9"/>
  <c r="AT94" i="9"/>
  <c r="BJ94" i="9"/>
  <c r="BZ94" i="9"/>
  <c r="CP94" i="9"/>
  <c r="Z92" i="9"/>
  <c r="AP92" i="9"/>
  <c r="BF92" i="9"/>
  <c r="BV92" i="9"/>
  <c r="W76" i="9"/>
  <c r="W84" i="9"/>
  <c r="W68" i="9"/>
  <c r="W109" i="9"/>
  <c r="W70" i="9"/>
  <c r="W78" i="9"/>
  <c r="W86" i="9"/>
  <c r="W72" i="9"/>
  <c r="W80" i="9"/>
  <c r="W88" i="9"/>
  <c r="W108" i="9"/>
  <c r="W74" i="9"/>
  <c r="W82" i="9"/>
  <c r="AE72" i="9"/>
  <c r="AE80" i="9"/>
  <c r="AE88" i="9"/>
  <c r="AE74" i="9"/>
  <c r="AE82" i="9"/>
  <c r="AE90" i="9"/>
  <c r="AE76" i="9"/>
  <c r="AE84" i="9"/>
  <c r="AE108" i="9"/>
  <c r="AE68" i="9"/>
  <c r="AE109" i="9"/>
  <c r="AE70" i="9"/>
  <c r="AE78" i="9"/>
  <c r="AE86" i="9"/>
  <c r="AM76" i="9"/>
  <c r="AM84" i="9"/>
  <c r="AM68" i="9"/>
  <c r="AM109" i="9"/>
  <c r="AM70" i="9"/>
  <c r="AM78" i="9"/>
  <c r="AM86" i="9"/>
  <c r="AM72" i="9"/>
  <c r="AM80" i="9"/>
  <c r="AM88" i="9"/>
  <c r="AM108" i="9"/>
  <c r="AM74" i="9"/>
  <c r="AM82" i="9"/>
  <c r="AM90" i="9"/>
  <c r="AU72" i="9"/>
  <c r="AU80" i="9"/>
  <c r="AU88" i="9"/>
  <c r="AU74" i="9"/>
  <c r="AU82" i="9"/>
  <c r="AU90" i="9"/>
  <c r="AU76" i="9"/>
  <c r="AU84" i="9"/>
  <c r="AU108" i="9"/>
  <c r="AU68" i="9"/>
  <c r="AU109" i="9"/>
  <c r="AU70" i="9"/>
  <c r="AU78" i="9"/>
  <c r="AU86" i="9"/>
  <c r="BC76" i="9"/>
  <c r="BC84" i="9"/>
  <c r="BC68" i="9"/>
  <c r="BC109" i="9"/>
  <c r="BC70" i="9"/>
  <c r="BC78" i="9"/>
  <c r="BC86" i="9"/>
  <c r="BC72" i="9"/>
  <c r="BC80" i="9"/>
  <c r="BC88" i="9"/>
  <c r="BC108" i="9"/>
  <c r="BC74" i="9"/>
  <c r="BC82" i="9"/>
  <c r="BC90" i="9"/>
  <c r="BK72" i="9"/>
  <c r="BK80" i="9"/>
  <c r="BK88" i="9"/>
  <c r="BK74" i="9"/>
  <c r="BK82" i="9"/>
  <c r="BK90" i="9"/>
  <c r="BK76" i="9"/>
  <c r="BK84" i="9"/>
  <c r="BK108" i="9"/>
  <c r="BK68" i="9"/>
  <c r="BK109" i="9"/>
  <c r="BK70" i="9"/>
  <c r="BK78" i="9"/>
  <c r="BK86" i="9"/>
  <c r="BS76" i="9"/>
  <c r="BS84" i="9"/>
  <c r="BS68" i="9"/>
  <c r="BS109" i="9"/>
  <c r="BS70" i="9"/>
  <c r="BS78" i="9"/>
  <c r="BS86" i="9"/>
  <c r="BS72" i="9"/>
  <c r="BS80" i="9"/>
  <c r="BS88" i="9"/>
  <c r="BS108" i="9"/>
  <c r="BS74" i="9"/>
  <c r="BS82" i="9"/>
  <c r="BS90" i="9"/>
  <c r="CA72" i="9"/>
  <c r="CA80" i="9"/>
  <c r="CA88" i="9"/>
  <c r="CA74" i="9"/>
  <c r="CA82" i="9"/>
  <c r="CA90" i="9"/>
  <c r="CA76" i="9"/>
  <c r="CA84" i="9"/>
  <c r="CA108" i="9"/>
  <c r="CA68" i="9"/>
  <c r="CA109" i="9"/>
  <c r="CA70" i="9"/>
  <c r="CA78" i="9"/>
  <c r="CA86" i="9"/>
  <c r="CI76" i="9"/>
  <c r="CI84" i="9"/>
  <c r="CI68" i="9"/>
  <c r="CI109" i="9"/>
  <c r="CI70" i="9"/>
  <c r="CI78" i="9"/>
  <c r="CI86" i="9"/>
  <c r="CI72" i="9"/>
  <c r="CI80" i="9"/>
  <c r="CI88" i="9"/>
  <c r="CI108" i="9"/>
  <c r="CI74" i="9"/>
  <c r="CI82" i="9"/>
  <c r="CI90" i="9"/>
  <c r="CQ72" i="9"/>
  <c r="CQ80" i="9"/>
  <c r="CQ88" i="9"/>
  <c r="CQ74" i="9"/>
  <c r="CQ82" i="9"/>
  <c r="CQ90" i="9"/>
  <c r="CQ76" i="9"/>
  <c r="CQ84" i="9"/>
  <c r="CQ108" i="9"/>
  <c r="CQ68" i="9"/>
  <c r="CQ109" i="9"/>
  <c r="CQ70" i="9"/>
  <c r="CQ78" i="9"/>
  <c r="CQ86" i="9"/>
  <c r="S104" i="9"/>
  <c r="AI104" i="9"/>
  <c r="AY104" i="9"/>
  <c r="BO104" i="9"/>
  <c r="CE104" i="9"/>
  <c r="CU104" i="9"/>
  <c r="AE102" i="9"/>
  <c r="AU102" i="9"/>
  <c r="BK102" i="9"/>
  <c r="CA102" i="9"/>
  <c r="CQ102" i="9"/>
  <c r="AA100" i="9"/>
  <c r="AQ100" i="9"/>
  <c r="BG100" i="9"/>
  <c r="BW100" i="9"/>
  <c r="CM100" i="9"/>
  <c r="W98" i="9"/>
  <c r="AM98" i="9"/>
  <c r="BC98" i="9"/>
  <c r="BS98" i="9"/>
  <c r="CI98" i="9"/>
  <c r="S96" i="9"/>
  <c r="AI96" i="9"/>
  <c r="AY96" i="9"/>
  <c r="BO96" i="9"/>
  <c r="CE96" i="9"/>
  <c r="CU96" i="9"/>
  <c r="AE94" i="9"/>
  <c r="AU94" i="9"/>
  <c r="BK94" i="9"/>
  <c r="CA94" i="9"/>
  <c r="CQ94" i="9"/>
  <c r="AA92" i="9"/>
  <c r="AQ92" i="9"/>
  <c r="BG92" i="9"/>
  <c r="BW92" i="9"/>
  <c r="CM92" i="9"/>
  <c r="W90" i="9"/>
  <c r="AF109" i="9"/>
  <c r="AF108" i="9"/>
  <c r="AF68" i="9"/>
  <c r="AF76" i="9"/>
  <c r="AF84" i="9"/>
  <c r="AF70" i="9"/>
  <c r="AF78" i="9"/>
  <c r="AF86" i="9"/>
  <c r="AF72" i="9"/>
  <c r="AF80" i="9"/>
  <c r="AF88" i="9"/>
  <c r="AN108" i="9"/>
  <c r="AN72" i="9"/>
  <c r="AN80" i="9"/>
  <c r="AN109" i="9"/>
  <c r="AN74" i="9"/>
  <c r="AN82" i="9"/>
  <c r="AN68" i="9"/>
  <c r="AN76" i="9"/>
  <c r="AN84" i="9"/>
  <c r="AV109" i="9"/>
  <c r="AV108" i="9"/>
  <c r="AV68" i="9"/>
  <c r="AV76" i="9"/>
  <c r="AV84" i="9"/>
  <c r="AV70" i="9"/>
  <c r="AV78" i="9"/>
  <c r="AV86" i="9"/>
  <c r="AV72" i="9"/>
  <c r="AV80" i="9"/>
  <c r="AV88" i="9"/>
  <c r="BD106" i="9"/>
  <c r="BL109" i="9"/>
  <c r="BL68" i="9"/>
  <c r="BL76" i="9"/>
  <c r="BL84" i="9"/>
  <c r="BL70" i="9"/>
  <c r="BL78" i="9"/>
  <c r="BL86" i="9"/>
  <c r="BL72" i="9"/>
  <c r="BL80" i="9"/>
  <c r="BL88" i="9"/>
  <c r="BT108" i="9"/>
  <c r="BT72" i="9"/>
  <c r="BT80" i="9"/>
  <c r="BT88" i="9"/>
  <c r="BT109" i="9"/>
  <c r="BT74" i="9"/>
  <c r="BT82" i="9"/>
  <c r="BT68" i="9"/>
  <c r="BT76" i="9"/>
  <c r="BT84" i="9"/>
  <c r="CB109" i="9"/>
  <c r="CB108" i="9"/>
  <c r="CB68" i="9"/>
  <c r="CB76" i="9"/>
  <c r="CB84" i="9"/>
  <c r="CB70" i="9"/>
  <c r="CB78" i="9"/>
  <c r="CB86" i="9"/>
  <c r="CB72" i="9"/>
  <c r="CB80" i="9"/>
  <c r="CB88" i="9"/>
  <c r="CJ108" i="9"/>
  <c r="CJ72" i="9"/>
  <c r="CJ80" i="9"/>
  <c r="CJ88" i="9"/>
  <c r="CJ109" i="9"/>
  <c r="CJ74" i="9"/>
  <c r="CJ82" i="9"/>
  <c r="CJ90" i="9"/>
  <c r="CJ68" i="9"/>
  <c r="CJ76" i="9"/>
  <c r="CJ84" i="9"/>
  <c r="X104" i="9"/>
  <c r="AN104" i="9"/>
  <c r="BD104" i="9"/>
  <c r="BT104" i="9"/>
  <c r="CJ104" i="9"/>
  <c r="T102" i="9"/>
  <c r="AJ102" i="9"/>
  <c r="AZ102" i="9"/>
  <c r="BP102" i="9"/>
  <c r="CF102" i="9"/>
  <c r="P100" i="9"/>
  <c r="AF100" i="9"/>
  <c r="AV100" i="9"/>
  <c r="BL100" i="9"/>
  <c r="CB100" i="9"/>
  <c r="AB98" i="9"/>
  <c r="AR98" i="9"/>
  <c r="BH98" i="9"/>
  <c r="BX98" i="9"/>
  <c r="CN98" i="9"/>
  <c r="X96" i="9"/>
  <c r="AN96" i="9"/>
  <c r="BT96" i="9"/>
  <c r="CJ96" i="9"/>
  <c r="T94" i="9"/>
  <c r="AJ94" i="9"/>
  <c r="AZ94" i="9"/>
  <c r="BP94" i="9"/>
  <c r="CF94" i="9"/>
  <c r="P92" i="9"/>
  <c r="AF92" i="9"/>
  <c r="AV92" i="9"/>
  <c r="BL92" i="9"/>
  <c r="CB92" i="9"/>
  <c r="AB90" i="9"/>
  <c r="AR90" i="9"/>
  <c r="BH90" i="9"/>
  <c r="BX90" i="9"/>
  <c r="AG106" i="9"/>
  <c r="AO106" i="9"/>
  <c r="AW106" i="9"/>
  <c r="BE106" i="9"/>
  <c r="BM106" i="9"/>
  <c r="CC106" i="9"/>
  <c r="CK106" i="9"/>
  <c r="CS106" i="9"/>
  <c r="AS104" i="9"/>
  <c r="BY104" i="9"/>
  <c r="Y102" i="9"/>
  <c r="AO102" i="9"/>
  <c r="BE102" i="9"/>
  <c r="CK102" i="9"/>
  <c r="U100" i="9"/>
  <c r="CG100" i="9"/>
  <c r="Q98" i="9"/>
  <c r="AG98" i="9"/>
  <c r="AW98" i="9"/>
  <c r="BM98" i="9"/>
  <c r="CG98" i="9"/>
  <c r="U96" i="9"/>
  <c r="AO96" i="9"/>
  <c r="BM96" i="9"/>
  <c r="AG94" i="9"/>
  <c r="BM94" i="9"/>
  <c r="CS94" i="9"/>
  <c r="Y90" i="9"/>
  <c r="CB90" i="9"/>
  <c r="AB88" i="9"/>
  <c r="BH88" i="9"/>
  <c r="AN86" i="9"/>
  <c r="CF84" i="9"/>
  <c r="BL82" i="9"/>
  <c r="AR80" i="9"/>
  <c r="CJ78" i="9"/>
  <c r="BP76" i="9"/>
  <c r="AV74" i="9"/>
  <c r="AB72" i="9"/>
  <c r="CN72" i="9"/>
  <c r="BT70" i="9"/>
  <c r="Y68" i="9"/>
  <c r="CK68" i="9"/>
  <c r="U106" i="9"/>
  <c r="X108" i="9"/>
  <c r="X72" i="9"/>
  <c r="X80" i="9"/>
  <c r="X109" i="9"/>
  <c r="X74" i="9"/>
  <c r="X82" i="9"/>
  <c r="X68" i="9"/>
  <c r="X76" i="9"/>
  <c r="X84" i="9"/>
  <c r="T68" i="9"/>
  <c r="T70" i="9"/>
  <c r="T78" i="9"/>
  <c r="T86" i="9"/>
  <c r="T72" i="9"/>
  <c r="T80" i="9"/>
  <c r="T88" i="9"/>
  <c r="T108" i="9"/>
  <c r="T109" i="9"/>
  <c r="T74" i="9"/>
  <c r="T82" i="9"/>
  <c r="AD106" i="9"/>
  <c r="AL106" i="9"/>
  <c r="AT106" i="9"/>
  <c r="BB106" i="9"/>
  <c r="BJ106" i="9"/>
  <c r="BR106" i="9"/>
  <c r="BZ106" i="9"/>
  <c r="CH72" i="9"/>
  <c r="CH80" i="9"/>
  <c r="CH88" i="9"/>
  <c r="CH108" i="9"/>
  <c r="CH74" i="9"/>
  <c r="CH82" i="9"/>
  <c r="CH90" i="9"/>
  <c r="CH109" i="9"/>
  <c r="CH76" i="9"/>
  <c r="CH84" i="9"/>
  <c r="CH92" i="9"/>
  <c r="CH70" i="9"/>
  <c r="CH78" i="9"/>
  <c r="CH86" i="9"/>
  <c r="CH68" i="9"/>
  <c r="CP106" i="9"/>
  <c r="AL104" i="9"/>
  <c r="BB104" i="9"/>
  <c r="BR104" i="9"/>
  <c r="CH104" i="9"/>
  <c r="AH102" i="9"/>
  <c r="AX102" i="9"/>
  <c r="BN102" i="9"/>
  <c r="CD102" i="9"/>
  <c r="CT102" i="9"/>
  <c r="AD100" i="9"/>
  <c r="AT100" i="9"/>
  <c r="BJ100" i="9"/>
  <c r="BZ100" i="9"/>
  <c r="CP100" i="9"/>
  <c r="Z98" i="9"/>
  <c r="AP98" i="9"/>
  <c r="BF98" i="9"/>
  <c r="BV98" i="9"/>
  <c r="CL98" i="9"/>
  <c r="AL96" i="9"/>
  <c r="BB96" i="9"/>
  <c r="BR96" i="9"/>
  <c r="CH96" i="9"/>
  <c r="AH94" i="9"/>
  <c r="AX94" i="9"/>
  <c r="BN94" i="9"/>
  <c r="CD94" i="9"/>
  <c r="CT94" i="9"/>
  <c r="AD92" i="9"/>
  <c r="AT92" i="9"/>
  <c r="BJ92" i="9"/>
  <c r="W106" i="9"/>
  <c r="AE106" i="9"/>
  <c r="AM106" i="9"/>
  <c r="AU106" i="9"/>
  <c r="BC106" i="9"/>
  <c r="BK106" i="9"/>
  <c r="BS106" i="9"/>
  <c r="CA106" i="9"/>
  <c r="CI106" i="9"/>
  <c r="CQ106" i="9"/>
  <c r="W104" i="9"/>
  <c r="AM104" i="9"/>
  <c r="BC104" i="9"/>
  <c r="BS104" i="9"/>
  <c r="CI104" i="9"/>
  <c r="S102" i="9"/>
  <c r="AI102" i="9"/>
  <c r="AY102" i="9"/>
  <c r="BO102" i="9"/>
  <c r="CE102" i="9"/>
  <c r="CU102" i="9"/>
  <c r="AE100" i="9"/>
  <c r="AU100" i="9"/>
  <c r="BK100" i="9"/>
  <c r="CA100" i="9"/>
  <c r="CQ100" i="9"/>
  <c r="AA98" i="9"/>
  <c r="AQ98" i="9"/>
  <c r="BG98" i="9"/>
  <c r="BW98" i="9"/>
  <c r="CM98" i="9"/>
  <c r="W96" i="9"/>
  <c r="AM96" i="9"/>
  <c r="BC96" i="9"/>
  <c r="BS96" i="9"/>
  <c r="CI96" i="9"/>
  <c r="S94" i="9"/>
  <c r="AI94" i="9"/>
  <c r="AY94" i="9"/>
  <c r="BO94" i="9"/>
  <c r="CE94" i="9"/>
  <c r="CU94" i="9"/>
  <c r="AE92" i="9"/>
  <c r="AU92" i="9"/>
  <c r="BK92" i="9"/>
  <c r="CA92" i="9"/>
  <c r="CQ92" i="9"/>
  <c r="X106" i="9"/>
  <c r="BD108" i="9"/>
  <c r="BD72" i="9"/>
  <c r="BD80" i="9"/>
  <c r="BD109" i="9"/>
  <c r="BD74" i="9"/>
  <c r="BD82" i="9"/>
  <c r="BD68" i="9"/>
  <c r="BD76" i="9"/>
  <c r="BD84" i="9"/>
  <c r="AB104" i="9"/>
  <c r="X102" i="9"/>
  <c r="AN102" i="9"/>
  <c r="BD102" i="9"/>
  <c r="T100" i="9"/>
  <c r="AJ100" i="9"/>
  <c r="P98" i="9"/>
  <c r="AF98" i="9"/>
  <c r="AV98" i="9"/>
  <c r="BL98" i="9"/>
  <c r="AB96" i="9"/>
  <c r="AR96" i="9"/>
  <c r="BH96" i="9"/>
  <c r="X94" i="9"/>
  <c r="AN94" i="9"/>
  <c r="BD94" i="9"/>
  <c r="BT94" i="9"/>
  <c r="T92" i="9"/>
  <c r="AJ92" i="9"/>
  <c r="AZ92" i="9"/>
  <c r="BP92" i="9"/>
  <c r="P90" i="9"/>
  <c r="AF90" i="9"/>
  <c r="AV90" i="9"/>
  <c r="BL90" i="9"/>
  <c r="AC109" i="9"/>
  <c r="AC76" i="9"/>
  <c r="AC84" i="9"/>
  <c r="AC108" i="9"/>
  <c r="AC70" i="9"/>
  <c r="AC78" i="9"/>
  <c r="AC86" i="9"/>
  <c r="AC72" i="9"/>
  <c r="AC80" i="9"/>
  <c r="AC88" i="9"/>
  <c r="AC96" i="9"/>
  <c r="AC74" i="9"/>
  <c r="AC82" i="9"/>
  <c r="AC68" i="9"/>
  <c r="AC90" i="9"/>
  <c r="AK72" i="9"/>
  <c r="AK80" i="9"/>
  <c r="AK88" i="9"/>
  <c r="AK108" i="9"/>
  <c r="AK74" i="9"/>
  <c r="AK82" i="9"/>
  <c r="AK68" i="9"/>
  <c r="AK109" i="9"/>
  <c r="AK76" i="9"/>
  <c r="AK84" i="9"/>
  <c r="AK92" i="9"/>
  <c r="AK70" i="9"/>
  <c r="AK78" i="9"/>
  <c r="AK86" i="9"/>
  <c r="AK94" i="9"/>
  <c r="AS109" i="9"/>
  <c r="AS76" i="9"/>
  <c r="AS84" i="9"/>
  <c r="AS108" i="9"/>
  <c r="AS70" i="9"/>
  <c r="AS78" i="9"/>
  <c r="AS86" i="9"/>
  <c r="AS72" i="9"/>
  <c r="AS80" i="9"/>
  <c r="AS88" i="9"/>
  <c r="AS96" i="9"/>
  <c r="AS74" i="9"/>
  <c r="AS82" i="9"/>
  <c r="AS68" i="9"/>
  <c r="AS90" i="9"/>
  <c r="BA72" i="9"/>
  <c r="BA80" i="9"/>
  <c r="BA88" i="9"/>
  <c r="BA108" i="9"/>
  <c r="BA74" i="9"/>
  <c r="BA82" i="9"/>
  <c r="BA68" i="9"/>
  <c r="BA109" i="9"/>
  <c r="BA76" i="9"/>
  <c r="BA84" i="9"/>
  <c r="BA92" i="9"/>
  <c r="BA70" i="9"/>
  <c r="BA78" i="9"/>
  <c r="BA86" i="9"/>
  <c r="BA94" i="9"/>
  <c r="BI109" i="9"/>
  <c r="BI76" i="9"/>
  <c r="BI84" i="9"/>
  <c r="BI70" i="9"/>
  <c r="BI78" i="9"/>
  <c r="BI86" i="9"/>
  <c r="BI72" i="9"/>
  <c r="BI80" i="9"/>
  <c r="BI88" i="9"/>
  <c r="BI96" i="9"/>
  <c r="BI74" i="9"/>
  <c r="BI82" i="9"/>
  <c r="BI90" i="9"/>
  <c r="BI68" i="9"/>
  <c r="BQ72" i="9"/>
  <c r="BQ80" i="9"/>
  <c r="BQ88" i="9"/>
  <c r="BQ108" i="9"/>
  <c r="BQ74" i="9"/>
  <c r="BQ82" i="9"/>
  <c r="BQ90" i="9"/>
  <c r="BQ68" i="9"/>
  <c r="BQ109" i="9"/>
  <c r="BQ76" i="9"/>
  <c r="BQ84" i="9"/>
  <c r="BQ92" i="9"/>
  <c r="BQ70" i="9"/>
  <c r="BQ78" i="9"/>
  <c r="BQ86" i="9"/>
  <c r="BQ94" i="9"/>
  <c r="BY109" i="9"/>
  <c r="BY76" i="9"/>
  <c r="BY84" i="9"/>
  <c r="BY108" i="9"/>
  <c r="BY70" i="9"/>
  <c r="BY78" i="9"/>
  <c r="BY86" i="9"/>
  <c r="BY72" i="9"/>
  <c r="BY80" i="9"/>
  <c r="BY88" i="9"/>
  <c r="BY96" i="9"/>
  <c r="BY74" i="9"/>
  <c r="BY82" i="9"/>
  <c r="BY90" i="9"/>
  <c r="BY68" i="9"/>
  <c r="CG72" i="9"/>
  <c r="CG80" i="9"/>
  <c r="CG88" i="9"/>
  <c r="CG108" i="9"/>
  <c r="CG74" i="9"/>
  <c r="CG82" i="9"/>
  <c r="CG90" i="9"/>
  <c r="CG68" i="9"/>
  <c r="CG109" i="9"/>
  <c r="CG76" i="9"/>
  <c r="CG84" i="9"/>
  <c r="CG92" i="9"/>
  <c r="CG70" i="9"/>
  <c r="CG78" i="9"/>
  <c r="CG86" i="9"/>
  <c r="CG94" i="9"/>
  <c r="Q104" i="9"/>
  <c r="AG104" i="9"/>
  <c r="AW104" i="9"/>
  <c r="BM104" i="9"/>
  <c r="CC104" i="9"/>
  <c r="CS104" i="9"/>
  <c r="AC102" i="9"/>
  <c r="AS102" i="9"/>
  <c r="BI102" i="9"/>
  <c r="BY102" i="9"/>
  <c r="Y100" i="9"/>
  <c r="AO100" i="9"/>
  <c r="BE100" i="9"/>
  <c r="CK100" i="9"/>
  <c r="U98" i="9"/>
  <c r="AK98" i="9"/>
  <c r="BA98" i="9"/>
  <c r="BQ98" i="9"/>
  <c r="CK98" i="9"/>
  <c r="Y96" i="9"/>
  <c r="AW96" i="9"/>
  <c r="BQ96" i="9"/>
  <c r="CS96" i="9"/>
  <c r="AS94" i="9"/>
  <c r="BY94" i="9"/>
  <c r="Y92" i="9"/>
  <c r="BE92" i="9"/>
  <c r="CK92" i="9"/>
  <c r="AK90" i="9"/>
  <c r="CN90" i="9"/>
  <c r="AN88" i="9"/>
  <c r="BX88" i="9"/>
  <c r="BD86" i="9"/>
  <c r="AJ84" i="9"/>
  <c r="P82" i="9"/>
  <c r="CB82" i="9"/>
  <c r="BH80" i="9"/>
  <c r="AN78" i="9"/>
  <c r="T76" i="9"/>
  <c r="CF76" i="9"/>
  <c r="BL74" i="9"/>
  <c r="AR72" i="9"/>
  <c r="X70" i="9"/>
  <c r="CJ70" i="9"/>
  <c r="AO68" i="9"/>
  <c r="AA110" i="9"/>
  <c r="AQ110" i="9"/>
  <c r="BG110" i="9"/>
  <c r="BW110" i="9"/>
  <c r="CM110" i="9"/>
  <c r="R84" i="9"/>
  <c r="R76" i="9"/>
  <c r="R109" i="9"/>
  <c r="CH110" i="9"/>
  <c r="AE110" i="9"/>
  <c r="AU110" i="9"/>
  <c r="BK110" i="9"/>
  <c r="CA110" i="9"/>
  <c r="CQ110" i="9"/>
  <c r="R108" i="9"/>
  <c r="R90" i="9"/>
  <c r="R82" i="9"/>
  <c r="R74" i="9"/>
  <c r="CL110" i="9"/>
  <c r="S110" i="9"/>
  <c r="AI110" i="9"/>
  <c r="AY110" i="9"/>
  <c r="BO110" i="9"/>
  <c r="CE110" i="9"/>
  <c r="CU110" i="9"/>
  <c r="R68" i="9"/>
  <c r="R88" i="9"/>
  <c r="R80" i="9"/>
  <c r="R72" i="9"/>
  <c r="BZ110" i="9"/>
  <c r="CP110" i="9"/>
  <c r="R86" i="9"/>
  <c r="R78" i="9"/>
  <c r="R70" i="9"/>
  <c r="CD110" i="9"/>
  <c r="Q58" i="9"/>
  <c r="Q59" i="9"/>
  <c r="Y58" i="9"/>
  <c r="Y59" i="9"/>
  <c r="AG58" i="9"/>
  <c r="AG59" i="9"/>
  <c r="AO58" i="9"/>
  <c r="AO59" i="9"/>
  <c r="AW58" i="9"/>
  <c r="AW59" i="9"/>
  <c r="BE58" i="9"/>
  <c r="BE59" i="9"/>
  <c r="BM58" i="9"/>
  <c r="BM59" i="9"/>
  <c r="CC58" i="9"/>
  <c r="CC59" i="9"/>
  <c r="CK58" i="9"/>
  <c r="CK59" i="9"/>
  <c r="CS58" i="9"/>
  <c r="CS59" i="9"/>
  <c r="T59" i="9"/>
  <c r="T58" i="9"/>
  <c r="AJ59" i="9"/>
  <c r="AJ58" i="9"/>
  <c r="AR59" i="9"/>
  <c r="AR58" i="9"/>
  <c r="AZ59" i="9"/>
  <c r="AZ58" i="9"/>
  <c r="BH59" i="9"/>
  <c r="BH58" i="9"/>
  <c r="BP59" i="9"/>
  <c r="BP58" i="9"/>
  <c r="BX59" i="9"/>
  <c r="BX58" i="9"/>
  <c r="CF59" i="9"/>
  <c r="CF58" i="9"/>
  <c r="CN59" i="9"/>
  <c r="CN58" i="9"/>
  <c r="O59" i="9"/>
  <c r="O58" i="9"/>
  <c r="AS58" i="9"/>
  <c r="AS59" i="9"/>
  <c r="U59" i="9"/>
  <c r="AC58" i="9"/>
  <c r="AC59" i="9"/>
  <c r="AK58" i="9"/>
  <c r="AK59" i="9"/>
  <c r="BA58" i="9"/>
  <c r="BA59" i="9"/>
  <c r="BI59" i="9"/>
  <c r="BQ58" i="9"/>
  <c r="BQ59" i="9"/>
  <c r="BY58" i="9"/>
  <c r="BY59" i="9"/>
  <c r="CG58" i="9"/>
  <c r="CG59" i="9"/>
  <c r="P59" i="9"/>
  <c r="X58" i="9"/>
  <c r="X59" i="9"/>
  <c r="AF59" i="9"/>
  <c r="AF58" i="9"/>
  <c r="AN58" i="9"/>
  <c r="AN59" i="9"/>
  <c r="AV59" i="9"/>
  <c r="AV58" i="9"/>
  <c r="BD58" i="9"/>
  <c r="BD59" i="9"/>
  <c r="BL59" i="9"/>
  <c r="BT58" i="9"/>
  <c r="BT59" i="9"/>
  <c r="CB59" i="9"/>
  <c r="CB58" i="9"/>
  <c r="CJ58" i="9"/>
  <c r="CJ59" i="9"/>
  <c r="CR59" i="9"/>
  <c r="O132" i="4"/>
  <c r="O131" i="4"/>
  <c r="P14" i="9"/>
  <c r="N14" i="9" s="1"/>
  <c r="N10" i="9"/>
  <c r="O57" i="4"/>
  <c r="O130" i="4"/>
  <c r="O53" i="4"/>
  <c r="V36" i="4"/>
  <c r="AF36" i="4"/>
  <c r="AR36" i="4"/>
  <c r="BA36" i="4"/>
  <c r="BL36" i="4"/>
  <c r="BU36" i="4"/>
  <c r="CE36" i="4"/>
  <c r="CT36" i="4"/>
  <c r="R36" i="4"/>
  <c r="Z36" i="4"/>
  <c r="AL36" i="4"/>
  <c r="AV36" i="4"/>
  <c r="BH36" i="4"/>
  <c r="BP36" i="4"/>
  <c r="BY36" i="4"/>
  <c r="CI36" i="4"/>
  <c r="CN36" i="4"/>
  <c r="O31" i="4"/>
  <c r="BS36" i="4"/>
  <c r="CG36" i="4"/>
  <c r="O35" i="4"/>
  <c r="BW36" i="4"/>
  <c r="CC36" i="4"/>
  <c r="S36" i="4"/>
  <c r="W36" i="4"/>
  <c r="AA36" i="4"/>
  <c r="AI36" i="4"/>
  <c r="AM36" i="4"/>
  <c r="BC36" i="4"/>
  <c r="BR36" i="4"/>
  <c r="BV36" i="4"/>
  <c r="BZ36" i="4"/>
  <c r="CF36" i="4"/>
  <c r="CP36" i="4"/>
  <c r="CU36" i="4"/>
  <c r="O32" i="4"/>
  <c r="O54" i="4"/>
  <c r="CQ36" i="4"/>
  <c r="P36" i="4"/>
  <c r="AP36" i="4"/>
  <c r="AX36" i="4"/>
  <c r="BJ36" i="4"/>
  <c r="CL36" i="4"/>
  <c r="AW36" i="4"/>
  <c r="BI36" i="4"/>
  <c r="BM36" i="4"/>
  <c r="CK36" i="4"/>
  <c r="O33" i="4"/>
  <c r="O39" i="4"/>
  <c r="O41" i="4"/>
  <c r="O55" i="4"/>
  <c r="AT36" i="4"/>
  <c r="BF36" i="4"/>
  <c r="BN36" i="4"/>
  <c r="AS36" i="4"/>
  <c r="Q36" i="4"/>
  <c r="U36" i="4"/>
  <c r="Y36" i="4"/>
  <c r="AC36" i="4"/>
  <c r="AK36" i="4"/>
  <c r="AQ36" i="4"/>
  <c r="AU36" i="4"/>
  <c r="AZ36" i="4"/>
  <c r="BG36" i="4"/>
  <c r="BK36" i="4"/>
  <c r="BO36" i="4"/>
  <c r="BT36" i="4"/>
  <c r="BX36" i="4"/>
  <c r="CD36" i="4"/>
  <c r="CH36" i="4"/>
  <c r="CM36" i="4"/>
  <c r="CS36" i="4"/>
  <c r="T36" i="4"/>
  <c r="X36" i="4"/>
  <c r="AB36" i="4"/>
  <c r="AJ36" i="4"/>
  <c r="CV36" i="4"/>
  <c r="O34" i="4"/>
  <c r="O40" i="4"/>
  <c r="O30" i="4"/>
  <c r="O28" i="4"/>
  <c r="O29" i="4" s="1"/>
  <c r="Z26" i="4"/>
  <c r="AA26" i="4"/>
  <c r="AB26" i="4"/>
  <c r="AC26" i="4"/>
  <c r="AD26" i="4"/>
  <c r="AE26" i="4"/>
  <c r="AF26" i="4"/>
  <c r="AG26" i="4"/>
  <c r="AH26" i="4"/>
  <c r="AI26" i="4"/>
  <c r="AJ26" i="4"/>
  <c r="AK26" i="4"/>
  <c r="AL26" i="4"/>
  <c r="AM26" i="4"/>
  <c r="AN26" i="4"/>
  <c r="AO26" i="4"/>
  <c r="AP26" i="4"/>
  <c r="AQ26" i="4"/>
  <c r="AR26" i="4"/>
  <c r="AS26" i="4"/>
  <c r="AT26" i="4"/>
  <c r="AU26" i="4"/>
  <c r="AV26" i="4"/>
  <c r="AW26" i="4"/>
  <c r="AX26" i="4"/>
  <c r="AY26" i="4"/>
  <c r="AZ26" i="4"/>
  <c r="BA26" i="4"/>
  <c r="BB26" i="4"/>
  <c r="BC26" i="4"/>
  <c r="BD26" i="4"/>
  <c r="BE26" i="4"/>
  <c r="BF26" i="4"/>
  <c r="BG26" i="4"/>
  <c r="BH26" i="4"/>
  <c r="BI26" i="4"/>
  <c r="BJ26" i="4"/>
  <c r="BK26" i="4"/>
  <c r="BL26" i="4"/>
  <c r="BM26" i="4"/>
  <c r="BN26" i="4"/>
  <c r="BO26" i="4"/>
  <c r="BP26" i="4"/>
  <c r="BQ26" i="4"/>
  <c r="BR26" i="4"/>
  <c r="BS26" i="4"/>
  <c r="BT26" i="4"/>
  <c r="BU26" i="4"/>
  <c r="BV26" i="4"/>
  <c r="BW26" i="4"/>
  <c r="BX26" i="4"/>
  <c r="BY26" i="4"/>
  <c r="BZ26" i="4"/>
  <c r="CA26" i="4"/>
  <c r="CB26" i="4"/>
  <c r="CC26" i="4"/>
  <c r="CD26" i="4"/>
  <c r="CE26" i="4"/>
  <c r="CF26" i="4"/>
  <c r="CG26" i="4"/>
  <c r="CH26" i="4"/>
  <c r="CI26" i="4"/>
  <c r="CJ26" i="4"/>
  <c r="CK26" i="4"/>
  <c r="CL26" i="4"/>
  <c r="CN26" i="4"/>
  <c r="CO26" i="4"/>
  <c r="CQ26" i="4"/>
  <c r="CR26" i="4"/>
  <c r="CS26" i="4"/>
  <c r="CT26" i="4"/>
  <c r="CU26" i="4"/>
  <c r="CV26" i="4"/>
  <c r="R26" i="4"/>
  <c r="S26" i="4"/>
  <c r="T26" i="4"/>
  <c r="U26" i="4"/>
  <c r="V26" i="4"/>
  <c r="W26" i="4"/>
  <c r="X26" i="4"/>
  <c r="Y26" i="4"/>
  <c r="Q26" i="4"/>
  <c r="P26" i="4"/>
  <c r="P24" i="4"/>
  <c r="V24" i="4"/>
  <c r="W24" i="4"/>
  <c r="X24" i="4"/>
  <c r="Y24" i="4"/>
  <c r="Z24" i="4"/>
  <c r="AA24" i="4"/>
  <c r="AB24" i="4"/>
  <c r="AC24" i="4"/>
  <c r="AD24" i="4"/>
  <c r="AE24" i="4"/>
  <c r="AF24" i="4"/>
  <c r="AG24" i="4"/>
  <c r="AH24" i="4"/>
  <c r="AI24" i="4"/>
  <c r="AJ24" i="4"/>
  <c r="AK24" i="4"/>
  <c r="AL24" i="4"/>
  <c r="AM24" i="4"/>
  <c r="AN24" i="4"/>
  <c r="AO24" i="4"/>
  <c r="AP24" i="4"/>
  <c r="AQ24" i="4"/>
  <c r="AR24" i="4"/>
  <c r="AS24" i="4"/>
  <c r="AT24" i="4"/>
  <c r="AU24" i="4"/>
  <c r="AV24" i="4"/>
  <c r="AW24" i="4"/>
  <c r="AX24" i="4"/>
  <c r="AY24" i="4"/>
  <c r="AZ24" i="4"/>
  <c r="BA24" i="4"/>
  <c r="BB24" i="4"/>
  <c r="BC24" i="4"/>
  <c r="BD24" i="4"/>
  <c r="BE24" i="4"/>
  <c r="BF24" i="4"/>
  <c r="BG24" i="4"/>
  <c r="BH24" i="4"/>
  <c r="BI24" i="4"/>
  <c r="BJ24" i="4"/>
  <c r="BK24" i="4"/>
  <c r="BL24" i="4"/>
  <c r="BM24" i="4"/>
  <c r="BN24" i="4"/>
  <c r="BO24" i="4"/>
  <c r="BP24" i="4"/>
  <c r="BQ24" i="4"/>
  <c r="BR24" i="4"/>
  <c r="BS24" i="4"/>
  <c r="BT24" i="4"/>
  <c r="BU24" i="4"/>
  <c r="BV24" i="4"/>
  <c r="BW24" i="4"/>
  <c r="BX24" i="4"/>
  <c r="BY24" i="4"/>
  <c r="BZ24" i="4"/>
  <c r="CA24" i="4"/>
  <c r="CB24" i="4"/>
  <c r="CC24" i="4"/>
  <c r="CD24" i="4"/>
  <c r="CE24" i="4"/>
  <c r="CF24" i="4"/>
  <c r="CG24" i="4"/>
  <c r="CH24" i="4"/>
  <c r="CI24" i="4"/>
  <c r="CJ24" i="4"/>
  <c r="CK24" i="4"/>
  <c r="CL24" i="4"/>
  <c r="CM24" i="4"/>
  <c r="CN24" i="4"/>
  <c r="CO24" i="4"/>
  <c r="CP24" i="4"/>
  <c r="CQ24" i="4"/>
  <c r="CR24" i="4"/>
  <c r="CS24" i="4"/>
  <c r="CT24" i="4"/>
  <c r="CU24" i="4"/>
  <c r="CV24" i="4"/>
  <c r="R24" i="4"/>
  <c r="S24" i="4"/>
  <c r="T24" i="4"/>
  <c r="U24" i="4"/>
  <c r="Q24" i="4"/>
  <c r="CV23" i="4"/>
  <c r="CU23" i="4"/>
  <c r="CT23" i="4"/>
  <c r="CS23" i="4"/>
  <c r="CQ23" i="4"/>
  <c r="CP23" i="4"/>
  <c r="CN23" i="4"/>
  <c r="CM23" i="4"/>
  <c r="CL23" i="4"/>
  <c r="CK23" i="4"/>
  <c r="CI23" i="4"/>
  <c r="CH23" i="4"/>
  <c r="CG23" i="4"/>
  <c r="CF23" i="4"/>
  <c r="CE23" i="4"/>
  <c r="CD23" i="4"/>
  <c r="CC23" i="4"/>
  <c r="BZ23" i="4"/>
  <c r="BX23" i="4"/>
  <c r="BY23" i="4"/>
  <c r="BW23" i="4"/>
  <c r="BV23" i="4"/>
  <c r="BU23" i="4"/>
  <c r="BT23" i="4"/>
  <c r="BS23" i="4"/>
  <c r="BR23" i="4"/>
  <c r="BP23" i="4"/>
  <c r="BO23" i="4"/>
  <c r="BN23" i="4"/>
  <c r="BM23" i="4"/>
  <c r="BL23" i="4"/>
  <c r="BK23" i="4"/>
  <c r="BJ23" i="4"/>
  <c r="BI23" i="4"/>
  <c r="BH23" i="4"/>
  <c r="BG23" i="4"/>
  <c r="BF23" i="4"/>
  <c r="BC23" i="4"/>
  <c r="BA23" i="4"/>
  <c r="AZ23" i="4"/>
  <c r="AX23" i="4"/>
  <c r="AW23" i="4"/>
  <c r="AV23" i="4"/>
  <c r="AU23" i="4"/>
  <c r="AT23" i="4"/>
  <c r="AS23" i="4"/>
  <c r="AR23" i="4"/>
  <c r="AQ23" i="4"/>
  <c r="AP23" i="4"/>
  <c r="AM23" i="4"/>
  <c r="AL23" i="4"/>
  <c r="AK23" i="4"/>
  <c r="AJ23" i="4"/>
  <c r="AI23" i="4"/>
  <c r="AF23" i="4"/>
  <c r="AC23" i="4"/>
  <c r="AB23" i="4"/>
  <c r="AA23" i="4"/>
  <c r="Z23" i="4"/>
  <c r="Y23" i="4"/>
  <c r="X23" i="4"/>
  <c r="W23" i="4"/>
  <c r="V23" i="4"/>
  <c r="U23" i="4"/>
  <c r="T23" i="4"/>
  <c r="S23" i="4"/>
  <c r="R23" i="4"/>
  <c r="Q23" i="4"/>
  <c r="P23" i="4"/>
  <c r="O36" i="4" l="1"/>
  <c r="O23" i="4"/>
  <c r="O25" i="4"/>
  <c r="O24" i="4"/>
  <c r="O168" i="4" l="1"/>
  <c r="O170" i="4"/>
  <c r="O172" i="4"/>
  <c r="O174" i="4"/>
  <c r="O176" i="4"/>
  <c r="O178" i="4"/>
  <c r="O180" i="4"/>
  <c r="O182" i="4"/>
  <c r="O184" i="4"/>
  <c r="O186" i="4"/>
  <c r="O188" i="4"/>
  <c r="O190" i="4"/>
  <c r="O192" i="4"/>
  <c r="O194" i="4"/>
  <c r="O196" i="4"/>
  <c r="O198" i="4"/>
  <c r="O200" i="4"/>
  <c r="O202" i="4"/>
  <c r="O204" i="4"/>
  <c r="BF205" i="4"/>
  <c r="BG205" i="4"/>
  <c r="BH205" i="4"/>
  <c r="BI205" i="4"/>
  <c r="BJ205" i="4"/>
  <c r="BK205" i="4"/>
  <c r="BL205" i="4"/>
  <c r="BM205" i="4"/>
  <c r="BN205" i="4"/>
  <c r="BO205" i="4"/>
  <c r="BP205" i="4"/>
  <c r="BQ205" i="4"/>
  <c r="BR205" i="4"/>
  <c r="BS205" i="4"/>
  <c r="BT205" i="4"/>
  <c r="BU205" i="4"/>
  <c r="BW205" i="4"/>
  <c r="BX205" i="4"/>
  <c r="BY205" i="4"/>
  <c r="BZ205" i="4"/>
  <c r="CA205" i="4"/>
  <c r="CB205" i="4"/>
  <c r="CC205" i="4"/>
  <c r="CD205" i="4"/>
  <c r="CE205" i="4"/>
  <c r="CF205" i="4"/>
  <c r="CG205" i="4"/>
  <c r="CH205" i="4"/>
  <c r="CI205" i="4"/>
  <c r="CJ205" i="4"/>
  <c r="CK205" i="4"/>
  <c r="CL205" i="4"/>
  <c r="CM205" i="4"/>
  <c r="CN205" i="4"/>
  <c r="CO205" i="4"/>
  <c r="CP205" i="4"/>
  <c r="CQ205" i="4"/>
  <c r="CR205" i="4"/>
  <c r="CS205" i="4"/>
  <c r="CT205" i="4"/>
  <c r="CU205" i="4"/>
  <c r="CV205" i="4"/>
  <c r="Q205" i="4"/>
  <c r="R205" i="4"/>
  <c r="S205" i="4"/>
  <c r="T205" i="4"/>
  <c r="U205" i="4"/>
  <c r="V205" i="4"/>
  <c r="W205" i="4"/>
  <c r="X205" i="4"/>
  <c r="Y205" i="4"/>
  <c r="Z205" i="4"/>
  <c r="AA205" i="4"/>
  <c r="AB205" i="4"/>
  <c r="AC205" i="4"/>
  <c r="AD205" i="4"/>
  <c r="AE205" i="4"/>
  <c r="AF205" i="4"/>
  <c r="AG205" i="4"/>
  <c r="AH205" i="4"/>
  <c r="AI205" i="4"/>
  <c r="AJ205" i="4"/>
  <c r="AK205" i="4"/>
  <c r="AL205" i="4"/>
  <c r="AM205" i="4"/>
  <c r="AN205" i="4"/>
  <c r="AO205" i="4"/>
  <c r="AP205" i="4"/>
  <c r="AQ205" i="4"/>
  <c r="AR205" i="4"/>
  <c r="AS205" i="4"/>
  <c r="AT205" i="4"/>
  <c r="AU205" i="4"/>
  <c r="AV205" i="4"/>
  <c r="AW205" i="4"/>
  <c r="AX205" i="4"/>
  <c r="AY205" i="4"/>
  <c r="AZ205" i="4"/>
  <c r="BA205" i="4"/>
  <c r="BB205" i="4"/>
  <c r="BC205" i="4"/>
  <c r="BD205" i="4"/>
  <c r="BE205" i="4"/>
  <c r="Q203" i="4"/>
  <c r="R203" i="4"/>
  <c r="S203" i="4"/>
  <c r="T203" i="4"/>
  <c r="U203" i="4"/>
  <c r="V203" i="4"/>
  <c r="W203" i="4"/>
  <c r="X203" i="4"/>
  <c r="Y203" i="4"/>
  <c r="Z203" i="4"/>
  <c r="AA203" i="4"/>
  <c r="AB203" i="4"/>
  <c r="AC203" i="4"/>
  <c r="AD203" i="4"/>
  <c r="AE203" i="4"/>
  <c r="AF203" i="4"/>
  <c r="AG203" i="4"/>
  <c r="AH203" i="4"/>
  <c r="AI203" i="4"/>
  <c r="AJ203" i="4"/>
  <c r="AK203" i="4"/>
  <c r="AL203" i="4"/>
  <c r="AM203" i="4"/>
  <c r="AN203" i="4"/>
  <c r="AO203" i="4"/>
  <c r="AP203" i="4"/>
  <c r="AQ203" i="4"/>
  <c r="AR203" i="4"/>
  <c r="AS203" i="4"/>
  <c r="AT203" i="4"/>
  <c r="AU203" i="4"/>
  <c r="AV203" i="4"/>
  <c r="AW203" i="4"/>
  <c r="AX203" i="4"/>
  <c r="AY203" i="4"/>
  <c r="AZ203" i="4"/>
  <c r="BA203" i="4"/>
  <c r="BB203" i="4"/>
  <c r="BC203" i="4"/>
  <c r="BD203" i="4"/>
  <c r="BE203" i="4"/>
  <c r="BF203" i="4"/>
  <c r="BG203" i="4"/>
  <c r="BH203" i="4"/>
  <c r="BI203" i="4"/>
  <c r="BJ203" i="4"/>
  <c r="BK203" i="4"/>
  <c r="BL203" i="4"/>
  <c r="BM203" i="4"/>
  <c r="BN203" i="4"/>
  <c r="BO203" i="4"/>
  <c r="BP203" i="4"/>
  <c r="BQ203" i="4"/>
  <c r="BR203" i="4"/>
  <c r="BS203" i="4"/>
  <c r="BT203" i="4"/>
  <c r="BU203" i="4"/>
  <c r="BW203" i="4"/>
  <c r="BX203" i="4"/>
  <c r="BY203" i="4"/>
  <c r="BZ203" i="4"/>
  <c r="CA203" i="4"/>
  <c r="CB203" i="4"/>
  <c r="CC203" i="4"/>
  <c r="CD203" i="4"/>
  <c r="CE203" i="4"/>
  <c r="CF203" i="4"/>
  <c r="CG203" i="4"/>
  <c r="CH203" i="4"/>
  <c r="CI203" i="4"/>
  <c r="CJ203" i="4"/>
  <c r="CK203" i="4"/>
  <c r="CL203" i="4"/>
  <c r="CM203" i="4"/>
  <c r="CN203" i="4"/>
  <c r="CO203" i="4"/>
  <c r="CP203" i="4"/>
  <c r="CQ203" i="4"/>
  <c r="CR203" i="4"/>
  <c r="CS203" i="4"/>
  <c r="CT203" i="4"/>
  <c r="CU203" i="4"/>
  <c r="CV203" i="4"/>
  <c r="Q201" i="4"/>
  <c r="R201" i="4"/>
  <c r="S201" i="4"/>
  <c r="T201" i="4"/>
  <c r="U201" i="4"/>
  <c r="V201" i="4"/>
  <c r="W201" i="4"/>
  <c r="X201" i="4"/>
  <c r="Y201" i="4"/>
  <c r="Z201" i="4"/>
  <c r="AA201" i="4"/>
  <c r="AB201" i="4"/>
  <c r="AC201" i="4"/>
  <c r="AD201" i="4"/>
  <c r="AE201" i="4"/>
  <c r="AF201" i="4"/>
  <c r="AG201" i="4"/>
  <c r="AH201" i="4"/>
  <c r="AI201" i="4"/>
  <c r="AJ201" i="4"/>
  <c r="AK201" i="4"/>
  <c r="AL201" i="4"/>
  <c r="AM201" i="4"/>
  <c r="AN201" i="4"/>
  <c r="AO201" i="4"/>
  <c r="AP201" i="4"/>
  <c r="AQ201" i="4"/>
  <c r="AR201" i="4"/>
  <c r="AS201" i="4"/>
  <c r="AT201" i="4"/>
  <c r="AU201" i="4"/>
  <c r="AV201" i="4"/>
  <c r="AW201" i="4"/>
  <c r="AX201" i="4"/>
  <c r="AY201" i="4"/>
  <c r="AZ201" i="4"/>
  <c r="BA201" i="4"/>
  <c r="BB201" i="4"/>
  <c r="BC201" i="4"/>
  <c r="BD201" i="4"/>
  <c r="BE201" i="4"/>
  <c r="BF201" i="4"/>
  <c r="BG201" i="4"/>
  <c r="BH201" i="4"/>
  <c r="BI201" i="4"/>
  <c r="BJ201" i="4"/>
  <c r="BK201" i="4"/>
  <c r="BL201" i="4"/>
  <c r="BM201" i="4"/>
  <c r="BN201" i="4"/>
  <c r="BO201" i="4"/>
  <c r="BP201" i="4"/>
  <c r="BQ201" i="4"/>
  <c r="BR201" i="4"/>
  <c r="BS201" i="4"/>
  <c r="BT201" i="4"/>
  <c r="BU201" i="4"/>
  <c r="BV201" i="4"/>
  <c r="BW201" i="4"/>
  <c r="BX201" i="4"/>
  <c r="BY201" i="4"/>
  <c r="BZ201" i="4"/>
  <c r="CA201" i="4"/>
  <c r="CB201" i="4"/>
  <c r="CC201" i="4"/>
  <c r="CD201" i="4"/>
  <c r="CE201" i="4"/>
  <c r="CF201" i="4"/>
  <c r="CG201" i="4"/>
  <c r="CH201" i="4"/>
  <c r="CI201" i="4"/>
  <c r="CJ201" i="4"/>
  <c r="CK201" i="4"/>
  <c r="CL201" i="4"/>
  <c r="CM201" i="4"/>
  <c r="CN201" i="4"/>
  <c r="CO201" i="4"/>
  <c r="CP201" i="4"/>
  <c r="CQ201" i="4"/>
  <c r="CR201" i="4"/>
  <c r="CS201" i="4"/>
  <c r="CT201" i="4"/>
  <c r="CU201" i="4"/>
  <c r="CV201" i="4"/>
  <c r="Q199" i="4"/>
  <c r="R199" i="4"/>
  <c r="S199" i="4"/>
  <c r="T199" i="4"/>
  <c r="U199" i="4"/>
  <c r="V199" i="4"/>
  <c r="W199" i="4"/>
  <c r="X199" i="4"/>
  <c r="Y199" i="4"/>
  <c r="Z199" i="4"/>
  <c r="AA199" i="4"/>
  <c r="AB199" i="4"/>
  <c r="AC199" i="4"/>
  <c r="AD199" i="4"/>
  <c r="AE199" i="4"/>
  <c r="AF199" i="4"/>
  <c r="AG199" i="4"/>
  <c r="AH199" i="4"/>
  <c r="AI199" i="4"/>
  <c r="AJ199" i="4"/>
  <c r="AK199" i="4"/>
  <c r="AL199" i="4"/>
  <c r="AM199" i="4"/>
  <c r="AN199" i="4"/>
  <c r="AO199" i="4"/>
  <c r="AP199" i="4"/>
  <c r="AQ199" i="4"/>
  <c r="AR199" i="4"/>
  <c r="AS199" i="4"/>
  <c r="AT199" i="4"/>
  <c r="AU199" i="4"/>
  <c r="AV199" i="4"/>
  <c r="AW199" i="4"/>
  <c r="AX199" i="4"/>
  <c r="AY199" i="4"/>
  <c r="AZ199" i="4"/>
  <c r="BA199" i="4"/>
  <c r="BB199" i="4"/>
  <c r="BC199" i="4"/>
  <c r="BD199" i="4"/>
  <c r="BE199" i="4"/>
  <c r="BF199" i="4"/>
  <c r="BG199" i="4"/>
  <c r="BH199" i="4"/>
  <c r="BI199" i="4"/>
  <c r="BJ199" i="4"/>
  <c r="BK199" i="4"/>
  <c r="BL199" i="4"/>
  <c r="BM199" i="4"/>
  <c r="BN199" i="4"/>
  <c r="BO199" i="4"/>
  <c r="BP199" i="4"/>
  <c r="BQ199" i="4"/>
  <c r="BR199" i="4"/>
  <c r="BS199" i="4"/>
  <c r="BT199" i="4"/>
  <c r="BU199" i="4"/>
  <c r="BV199" i="4"/>
  <c r="BW199" i="4"/>
  <c r="BX199" i="4"/>
  <c r="BY199" i="4"/>
  <c r="BZ199" i="4"/>
  <c r="CA199" i="4"/>
  <c r="CB199" i="4"/>
  <c r="CC199" i="4"/>
  <c r="CD199" i="4"/>
  <c r="CE199" i="4"/>
  <c r="CF199" i="4"/>
  <c r="CG199" i="4"/>
  <c r="CH199" i="4"/>
  <c r="CI199" i="4"/>
  <c r="CJ199" i="4"/>
  <c r="CK199" i="4"/>
  <c r="CL199" i="4"/>
  <c r="CM199" i="4"/>
  <c r="CN199" i="4"/>
  <c r="CO199" i="4"/>
  <c r="CP199" i="4"/>
  <c r="CQ199" i="4"/>
  <c r="CR199" i="4"/>
  <c r="CS199" i="4"/>
  <c r="CT199" i="4"/>
  <c r="CU199" i="4"/>
  <c r="CV199" i="4"/>
  <c r="Q197" i="4"/>
  <c r="R197" i="4"/>
  <c r="S197" i="4"/>
  <c r="T197" i="4"/>
  <c r="U197" i="4"/>
  <c r="V197" i="4"/>
  <c r="W197" i="4"/>
  <c r="X197" i="4"/>
  <c r="Y197" i="4"/>
  <c r="Z197" i="4"/>
  <c r="AA197" i="4"/>
  <c r="AB197" i="4"/>
  <c r="AC197" i="4"/>
  <c r="AD197" i="4"/>
  <c r="AE197" i="4"/>
  <c r="AF197" i="4"/>
  <c r="AG197" i="4"/>
  <c r="AH197" i="4"/>
  <c r="AI197" i="4"/>
  <c r="AJ197" i="4"/>
  <c r="AK197" i="4"/>
  <c r="AL197" i="4"/>
  <c r="AM197" i="4"/>
  <c r="AN197" i="4"/>
  <c r="AO197" i="4"/>
  <c r="AP197" i="4"/>
  <c r="AQ197" i="4"/>
  <c r="AR197" i="4"/>
  <c r="AS197" i="4"/>
  <c r="AT197" i="4"/>
  <c r="AU197" i="4"/>
  <c r="AV197" i="4"/>
  <c r="AW197" i="4"/>
  <c r="AX197" i="4"/>
  <c r="AY197" i="4"/>
  <c r="AZ197" i="4"/>
  <c r="BA197" i="4"/>
  <c r="BB197" i="4"/>
  <c r="BC197" i="4"/>
  <c r="BD197" i="4"/>
  <c r="BE197" i="4"/>
  <c r="BF197" i="4"/>
  <c r="BG197" i="4"/>
  <c r="BH197" i="4"/>
  <c r="BI197" i="4"/>
  <c r="BJ197" i="4"/>
  <c r="BK197" i="4"/>
  <c r="BL197" i="4"/>
  <c r="BM197" i="4"/>
  <c r="BN197" i="4"/>
  <c r="BO197" i="4"/>
  <c r="BP197" i="4"/>
  <c r="BQ197" i="4"/>
  <c r="BR197" i="4"/>
  <c r="BS197" i="4"/>
  <c r="BT197" i="4"/>
  <c r="BU197" i="4"/>
  <c r="BV197" i="4"/>
  <c r="BW197" i="4"/>
  <c r="BX197" i="4"/>
  <c r="BY197" i="4"/>
  <c r="BZ197" i="4"/>
  <c r="CA197" i="4"/>
  <c r="CB197" i="4"/>
  <c r="CC197" i="4"/>
  <c r="CD197" i="4"/>
  <c r="CE197" i="4"/>
  <c r="CF197" i="4"/>
  <c r="CG197" i="4"/>
  <c r="CH197" i="4"/>
  <c r="CI197" i="4"/>
  <c r="CJ197" i="4"/>
  <c r="CK197" i="4"/>
  <c r="CL197" i="4"/>
  <c r="CM197" i="4"/>
  <c r="CN197" i="4"/>
  <c r="CO197" i="4"/>
  <c r="CP197" i="4"/>
  <c r="CQ197" i="4"/>
  <c r="CR197" i="4"/>
  <c r="CS197" i="4"/>
  <c r="CT197" i="4"/>
  <c r="CU197" i="4"/>
  <c r="CV197" i="4"/>
  <c r="Q195" i="4"/>
  <c r="R195" i="4"/>
  <c r="S195" i="4"/>
  <c r="T195" i="4"/>
  <c r="U195" i="4"/>
  <c r="V195" i="4"/>
  <c r="W195" i="4"/>
  <c r="X195" i="4"/>
  <c r="Y195" i="4"/>
  <c r="Z195" i="4"/>
  <c r="AA195" i="4"/>
  <c r="AB195" i="4"/>
  <c r="AC195" i="4"/>
  <c r="AD195" i="4"/>
  <c r="AE195" i="4"/>
  <c r="AF195" i="4"/>
  <c r="AG195" i="4"/>
  <c r="AH195" i="4"/>
  <c r="AI195" i="4"/>
  <c r="AJ195" i="4"/>
  <c r="AK195" i="4"/>
  <c r="AL195" i="4"/>
  <c r="AM195" i="4"/>
  <c r="AN195" i="4"/>
  <c r="AO195" i="4"/>
  <c r="AP195" i="4"/>
  <c r="AQ195" i="4"/>
  <c r="AR195" i="4"/>
  <c r="AS195" i="4"/>
  <c r="AT195" i="4"/>
  <c r="AU195" i="4"/>
  <c r="AV195" i="4"/>
  <c r="AW195" i="4"/>
  <c r="AX195" i="4"/>
  <c r="AY195" i="4"/>
  <c r="AZ195" i="4"/>
  <c r="BA195" i="4"/>
  <c r="BB195" i="4"/>
  <c r="BC195" i="4"/>
  <c r="BD195" i="4"/>
  <c r="BE195" i="4"/>
  <c r="BF195" i="4"/>
  <c r="BG195" i="4"/>
  <c r="BH195" i="4"/>
  <c r="BI195" i="4"/>
  <c r="BJ195" i="4"/>
  <c r="BK195" i="4"/>
  <c r="BL195" i="4"/>
  <c r="BM195" i="4"/>
  <c r="BN195" i="4"/>
  <c r="BO195" i="4"/>
  <c r="BP195" i="4"/>
  <c r="BQ195" i="4"/>
  <c r="BR195" i="4"/>
  <c r="BS195" i="4"/>
  <c r="BT195" i="4"/>
  <c r="BU195" i="4"/>
  <c r="BV195" i="4"/>
  <c r="BW195" i="4"/>
  <c r="BX195" i="4"/>
  <c r="BY195" i="4"/>
  <c r="BZ195" i="4"/>
  <c r="CA195" i="4"/>
  <c r="CB195" i="4"/>
  <c r="CC195" i="4"/>
  <c r="CD195" i="4"/>
  <c r="CE195" i="4"/>
  <c r="CF195" i="4"/>
  <c r="CG195" i="4"/>
  <c r="CH195" i="4"/>
  <c r="CI195" i="4"/>
  <c r="CJ195" i="4"/>
  <c r="CK195" i="4"/>
  <c r="CL195" i="4"/>
  <c r="CM195" i="4"/>
  <c r="CN195" i="4"/>
  <c r="CO195" i="4"/>
  <c r="CP195" i="4"/>
  <c r="CQ195" i="4"/>
  <c r="CR195" i="4"/>
  <c r="CS195" i="4"/>
  <c r="CT195" i="4"/>
  <c r="CU195" i="4"/>
  <c r="CV195" i="4"/>
  <c r="Q193" i="4"/>
  <c r="R193" i="4"/>
  <c r="S193" i="4"/>
  <c r="T193" i="4"/>
  <c r="U193" i="4"/>
  <c r="V193" i="4"/>
  <c r="W193" i="4"/>
  <c r="X193" i="4"/>
  <c r="Y193" i="4"/>
  <c r="Z193" i="4"/>
  <c r="AA193" i="4"/>
  <c r="AB193" i="4"/>
  <c r="AC193" i="4"/>
  <c r="AD193" i="4"/>
  <c r="AE193" i="4"/>
  <c r="AF193" i="4"/>
  <c r="AG193" i="4"/>
  <c r="AH193" i="4"/>
  <c r="AI193" i="4"/>
  <c r="AJ193" i="4"/>
  <c r="AK193" i="4"/>
  <c r="AL193" i="4"/>
  <c r="AM193" i="4"/>
  <c r="AN193" i="4"/>
  <c r="AO193" i="4"/>
  <c r="AP193" i="4"/>
  <c r="AQ193" i="4"/>
  <c r="AR193" i="4"/>
  <c r="AS193" i="4"/>
  <c r="AT193" i="4"/>
  <c r="AU193" i="4"/>
  <c r="AV193" i="4"/>
  <c r="AW193" i="4"/>
  <c r="AX193" i="4"/>
  <c r="AY193" i="4"/>
  <c r="AZ193" i="4"/>
  <c r="BA193" i="4"/>
  <c r="BB193" i="4"/>
  <c r="BC193" i="4"/>
  <c r="BD193" i="4"/>
  <c r="BE193" i="4"/>
  <c r="BF193" i="4"/>
  <c r="BG193" i="4"/>
  <c r="BH193" i="4"/>
  <c r="BI193" i="4"/>
  <c r="BJ193" i="4"/>
  <c r="BK193" i="4"/>
  <c r="BL193" i="4"/>
  <c r="BM193" i="4"/>
  <c r="BN193" i="4"/>
  <c r="BO193" i="4"/>
  <c r="BP193" i="4"/>
  <c r="BQ193" i="4"/>
  <c r="BR193" i="4"/>
  <c r="BS193" i="4"/>
  <c r="BT193" i="4"/>
  <c r="BU193" i="4"/>
  <c r="BV193" i="4"/>
  <c r="BW193" i="4"/>
  <c r="BX193" i="4"/>
  <c r="BY193" i="4"/>
  <c r="BZ193" i="4"/>
  <c r="CA193" i="4"/>
  <c r="CB193" i="4"/>
  <c r="CC193" i="4"/>
  <c r="CD193" i="4"/>
  <c r="CE193" i="4"/>
  <c r="CF193" i="4"/>
  <c r="CG193" i="4"/>
  <c r="CH193" i="4"/>
  <c r="CI193" i="4"/>
  <c r="CJ193" i="4"/>
  <c r="CK193" i="4"/>
  <c r="CL193" i="4"/>
  <c r="CM193" i="4"/>
  <c r="CN193" i="4"/>
  <c r="CO193" i="4"/>
  <c r="CP193" i="4"/>
  <c r="CQ193" i="4"/>
  <c r="CR193" i="4"/>
  <c r="CS193" i="4"/>
  <c r="CT193" i="4"/>
  <c r="CU193" i="4"/>
  <c r="CV193" i="4"/>
  <c r="Q191" i="4"/>
  <c r="R191" i="4"/>
  <c r="S191" i="4"/>
  <c r="T191" i="4"/>
  <c r="U191" i="4"/>
  <c r="V191" i="4"/>
  <c r="W191" i="4"/>
  <c r="X191" i="4"/>
  <c r="Y191" i="4"/>
  <c r="Z191" i="4"/>
  <c r="AA191" i="4"/>
  <c r="AB191" i="4"/>
  <c r="AC191" i="4"/>
  <c r="AD191" i="4"/>
  <c r="AE191" i="4"/>
  <c r="AF191" i="4"/>
  <c r="AG191" i="4"/>
  <c r="AH191" i="4"/>
  <c r="AI191" i="4"/>
  <c r="AJ191" i="4"/>
  <c r="AK191" i="4"/>
  <c r="AL191" i="4"/>
  <c r="AM191" i="4"/>
  <c r="AN191" i="4"/>
  <c r="AO191" i="4"/>
  <c r="AP191" i="4"/>
  <c r="AQ191" i="4"/>
  <c r="AR191" i="4"/>
  <c r="AS191" i="4"/>
  <c r="AT191" i="4"/>
  <c r="AU191" i="4"/>
  <c r="AV191" i="4"/>
  <c r="AW191" i="4"/>
  <c r="AX191" i="4"/>
  <c r="AY191" i="4"/>
  <c r="AZ191" i="4"/>
  <c r="BA191" i="4"/>
  <c r="BB191" i="4"/>
  <c r="BC191" i="4"/>
  <c r="BD191" i="4"/>
  <c r="BE191" i="4"/>
  <c r="BF191" i="4"/>
  <c r="BG191" i="4"/>
  <c r="BH191" i="4"/>
  <c r="BI191" i="4"/>
  <c r="BJ191" i="4"/>
  <c r="BK191" i="4"/>
  <c r="BL191" i="4"/>
  <c r="BM191" i="4"/>
  <c r="BN191" i="4"/>
  <c r="BO191" i="4"/>
  <c r="BP191" i="4"/>
  <c r="BQ191" i="4"/>
  <c r="BR191" i="4"/>
  <c r="BS191" i="4"/>
  <c r="BT191" i="4"/>
  <c r="BU191" i="4"/>
  <c r="BV191" i="4"/>
  <c r="BW191" i="4"/>
  <c r="BX191" i="4"/>
  <c r="BY191" i="4"/>
  <c r="BZ191" i="4"/>
  <c r="CA191" i="4"/>
  <c r="CB191" i="4"/>
  <c r="CC191" i="4"/>
  <c r="CD191" i="4"/>
  <c r="CE191" i="4"/>
  <c r="CF191" i="4"/>
  <c r="CG191" i="4"/>
  <c r="CH191" i="4"/>
  <c r="CI191" i="4"/>
  <c r="CJ191" i="4"/>
  <c r="CK191" i="4"/>
  <c r="CL191" i="4"/>
  <c r="CM191" i="4"/>
  <c r="CN191" i="4"/>
  <c r="CO191" i="4"/>
  <c r="CP191" i="4"/>
  <c r="CQ191" i="4"/>
  <c r="CR191" i="4"/>
  <c r="CS191" i="4"/>
  <c r="CT191" i="4"/>
  <c r="CU191" i="4"/>
  <c r="CV191" i="4"/>
  <c r="Q189" i="4"/>
  <c r="R189" i="4"/>
  <c r="S189" i="4"/>
  <c r="T189" i="4"/>
  <c r="U189" i="4"/>
  <c r="V189" i="4"/>
  <c r="W189" i="4"/>
  <c r="X189" i="4"/>
  <c r="Y189" i="4"/>
  <c r="Z189" i="4"/>
  <c r="AA189" i="4"/>
  <c r="AB189" i="4"/>
  <c r="AC189" i="4"/>
  <c r="AD189" i="4"/>
  <c r="AE189" i="4"/>
  <c r="AF189" i="4"/>
  <c r="AG189" i="4"/>
  <c r="AH189" i="4"/>
  <c r="AI189" i="4"/>
  <c r="AJ189" i="4"/>
  <c r="AK189" i="4"/>
  <c r="AL189" i="4"/>
  <c r="AM189" i="4"/>
  <c r="AN189" i="4"/>
  <c r="AO189" i="4"/>
  <c r="AP189" i="4"/>
  <c r="AQ189" i="4"/>
  <c r="AR189" i="4"/>
  <c r="AS189" i="4"/>
  <c r="AT189" i="4"/>
  <c r="AU189" i="4"/>
  <c r="AV189" i="4"/>
  <c r="AW189" i="4"/>
  <c r="AX189" i="4"/>
  <c r="AY189" i="4"/>
  <c r="AZ189" i="4"/>
  <c r="BA189" i="4"/>
  <c r="BB189" i="4"/>
  <c r="BC189" i="4"/>
  <c r="BD189" i="4"/>
  <c r="BE189" i="4"/>
  <c r="BF189" i="4"/>
  <c r="BG189" i="4"/>
  <c r="BH189" i="4"/>
  <c r="BI189" i="4"/>
  <c r="BJ189" i="4"/>
  <c r="BK189" i="4"/>
  <c r="BL189" i="4"/>
  <c r="BM189" i="4"/>
  <c r="BN189" i="4"/>
  <c r="BO189" i="4"/>
  <c r="BP189" i="4"/>
  <c r="BQ189" i="4"/>
  <c r="BR189" i="4"/>
  <c r="BS189" i="4"/>
  <c r="BT189" i="4"/>
  <c r="BU189" i="4"/>
  <c r="BW189" i="4"/>
  <c r="BX189" i="4"/>
  <c r="BY189" i="4"/>
  <c r="BZ189" i="4"/>
  <c r="CA189" i="4"/>
  <c r="CB189" i="4"/>
  <c r="CC189" i="4"/>
  <c r="CD189" i="4"/>
  <c r="CE189" i="4"/>
  <c r="CF189" i="4"/>
  <c r="CG189" i="4"/>
  <c r="CH189" i="4"/>
  <c r="CI189" i="4"/>
  <c r="CJ189" i="4"/>
  <c r="CK189" i="4"/>
  <c r="CL189" i="4"/>
  <c r="CM189" i="4"/>
  <c r="CN189" i="4"/>
  <c r="CO189" i="4"/>
  <c r="CP189" i="4"/>
  <c r="CQ189" i="4"/>
  <c r="CR189" i="4"/>
  <c r="CT189" i="4"/>
  <c r="CU189" i="4"/>
  <c r="CV189" i="4"/>
  <c r="Q187" i="4"/>
  <c r="R187" i="4"/>
  <c r="S187" i="4"/>
  <c r="T187" i="4"/>
  <c r="U187" i="4"/>
  <c r="V187" i="4"/>
  <c r="W187" i="4"/>
  <c r="X187" i="4"/>
  <c r="Y187" i="4"/>
  <c r="Z187" i="4"/>
  <c r="AA187" i="4"/>
  <c r="AB187" i="4"/>
  <c r="AC187" i="4"/>
  <c r="AD187" i="4"/>
  <c r="AE187" i="4"/>
  <c r="AF187" i="4"/>
  <c r="AG187" i="4"/>
  <c r="AH187" i="4"/>
  <c r="AI187" i="4"/>
  <c r="AJ187" i="4"/>
  <c r="AK187" i="4"/>
  <c r="AL187" i="4"/>
  <c r="AM187" i="4"/>
  <c r="AN187" i="4"/>
  <c r="AO187" i="4"/>
  <c r="AP187" i="4"/>
  <c r="AQ187" i="4"/>
  <c r="AR187" i="4"/>
  <c r="AS187" i="4"/>
  <c r="AT187" i="4"/>
  <c r="AU187" i="4"/>
  <c r="AV187" i="4"/>
  <c r="AW187" i="4"/>
  <c r="AX187" i="4"/>
  <c r="AY187" i="4"/>
  <c r="AZ187" i="4"/>
  <c r="BA187" i="4"/>
  <c r="BB187" i="4"/>
  <c r="BC187" i="4"/>
  <c r="BD187" i="4"/>
  <c r="BE187" i="4"/>
  <c r="BF187" i="4"/>
  <c r="BG187" i="4"/>
  <c r="BH187" i="4"/>
  <c r="BI187" i="4"/>
  <c r="BJ187" i="4"/>
  <c r="BK187" i="4"/>
  <c r="BL187" i="4"/>
  <c r="BM187" i="4"/>
  <c r="BN187" i="4"/>
  <c r="BO187" i="4"/>
  <c r="BP187" i="4"/>
  <c r="BQ187" i="4"/>
  <c r="BR187" i="4"/>
  <c r="BS187" i="4"/>
  <c r="BT187" i="4"/>
  <c r="BU187" i="4"/>
  <c r="BV187" i="4"/>
  <c r="BW187" i="4"/>
  <c r="BX187" i="4"/>
  <c r="BY187" i="4"/>
  <c r="BZ187" i="4"/>
  <c r="CA187" i="4"/>
  <c r="CB187" i="4"/>
  <c r="CC187" i="4"/>
  <c r="CD187" i="4"/>
  <c r="CE187" i="4"/>
  <c r="CF187" i="4"/>
  <c r="CG187" i="4"/>
  <c r="CH187" i="4"/>
  <c r="CI187" i="4"/>
  <c r="CJ187" i="4"/>
  <c r="CK187" i="4"/>
  <c r="CL187" i="4"/>
  <c r="CM187" i="4"/>
  <c r="CN187" i="4"/>
  <c r="CO187" i="4"/>
  <c r="CP187" i="4"/>
  <c r="CQ187" i="4"/>
  <c r="CR187" i="4"/>
  <c r="CT187" i="4"/>
  <c r="CU187" i="4"/>
  <c r="CV187" i="4"/>
  <c r="Q185" i="4"/>
  <c r="R185" i="4"/>
  <c r="S185" i="4"/>
  <c r="T185" i="4"/>
  <c r="U185" i="4"/>
  <c r="V185" i="4"/>
  <c r="W185" i="4"/>
  <c r="X185" i="4"/>
  <c r="Y185" i="4"/>
  <c r="Z185" i="4"/>
  <c r="AA185" i="4"/>
  <c r="AB185" i="4"/>
  <c r="AC185" i="4"/>
  <c r="AD185" i="4"/>
  <c r="AE185" i="4"/>
  <c r="AF185" i="4"/>
  <c r="AG185" i="4"/>
  <c r="AH185" i="4"/>
  <c r="AI185" i="4"/>
  <c r="AJ185" i="4"/>
  <c r="AK185" i="4"/>
  <c r="AL185" i="4"/>
  <c r="AM185" i="4"/>
  <c r="AN185" i="4"/>
  <c r="AO185" i="4"/>
  <c r="AP185" i="4"/>
  <c r="AQ185" i="4"/>
  <c r="AR185" i="4"/>
  <c r="AS185" i="4"/>
  <c r="AT185" i="4"/>
  <c r="AU185" i="4"/>
  <c r="AV185" i="4"/>
  <c r="AW185" i="4"/>
  <c r="AX185" i="4"/>
  <c r="AY185" i="4"/>
  <c r="AZ185" i="4"/>
  <c r="BA185" i="4"/>
  <c r="BB185" i="4"/>
  <c r="BC185" i="4"/>
  <c r="BD185" i="4"/>
  <c r="BE185" i="4"/>
  <c r="BF185" i="4"/>
  <c r="BG185" i="4"/>
  <c r="BH185" i="4"/>
  <c r="BI185" i="4"/>
  <c r="BJ185" i="4"/>
  <c r="BK185" i="4"/>
  <c r="BL185" i="4"/>
  <c r="BM185" i="4"/>
  <c r="BN185" i="4"/>
  <c r="BO185" i="4"/>
  <c r="BP185" i="4"/>
  <c r="BQ185" i="4"/>
  <c r="BR185" i="4"/>
  <c r="BS185" i="4"/>
  <c r="BT185" i="4"/>
  <c r="BU185" i="4"/>
  <c r="BV185" i="4"/>
  <c r="BW185" i="4"/>
  <c r="BX185" i="4"/>
  <c r="BY185" i="4"/>
  <c r="BZ185" i="4"/>
  <c r="CA185" i="4"/>
  <c r="CB185" i="4"/>
  <c r="CC185" i="4"/>
  <c r="CD185" i="4"/>
  <c r="CE185" i="4"/>
  <c r="CF185" i="4"/>
  <c r="CG185" i="4"/>
  <c r="CH185" i="4"/>
  <c r="CI185" i="4"/>
  <c r="CJ185" i="4"/>
  <c r="CK185" i="4"/>
  <c r="CL185" i="4"/>
  <c r="CM185" i="4"/>
  <c r="CN185" i="4"/>
  <c r="CO185" i="4"/>
  <c r="CP185" i="4"/>
  <c r="CQ185" i="4"/>
  <c r="CR185" i="4"/>
  <c r="CS185" i="4"/>
  <c r="CT185" i="4"/>
  <c r="CU185" i="4"/>
  <c r="CV185" i="4"/>
  <c r="Q183" i="4"/>
  <c r="R183" i="4"/>
  <c r="S183" i="4"/>
  <c r="T183" i="4"/>
  <c r="U183" i="4"/>
  <c r="V183" i="4"/>
  <c r="W183" i="4"/>
  <c r="X183" i="4"/>
  <c r="Y183" i="4"/>
  <c r="Z183" i="4"/>
  <c r="AA183" i="4"/>
  <c r="AB183" i="4"/>
  <c r="AC183" i="4"/>
  <c r="AD183" i="4"/>
  <c r="AE183" i="4"/>
  <c r="AF183" i="4"/>
  <c r="AG183" i="4"/>
  <c r="AH183" i="4"/>
  <c r="AI183" i="4"/>
  <c r="AJ183" i="4"/>
  <c r="AK183" i="4"/>
  <c r="AL183" i="4"/>
  <c r="AM183" i="4"/>
  <c r="AN183" i="4"/>
  <c r="AO183" i="4"/>
  <c r="AP183" i="4"/>
  <c r="AQ183" i="4"/>
  <c r="AR183" i="4"/>
  <c r="AS183" i="4"/>
  <c r="AT183" i="4"/>
  <c r="AU183" i="4"/>
  <c r="AV183" i="4"/>
  <c r="AW183" i="4"/>
  <c r="AX183" i="4"/>
  <c r="AY183" i="4"/>
  <c r="AZ183" i="4"/>
  <c r="BA183" i="4"/>
  <c r="BB183" i="4"/>
  <c r="BC183" i="4"/>
  <c r="BD183" i="4"/>
  <c r="BE183" i="4"/>
  <c r="BF183" i="4"/>
  <c r="BG183" i="4"/>
  <c r="BH183" i="4"/>
  <c r="BI183" i="4"/>
  <c r="BJ183" i="4"/>
  <c r="BK183" i="4"/>
  <c r="BL183" i="4"/>
  <c r="BM183" i="4"/>
  <c r="BN183" i="4"/>
  <c r="BO183" i="4"/>
  <c r="BP183" i="4"/>
  <c r="BQ183" i="4"/>
  <c r="BR183" i="4"/>
  <c r="BS183" i="4"/>
  <c r="BT183" i="4"/>
  <c r="BU183" i="4"/>
  <c r="BW183" i="4"/>
  <c r="BX183" i="4"/>
  <c r="BY183" i="4"/>
  <c r="BZ183" i="4"/>
  <c r="CA183" i="4"/>
  <c r="CB183" i="4"/>
  <c r="CC183" i="4"/>
  <c r="CD183" i="4"/>
  <c r="CE183" i="4"/>
  <c r="CF183" i="4"/>
  <c r="CG183" i="4"/>
  <c r="CH183" i="4"/>
  <c r="CI183" i="4"/>
  <c r="CJ183" i="4"/>
  <c r="CK183" i="4"/>
  <c r="CL183" i="4"/>
  <c r="CM183" i="4"/>
  <c r="CN183" i="4"/>
  <c r="CO183" i="4"/>
  <c r="CP183" i="4"/>
  <c r="CQ183" i="4"/>
  <c r="CR183" i="4"/>
  <c r="CS183" i="4"/>
  <c r="CT183" i="4"/>
  <c r="CU183" i="4"/>
  <c r="CV183" i="4"/>
  <c r="Q181" i="4"/>
  <c r="R181" i="4"/>
  <c r="S181" i="4"/>
  <c r="T181" i="4"/>
  <c r="U181" i="4"/>
  <c r="V181" i="4"/>
  <c r="W181" i="4"/>
  <c r="X181" i="4"/>
  <c r="Y181" i="4"/>
  <c r="Z181" i="4"/>
  <c r="AA181" i="4"/>
  <c r="AB181" i="4"/>
  <c r="AC181" i="4"/>
  <c r="AD181" i="4"/>
  <c r="AE181" i="4"/>
  <c r="AF181" i="4"/>
  <c r="AG181" i="4"/>
  <c r="AH181" i="4"/>
  <c r="AI181" i="4"/>
  <c r="AJ181" i="4"/>
  <c r="AK181" i="4"/>
  <c r="AL181" i="4"/>
  <c r="AM181" i="4"/>
  <c r="AN181" i="4"/>
  <c r="AO181" i="4"/>
  <c r="AP181" i="4"/>
  <c r="AQ181" i="4"/>
  <c r="AR181" i="4"/>
  <c r="AS181" i="4"/>
  <c r="AT181" i="4"/>
  <c r="AU181" i="4"/>
  <c r="AV181" i="4"/>
  <c r="AW181" i="4"/>
  <c r="AX181" i="4"/>
  <c r="AY181" i="4"/>
  <c r="AZ181" i="4"/>
  <c r="BA181" i="4"/>
  <c r="BB181" i="4"/>
  <c r="BC181" i="4"/>
  <c r="BD181" i="4"/>
  <c r="BE181" i="4"/>
  <c r="BF181" i="4"/>
  <c r="BG181" i="4"/>
  <c r="BH181" i="4"/>
  <c r="BI181" i="4"/>
  <c r="BJ181" i="4"/>
  <c r="BK181" i="4"/>
  <c r="BL181" i="4"/>
  <c r="BM181" i="4"/>
  <c r="BN181" i="4"/>
  <c r="BO181" i="4"/>
  <c r="BP181" i="4"/>
  <c r="BQ181" i="4"/>
  <c r="BR181" i="4"/>
  <c r="BS181" i="4"/>
  <c r="BT181" i="4"/>
  <c r="BU181" i="4"/>
  <c r="BV181" i="4"/>
  <c r="BW181" i="4"/>
  <c r="BX181" i="4"/>
  <c r="BY181" i="4"/>
  <c r="BZ181" i="4"/>
  <c r="CA181" i="4"/>
  <c r="CB181" i="4"/>
  <c r="CC181" i="4"/>
  <c r="CD181" i="4"/>
  <c r="CE181" i="4"/>
  <c r="CF181" i="4"/>
  <c r="CG181" i="4"/>
  <c r="CH181" i="4"/>
  <c r="CI181" i="4"/>
  <c r="CJ181" i="4"/>
  <c r="CK181" i="4"/>
  <c r="CL181" i="4"/>
  <c r="CM181" i="4"/>
  <c r="CN181" i="4"/>
  <c r="CO181" i="4"/>
  <c r="CP181" i="4"/>
  <c r="CQ181" i="4"/>
  <c r="CR181" i="4"/>
  <c r="CS181" i="4"/>
  <c r="CT181" i="4"/>
  <c r="CU181" i="4"/>
  <c r="CV181" i="4"/>
  <c r="Q179" i="4"/>
  <c r="R179" i="4"/>
  <c r="S179" i="4"/>
  <c r="T179" i="4"/>
  <c r="U179" i="4"/>
  <c r="V179" i="4"/>
  <c r="W179" i="4"/>
  <c r="X179" i="4"/>
  <c r="Y179" i="4"/>
  <c r="Z179" i="4"/>
  <c r="AA179" i="4"/>
  <c r="AB179" i="4"/>
  <c r="AC179" i="4"/>
  <c r="AD179" i="4"/>
  <c r="AE179" i="4"/>
  <c r="AF179" i="4"/>
  <c r="AG179" i="4"/>
  <c r="AH179" i="4"/>
  <c r="AI179" i="4"/>
  <c r="AJ179" i="4"/>
  <c r="AK179" i="4"/>
  <c r="AL179" i="4"/>
  <c r="AM179" i="4"/>
  <c r="AN179" i="4"/>
  <c r="AO179" i="4"/>
  <c r="AP179" i="4"/>
  <c r="AQ179" i="4"/>
  <c r="AR179" i="4"/>
  <c r="AS179" i="4"/>
  <c r="AT179" i="4"/>
  <c r="AU179" i="4"/>
  <c r="AV179" i="4"/>
  <c r="AW179" i="4"/>
  <c r="AX179" i="4"/>
  <c r="AY179" i="4"/>
  <c r="AZ179" i="4"/>
  <c r="BA179" i="4"/>
  <c r="BB179" i="4"/>
  <c r="BC179" i="4"/>
  <c r="BD179" i="4"/>
  <c r="BE179" i="4"/>
  <c r="BF179" i="4"/>
  <c r="BG179" i="4"/>
  <c r="BH179" i="4"/>
  <c r="BI179" i="4"/>
  <c r="BJ179" i="4"/>
  <c r="BK179" i="4"/>
  <c r="BL179" i="4"/>
  <c r="BM179" i="4"/>
  <c r="BN179" i="4"/>
  <c r="BO179" i="4"/>
  <c r="BP179" i="4"/>
  <c r="BQ179" i="4"/>
  <c r="BR179" i="4"/>
  <c r="BS179" i="4"/>
  <c r="BT179" i="4"/>
  <c r="BU179" i="4"/>
  <c r="BV179" i="4"/>
  <c r="BW179" i="4"/>
  <c r="BX179" i="4"/>
  <c r="BY179" i="4"/>
  <c r="BZ179" i="4"/>
  <c r="CA179" i="4"/>
  <c r="CB179" i="4"/>
  <c r="CC179" i="4"/>
  <c r="CD179" i="4"/>
  <c r="CE179" i="4"/>
  <c r="CF179" i="4"/>
  <c r="CG179" i="4"/>
  <c r="CH179" i="4"/>
  <c r="CI179" i="4"/>
  <c r="CJ179" i="4"/>
  <c r="CK179" i="4"/>
  <c r="CL179" i="4"/>
  <c r="CM179" i="4"/>
  <c r="CN179" i="4"/>
  <c r="CO179" i="4"/>
  <c r="CP179" i="4"/>
  <c r="CQ179" i="4"/>
  <c r="CR179" i="4"/>
  <c r="CS179" i="4"/>
  <c r="CT179" i="4"/>
  <c r="CU179" i="4"/>
  <c r="CV179" i="4"/>
  <c r="Q177" i="4"/>
  <c r="R177" i="4"/>
  <c r="S177" i="4"/>
  <c r="T177" i="4"/>
  <c r="U177" i="4"/>
  <c r="V177" i="4"/>
  <c r="W177" i="4"/>
  <c r="X177" i="4"/>
  <c r="Y177" i="4"/>
  <c r="Z177" i="4"/>
  <c r="AA177" i="4"/>
  <c r="AB177" i="4"/>
  <c r="AC177" i="4"/>
  <c r="AD177" i="4"/>
  <c r="AE177" i="4"/>
  <c r="AF177" i="4"/>
  <c r="AG177" i="4"/>
  <c r="AH177" i="4"/>
  <c r="AI177" i="4"/>
  <c r="AJ177" i="4"/>
  <c r="AK177" i="4"/>
  <c r="AL177" i="4"/>
  <c r="AM177" i="4"/>
  <c r="AN177" i="4"/>
  <c r="AO177" i="4"/>
  <c r="AP177" i="4"/>
  <c r="AQ177" i="4"/>
  <c r="AR177" i="4"/>
  <c r="AS177" i="4"/>
  <c r="AT177" i="4"/>
  <c r="AU177" i="4"/>
  <c r="AV177" i="4"/>
  <c r="AW177" i="4"/>
  <c r="AX177" i="4"/>
  <c r="AY177" i="4"/>
  <c r="AZ177" i="4"/>
  <c r="BA177" i="4"/>
  <c r="BB177" i="4"/>
  <c r="BC177" i="4"/>
  <c r="BD177" i="4"/>
  <c r="BE177" i="4"/>
  <c r="BF177" i="4"/>
  <c r="BG177" i="4"/>
  <c r="BH177" i="4"/>
  <c r="BI177" i="4"/>
  <c r="BJ177" i="4"/>
  <c r="BK177" i="4"/>
  <c r="BL177" i="4"/>
  <c r="BM177" i="4"/>
  <c r="BN177" i="4"/>
  <c r="BO177" i="4"/>
  <c r="BP177" i="4"/>
  <c r="BQ177" i="4"/>
  <c r="BR177" i="4"/>
  <c r="BS177" i="4"/>
  <c r="BT177" i="4"/>
  <c r="BU177" i="4"/>
  <c r="BV177" i="4"/>
  <c r="BW177" i="4"/>
  <c r="BX177" i="4"/>
  <c r="BY177" i="4"/>
  <c r="BZ177" i="4"/>
  <c r="CA177" i="4"/>
  <c r="CB177" i="4"/>
  <c r="CC177" i="4"/>
  <c r="CD177" i="4"/>
  <c r="CE177" i="4"/>
  <c r="CF177" i="4"/>
  <c r="CG177" i="4"/>
  <c r="CH177" i="4"/>
  <c r="CI177" i="4"/>
  <c r="CJ177" i="4"/>
  <c r="CK177" i="4"/>
  <c r="CL177" i="4"/>
  <c r="CM177" i="4"/>
  <c r="CN177" i="4"/>
  <c r="CO177" i="4"/>
  <c r="CP177" i="4"/>
  <c r="CQ177" i="4"/>
  <c r="CR177" i="4"/>
  <c r="CS177" i="4"/>
  <c r="CT177" i="4"/>
  <c r="CU177" i="4"/>
  <c r="CV177" i="4"/>
  <c r="Q175" i="4"/>
  <c r="R175" i="4"/>
  <c r="S175" i="4"/>
  <c r="T175" i="4"/>
  <c r="U175" i="4"/>
  <c r="V175" i="4"/>
  <c r="W175" i="4"/>
  <c r="X175" i="4"/>
  <c r="Y175" i="4"/>
  <c r="Z175" i="4"/>
  <c r="AA175" i="4"/>
  <c r="AB175" i="4"/>
  <c r="AC175" i="4"/>
  <c r="AD175" i="4"/>
  <c r="AE175" i="4"/>
  <c r="AF175" i="4"/>
  <c r="AG175" i="4"/>
  <c r="AH175" i="4"/>
  <c r="AI175" i="4"/>
  <c r="AJ175" i="4"/>
  <c r="AK175" i="4"/>
  <c r="AL175" i="4"/>
  <c r="AM175" i="4"/>
  <c r="AN175" i="4"/>
  <c r="AO175" i="4"/>
  <c r="AP175" i="4"/>
  <c r="AQ175" i="4"/>
  <c r="AR175" i="4"/>
  <c r="AS175" i="4"/>
  <c r="AT175" i="4"/>
  <c r="AU175" i="4"/>
  <c r="AV175" i="4"/>
  <c r="AW175" i="4"/>
  <c r="AX175" i="4"/>
  <c r="AY175" i="4"/>
  <c r="AZ175" i="4"/>
  <c r="BA175" i="4"/>
  <c r="BB175" i="4"/>
  <c r="BC175" i="4"/>
  <c r="BD175" i="4"/>
  <c r="BE175" i="4"/>
  <c r="BF175" i="4"/>
  <c r="BG175" i="4"/>
  <c r="BH175" i="4"/>
  <c r="BI175" i="4"/>
  <c r="BJ175" i="4"/>
  <c r="BK175" i="4"/>
  <c r="BL175" i="4"/>
  <c r="BM175" i="4"/>
  <c r="BN175" i="4"/>
  <c r="BO175" i="4"/>
  <c r="BP175" i="4"/>
  <c r="BQ175" i="4"/>
  <c r="BR175" i="4"/>
  <c r="BS175" i="4"/>
  <c r="BT175" i="4"/>
  <c r="BU175" i="4"/>
  <c r="BV175" i="4"/>
  <c r="BW175" i="4"/>
  <c r="BX175" i="4"/>
  <c r="BY175" i="4"/>
  <c r="BZ175" i="4"/>
  <c r="CA175" i="4"/>
  <c r="CB175" i="4"/>
  <c r="CC175" i="4"/>
  <c r="CD175" i="4"/>
  <c r="CE175" i="4"/>
  <c r="CF175" i="4"/>
  <c r="CG175" i="4"/>
  <c r="CH175" i="4"/>
  <c r="CI175" i="4"/>
  <c r="CJ175" i="4"/>
  <c r="CK175" i="4"/>
  <c r="CL175" i="4"/>
  <c r="CM175" i="4"/>
  <c r="CN175" i="4"/>
  <c r="CO175" i="4"/>
  <c r="CP175" i="4"/>
  <c r="CQ175" i="4"/>
  <c r="CR175" i="4"/>
  <c r="CS175" i="4"/>
  <c r="CT175" i="4"/>
  <c r="CU175" i="4"/>
  <c r="CV175" i="4"/>
  <c r="Q173" i="4"/>
  <c r="R173" i="4"/>
  <c r="S173" i="4"/>
  <c r="T173" i="4"/>
  <c r="U173" i="4"/>
  <c r="V173" i="4"/>
  <c r="W173" i="4"/>
  <c r="X173" i="4"/>
  <c r="Y173" i="4"/>
  <c r="Z173" i="4"/>
  <c r="AA173" i="4"/>
  <c r="AB173" i="4"/>
  <c r="AC173" i="4"/>
  <c r="AD173" i="4"/>
  <c r="AE173" i="4"/>
  <c r="AF173" i="4"/>
  <c r="AG173" i="4"/>
  <c r="AH173" i="4"/>
  <c r="AI173" i="4"/>
  <c r="AJ173" i="4"/>
  <c r="AK173" i="4"/>
  <c r="AL173" i="4"/>
  <c r="AM173" i="4"/>
  <c r="AN173" i="4"/>
  <c r="AO173" i="4"/>
  <c r="AP173" i="4"/>
  <c r="AQ173" i="4"/>
  <c r="AR173" i="4"/>
  <c r="AS173" i="4"/>
  <c r="AT173" i="4"/>
  <c r="AU173" i="4"/>
  <c r="AV173" i="4"/>
  <c r="AW173" i="4"/>
  <c r="AX173" i="4"/>
  <c r="AY173" i="4"/>
  <c r="AZ173" i="4"/>
  <c r="BA173" i="4"/>
  <c r="BB173" i="4"/>
  <c r="BC173" i="4"/>
  <c r="BD173" i="4"/>
  <c r="BE173" i="4"/>
  <c r="BF173" i="4"/>
  <c r="BG173" i="4"/>
  <c r="BH173" i="4"/>
  <c r="BI173" i="4"/>
  <c r="BJ173" i="4"/>
  <c r="BK173" i="4"/>
  <c r="BL173" i="4"/>
  <c r="BM173" i="4"/>
  <c r="BN173" i="4"/>
  <c r="BO173" i="4"/>
  <c r="BP173" i="4"/>
  <c r="BQ173" i="4"/>
  <c r="BR173" i="4"/>
  <c r="BS173" i="4"/>
  <c r="BT173" i="4"/>
  <c r="BU173" i="4"/>
  <c r="BV173" i="4"/>
  <c r="BW173" i="4"/>
  <c r="BX173" i="4"/>
  <c r="BY173" i="4"/>
  <c r="BZ173" i="4"/>
  <c r="CA173" i="4"/>
  <c r="CB173" i="4"/>
  <c r="CC173" i="4"/>
  <c r="CD173" i="4"/>
  <c r="CE173" i="4"/>
  <c r="CF173" i="4"/>
  <c r="CG173" i="4"/>
  <c r="CH173" i="4"/>
  <c r="CI173" i="4"/>
  <c r="CJ173" i="4"/>
  <c r="CK173" i="4"/>
  <c r="CL173" i="4"/>
  <c r="CM173" i="4"/>
  <c r="CN173" i="4"/>
  <c r="CO173" i="4"/>
  <c r="CP173" i="4"/>
  <c r="CQ173" i="4"/>
  <c r="CR173" i="4"/>
  <c r="CS173" i="4"/>
  <c r="CT173" i="4"/>
  <c r="CU173" i="4"/>
  <c r="CV173" i="4"/>
  <c r="Q171" i="4"/>
  <c r="R171" i="4"/>
  <c r="S171" i="4"/>
  <c r="T171" i="4"/>
  <c r="U171" i="4"/>
  <c r="V171" i="4"/>
  <c r="W171" i="4"/>
  <c r="X171" i="4"/>
  <c r="Y171" i="4"/>
  <c r="Z171" i="4"/>
  <c r="AA171" i="4"/>
  <c r="AB171" i="4"/>
  <c r="AC171" i="4"/>
  <c r="AD171" i="4"/>
  <c r="AE171" i="4"/>
  <c r="AF171" i="4"/>
  <c r="AG171" i="4"/>
  <c r="AH171" i="4"/>
  <c r="AI171" i="4"/>
  <c r="AJ171" i="4"/>
  <c r="AK171" i="4"/>
  <c r="AL171" i="4"/>
  <c r="AM171" i="4"/>
  <c r="AN171" i="4"/>
  <c r="AO171" i="4"/>
  <c r="AP171" i="4"/>
  <c r="AQ171" i="4"/>
  <c r="AR171" i="4"/>
  <c r="AS171" i="4"/>
  <c r="AT171" i="4"/>
  <c r="AU171" i="4"/>
  <c r="AV171" i="4"/>
  <c r="AW171" i="4"/>
  <c r="AX171" i="4"/>
  <c r="AY171" i="4"/>
  <c r="AZ171" i="4"/>
  <c r="BA171" i="4"/>
  <c r="BB171" i="4"/>
  <c r="BC171" i="4"/>
  <c r="BD171" i="4"/>
  <c r="BE171" i="4"/>
  <c r="BF171" i="4"/>
  <c r="BG171" i="4"/>
  <c r="BH171" i="4"/>
  <c r="BI171" i="4"/>
  <c r="BJ171" i="4"/>
  <c r="BK171" i="4"/>
  <c r="BL171" i="4"/>
  <c r="BM171" i="4"/>
  <c r="BN171" i="4"/>
  <c r="BO171" i="4"/>
  <c r="BP171" i="4"/>
  <c r="BQ171" i="4"/>
  <c r="BR171" i="4"/>
  <c r="BS171" i="4"/>
  <c r="BT171" i="4"/>
  <c r="BU171" i="4"/>
  <c r="BV171" i="4"/>
  <c r="BW171" i="4"/>
  <c r="BX171" i="4"/>
  <c r="BY171" i="4"/>
  <c r="BZ171" i="4"/>
  <c r="CA171" i="4"/>
  <c r="CB171" i="4"/>
  <c r="CC171" i="4"/>
  <c r="CD171" i="4"/>
  <c r="CE171" i="4"/>
  <c r="CF171" i="4"/>
  <c r="CG171" i="4"/>
  <c r="CH171" i="4"/>
  <c r="CI171" i="4"/>
  <c r="CJ171" i="4"/>
  <c r="CK171" i="4"/>
  <c r="CL171" i="4"/>
  <c r="CM171" i="4"/>
  <c r="CN171" i="4"/>
  <c r="CO171" i="4"/>
  <c r="CP171" i="4"/>
  <c r="CQ171" i="4"/>
  <c r="CR171" i="4"/>
  <c r="CS171" i="4"/>
  <c r="CT171" i="4"/>
  <c r="CU171" i="4"/>
  <c r="CV171" i="4"/>
  <c r="Q169" i="4"/>
  <c r="R169" i="4"/>
  <c r="S169" i="4"/>
  <c r="T169" i="4"/>
  <c r="U169" i="4"/>
  <c r="V169" i="4"/>
  <c r="W169" i="4"/>
  <c r="X169" i="4"/>
  <c r="Y169" i="4"/>
  <c r="Z169" i="4"/>
  <c r="AA169" i="4"/>
  <c r="AB169" i="4"/>
  <c r="AC169" i="4"/>
  <c r="AD169" i="4"/>
  <c r="AE169" i="4"/>
  <c r="AF169" i="4"/>
  <c r="AG169" i="4"/>
  <c r="AH169" i="4"/>
  <c r="AI169" i="4"/>
  <c r="AJ169" i="4"/>
  <c r="AK169" i="4"/>
  <c r="AL169" i="4"/>
  <c r="AM169" i="4"/>
  <c r="AN169" i="4"/>
  <c r="AO169" i="4"/>
  <c r="AP169" i="4"/>
  <c r="AQ169" i="4"/>
  <c r="AR169" i="4"/>
  <c r="AS169" i="4"/>
  <c r="AT169" i="4"/>
  <c r="AU169" i="4"/>
  <c r="AV169" i="4"/>
  <c r="AW169" i="4"/>
  <c r="AX169" i="4"/>
  <c r="AY169" i="4"/>
  <c r="AZ169" i="4"/>
  <c r="BA169" i="4"/>
  <c r="BB169" i="4"/>
  <c r="BC169" i="4"/>
  <c r="BD169" i="4"/>
  <c r="BE169" i="4"/>
  <c r="BF169" i="4"/>
  <c r="BG169" i="4"/>
  <c r="BH169" i="4"/>
  <c r="BI169" i="4"/>
  <c r="BJ169" i="4"/>
  <c r="BK169" i="4"/>
  <c r="BL169" i="4"/>
  <c r="BM169" i="4"/>
  <c r="BN169" i="4"/>
  <c r="BO169" i="4"/>
  <c r="BP169" i="4"/>
  <c r="BQ169" i="4"/>
  <c r="BR169" i="4"/>
  <c r="BS169" i="4"/>
  <c r="BT169" i="4"/>
  <c r="BU169" i="4"/>
  <c r="BW169" i="4"/>
  <c r="BX169" i="4"/>
  <c r="BY169" i="4"/>
  <c r="BZ169" i="4"/>
  <c r="CA169" i="4"/>
  <c r="CB169" i="4"/>
  <c r="CC169" i="4"/>
  <c r="CD169" i="4"/>
  <c r="CE169" i="4"/>
  <c r="CF169" i="4"/>
  <c r="CG169" i="4"/>
  <c r="CH169" i="4"/>
  <c r="CI169" i="4"/>
  <c r="CJ169" i="4"/>
  <c r="CK169" i="4"/>
  <c r="CL169" i="4"/>
  <c r="CM169" i="4"/>
  <c r="CN169" i="4"/>
  <c r="CO169" i="4"/>
  <c r="CP169" i="4"/>
  <c r="CQ169" i="4"/>
  <c r="CR169" i="4"/>
  <c r="CS169" i="4"/>
  <c r="CT169" i="4"/>
  <c r="CU169" i="4"/>
  <c r="CV169" i="4"/>
  <c r="Q167" i="4"/>
  <c r="R167" i="4"/>
  <c r="S167" i="4"/>
  <c r="T167" i="4"/>
  <c r="U167" i="4"/>
  <c r="V167" i="4"/>
  <c r="W167" i="4"/>
  <c r="X167" i="4"/>
  <c r="Y167" i="4"/>
  <c r="Z167" i="4"/>
  <c r="AA167" i="4"/>
  <c r="AB167" i="4"/>
  <c r="AC167" i="4"/>
  <c r="AD167" i="4"/>
  <c r="AE167" i="4"/>
  <c r="AF167" i="4"/>
  <c r="AG167" i="4"/>
  <c r="AH167" i="4"/>
  <c r="AI167" i="4"/>
  <c r="AJ167" i="4"/>
  <c r="AK167" i="4"/>
  <c r="AL167" i="4"/>
  <c r="AM167" i="4"/>
  <c r="AN167" i="4"/>
  <c r="AO167" i="4"/>
  <c r="AP167" i="4"/>
  <c r="AQ167" i="4"/>
  <c r="AR167" i="4"/>
  <c r="AS167" i="4"/>
  <c r="AT167" i="4"/>
  <c r="AU167" i="4"/>
  <c r="AV167" i="4"/>
  <c r="AW167" i="4"/>
  <c r="AX167" i="4"/>
  <c r="AY167" i="4"/>
  <c r="AZ167" i="4"/>
  <c r="BA167" i="4"/>
  <c r="BB167" i="4"/>
  <c r="BC167" i="4"/>
  <c r="BD167" i="4"/>
  <c r="BE167" i="4"/>
  <c r="BF167" i="4"/>
  <c r="BG167" i="4"/>
  <c r="BH167" i="4"/>
  <c r="BI167" i="4"/>
  <c r="BJ167" i="4"/>
  <c r="BK167" i="4"/>
  <c r="BL167" i="4"/>
  <c r="BM167" i="4"/>
  <c r="BN167" i="4"/>
  <c r="BO167" i="4"/>
  <c r="BP167" i="4"/>
  <c r="BQ167" i="4"/>
  <c r="BR167" i="4"/>
  <c r="BS167" i="4"/>
  <c r="BT167" i="4"/>
  <c r="BU167" i="4"/>
  <c r="BV167" i="4"/>
  <c r="BW167" i="4"/>
  <c r="BX167" i="4"/>
  <c r="BY167" i="4"/>
  <c r="BZ167" i="4"/>
  <c r="CA167" i="4"/>
  <c r="CB167" i="4"/>
  <c r="CC167" i="4"/>
  <c r="CD167" i="4"/>
  <c r="CE167" i="4"/>
  <c r="CF167" i="4"/>
  <c r="CG167" i="4"/>
  <c r="CH167" i="4"/>
  <c r="CI167" i="4"/>
  <c r="CJ167" i="4"/>
  <c r="CK167" i="4"/>
  <c r="CL167" i="4"/>
  <c r="CM167" i="4"/>
  <c r="CN167" i="4"/>
  <c r="CO167" i="4"/>
  <c r="CP167" i="4"/>
  <c r="CQ167" i="4"/>
  <c r="CR167" i="4"/>
  <c r="CS167" i="4"/>
  <c r="CT167" i="4"/>
  <c r="CU167" i="4"/>
  <c r="CV167" i="4"/>
  <c r="P201" i="4"/>
  <c r="O201" i="4" s="1"/>
  <c r="P199" i="4"/>
  <c r="O199" i="4" s="1"/>
  <c r="P197" i="4"/>
  <c r="O197" i="4" s="1"/>
  <c r="P195" i="4"/>
  <c r="O195" i="4" s="1"/>
  <c r="P193" i="4"/>
  <c r="O193" i="4" s="1"/>
  <c r="P191" i="4"/>
  <c r="O191" i="4" s="1"/>
  <c r="P189" i="4"/>
  <c r="P187" i="4"/>
  <c r="P185" i="4"/>
  <c r="O185" i="4" s="1"/>
  <c r="P183" i="4"/>
  <c r="P181" i="4"/>
  <c r="O181" i="4" s="1"/>
  <c r="P179" i="4"/>
  <c r="O179" i="4" s="1"/>
  <c r="P177" i="4"/>
  <c r="O177" i="4" s="1"/>
  <c r="P175" i="4"/>
  <c r="P173" i="4"/>
  <c r="P171" i="4"/>
  <c r="P203" i="4"/>
  <c r="P205" i="4"/>
  <c r="P169" i="4"/>
  <c r="P167" i="4"/>
  <c r="Q272" i="4"/>
  <c r="R272" i="4"/>
  <c r="S272" i="4"/>
  <c r="T272" i="4"/>
  <c r="U272" i="4"/>
  <c r="V272" i="4"/>
  <c r="X272" i="4"/>
  <c r="Y272" i="4"/>
  <c r="Z272" i="4"/>
  <c r="AA272" i="4"/>
  <c r="AB272" i="4"/>
  <c r="AC272" i="4"/>
  <c r="AD272" i="4"/>
  <c r="AE272" i="4"/>
  <c r="AF272" i="4"/>
  <c r="AG272" i="4"/>
  <c r="AH272" i="4"/>
  <c r="AI272" i="4"/>
  <c r="AJ272" i="4"/>
  <c r="AK272" i="4"/>
  <c r="AL272" i="4"/>
  <c r="AM272" i="4"/>
  <c r="AN272" i="4"/>
  <c r="AO272" i="4"/>
  <c r="AP272" i="4"/>
  <c r="AQ272" i="4"/>
  <c r="AR272" i="4"/>
  <c r="AS272" i="4"/>
  <c r="AT272" i="4"/>
  <c r="AU272" i="4"/>
  <c r="AV272" i="4"/>
  <c r="AW272" i="4"/>
  <c r="AX272" i="4"/>
  <c r="AY272" i="4"/>
  <c r="AZ272" i="4"/>
  <c r="BA272" i="4"/>
  <c r="BB272" i="4"/>
  <c r="BC272" i="4"/>
  <c r="BD272" i="4"/>
  <c r="BE272" i="4"/>
  <c r="BF272" i="4"/>
  <c r="BG272" i="4"/>
  <c r="BH272" i="4"/>
  <c r="BI272" i="4"/>
  <c r="BJ272" i="4"/>
  <c r="BK272" i="4"/>
  <c r="BL272" i="4"/>
  <c r="BM272" i="4"/>
  <c r="BN272" i="4"/>
  <c r="BO272" i="4"/>
  <c r="BP272" i="4"/>
  <c r="BQ272" i="4"/>
  <c r="BR272" i="4"/>
  <c r="BS272" i="4"/>
  <c r="BT272" i="4"/>
  <c r="BU272" i="4"/>
  <c r="BV272" i="4"/>
  <c r="BW272" i="4"/>
  <c r="BX272" i="4"/>
  <c r="BY272" i="4"/>
  <c r="BZ272" i="4"/>
  <c r="CA272" i="4"/>
  <c r="CB272" i="4"/>
  <c r="CC272" i="4"/>
  <c r="CD272" i="4"/>
  <c r="CE272" i="4"/>
  <c r="CF272" i="4"/>
  <c r="CG272" i="4"/>
  <c r="CH272" i="4"/>
  <c r="CI272" i="4"/>
  <c r="CJ272" i="4"/>
  <c r="CK272" i="4"/>
  <c r="CL272" i="4"/>
  <c r="CM272" i="4"/>
  <c r="CN272" i="4"/>
  <c r="CO272" i="4"/>
  <c r="CP272" i="4"/>
  <c r="CQ272" i="4"/>
  <c r="CR272" i="4"/>
  <c r="CS272" i="4"/>
  <c r="CT272" i="4"/>
  <c r="CU272" i="4"/>
  <c r="CV272" i="4"/>
  <c r="Q270" i="4"/>
  <c r="R270" i="4"/>
  <c r="S270" i="4"/>
  <c r="T270" i="4"/>
  <c r="U270" i="4"/>
  <c r="V270" i="4"/>
  <c r="W270" i="4"/>
  <c r="X270" i="4"/>
  <c r="Y270" i="4"/>
  <c r="Z270" i="4"/>
  <c r="AA270" i="4"/>
  <c r="AB270" i="4"/>
  <c r="AC270" i="4"/>
  <c r="AD270" i="4"/>
  <c r="AE270" i="4"/>
  <c r="AF270" i="4"/>
  <c r="AG270" i="4"/>
  <c r="AH270" i="4"/>
  <c r="AI270" i="4"/>
  <c r="AJ270" i="4"/>
  <c r="AK270" i="4"/>
  <c r="AL270" i="4"/>
  <c r="AM270" i="4"/>
  <c r="AN270" i="4"/>
  <c r="AO270" i="4"/>
  <c r="AP270" i="4"/>
  <c r="AQ270" i="4"/>
  <c r="AR270" i="4"/>
  <c r="AS270" i="4"/>
  <c r="AT270" i="4"/>
  <c r="AU270" i="4"/>
  <c r="AV270" i="4"/>
  <c r="AW270" i="4"/>
  <c r="AX270" i="4"/>
  <c r="AY270" i="4"/>
  <c r="AZ270" i="4"/>
  <c r="BA270" i="4"/>
  <c r="BB270" i="4"/>
  <c r="BC270" i="4"/>
  <c r="BD270" i="4"/>
  <c r="BE270" i="4"/>
  <c r="BF270" i="4"/>
  <c r="BG270" i="4"/>
  <c r="BH270" i="4"/>
  <c r="BI270" i="4"/>
  <c r="BJ270" i="4"/>
  <c r="BK270" i="4"/>
  <c r="BL270" i="4"/>
  <c r="BM270" i="4"/>
  <c r="BN270" i="4"/>
  <c r="BO270" i="4"/>
  <c r="BP270" i="4"/>
  <c r="BQ270" i="4"/>
  <c r="BR270" i="4"/>
  <c r="BS270" i="4"/>
  <c r="BT270" i="4"/>
  <c r="BU270" i="4"/>
  <c r="BV270" i="4"/>
  <c r="BW270" i="4"/>
  <c r="BX270" i="4"/>
  <c r="BY270" i="4"/>
  <c r="BZ270" i="4"/>
  <c r="CA270" i="4"/>
  <c r="CB270" i="4"/>
  <c r="CC270" i="4"/>
  <c r="CD270" i="4"/>
  <c r="CE270" i="4"/>
  <c r="CF270" i="4"/>
  <c r="CG270" i="4"/>
  <c r="CH270" i="4"/>
  <c r="CI270" i="4"/>
  <c r="CJ270" i="4"/>
  <c r="CK270" i="4"/>
  <c r="CL270" i="4"/>
  <c r="CM270" i="4"/>
  <c r="CN270" i="4"/>
  <c r="CO270" i="4"/>
  <c r="CP270" i="4"/>
  <c r="CQ270" i="4"/>
  <c r="CR270" i="4"/>
  <c r="CS270" i="4"/>
  <c r="CT270" i="4"/>
  <c r="CU270" i="4"/>
  <c r="CV270" i="4"/>
  <c r="Q268" i="4"/>
  <c r="R268" i="4"/>
  <c r="S268" i="4"/>
  <c r="T268" i="4"/>
  <c r="U268" i="4"/>
  <c r="V268" i="4"/>
  <c r="X268" i="4"/>
  <c r="Y268" i="4"/>
  <c r="Z268" i="4"/>
  <c r="AA268" i="4"/>
  <c r="AB268" i="4"/>
  <c r="AC268" i="4"/>
  <c r="AD268" i="4"/>
  <c r="AE268" i="4"/>
  <c r="AF268" i="4"/>
  <c r="AG268" i="4"/>
  <c r="AH268" i="4"/>
  <c r="AI268" i="4"/>
  <c r="AJ268" i="4"/>
  <c r="AK268" i="4"/>
  <c r="AL268" i="4"/>
  <c r="AM268" i="4"/>
  <c r="AN268" i="4"/>
  <c r="AO268" i="4"/>
  <c r="AP268" i="4"/>
  <c r="AQ268" i="4"/>
  <c r="AR268" i="4"/>
  <c r="AS268" i="4"/>
  <c r="AT268" i="4"/>
  <c r="AU268" i="4"/>
  <c r="AV268" i="4"/>
  <c r="AW268" i="4"/>
  <c r="AX268" i="4"/>
  <c r="AY268" i="4"/>
  <c r="AZ268" i="4"/>
  <c r="BA268" i="4"/>
  <c r="BB268" i="4"/>
  <c r="BC268" i="4"/>
  <c r="BD268" i="4"/>
  <c r="BE268" i="4"/>
  <c r="BF268" i="4"/>
  <c r="BG268" i="4"/>
  <c r="BH268" i="4"/>
  <c r="BI268" i="4"/>
  <c r="BJ268" i="4"/>
  <c r="BK268" i="4"/>
  <c r="BL268" i="4"/>
  <c r="BM268" i="4"/>
  <c r="BN268" i="4"/>
  <c r="BO268" i="4"/>
  <c r="BP268" i="4"/>
  <c r="BQ268" i="4"/>
  <c r="BR268" i="4"/>
  <c r="BS268" i="4"/>
  <c r="BT268" i="4"/>
  <c r="BU268" i="4"/>
  <c r="BV268" i="4"/>
  <c r="BW268" i="4"/>
  <c r="BX268" i="4"/>
  <c r="BY268" i="4"/>
  <c r="BZ268" i="4"/>
  <c r="CA268" i="4"/>
  <c r="CB268" i="4"/>
  <c r="CC268" i="4"/>
  <c r="CD268" i="4"/>
  <c r="CE268" i="4"/>
  <c r="CF268" i="4"/>
  <c r="CG268" i="4"/>
  <c r="CH268" i="4"/>
  <c r="CI268" i="4"/>
  <c r="CJ268" i="4"/>
  <c r="CK268" i="4"/>
  <c r="CL268" i="4"/>
  <c r="CM268" i="4"/>
  <c r="CN268" i="4"/>
  <c r="CO268" i="4"/>
  <c r="CP268" i="4"/>
  <c r="CQ268" i="4"/>
  <c r="CR268" i="4"/>
  <c r="CS268" i="4"/>
  <c r="CT268" i="4"/>
  <c r="CU268" i="4"/>
  <c r="CV268" i="4"/>
  <c r="Q266" i="4"/>
  <c r="R266" i="4"/>
  <c r="S266" i="4"/>
  <c r="T266" i="4"/>
  <c r="U266" i="4"/>
  <c r="V266" i="4"/>
  <c r="W266" i="4"/>
  <c r="X266" i="4"/>
  <c r="Y266" i="4"/>
  <c r="Z266" i="4"/>
  <c r="AA266" i="4"/>
  <c r="AB266" i="4"/>
  <c r="AC266" i="4"/>
  <c r="AD266" i="4"/>
  <c r="AE266" i="4"/>
  <c r="AF266" i="4"/>
  <c r="AG266" i="4"/>
  <c r="AH266" i="4"/>
  <c r="AI266" i="4"/>
  <c r="AJ266" i="4"/>
  <c r="AK266" i="4"/>
  <c r="AL266" i="4"/>
  <c r="AM266" i="4"/>
  <c r="AN266" i="4"/>
  <c r="AO266" i="4"/>
  <c r="AP266" i="4"/>
  <c r="AQ266" i="4"/>
  <c r="AR266" i="4"/>
  <c r="AS266" i="4"/>
  <c r="AT266" i="4"/>
  <c r="AU266" i="4"/>
  <c r="AV266" i="4"/>
  <c r="AW266" i="4"/>
  <c r="AX266" i="4"/>
  <c r="AY266" i="4"/>
  <c r="AZ266" i="4"/>
  <c r="BA266" i="4"/>
  <c r="BB266" i="4"/>
  <c r="BC266" i="4"/>
  <c r="BD266" i="4"/>
  <c r="BE266" i="4"/>
  <c r="BF266" i="4"/>
  <c r="BG266" i="4"/>
  <c r="BH266" i="4"/>
  <c r="BI266" i="4"/>
  <c r="BJ266" i="4"/>
  <c r="BK266" i="4"/>
  <c r="BL266" i="4"/>
  <c r="BM266" i="4"/>
  <c r="BN266" i="4"/>
  <c r="BO266" i="4"/>
  <c r="BP266" i="4"/>
  <c r="BQ266" i="4"/>
  <c r="BR266" i="4"/>
  <c r="BS266" i="4"/>
  <c r="BT266" i="4"/>
  <c r="BU266" i="4"/>
  <c r="BV266" i="4"/>
  <c r="BW266" i="4"/>
  <c r="BX266" i="4"/>
  <c r="BY266" i="4"/>
  <c r="BZ266" i="4"/>
  <c r="CA266" i="4"/>
  <c r="CB266" i="4"/>
  <c r="CC266" i="4"/>
  <c r="CD266" i="4"/>
  <c r="CE266" i="4"/>
  <c r="CF266" i="4"/>
  <c r="CG266" i="4"/>
  <c r="CH266" i="4"/>
  <c r="CI266" i="4"/>
  <c r="CJ266" i="4"/>
  <c r="CK266" i="4"/>
  <c r="CL266" i="4"/>
  <c r="CM266" i="4"/>
  <c r="CN266" i="4"/>
  <c r="CO266" i="4"/>
  <c r="CP266" i="4"/>
  <c r="CQ266" i="4"/>
  <c r="CR266" i="4"/>
  <c r="CS266" i="4"/>
  <c r="CT266" i="4"/>
  <c r="CU266" i="4"/>
  <c r="CV266" i="4"/>
  <c r="Q264" i="4"/>
  <c r="R264" i="4"/>
  <c r="S264" i="4"/>
  <c r="T264" i="4"/>
  <c r="U264" i="4"/>
  <c r="V264" i="4"/>
  <c r="W264" i="4"/>
  <c r="X264" i="4"/>
  <c r="Y264" i="4"/>
  <c r="Z264" i="4"/>
  <c r="AA264" i="4"/>
  <c r="AB264" i="4"/>
  <c r="AC264" i="4"/>
  <c r="AD264" i="4"/>
  <c r="AE264" i="4"/>
  <c r="AF264" i="4"/>
  <c r="AG264" i="4"/>
  <c r="AH264" i="4"/>
  <c r="AI264" i="4"/>
  <c r="AJ264" i="4"/>
  <c r="AK264" i="4"/>
  <c r="AL264" i="4"/>
  <c r="AM264" i="4"/>
  <c r="AN264" i="4"/>
  <c r="AO264" i="4"/>
  <c r="AP264" i="4"/>
  <c r="AQ264" i="4"/>
  <c r="AR264" i="4"/>
  <c r="AS264" i="4"/>
  <c r="AT264" i="4"/>
  <c r="AU264" i="4"/>
  <c r="AV264" i="4"/>
  <c r="AW264" i="4"/>
  <c r="AX264" i="4"/>
  <c r="AY264" i="4"/>
  <c r="AZ264" i="4"/>
  <c r="BA264" i="4"/>
  <c r="BB264" i="4"/>
  <c r="BC264" i="4"/>
  <c r="BD264" i="4"/>
  <c r="BE264" i="4"/>
  <c r="BF264" i="4"/>
  <c r="BG264" i="4"/>
  <c r="BH264" i="4"/>
  <c r="BI264" i="4"/>
  <c r="BJ264" i="4"/>
  <c r="BK264" i="4"/>
  <c r="BL264" i="4"/>
  <c r="BM264" i="4"/>
  <c r="BN264" i="4"/>
  <c r="BO264" i="4"/>
  <c r="BP264" i="4"/>
  <c r="BQ264" i="4"/>
  <c r="BR264" i="4"/>
  <c r="BS264" i="4"/>
  <c r="BT264" i="4"/>
  <c r="BU264" i="4"/>
  <c r="BV264" i="4"/>
  <c r="BW264" i="4"/>
  <c r="BX264" i="4"/>
  <c r="BY264" i="4"/>
  <c r="BZ264" i="4"/>
  <c r="CA264" i="4"/>
  <c r="CB264" i="4"/>
  <c r="CC264" i="4"/>
  <c r="CD264" i="4"/>
  <c r="CE264" i="4"/>
  <c r="CF264" i="4"/>
  <c r="CG264" i="4"/>
  <c r="CH264" i="4"/>
  <c r="CI264" i="4"/>
  <c r="CJ264" i="4"/>
  <c r="CK264" i="4"/>
  <c r="CL264" i="4"/>
  <c r="CM264" i="4"/>
  <c r="CN264" i="4"/>
  <c r="CO264" i="4"/>
  <c r="CP264" i="4"/>
  <c r="CQ264" i="4"/>
  <c r="CR264" i="4"/>
  <c r="CS264" i="4"/>
  <c r="CT264" i="4"/>
  <c r="CU264" i="4"/>
  <c r="CV264" i="4"/>
  <c r="Q262" i="4"/>
  <c r="R262" i="4"/>
  <c r="S262" i="4"/>
  <c r="T262" i="4"/>
  <c r="U262" i="4"/>
  <c r="V262" i="4"/>
  <c r="W262" i="4"/>
  <c r="X262" i="4"/>
  <c r="Y262" i="4"/>
  <c r="Z262" i="4"/>
  <c r="AA262" i="4"/>
  <c r="AB262" i="4"/>
  <c r="AC262" i="4"/>
  <c r="AD262" i="4"/>
  <c r="AE262" i="4"/>
  <c r="AF262" i="4"/>
  <c r="AG262" i="4"/>
  <c r="AH262" i="4"/>
  <c r="AI262" i="4"/>
  <c r="AJ262" i="4"/>
  <c r="AK262" i="4"/>
  <c r="AL262" i="4"/>
  <c r="AM262" i="4"/>
  <c r="AN262" i="4"/>
  <c r="AO262" i="4"/>
  <c r="AP262" i="4"/>
  <c r="AQ262" i="4"/>
  <c r="AR262" i="4"/>
  <c r="AS262" i="4"/>
  <c r="AT262" i="4"/>
  <c r="AU262" i="4"/>
  <c r="AV262" i="4"/>
  <c r="AW262" i="4"/>
  <c r="AX262" i="4"/>
  <c r="AY262" i="4"/>
  <c r="AZ262" i="4"/>
  <c r="BA262" i="4"/>
  <c r="BB262" i="4"/>
  <c r="BC262" i="4"/>
  <c r="BD262" i="4"/>
  <c r="BE262" i="4"/>
  <c r="BF262" i="4"/>
  <c r="BG262" i="4"/>
  <c r="BH262" i="4"/>
  <c r="BI262" i="4"/>
  <c r="BJ262" i="4"/>
  <c r="BK262" i="4"/>
  <c r="BL262" i="4"/>
  <c r="BM262" i="4"/>
  <c r="BN262" i="4"/>
  <c r="BO262" i="4"/>
  <c r="BP262" i="4"/>
  <c r="BQ262" i="4"/>
  <c r="BR262" i="4"/>
  <c r="BS262" i="4"/>
  <c r="BT262" i="4"/>
  <c r="BU262" i="4"/>
  <c r="BV262" i="4"/>
  <c r="BW262" i="4"/>
  <c r="BX262" i="4"/>
  <c r="BY262" i="4"/>
  <c r="BZ262" i="4"/>
  <c r="CA262" i="4"/>
  <c r="CB262" i="4"/>
  <c r="CC262" i="4"/>
  <c r="CD262" i="4"/>
  <c r="CE262" i="4"/>
  <c r="CF262" i="4"/>
  <c r="CG262" i="4"/>
  <c r="CH262" i="4"/>
  <c r="CI262" i="4"/>
  <c r="CJ262" i="4"/>
  <c r="CK262" i="4"/>
  <c r="CL262" i="4"/>
  <c r="CM262" i="4"/>
  <c r="CN262" i="4"/>
  <c r="CO262" i="4"/>
  <c r="CP262" i="4"/>
  <c r="CQ262" i="4"/>
  <c r="CR262" i="4"/>
  <c r="CS262" i="4"/>
  <c r="CT262" i="4"/>
  <c r="CU262" i="4"/>
  <c r="CV262" i="4"/>
  <c r="Q260" i="4"/>
  <c r="R260" i="4"/>
  <c r="S260" i="4"/>
  <c r="T260" i="4"/>
  <c r="U260" i="4"/>
  <c r="V260" i="4"/>
  <c r="W260" i="4"/>
  <c r="X260" i="4"/>
  <c r="Y260" i="4"/>
  <c r="Z260" i="4"/>
  <c r="AA260" i="4"/>
  <c r="AB260" i="4"/>
  <c r="AC260" i="4"/>
  <c r="AD260" i="4"/>
  <c r="AE260" i="4"/>
  <c r="AF260" i="4"/>
  <c r="AG260" i="4"/>
  <c r="AH260" i="4"/>
  <c r="AI260" i="4"/>
  <c r="AJ260" i="4"/>
  <c r="AK260" i="4"/>
  <c r="AL260" i="4"/>
  <c r="AM260" i="4"/>
  <c r="AN260" i="4"/>
  <c r="AO260" i="4"/>
  <c r="AP260" i="4"/>
  <c r="AQ260" i="4"/>
  <c r="AR260" i="4"/>
  <c r="AS260" i="4"/>
  <c r="AT260" i="4"/>
  <c r="AU260" i="4"/>
  <c r="AV260" i="4"/>
  <c r="AW260" i="4"/>
  <c r="AX260" i="4"/>
  <c r="AY260" i="4"/>
  <c r="AZ260" i="4"/>
  <c r="BA260" i="4"/>
  <c r="BB260" i="4"/>
  <c r="BC260" i="4"/>
  <c r="BD260" i="4"/>
  <c r="BE260" i="4"/>
  <c r="BF260" i="4"/>
  <c r="BG260" i="4"/>
  <c r="BH260" i="4"/>
  <c r="BI260" i="4"/>
  <c r="BJ260" i="4"/>
  <c r="BK260" i="4"/>
  <c r="BL260" i="4"/>
  <c r="BM260" i="4"/>
  <c r="BN260" i="4"/>
  <c r="BO260" i="4"/>
  <c r="BP260" i="4"/>
  <c r="BQ260" i="4"/>
  <c r="BR260" i="4"/>
  <c r="BS260" i="4"/>
  <c r="BT260" i="4"/>
  <c r="BU260" i="4"/>
  <c r="BV260" i="4"/>
  <c r="BW260" i="4"/>
  <c r="BX260" i="4"/>
  <c r="BY260" i="4"/>
  <c r="BZ260" i="4"/>
  <c r="CA260" i="4"/>
  <c r="CB260" i="4"/>
  <c r="CC260" i="4"/>
  <c r="CD260" i="4"/>
  <c r="CE260" i="4"/>
  <c r="CF260" i="4"/>
  <c r="CG260" i="4"/>
  <c r="CH260" i="4"/>
  <c r="CI260" i="4"/>
  <c r="CJ260" i="4"/>
  <c r="CK260" i="4"/>
  <c r="CL260" i="4"/>
  <c r="CM260" i="4"/>
  <c r="CN260" i="4"/>
  <c r="CO260" i="4"/>
  <c r="CP260" i="4"/>
  <c r="CQ260" i="4"/>
  <c r="CR260" i="4"/>
  <c r="CS260" i="4"/>
  <c r="CT260" i="4"/>
  <c r="CU260" i="4"/>
  <c r="CV260" i="4"/>
  <c r="Q258" i="4"/>
  <c r="R258" i="4"/>
  <c r="S258" i="4"/>
  <c r="T258" i="4"/>
  <c r="U258" i="4"/>
  <c r="V258" i="4"/>
  <c r="W258" i="4"/>
  <c r="X258" i="4"/>
  <c r="Y258" i="4"/>
  <c r="Z258" i="4"/>
  <c r="AA258" i="4"/>
  <c r="AB258" i="4"/>
  <c r="AC258" i="4"/>
  <c r="AD258" i="4"/>
  <c r="AE258" i="4"/>
  <c r="AF258" i="4"/>
  <c r="AG258" i="4"/>
  <c r="AH258" i="4"/>
  <c r="AI258" i="4"/>
  <c r="AJ258" i="4"/>
  <c r="AK258" i="4"/>
  <c r="AL258" i="4"/>
  <c r="AM258" i="4"/>
  <c r="AN258" i="4"/>
  <c r="AO258" i="4"/>
  <c r="AP258" i="4"/>
  <c r="AQ258" i="4"/>
  <c r="AR258" i="4"/>
  <c r="AS258" i="4"/>
  <c r="AT258" i="4"/>
  <c r="AU258" i="4"/>
  <c r="AV258" i="4"/>
  <c r="AW258" i="4"/>
  <c r="AX258" i="4"/>
  <c r="AY258" i="4"/>
  <c r="AZ258" i="4"/>
  <c r="BA258" i="4"/>
  <c r="BB258" i="4"/>
  <c r="BC258" i="4"/>
  <c r="BD258" i="4"/>
  <c r="BE258" i="4"/>
  <c r="BF258" i="4"/>
  <c r="BG258" i="4"/>
  <c r="BH258" i="4"/>
  <c r="BI258" i="4"/>
  <c r="BJ258" i="4"/>
  <c r="BK258" i="4"/>
  <c r="BL258" i="4"/>
  <c r="BM258" i="4"/>
  <c r="BN258" i="4"/>
  <c r="BO258" i="4"/>
  <c r="BP258" i="4"/>
  <c r="BQ258" i="4"/>
  <c r="BR258" i="4"/>
  <c r="BS258" i="4"/>
  <c r="BT258" i="4"/>
  <c r="BU258" i="4"/>
  <c r="BV258" i="4"/>
  <c r="BW258" i="4"/>
  <c r="BX258" i="4"/>
  <c r="BY258" i="4"/>
  <c r="BZ258" i="4"/>
  <c r="CA258" i="4"/>
  <c r="CB258" i="4"/>
  <c r="CC258" i="4"/>
  <c r="CD258" i="4"/>
  <c r="CE258" i="4"/>
  <c r="CF258" i="4"/>
  <c r="CG258" i="4"/>
  <c r="CH258" i="4"/>
  <c r="CI258" i="4"/>
  <c r="CJ258" i="4"/>
  <c r="CK258" i="4"/>
  <c r="CL258" i="4"/>
  <c r="CM258" i="4"/>
  <c r="CN258" i="4"/>
  <c r="CO258" i="4"/>
  <c r="CP258" i="4"/>
  <c r="CQ258" i="4"/>
  <c r="CR258" i="4"/>
  <c r="CS258" i="4"/>
  <c r="CT258" i="4"/>
  <c r="CU258" i="4"/>
  <c r="CV258" i="4"/>
  <c r="Q256" i="4"/>
  <c r="R256" i="4"/>
  <c r="S256" i="4"/>
  <c r="T256" i="4"/>
  <c r="U256" i="4"/>
  <c r="V256" i="4"/>
  <c r="X256" i="4"/>
  <c r="Y256" i="4"/>
  <c r="Z256" i="4"/>
  <c r="AA256" i="4"/>
  <c r="AB256" i="4"/>
  <c r="AC256" i="4"/>
  <c r="AD256" i="4"/>
  <c r="AE256" i="4"/>
  <c r="AF256" i="4"/>
  <c r="AG256" i="4"/>
  <c r="AH256" i="4"/>
  <c r="AI256" i="4"/>
  <c r="AJ256" i="4"/>
  <c r="AK256" i="4"/>
  <c r="AL256" i="4"/>
  <c r="AM256" i="4"/>
  <c r="AN256" i="4"/>
  <c r="AO256" i="4"/>
  <c r="AP256" i="4"/>
  <c r="AQ256" i="4"/>
  <c r="AR256" i="4"/>
  <c r="AS256" i="4"/>
  <c r="AT256" i="4"/>
  <c r="AU256" i="4"/>
  <c r="AV256" i="4"/>
  <c r="AW256" i="4"/>
  <c r="AX256" i="4"/>
  <c r="AY256" i="4"/>
  <c r="AZ256" i="4"/>
  <c r="BA256" i="4"/>
  <c r="BB256" i="4"/>
  <c r="BC256" i="4"/>
  <c r="BD256" i="4"/>
  <c r="BE256" i="4"/>
  <c r="BF256" i="4"/>
  <c r="BG256" i="4"/>
  <c r="BH256" i="4"/>
  <c r="BI256" i="4"/>
  <c r="BJ256" i="4"/>
  <c r="BK256" i="4"/>
  <c r="BL256" i="4"/>
  <c r="BM256" i="4"/>
  <c r="BN256" i="4"/>
  <c r="BP256" i="4"/>
  <c r="BQ256" i="4"/>
  <c r="BR256" i="4"/>
  <c r="BS256" i="4"/>
  <c r="BT256" i="4"/>
  <c r="BU256" i="4"/>
  <c r="BV256" i="4"/>
  <c r="BW256" i="4"/>
  <c r="BX256" i="4"/>
  <c r="BY256" i="4"/>
  <c r="BZ256" i="4"/>
  <c r="CA256" i="4"/>
  <c r="CB256" i="4"/>
  <c r="CC256" i="4"/>
  <c r="CD256" i="4"/>
  <c r="CE256" i="4"/>
  <c r="CF256" i="4"/>
  <c r="CG256" i="4"/>
  <c r="CH256" i="4"/>
  <c r="CI256" i="4"/>
  <c r="CJ256" i="4"/>
  <c r="CK256" i="4"/>
  <c r="CL256" i="4"/>
  <c r="CM256" i="4"/>
  <c r="CN256" i="4"/>
  <c r="CO256" i="4"/>
  <c r="CQ256" i="4"/>
  <c r="CR256" i="4"/>
  <c r="CS256" i="4"/>
  <c r="CT256" i="4"/>
  <c r="CU256" i="4"/>
  <c r="CV256" i="4"/>
  <c r="Q254" i="4"/>
  <c r="R254" i="4"/>
  <c r="S254" i="4"/>
  <c r="T254" i="4"/>
  <c r="U254" i="4"/>
  <c r="V254" i="4"/>
  <c r="X254" i="4"/>
  <c r="Y254" i="4"/>
  <c r="Z254" i="4"/>
  <c r="AA254" i="4"/>
  <c r="AB254" i="4"/>
  <c r="AC254" i="4"/>
  <c r="AD254" i="4"/>
  <c r="AE254" i="4"/>
  <c r="AF254" i="4"/>
  <c r="AG254" i="4"/>
  <c r="AH254" i="4"/>
  <c r="AI254" i="4"/>
  <c r="AJ254" i="4"/>
  <c r="AK254" i="4"/>
  <c r="AL254" i="4"/>
  <c r="AM254" i="4"/>
  <c r="AN254" i="4"/>
  <c r="AO254" i="4"/>
  <c r="AP254" i="4"/>
  <c r="AQ254" i="4"/>
  <c r="AR254" i="4"/>
  <c r="AS254" i="4"/>
  <c r="AT254" i="4"/>
  <c r="AU254" i="4"/>
  <c r="AV254" i="4"/>
  <c r="AW254" i="4"/>
  <c r="AX254" i="4"/>
  <c r="AY254" i="4"/>
  <c r="AZ254" i="4"/>
  <c r="BA254" i="4"/>
  <c r="BB254" i="4"/>
  <c r="BC254" i="4"/>
  <c r="BD254" i="4"/>
  <c r="BE254" i="4"/>
  <c r="BF254" i="4"/>
  <c r="BG254" i="4"/>
  <c r="BH254" i="4"/>
  <c r="BI254" i="4"/>
  <c r="BJ254" i="4"/>
  <c r="BK254" i="4"/>
  <c r="BL254" i="4"/>
  <c r="BM254" i="4"/>
  <c r="BN254" i="4"/>
  <c r="BO254" i="4"/>
  <c r="BP254" i="4"/>
  <c r="BQ254" i="4"/>
  <c r="BR254" i="4"/>
  <c r="BS254" i="4"/>
  <c r="BT254" i="4"/>
  <c r="BU254" i="4"/>
  <c r="BV254" i="4"/>
  <c r="BW254" i="4"/>
  <c r="BX254" i="4"/>
  <c r="BY254" i="4"/>
  <c r="BZ254" i="4"/>
  <c r="CA254" i="4"/>
  <c r="CB254" i="4"/>
  <c r="CC254" i="4"/>
  <c r="CD254" i="4"/>
  <c r="CE254" i="4"/>
  <c r="CF254" i="4"/>
  <c r="CG254" i="4"/>
  <c r="CH254" i="4"/>
  <c r="CI254" i="4"/>
  <c r="CJ254" i="4"/>
  <c r="CK254" i="4"/>
  <c r="CL254" i="4"/>
  <c r="CM254" i="4"/>
  <c r="CN254" i="4"/>
  <c r="CO254" i="4"/>
  <c r="CP254" i="4"/>
  <c r="CQ254" i="4"/>
  <c r="CR254" i="4"/>
  <c r="CS254" i="4"/>
  <c r="CT254" i="4"/>
  <c r="CU254" i="4"/>
  <c r="CV254" i="4"/>
  <c r="Q252" i="4"/>
  <c r="R252" i="4"/>
  <c r="S252" i="4"/>
  <c r="T252" i="4"/>
  <c r="U252" i="4"/>
  <c r="V252" i="4"/>
  <c r="X252" i="4"/>
  <c r="Y252" i="4"/>
  <c r="Z252" i="4"/>
  <c r="AA252" i="4"/>
  <c r="AB252" i="4"/>
  <c r="AC252" i="4"/>
  <c r="AD252" i="4"/>
  <c r="AE252" i="4"/>
  <c r="AF252" i="4"/>
  <c r="AG252" i="4"/>
  <c r="AH252" i="4"/>
  <c r="AI252" i="4"/>
  <c r="AJ252" i="4"/>
  <c r="AK252" i="4"/>
  <c r="AL252" i="4"/>
  <c r="AM252" i="4"/>
  <c r="AN252" i="4"/>
  <c r="AO252" i="4"/>
  <c r="AP252" i="4"/>
  <c r="AQ252" i="4"/>
  <c r="AR252" i="4"/>
  <c r="AS252" i="4"/>
  <c r="AT252" i="4"/>
  <c r="AU252" i="4"/>
  <c r="AV252" i="4"/>
  <c r="AW252" i="4"/>
  <c r="AX252" i="4"/>
  <c r="AY252" i="4"/>
  <c r="AZ252" i="4"/>
  <c r="BA252" i="4"/>
  <c r="BB252" i="4"/>
  <c r="BC252" i="4"/>
  <c r="BD252" i="4"/>
  <c r="BE252" i="4"/>
  <c r="BF252" i="4"/>
  <c r="BG252" i="4"/>
  <c r="BH252" i="4"/>
  <c r="BI252" i="4"/>
  <c r="BJ252" i="4"/>
  <c r="BK252" i="4"/>
  <c r="BL252" i="4"/>
  <c r="BM252" i="4"/>
  <c r="BN252" i="4"/>
  <c r="BP252" i="4"/>
  <c r="BQ252" i="4"/>
  <c r="BR252" i="4"/>
  <c r="BS252" i="4"/>
  <c r="BT252" i="4"/>
  <c r="BU252" i="4"/>
  <c r="BV252" i="4"/>
  <c r="BW252" i="4"/>
  <c r="BX252" i="4"/>
  <c r="BY252" i="4"/>
  <c r="BZ252" i="4"/>
  <c r="CA252" i="4"/>
  <c r="CB252" i="4"/>
  <c r="CC252" i="4"/>
  <c r="CD252" i="4"/>
  <c r="CE252" i="4"/>
  <c r="CF252" i="4"/>
  <c r="CG252" i="4"/>
  <c r="CH252" i="4"/>
  <c r="CI252" i="4"/>
  <c r="CJ252" i="4"/>
  <c r="CK252" i="4"/>
  <c r="CL252" i="4"/>
  <c r="CM252" i="4"/>
  <c r="CN252" i="4"/>
  <c r="CO252" i="4"/>
  <c r="CP252" i="4"/>
  <c r="CQ252" i="4"/>
  <c r="CR252" i="4"/>
  <c r="CS252" i="4"/>
  <c r="CT252" i="4"/>
  <c r="CU252" i="4"/>
  <c r="CV252" i="4"/>
  <c r="Q250" i="4"/>
  <c r="R250" i="4"/>
  <c r="S250" i="4"/>
  <c r="T250" i="4"/>
  <c r="U250" i="4"/>
  <c r="V250" i="4"/>
  <c r="W250" i="4"/>
  <c r="X250" i="4"/>
  <c r="Y250" i="4"/>
  <c r="Z250" i="4"/>
  <c r="AA250" i="4"/>
  <c r="AB250" i="4"/>
  <c r="AC250" i="4"/>
  <c r="AD250" i="4"/>
  <c r="AE250" i="4"/>
  <c r="AF250" i="4"/>
  <c r="AG250" i="4"/>
  <c r="AH250" i="4"/>
  <c r="AI250" i="4"/>
  <c r="AJ250" i="4"/>
  <c r="AK250" i="4"/>
  <c r="AL250" i="4"/>
  <c r="AM250" i="4"/>
  <c r="AN250" i="4"/>
  <c r="AO250" i="4"/>
  <c r="AP250" i="4"/>
  <c r="AQ250" i="4"/>
  <c r="AR250" i="4"/>
  <c r="AS250" i="4"/>
  <c r="AT250" i="4"/>
  <c r="AU250" i="4"/>
  <c r="AV250" i="4"/>
  <c r="AW250" i="4"/>
  <c r="AX250" i="4"/>
  <c r="AY250" i="4"/>
  <c r="AZ250" i="4"/>
  <c r="BA250" i="4"/>
  <c r="BB250" i="4"/>
  <c r="BC250" i="4"/>
  <c r="BD250" i="4"/>
  <c r="BE250" i="4"/>
  <c r="BF250" i="4"/>
  <c r="BG250" i="4"/>
  <c r="BH250" i="4"/>
  <c r="BI250" i="4"/>
  <c r="BJ250" i="4"/>
  <c r="BK250" i="4"/>
  <c r="BL250" i="4"/>
  <c r="BM250" i="4"/>
  <c r="BN250" i="4"/>
  <c r="BO250" i="4"/>
  <c r="BP250" i="4"/>
  <c r="BQ250" i="4"/>
  <c r="BR250" i="4"/>
  <c r="BS250" i="4"/>
  <c r="BT250" i="4"/>
  <c r="BU250" i="4"/>
  <c r="BV250" i="4"/>
  <c r="BW250" i="4"/>
  <c r="BX250" i="4"/>
  <c r="BY250" i="4"/>
  <c r="BZ250" i="4"/>
  <c r="CA250" i="4"/>
  <c r="CB250" i="4"/>
  <c r="CC250" i="4"/>
  <c r="CD250" i="4"/>
  <c r="CE250" i="4"/>
  <c r="CF250" i="4"/>
  <c r="CG250" i="4"/>
  <c r="CH250" i="4"/>
  <c r="CI250" i="4"/>
  <c r="CJ250" i="4"/>
  <c r="CK250" i="4"/>
  <c r="CL250" i="4"/>
  <c r="CM250" i="4"/>
  <c r="CN250" i="4"/>
  <c r="CO250" i="4"/>
  <c r="CP250" i="4"/>
  <c r="CQ250" i="4"/>
  <c r="CR250" i="4"/>
  <c r="CS250" i="4"/>
  <c r="CT250" i="4"/>
  <c r="CU250" i="4"/>
  <c r="CV250" i="4"/>
  <c r="Q248" i="4"/>
  <c r="R248" i="4"/>
  <c r="S248" i="4"/>
  <c r="T248" i="4"/>
  <c r="U248" i="4"/>
  <c r="V248" i="4"/>
  <c r="X248" i="4"/>
  <c r="Y248" i="4"/>
  <c r="Z248" i="4"/>
  <c r="AA248" i="4"/>
  <c r="AB248" i="4"/>
  <c r="AC248" i="4"/>
  <c r="AD248" i="4"/>
  <c r="AE248" i="4"/>
  <c r="AF248" i="4"/>
  <c r="AG248" i="4"/>
  <c r="AH248" i="4"/>
  <c r="AI248" i="4"/>
  <c r="AJ248" i="4"/>
  <c r="AK248" i="4"/>
  <c r="AL248" i="4"/>
  <c r="AM248" i="4"/>
  <c r="AN248" i="4"/>
  <c r="AO248" i="4"/>
  <c r="AP248" i="4"/>
  <c r="AQ248" i="4"/>
  <c r="AR248" i="4"/>
  <c r="AS248" i="4"/>
  <c r="AT248" i="4"/>
  <c r="AU248" i="4"/>
  <c r="AV248" i="4"/>
  <c r="AW248" i="4"/>
  <c r="AX248" i="4"/>
  <c r="AY248" i="4"/>
  <c r="AZ248" i="4"/>
  <c r="BA248" i="4"/>
  <c r="BB248" i="4"/>
  <c r="BC248" i="4"/>
  <c r="BD248" i="4"/>
  <c r="BE248" i="4"/>
  <c r="BF248" i="4"/>
  <c r="BG248" i="4"/>
  <c r="BH248" i="4"/>
  <c r="BI248" i="4"/>
  <c r="BJ248" i="4"/>
  <c r="BK248" i="4"/>
  <c r="BL248" i="4"/>
  <c r="BM248" i="4"/>
  <c r="BN248" i="4"/>
  <c r="BO248" i="4"/>
  <c r="BP248" i="4"/>
  <c r="BQ248" i="4"/>
  <c r="BR248" i="4"/>
  <c r="BS248" i="4"/>
  <c r="BT248" i="4"/>
  <c r="BU248" i="4"/>
  <c r="BV248" i="4"/>
  <c r="BW248" i="4"/>
  <c r="BX248" i="4"/>
  <c r="BY248" i="4"/>
  <c r="BZ248" i="4"/>
  <c r="CA248" i="4"/>
  <c r="CB248" i="4"/>
  <c r="CC248" i="4"/>
  <c r="CD248" i="4"/>
  <c r="CE248" i="4"/>
  <c r="CF248" i="4"/>
  <c r="CG248" i="4"/>
  <c r="CH248" i="4"/>
  <c r="CI248" i="4"/>
  <c r="CJ248" i="4"/>
  <c r="CK248" i="4"/>
  <c r="CL248" i="4"/>
  <c r="CM248" i="4"/>
  <c r="CN248" i="4"/>
  <c r="CO248" i="4"/>
  <c r="CP248" i="4"/>
  <c r="CQ248" i="4"/>
  <c r="CR248" i="4"/>
  <c r="CS248" i="4"/>
  <c r="CT248" i="4"/>
  <c r="CU248" i="4"/>
  <c r="CV248" i="4"/>
  <c r="Q246" i="4"/>
  <c r="R246" i="4"/>
  <c r="S246" i="4"/>
  <c r="T246" i="4"/>
  <c r="U246" i="4"/>
  <c r="V246" i="4"/>
  <c r="W246" i="4"/>
  <c r="X246" i="4"/>
  <c r="Y246" i="4"/>
  <c r="Z246" i="4"/>
  <c r="AA246" i="4"/>
  <c r="AB246" i="4"/>
  <c r="AC246" i="4"/>
  <c r="AD246" i="4"/>
  <c r="AE246" i="4"/>
  <c r="AF246" i="4"/>
  <c r="AG246" i="4"/>
  <c r="AH246" i="4"/>
  <c r="AI246" i="4"/>
  <c r="AJ246" i="4"/>
  <c r="AK246" i="4"/>
  <c r="AL246" i="4"/>
  <c r="AM246" i="4"/>
  <c r="AN246" i="4"/>
  <c r="AO246" i="4"/>
  <c r="AP246" i="4"/>
  <c r="AQ246" i="4"/>
  <c r="AR246" i="4"/>
  <c r="AS246" i="4"/>
  <c r="AT246" i="4"/>
  <c r="AU246" i="4"/>
  <c r="AV246" i="4"/>
  <c r="AW246" i="4"/>
  <c r="AX246" i="4"/>
  <c r="AY246" i="4"/>
  <c r="AZ246" i="4"/>
  <c r="BA246" i="4"/>
  <c r="BB246" i="4"/>
  <c r="BC246" i="4"/>
  <c r="BD246" i="4"/>
  <c r="BE246" i="4"/>
  <c r="BF246" i="4"/>
  <c r="BG246" i="4"/>
  <c r="BH246" i="4"/>
  <c r="BI246" i="4"/>
  <c r="BJ246" i="4"/>
  <c r="BK246" i="4"/>
  <c r="BL246" i="4"/>
  <c r="BM246" i="4"/>
  <c r="BN246" i="4"/>
  <c r="BO246" i="4"/>
  <c r="BP246" i="4"/>
  <c r="BQ246" i="4"/>
  <c r="BR246" i="4"/>
  <c r="BS246" i="4"/>
  <c r="BT246" i="4"/>
  <c r="BU246" i="4"/>
  <c r="BV246" i="4"/>
  <c r="BW246" i="4"/>
  <c r="BX246" i="4"/>
  <c r="BY246" i="4"/>
  <c r="BZ246" i="4"/>
  <c r="CA246" i="4"/>
  <c r="CB246" i="4"/>
  <c r="CC246" i="4"/>
  <c r="CD246" i="4"/>
  <c r="CE246" i="4"/>
  <c r="CF246" i="4"/>
  <c r="CG246" i="4"/>
  <c r="CH246" i="4"/>
  <c r="CI246" i="4"/>
  <c r="CJ246" i="4"/>
  <c r="CK246" i="4"/>
  <c r="CL246" i="4"/>
  <c r="CM246" i="4"/>
  <c r="CN246" i="4"/>
  <c r="CO246" i="4"/>
  <c r="CP246" i="4"/>
  <c r="CQ246" i="4"/>
  <c r="CR246" i="4"/>
  <c r="CS246" i="4"/>
  <c r="CT246" i="4"/>
  <c r="CU246" i="4"/>
  <c r="CV246" i="4"/>
  <c r="Q244" i="4"/>
  <c r="R244" i="4"/>
  <c r="S244" i="4"/>
  <c r="T244" i="4"/>
  <c r="U244" i="4"/>
  <c r="V244" i="4"/>
  <c r="X244" i="4"/>
  <c r="Y244" i="4"/>
  <c r="Z244" i="4"/>
  <c r="AA244" i="4"/>
  <c r="AB244" i="4"/>
  <c r="AC244" i="4"/>
  <c r="AD244" i="4"/>
  <c r="AE244" i="4"/>
  <c r="AF244" i="4"/>
  <c r="AG244" i="4"/>
  <c r="AH244" i="4"/>
  <c r="AI244" i="4"/>
  <c r="AJ244" i="4"/>
  <c r="AK244" i="4"/>
  <c r="AL244" i="4"/>
  <c r="AM244" i="4"/>
  <c r="AN244" i="4"/>
  <c r="AO244" i="4"/>
  <c r="AP244" i="4"/>
  <c r="AQ244" i="4"/>
  <c r="AR244" i="4"/>
  <c r="AS244" i="4"/>
  <c r="AT244" i="4"/>
  <c r="AU244" i="4"/>
  <c r="AV244" i="4"/>
  <c r="AW244" i="4"/>
  <c r="AX244" i="4"/>
  <c r="AY244" i="4"/>
  <c r="AZ244" i="4"/>
  <c r="BA244" i="4"/>
  <c r="BB244" i="4"/>
  <c r="BC244" i="4"/>
  <c r="BD244" i="4"/>
  <c r="BE244" i="4"/>
  <c r="BF244" i="4"/>
  <c r="BG244" i="4"/>
  <c r="BH244" i="4"/>
  <c r="BI244" i="4"/>
  <c r="BJ244" i="4"/>
  <c r="BK244" i="4"/>
  <c r="BL244" i="4"/>
  <c r="BM244" i="4"/>
  <c r="BN244" i="4"/>
  <c r="BO244" i="4"/>
  <c r="BP244" i="4"/>
  <c r="BQ244" i="4"/>
  <c r="BR244" i="4"/>
  <c r="BS244" i="4"/>
  <c r="BT244" i="4"/>
  <c r="BU244" i="4"/>
  <c r="BV244" i="4"/>
  <c r="BW244" i="4"/>
  <c r="BX244" i="4"/>
  <c r="BY244" i="4"/>
  <c r="BZ244" i="4"/>
  <c r="CA244" i="4"/>
  <c r="CB244" i="4"/>
  <c r="CC244" i="4"/>
  <c r="CD244" i="4"/>
  <c r="CE244" i="4"/>
  <c r="CF244" i="4"/>
  <c r="CG244" i="4"/>
  <c r="CH244" i="4"/>
  <c r="CI244" i="4"/>
  <c r="CJ244" i="4"/>
  <c r="CK244" i="4"/>
  <c r="CL244" i="4"/>
  <c r="CM244" i="4"/>
  <c r="CN244" i="4"/>
  <c r="CO244" i="4"/>
  <c r="CQ244" i="4"/>
  <c r="CR244" i="4"/>
  <c r="CS244" i="4"/>
  <c r="CT244" i="4"/>
  <c r="CU244" i="4"/>
  <c r="CV244" i="4"/>
  <c r="Q242" i="4"/>
  <c r="R242" i="4"/>
  <c r="S242" i="4"/>
  <c r="T242" i="4"/>
  <c r="U242" i="4"/>
  <c r="V242" i="4"/>
  <c r="W242" i="4"/>
  <c r="X242" i="4"/>
  <c r="Y242" i="4"/>
  <c r="Z242" i="4"/>
  <c r="AA242" i="4"/>
  <c r="AB242" i="4"/>
  <c r="AC242" i="4"/>
  <c r="AD242" i="4"/>
  <c r="AE242" i="4"/>
  <c r="AF242" i="4"/>
  <c r="AG242" i="4"/>
  <c r="AH242" i="4"/>
  <c r="AI242" i="4"/>
  <c r="AJ242" i="4"/>
  <c r="AK242" i="4"/>
  <c r="AL242" i="4"/>
  <c r="AM242" i="4"/>
  <c r="AN242" i="4"/>
  <c r="AO242" i="4"/>
  <c r="AP242" i="4"/>
  <c r="AQ242" i="4"/>
  <c r="AR242" i="4"/>
  <c r="AS242" i="4"/>
  <c r="AT242" i="4"/>
  <c r="AU242" i="4"/>
  <c r="AV242" i="4"/>
  <c r="AW242" i="4"/>
  <c r="AX242" i="4"/>
  <c r="AY242" i="4"/>
  <c r="AZ242" i="4"/>
  <c r="BA242" i="4"/>
  <c r="BB242" i="4"/>
  <c r="BC242" i="4"/>
  <c r="BD242" i="4"/>
  <c r="BE242" i="4"/>
  <c r="BF242" i="4"/>
  <c r="BG242" i="4"/>
  <c r="BH242" i="4"/>
  <c r="BI242" i="4"/>
  <c r="BJ242" i="4"/>
  <c r="BK242" i="4"/>
  <c r="BL242" i="4"/>
  <c r="BM242" i="4"/>
  <c r="BN242" i="4"/>
  <c r="BO242" i="4"/>
  <c r="BP242" i="4"/>
  <c r="BQ242" i="4"/>
  <c r="BR242" i="4"/>
  <c r="BS242" i="4"/>
  <c r="BT242" i="4"/>
  <c r="BU242" i="4"/>
  <c r="BV242" i="4"/>
  <c r="BW242" i="4"/>
  <c r="BX242" i="4"/>
  <c r="BY242" i="4"/>
  <c r="BZ242" i="4"/>
  <c r="CA242" i="4"/>
  <c r="CB242" i="4"/>
  <c r="CC242" i="4"/>
  <c r="CD242" i="4"/>
  <c r="CE242" i="4"/>
  <c r="CF242" i="4"/>
  <c r="CG242" i="4"/>
  <c r="CH242" i="4"/>
  <c r="CI242" i="4"/>
  <c r="CJ242" i="4"/>
  <c r="CK242" i="4"/>
  <c r="CL242" i="4"/>
  <c r="CM242" i="4"/>
  <c r="CN242" i="4"/>
  <c r="CO242" i="4"/>
  <c r="CP242" i="4"/>
  <c r="CQ242" i="4"/>
  <c r="CR242" i="4"/>
  <c r="CS242" i="4"/>
  <c r="CT242" i="4"/>
  <c r="CU242" i="4"/>
  <c r="CV242" i="4"/>
  <c r="Q240" i="4"/>
  <c r="R240" i="4"/>
  <c r="S240" i="4"/>
  <c r="T240" i="4"/>
  <c r="U240" i="4"/>
  <c r="V240" i="4"/>
  <c r="W240" i="4"/>
  <c r="X240" i="4"/>
  <c r="Y240" i="4"/>
  <c r="Z240" i="4"/>
  <c r="AA240" i="4"/>
  <c r="AB240" i="4"/>
  <c r="AC240" i="4"/>
  <c r="AD240" i="4"/>
  <c r="AE240" i="4"/>
  <c r="AF240" i="4"/>
  <c r="AG240" i="4"/>
  <c r="AH240" i="4"/>
  <c r="AI240" i="4"/>
  <c r="AJ240" i="4"/>
  <c r="AK240" i="4"/>
  <c r="AL240" i="4"/>
  <c r="AM240" i="4"/>
  <c r="AN240" i="4"/>
  <c r="AO240" i="4"/>
  <c r="AP240" i="4"/>
  <c r="AQ240" i="4"/>
  <c r="AR240" i="4"/>
  <c r="AS240" i="4"/>
  <c r="AT240" i="4"/>
  <c r="AU240" i="4"/>
  <c r="AV240" i="4"/>
  <c r="AW240" i="4"/>
  <c r="AX240" i="4"/>
  <c r="AY240" i="4"/>
  <c r="AZ240" i="4"/>
  <c r="BA240" i="4"/>
  <c r="BB240" i="4"/>
  <c r="BC240" i="4"/>
  <c r="BD240" i="4"/>
  <c r="BE240" i="4"/>
  <c r="BF240" i="4"/>
  <c r="BG240" i="4"/>
  <c r="BH240" i="4"/>
  <c r="BI240" i="4"/>
  <c r="BJ240" i="4"/>
  <c r="BK240" i="4"/>
  <c r="BL240" i="4"/>
  <c r="BM240" i="4"/>
  <c r="BN240" i="4"/>
  <c r="BO240" i="4"/>
  <c r="BP240" i="4"/>
  <c r="BQ240" i="4"/>
  <c r="BR240" i="4"/>
  <c r="BS240" i="4"/>
  <c r="BT240" i="4"/>
  <c r="BU240" i="4"/>
  <c r="BV240" i="4"/>
  <c r="BW240" i="4"/>
  <c r="BX240" i="4"/>
  <c r="BY240" i="4"/>
  <c r="BZ240" i="4"/>
  <c r="CA240" i="4"/>
  <c r="CB240" i="4"/>
  <c r="CC240" i="4"/>
  <c r="CD240" i="4"/>
  <c r="CE240" i="4"/>
  <c r="CF240" i="4"/>
  <c r="CG240" i="4"/>
  <c r="CH240" i="4"/>
  <c r="CI240" i="4"/>
  <c r="CJ240" i="4"/>
  <c r="CK240" i="4"/>
  <c r="CL240" i="4"/>
  <c r="CM240" i="4"/>
  <c r="CN240" i="4"/>
  <c r="CO240" i="4"/>
  <c r="CP240" i="4"/>
  <c r="CQ240" i="4"/>
  <c r="CR240" i="4"/>
  <c r="CS240" i="4"/>
  <c r="CT240" i="4"/>
  <c r="CU240" i="4"/>
  <c r="CV240" i="4"/>
  <c r="Q238" i="4"/>
  <c r="R238" i="4"/>
  <c r="S238" i="4"/>
  <c r="T238" i="4"/>
  <c r="U238" i="4"/>
  <c r="V238" i="4"/>
  <c r="X238" i="4"/>
  <c r="Y238" i="4"/>
  <c r="Z238" i="4"/>
  <c r="AA238" i="4"/>
  <c r="AB238" i="4"/>
  <c r="AC238" i="4"/>
  <c r="AD238" i="4"/>
  <c r="AE238" i="4"/>
  <c r="AF238" i="4"/>
  <c r="AG238" i="4"/>
  <c r="AH238" i="4"/>
  <c r="AI238" i="4"/>
  <c r="AJ238" i="4"/>
  <c r="AK238" i="4"/>
  <c r="AL238" i="4"/>
  <c r="AM238" i="4"/>
  <c r="AN238" i="4"/>
  <c r="AO238" i="4"/>
  <c r="AP238" i="4"/>
  <c r="AQ238" i="4"/>
  <c r="AR238" i="4"/>
  <c r="AS238" i="4"/>
  <c r="AT238" i="4"/>
  <c r="AU238" i="4"/>
  <c r="AV238" i="4"/>
  <c r="AW238" i="4"/>
  <c r="AX238" i="4"/>
  <c r="AY238" i="4"/>
  <c r="AZ238" i="4"/>
  <c r="BA238" i="4"/>
  <c r="BB238" i="4"/>
  <c r="BC238" i="4"/>
  <c r="BD238" i="4"/>
  <c r="BE238" i="4"/>
  <c r="BF238" i="4"/>
  <c r="BG238" i="4"/>
  <c r="BH238" i="4"/>
  <c r="BI238" i="4"/>
  <c r="BJ238" i="4"/>
  <c r="BK238" i="4"/>
  <c r="BL238" i="4"/>
  <c r="BM238" i="4"/>
  <c r="BN238" i="4"/>
  <c r="BO238" i="4"/>
  <c r="BP238" i="4"/>
  <c r="BQ238" i="4"/>
  <c r="BR238" i="4"/>
  <c r="BS238" i="4"/>
  <c r="BT238" i="4"/>
  <c r="BU238" i="4"/>
  <c r="BV238" i="4"/>
  <c r="BW238" i="4"/>
  <c r="BX238" i="4"/>
  <c r="BY238" i="4"/>
  <c r="BZ238" i="4"/>
  <c r="CA238" i="4"/>
  <c r="CB238" i="4"/>
  <c r="CC238" i="4"/>
  <c r="CD238" i="4"/>
  <c r="CE238" i="4"/>
  <c r="CF238" i="4"/>
  <c r="CG238" i="4"/>
  <c r="CH238" i="4"/>
  <c r="CI238" i="4"/>
  <c r="CJ238" i="4"/>
  <c r="CK238" i="4"/>
  <c r="CL238" i="4"/>
  <c r="CM238" i="4"/>
  <c r="CN238" i="4"/>
  <c r="CO238" i="4"/>
  <c r="CP238" i="4"/>
  <c r="CQ238" i="4"/>
  <c r="CR238" i="4"/>
  <c r="CS238" i="4"/>
  <c r="CT238" i="4"/>
  <c r="CU238" i="4"/>
  <c r="CV238" i="4"/>
  <c r="X236" i="4"/>
  <c r="Y236" i="4"/>
  <c r="Z236" i="4"/>
  <c r="AA236" i="4"/>
  <c r="AB236" i="4"/>
  <c r="AC236" i="4"/>
  <c r="AD236" i="4"/>
  <c r="AE236" i="4"/>
  <c r="AF236" i="4"/>
  <c r="AG236" i="4"/>
  <c r="AH236" i="4"/>
  <c r="AI236" i="4"/>
  <c r="AJ236" i="4"/>
  <c r="AK236" i="4"/>
  <c r="AL236" i="4"/>
  <c r="AM236" i="4"/>
  <c r="AN236" i="4"/>
  <c r="AO236" i="4"/>
  <c r="AP236" i="4"/>
  <c r="AQ236" i="4"/>
  <c r="AR236" i="4"/>
  <c r="AS236" i="4"/>
  <c r="AT236" i="4"/>
  <c r="AU236" i="4"/>
  <c r="AV236" i="4"/>
  <c r="AW236" i="4"/>
  <c r="AX236" i="4"/>
  <c r="AY236" i="4"/>
  <c r="AZ236" i="4"/>
  <c r="BA236" i="4"/>
  <c r="BB236" i="4"/>
  <c r="BC236" i="4"/>
  <c r="BD236" i="4"/>
  <c r="BE236" i="4"/>
  <c r="BF236" i="4"/>
  <c r="BG236" i="4"/>
  <c r="BH236" i="4"/>
  <c r="BI236" i="4"/>
  <c r="BJ236" i="4"/>
  <c r="BK236" i="4"/>
  <c r="BL236" i="4"/>
  <c r="BM236" i="4"/>
  <c r="BN236" i="4"/>
  <c r="BO236" i="4"/>
  <c r="BP236" i="4"/>
  <c r="BQ236" i="4"/>
  <c r="BR236" i="4"/>
  <c r="BS236" i="4"/>
  <c r="BT236" i="4"/>
  <c r="BU236" i="4"/>
  <c r="BV236" i="4"/>
  <c r="BW236" i="4"/>
  <c r="BX236" i="4"/>
  <c r="BY236" i="4"/>
  <c r="BZ236" i="4"/>
  <c r="CA236" i="4"/>
  <c r="CB236" i="4"/>
  <c r="CC236" i="4"/>
  <c r="CD236" i="4"/>
  <c r="CE236" i="4"/>
  <c r="CF236" i="4"/>
  <c r="CG236" i="4"/>
  <c r="CH236" i="4"/>
  <c r="CI236" i="4"/>
  <c r="CJ236" i="4"/>
  <c r="CK236" i="4"/>
  <c r="CL236" i="4"/>
  <c r="CM236" i="4"/>
  <c r="CN236" i="4"/>
  <c r="CO236" i="4"/>
  <c r="CP236" i="4"/>
  <c r="CQ236" i="4"/>
  <c r="CR236" i="4"/>
  <c r="CS236" i="4"/>
  <c r="CT236" i="4"/>
  <c r="CU236" i="4"/>
  <c r="CV236" i="4"/>
  <c r="S236" i="4"/>
  <c r="T236" i="4"/>
  <c r="U236" i="4"/>
  <c r="V236" i="4"/>
  <c r="Q236" i="4"/>
  <c r="R236" i="4"/>
  <c r="P272" i="4"/>
  <c r="P270" i="4"/>
  <c r="O270" i="4" s="1"/>
  <c r="P268" i="4"/>
  <c r="P266" i="4"/>
  <c r="O266" i="4" s="1"/>
  <c r="P264" i="4"/>
  <c r="O264" i="4" s="1"/>
  <c r="P262" i="4"/>
  <c r="O262" i="4" s="1"/>
  <c r="P260" i="4"/>
  <c r="O260" i="4" s="1"/>
  <c r="P258" i="4"/>
  <c r="O258" i="4" s="1"/>
  <c r="P256" i="4"/>
  <c r="P254" i="4"/>
  <c r="P252" i="4"/>
  <c r="P250" i="4"/>
  <c r="O250" i="4" s="1"/>
  <c r="P248" i="4"/>
  <c r="P246" i="4"/>
  <c r="P244" i="4"/>
  <c r="P242" i="4"/>
  <c r="P240" i="4"/>
  <c r="P238" i="4"/>
  <c r="P236" i="4"/>
  <c r="P234" i="4"/>
  <c r="Q234" i="4"/>
  <c r="R234" i="4"/>
  <c r="S234" i="4"/>
  <c r="T234" i="4"/>
  <c r="U234" i="4"/>
  <c r="V234" i="4"/>
  <c r="X234" i="4"/>
  <c r="Y234" i="4"/>
  <c r="Z234" i="4"/>
  <c r="AA234" i="4"/>
  <c r="AB234" i="4"/>
  <c r="AC234" i="4"/>
  <c r="AD234" i="4"/>
  <c r="AE234" i="4"/>
  <c r="AF234" i="4"/>
  <c r="AG234" i="4"/>
  <c r="AH234" i="4"/>
  <c r="AI234" i="4"/>
  <c r="AJ234" i="4"/>
  <c r="AK234" i="4"/>
  <c r="AL234" i="4"/>
  <c r="AM234" i="4"/>
  <c r="AN234" i="4"/>
  <c r="AO234" i="4"/>
  <c r="AP234" i="4"/>
  <c r="AQ234" i="4"/>
  <c r="AR234" i="4"/>
  <c r="AS234" i="4"/>
  <c r="AT234" i="4"/>
  <c r="AU234" i="4"/>
  <c r="AV234" i="4"/>
  <c r="AW234" i="4"/>
  <c r="AX234" i="4"/>
  <c r="AY234" i="4"/>
  <c r="AZ234" i="4"/>
  <c r="BA234" i="4"/>
  <c r="BB234" i="4"/>
  <c r="BC234" i="4"/>
  <c r="BD234" i="4"/>
  <c r="BE234" i="4"/>
  <c r="BF234" i="4"/>
  <c r="BG234" i="4"/>
  <c r="BH234" i="4"/>
  <c r="BI234" i="4"/>
  <c r="BJ234" i="4"/>
  <c r="BK234" i="4"/>
  <c r="BL234" i="4"/>
  <c r="BM234" i="4"/>
  <c r="BN234" i="4"/>
  <c r="BO234" i="4"/>
  <c r="BP234" i="4"/>
  <c r="BQ234" i="4"/>
  <c r="BR234" i="4"/>
  <c r="BS234" i="4"/>
  <c r="BT234" i="4"/>
  <c r="BU234" i="4"/>
  <c r="BV234" i="4"/>
  <c r="BW234" i="4"/>
  <c r="BX234" i="4"/>
  <c r="BY234" i="4"/>
  <c r="BZ234" i="4"/>
  <c r="CA234" i="4"/>
  <c r="CB234" i="4"/>
  <c r="CC234" i="4"/>
  <c r="CD234" i="4"/>
  <c r="CE234" i="4"/>
  <c r="CF234" i="4"/>
  <c r="CG234" i="4"/>
  <c r="CH234" i="4"/>
  <c r="CI234" i="4"/>
  <c r="CJ234" i="4"/>
  <c r="CK234" i="4"/>
  <c r="CL234" i="4"/>
  <c r="CM234" i="4"/>
  <c r="CN234" i="4"/>
  <c r="CO234" i="4"/>
  <c r="CP234" i="4"/>
  <c r="CQ234" i="4"/>
  <c r="CR234" i="4"/>
  <c r="CS234" i="4"/>
  <c r="CT234" i="4"/>
  <c r="CU234" i="4"/>
  <c r="CV234" i="4"/>
  <c r="AH269" i="3"/>
  <c r="Q224" i="4"/>
  <c r="R224" i="4"/>
  <c r="S224" i="4"/>
  <c r="T224" i="4"/>
  <c r="U224" i="4"/>
  <c r="V224" i="4"/>
  <c r="W224" i="4"/>
  <c r="X224" i="4"/>
  <c r="Y224" i="4"/>
  <c r="Z224" i="4"/>
  <c r="AA224" i="4"/>
  <c r="AB224" i="4"/>
  <c r="AC224" i="4"/>
  <c r="AD224" i="4"/>
  <c r="AE224" i="4"/>
  <c r="AF224" i="4"/>
  <c r="AG224" i="4"/>
  <c r="AH224" i="4"/>
  <c r="AI224" i="4"/>
  <c r="AJ224" i="4"/>
  <c r="AK224" i="4"/>
  <c r="AL224" i="4"/>
  <c r="AM224" i="4"/>
  <c r="AN224" i="4"/>
  <c r="AO224" i="4"/>
  <c r="AP224" i="4"/>
  <c r="AQ224" i="4"/>
  <c r="AR224" i="4"/>
  <c r="AS224" i="4"/>
  <c r="AT224" i="4"/>
  <c r="AU224" i="4"/>
  <c r="AV224" i="4"/>
  <c r="AW224" i="4"/>
  <c r="AX224" i="4"/>
  <c r="AY224" i="4"/>
  <c r="AZ224" i="4"/>
  <c r="BA224" i="4"/>
  <c r="BB224" i="4"/>
  <c r="BC224" i="4"/>
  <c r="BD224" i="4"/>
  <c r="BE224" i="4"/>
  <c r="BF224" i="4"/>
  <c r="BG224" i="4"/>
  <c r="BH224" i="4"/>
  <c r="BI224" i="4"/>
  <c r="BJ224" i="4"/>
  <c r="BK224" i="4"/>
  <c r="BL224" i="4"/>
  <c r="BM224" i="4"/>
  <c r="BN224" i="4"/>
  <c r="BO224" i="4"/>
  <c r="BP224" i="4"/>
  <c r="BQ224" i="4"/>
  <c r="BR224" i="4"/>
  <c r="BS224" i="4"/>
  <c r="BT224" i="4"/>
  <c r="BU224" i="4"/>
  <c r="BV224" i="4"/>
  <c r="BW224" i="4"/>
  <c r="BX224" i="4"/>
  <c r="BY224" i="4"/>
  <c r="BZ224" i="4"/>
  <c r="CA224" i="4"/>
  <c r="CB224" i="4"/>
  <c r="CC224" i="4"/>
  <c r="CD224" i="4"/>
  <c r="CE224" i="4"/>
  <c r="CF224" i="4"/>
  <c r="CG224" i="4"/>
  <c r="CH224" i="4"/>
  <c r="CI224" i="4"/>
  <c r="CJ224" i="4"/>
  <c r="CK224" i="4"/>
  <c r="CL224" i="4"/>
  <c r="CM224" i="4"/>
  <c r="CN224" i="4"/>
  <c r="CO224" i="4"/>
  <c r="CP224" i="4"/>
  <c r="CQ224" i="4"/>
  <c r="CR224" i="4"/>
  <c r="CS224" i="4"/>
  <c r="CT224" i="4"/>
  <c r="CU224" i="4"/>
  <c r="CV224" i="4"/>
  <c r="P224" i="4"/>
  <c r="Q222" i="4"/>
  <c r="R222" i="4"/>
  <c r="S222" i="4"/>
  <c r="T222" i="4"/>
  <c r="U222" i="4"/>
  <c r="V222" i="4"/>
  <c r="W222" i="4"/>
  <c r="X222" i="4"/>
  <c r="Y222" i="4"/>
  <c r="Z222" i="4"/>
  <c r="AA222" i="4"/>
  <c r="AB222" i="4"/>
  <c r="AC222" i="4"/>
  <c r="AD222" i="4"/>
  <c r="AE222" i="4"/>
  <c r="AF222" i="4"/>
  <c r="AG222" i="4"/>
  <c r="AH222" i="4"/>
  <c r="AI222" i="4"/>
  <c r="AJ222" i="4"/>
  <c r="AK222" i="4"/>
  <c r="AL222" i="4"/>
  <c r="AM222" i="4"/>
  <c r="AN222" i="4"/>
  <c r="AO222" i="4"/>
  <c r="AP222" i="4"/>
  <c r="AQ222" i="4"/>
  <c r="AR222" i="4"/>
  <c r="AS222" i="4"/>
  <c r="AT222" i="4"/>
  <c r="AU222" i="4"/>
  <c r="AV222" i="4"/>
  <c r="AW222" i="4"/>
  <c r="AX222" i="4"/>
  <c r="AY222" i="4"/>
  <c r="AZ222" i="4"/>
  <c r="BA222" i="4"/>
  <c r="BB222" i="4"/>
  <c r="BC222" i="4"/>
  <c r="BD222" i="4"/>
  <c r="BE222" i="4"/>
  <c r="BF222" i="4"/>
  <c r="BG222" i="4"/>
  <c r="BH222" i="4"/>
  <c r="BI222" i="4"/>
  <c r="BJ222" i="4"/>
  <c r="BK222" i="4"/>
  <c r="BL222" i="4"/>
  <c r="BM222" i="4"/>
  <c r="BN222" i="4"/>
  <c r="BO222" i="4"/>
  <c r="BP222" i="4"/>
  <c r="BQ222" i="4"/>
  <c r="BR222" i="4"/>
  <c r="BS222" i="4"/>
  <c r="BT222" i="4"/>
  <c r="BU222" i="4"/>
  <c r="BV222" i="4"/>
  <c r="BW222" i="4"/>
  <c r="BX222" i="4"/>
  <c r="BY222" i="4"/>
  <c r="BZ222" i="4"/>
  <c r="CA222" i="4"/>
  <c r="CB222" i="4"/>
  <c r="CC222" i="4"/>
  <c r="CD222" i="4"/>
  <c r="CE222" i="4"/>
  <c r="CF222" i="4"/>
  <c r="CG222" i="4"/>
  <c r="CH222" i="4"/>
  <c r="CI222" i="4"/>
  <c r="CJ222" i="4"/>
  <c r="CK222" i="4"/>
  <c r="CL222" i="4"/>
  <c r="CM222" i="4"/>
  <c r="CN222" i="4"/>
  <c r="CO222" i="4"/>
  <c r="CP222" i="4"/>
  <c r="CQ222" i="4"/>
  <c r="CR222" i="4"/>
  <c r="CS222" i="4"/>
  <c r="CT222" i="4"/>
  <c r="CU222" i="4"/>
  <c r="CV222" i="4"/>
  <c r="P222" i="4"/>
  <c r="P220" i="4"/>
  <c r="Q220" i="4"/>
  <c r="R220" i="4"/>
  <c r="S220" i="4"/>
  <c r="T220" i="4"/>
  <c r="U220" i="4"/>
  <c r="V220" i="4"/>
  <c r="W220" i="4"/>
  <c r="X220" i="4"/>
  <c r="Y220" i="4"/>
  <c r="Z220" i="4"/>
  <c r="AA220" i="4"/>
  <c r="AB220" i="4"/>
  <c r="AC220" i="4"/>
  <c r="AD220" i="4"/>
  <c r="AE220" i="4"/>
  <c r="AF220" i="4"/>
  <c r="AG220" i="4"/>
  <c r="AH220" i="4"/>
  <c r="AI220" i="4"/>
  <c r="AJ220" i="4"/>
  <c r="AK220" i="4"/>
  <c r="AL220" i="4"/>
  <c r="AM220" i="4"/>
  <c r="AN220" i="4"/>
  <c r="AO220" i="4"/>
  <c r="AP220" i="4"/>
  <c r="AQ220" i="4"/>
  <c r="AR220" i="4"/>
  <c r="AS220" i="4"/>
  <c r="AT220" i="4"/>
  <c r="AU220" i="4"/>
  <c r="AV220" i="4"/>
  <c r="AW220" i="4"/>
  <c r="AX220" i="4"/>
  <c r="AY220" i="4"/>
  <c r="AZ220" i="4"/>
  <c r="BA220" i="4"/>
  <c r="BB220" i="4"/>
  <c r="BC220" i="4"/>
  <c r="BD220" i="4"/>
  <c r="BE220" i="4"/>
  <c r="BF220" i="4"/>
  <c r="BG220" i="4"/>
  <c r="BH220" i="4"/>
  <c r="BI220" i="4"/>
  <c r="BJ220" i="4"/>
  <c r="BK220" i="4"/>
  <c r="BL220" i="4"/>
  <c r="BM220" i="4"/>
  <c r="BN220" i="4"/>
  <c r="BO220" i="4"/>
  <c r="BP220" i="4"/>
  <c r="BQ220" i="4"/>
  <c r="BR220" i="4"/>
  <c r="BS220" i="4"/>
  <c r="BT220" i="4"/>
  <c r="BU220" i="4"/>
  <c r="BV220" i="4"/>
  <c r="BW220" i="4"/>
  <c r="BX220" i="4"/>
  <c r="BY220" i="4"/>
  <c r="BZ220" i="4"/>
  <c r="CA220" i="4"/>
  <c r="CB220" i="4"/>
  <c r="CC220" i="4"/>
  <c r="CD220" i="4"/>
  <c r="CE220" i="4"/>
  <c r="CF220" i="4"/>
  <c r="CG220" i="4"/>
  <c r="CH220" i="4"/>
  <c r="CI220" i="4"/>
  <c r="CJ220" i="4"/>
  <c r="CK220" i="4"/>
  <c r="CL220" i="4"/>
  <c r="CM220" i="4"/>
  <c r="CN220" i="4"/>
  <c r="CP220" i="4"/>
  <c r="CQ220" i="4"/>
  <c r="CR220" i="4"/>
  <c r="CS220" i="4"/>
  <c r="CU220" i="4"/>
  <c r="CV220" i="4"/>
  <c r="W218" i="4"/>
  <c r="X218" i="4"/>
  <c r="Y218" i="4"/>
  <c r="Z218" i="4"/>
  <c r="AA218" i="4"/>
  <c r="AB218" i="4"/>
  <c r="AC218" i="4"/>
  <c r="AD218" i="4"/>
  <c r="AE218" i="4"/>
  <c r="AF218" i="4"/>
  <c r="AG218" i="4"/>
  <c r="AH218" i="4"/>
  <c r="AI218" i="4"/>
  <c r="AJ218" i="4"/>
  <c r="AK218" i="4"/>
  <c r="AL218" i="4"/>
  <c r="AM218" i="4"/>
  <c r="AN218" i="4"/>
  <c r="AO218" i="4"/>
  <c r="AP218" i="4"/>
  <c r="AQ218" i="4"/>
  <c r="AR218" i="4"/>
  <c r="AS218" i="4"/>
  <c r="AT218" i="4"/>
  <c r="AU218" i="4"/>
  <c r="AV218" i="4"/>
  <c r="AW218" i="4"/>
  <c r="AX218" i="4"/>
  <c r="AY218" i="4"/>
  <c r="AZ218" i="4"/>
  <c r="BA218" i="4"/>
  <c r="BB218" i="4"/>
  <c r="BC218" i="4"/>
  <c r="BD218" i="4"/>
  <c r="BE218" i="4"/>
  <c r="BF218" i="4"/>
  <c r="BG218" i="4"/>
  <c r="BH218" i="4"/>
  <c r="BI218" i="4"/>
  <c r="BJ218" i="4"/>
  <c r="BK218" i="4"/>
  <c r="BL218" i="4"/>
  <c r="BM218" i="4"/>
  <c r="BN218" i="4"/>
  <c r="BO218" i="4"/>
  <c r="BP218" i="4"/>
  <c r="BQ218" i="4"/>
  <c r="BR218" i="4"/>
  <c r="BS218" i="4"/>
  <c r="BT218" i="4"/>
  <c r="BU218" i="4"/>
  <c r="BV218" i="4"/>
  <c r="BW218" i="4"/>
  <c r="BX218" i="4"/>
  <c r="BY218" i="4"/>
  <c r="BZ218" i="4"/>
  <c r="CA218" i="4"/>
  <c r="CB218" i="4"/>
  <c r="CC218" i="4"/>
  <c r="CD218" i="4"/>
  <c r="CE218" i="4"/>
  <c r="CF218" i="4"/>
  <c r="CG218" i="4"/>
  <c r="CH218" i="4"/>
  <c r="CI218" i="4"/>
  <c r="CJ218" i="4"/>
  <c r="CK218" i="4"/>
  <c r="CL218" i="4"/>
  <c r="CM218" i="4"/>
  <c r="CN218" i="4"/>
  <c r="CO218" i="4"/>
  <c r="CP218" i="4"/>
  <c r="CQ218" i="4"/>
  <c r="CR218" i="4"/>
  <c r="CS218" i="4"/>
  <c r="CT218" i="4"/>
  <c r="CU218" i="4"/>
  <c r="CV218" i="4"/>
  <c r="T218" i="4"/>
  <c r="U218" i="4"/>
  <c r="V218" i="4"/>
  <c r="R218" i="4"/>
  <c r="S218" i="4"/>
  <c r="Q218" i="4"/>
  <c r="P218" i="4"/>
  <c r="Q216" i="4"/>
  <c r="R216" i="4"/>
  <c r="S216" i="4"/>
  <c r="T216" i="4"/>
  <c r="U216" i="4"/>
  <c r="V216" i="4"/>
  <c r="W216" i="4"/>
  <c r="X216" i="4"/>
  <c r="Y216" i="4"/>
  <c r="Z216" i="4"/>
  <c r="AA216" i="4"/>
  <c r="AB216" i="4"/>
  <c r="AC216" i="4"/>
  <c r="AD216" i="4"/>
  <c r="AE216" i="4"/>
  <c r="AF216" i="4"/>
  <c r="AG216" i="4"/>
  <c r="AH216" i="4"/>
  <c r="AI216" i="4"/>
  <c r="AJ216" i="4"/>
  <c r="AK216" i="4"/>
  <c r="AL216" i="4"/>
  <c r="AM216" i="4"/>
  <c r="AN216" i="4"/>
  <c r="AO216" i="4"/>
  <c r="AP216" i="4"/>
  <c r="AQ216" i="4"/>
  <c r="AR216" i="4"/>
  <c r="AS216" i="4"/>
  <c r="AT216" i="4"/>
  <c r="AU216" i="4"/>
  <c r="AV216" i="4"/>
  <c r="AW216" i="4"/>
  <c r="AX216" i="4"/>
  <c r="AY216" i="4"/>
  <c r="AZ216" i="4"/>
  <c r="BA216" i="4"/>
  <c r="BB216" i="4"/>
  <c r="BC216" i="4"/>
  <c r="BD216" i="4"/>
  <c r="BE216" i="4"/>
  <c r="BF216" i="4"/>
  <c r="BG216" i="4"/>
  <c r="BH216" i="4"/>
  <c r="BI216" i="4"/>
  <c r="BJ216" i="4"/>
  <c r="BK216" i="4"/>
  <c r="BL216" i="4"/>
  <c r="BM216" i="4"/>
  <c r="BN216" i="4"/>
  <c r="BO216" i="4"/>
  <c r="BP216" i="4"/>
  <c r="BQ216" i="4"/>
  <c r="BR216" i="4"/>
  <c r="BS216" i="4"/>
  <c r="BT216" i="4"/>
  <c r="BU216" i="4"/>
  <c r="BV216" i="4"/>
  <c r="BW216" i="4"/>
  <c r="BX216" i="4"/>
  <c r="BY216" i="4"/>
  <c r="BZ216" i="4"/>
  <c r="CA216" i="4"/>
  <c r="CB216" i="4"/>
  <c r="CC216" i="4"/>
  <c r="CD216" i="4"/>
  <c r="CE216" i="4"/>
  <c r="CF216" i="4"/>
  <c r="CG216" i="4"/>
  <c r="CH216" i="4"/>
  <c r="CI216" i="4"/>
  <c r="CJ216" i="4"/>
  <c r="CK216" i="4"/>
  <c r="CL216" i="4"/>
  <c r="CM216" i="4"/>
  <c r="CN216" i="4"/>
  <c r="CO216" i="4"/>
  <c r="CP216" i="4"/>
  <c r="CQ216" i="4"/>
  <c r="CR216" i="4"/>
  <c r="CS216" i="4"/>
  <c r="CT216" i="4"/>
  <c r="CU216" i="4"/>
  <c r="CV216" i="4"/>
  <c r="P216" i="4"/>
  <c r="P229" i="4"/>
  <c r="Q229" i="4"/>
  <c r="R229" i="4"/>
  <c r="S229" i="4"/>
  <c r="T229" i="4"/>
  <c r="U229" i="4"/>
  <c r="V229" i="4"/>
  <c r="W229" i="4"/>
  <c r="X229" i="4"/>
  <c r="Y229" i="4"/>
  <c r="Z229" i="4"/>
  <c r="AA229" i="4"/>
  <c r="AB229" i="4"/>
  <c r="AC229" i="4"/>
  <c r="AD229" i="4"/>
  <c r="AE229" i="4"/>
  <c r="AF229" i="4"/>
  <c r="AG229" i="4"/>
  <c r="AH229" i="4"/>
  <c r="AI229" i="4"/>
  <c r="AJ229" i="4"/>
  <c r="AK229" i="4"/>
  <c r="AL229" i="4"/>
  <c r="AM229" i="4"/>
  <c r="AN229" i="4"/>
  <c r="AO229" i="4"/>
  <c r="AP229" i="4"/>
  <c r="AQ229" i="4"/>
  <c r="AR229" i="4"/>
  <c r="AS229" i="4"/>
  <c r="AT229" i="4"/>
  <c r="AU229" i="4"/>
  <c r="AV229" i="4"/>
  <c r="AW229" i="4"/>
  <c r="AX229" i="4"/>
  <c r="AY229" i="4"/>
  <c r="AZ229" i="4"/>
  <c r="BA229" i="4"/>
  <c r="BB229" i="4"/>
  <c r="BC229" i="4"/>
  <c r="BD229" i="4"/>
  <c r="BE229" i="4"/>
  <c r="BF229" i="4"/>
  <c r="BG229" i="4"/>
  <c r="BH229" i="4"/>
  <c r="BI229" i="4"/>
  <c r="BJ229" i="4"/>
  <c r="BK229" i="4"/>
  <c r="BL229" i="4"/>
  <c r="BM229" i="4"/>
  <c r="BN229" i="4"/>
  <c r="BO229" i="4"/>
  <c r="BP229" i="4"/>
  <c r="BQ229" i="4"/>
  <c r="BR229" i="4"/>
  <c r="BS229" i="4"/>
  <c r="BT229" i="4"/>
  <c r="BU229" i="4"/>
  <c r="BV229" i="4"/>
  <c r="BW229" i="4"/>
  <c r="BX229" i="4"/>
  <c r="BY229" i="4"/>
  <c r="BZ229" i="4"/>
  <c r="CA229" i="4"/>
  <c r="CB229" i="4"/>
  <c r="CC229" i="4"/>
  <c r="CD229" i="4"/>
  <c r="CE229" i="4"/>
  <c r="CF229" i="4"/>
  <c r="CG229" i="4"/>
  <c r="CH229" i="4"/>
  <c r="CI229" i="4"/>
  <c r="CJ229" i="4"/>
  <c r="CK229" i="4"/>
  <c r="CL229" i="4"/>
  <c r="CM229" i="4"/>
  <c r="CN229" i="4"/>
  <c r="CO229" i="4"/>
  <c r="CP229" i="4"/>
  <c r="CQ229" i="4"/>
  <c r="CR229" i="4"/>
  <c r="CS229" i="4"/>
  <c r="CT229" i="4"/>
  <c r="CU229" i="4"/>
  <c r="CV229" i="4"/>
  <c r="T157" i="4"/>
  <c r="U157" i="4"/>
  <c r="V157" i="4"/>
  <c r="W157" i="4"/>
  <c r="X157" i="4"/>
  <c r="Y157" i="4"/>
  <c r="Z157" i="4"/>
  <c r="AA157" i="4"/>
  <c r="AB157" i="4"/>
  <c r="AD157" i="4"/>
  <c r="AE157" i="4"/>
  <c r="AF157" i="4"/>
  <c r="AG157" i="4"/>
  <c r="AH157" i="4"/>
  <c r="AI157" i="4"/>
  <c r="AJ157" i="4"/>
  <c r="AK157" i="4"/>
  <c r="AL157" i="4"/>
  <c r="AM157" i="4"/>
  <c r="AN157" i="4"/>
  <c r="AO157" i="4"/>
  <c r="AP157" i="4"/>
  <c r="AQ157" i="4"/>
  <c r="AR157" i="4"/>
  <c r="AS157" i="4"/>
  <c r="AT157" i="4"/>
  <c r="AU157" i="4"/>
  <c r="AV157" i="4"/>
  <c r="AW157" i="4"/>
  <c r="AX157" i="4"/>
  <c r="AY157" i="4"/>
  <c r="AZ157" i="4"/>
  <c r="BA157" i="4"/>
  <c r="BB157" i="4"/>
  <c r="BC157" i="4"/>
  <c r="BD157" i="4"/>
  <c r="BE157" i="4"/>
  <c r="BF157" i="4"/>
  <c r="BG157" i="4"/>
  <c r="BH157" i="4"/>
  <c r="BI157" i="4"/>
  <c r="BJ157" i="4"/>
  <c r="BK157" i="4"/>
  <c r="BL157" i="4"/>
  <c r="BM157" i="4"/>
  <c r="BN157" i="4"/>
  <c r="BO157" i="4"/>
  <c r="BP157" i="4"/>
  <c r="BQ157" i="4"/>
  <c r="BR157" i="4"/>
  <c r="BS157" i="4"/>
  <c r="BT157" i="4"/>
  <c r="BU157" i="4"/>
  <c r="BV157" i="4"/>
  <c r="BW157" i="4"/>
  <c r="BX157" i="4"/>
  <c r="BY157" i="4"/>
  <c r="BZ157" i="4"/>
  <c r="CA157" i="4"/>
  <c r="CB157" i="4"/>
  <c r="CC157" i="4"/>
  <c r="CD157" i="4"/>
  <c r="CE157" i="4"/>
  <c r="CF157" i="4"/>
  <c r="CG157" i="4"/>
  <c r="CH157" i="4"/>
  <c r="CI157" i="4"/>
  <c r="CJ157" i="4"/>
  <c r="CK157" i="4"/>
  <c r="CL157" i="4"/>
  <c r="CM157" i="4"/>
  <c r="CN157" i="4"/>
  <c r="CO157" i="4"/>
  <c r="CP157" i="4"/>
  <c r="CQ157" i="4"/>
  <c r="CR157" i="4"/>
  <c r="CS157" i="4"/>
  <c r="CT157" i="4"/>
  <c r="CU157" i="4"/>
  <c r="CV157" i="4"/>
  <c r="S157" i="4"/>
  <c r="R157" i="4"/>
  <c r="Q157" i="4"/>
  <c r="P157" i="4"/>
  <c r="R155" i="4"/>
  <c r="S155" i="4"/>
  <c r="T155" i="4"/>
  <c r="U155" i="4"/>
  <c r="V155" i="4"/>
  <c r="W155" i="4"/>
  <c r="X155" i="4"/>
  <c r="Y155" i="4"/>
  <c r="Z155" i="4"/>
  <c r="AA155" i="4"/>
  <c r="AB155" i="4"/>
  <c r="AC155" i="4"/>
  <c r="AD155" i="4"/>
  <c r="AE155" i="4"/>
  <c r="AF155" i="4"/>
  <c r="AG155" i="4"/>
  <c r="AH155" i="4"/>
  <c r="AI155" i="4"/>
  <c r="AJ155" i="4"/>
  <c r="AK155" i="4"/>
  <c r="AL155" i="4"/>
  <c r="AM155" i="4"/>
  <c r="AN155" i="4"/>
  <c r="AO155" i="4"/>
  <c r="AP155" i="4"/>
  <c r="AQ155" i="4"/>
  <c r="AR155" i="4"/>
  <c r="AS155" i="4"/>
  <c r="AT155" i="4"/>
  <c r="AU155" i="4"/>
  <c r="AV155" i="4"/>
  <c r="AW155" i="4"/>
  <c r="AX155" i="4"/>
  <c r="AY155" i="4"/>
  <c r="AZ155" i="4"/>
  <c r="BA155" i="4"/>
  <c r="BB155" i="4"/>
  <c r="BC155" i="4"/>
  <c r="BD155" i="4"/>
  <c r="BE155" i="4"/>
  <c r="BF155" i="4"/>
  <c r="BG155" i="4"/>
  <c r="BH155" i="4"/>
  <c r="BI155" i="4"/>
  <c r="BJ155" i="4"/>
  <c r="BK155" i="4"/>
  <c r="BL155" i="4"/>
  <c r="BM155" i="4"/>
  <c r="BN155" i="4"/>
  <c r="BO155" i="4"/>
  <c r="BP155" i="4"/>
  <c r="BQ155" i="4"/>
  <c r="BR155" i="4"/>
  <c r="BS155" i="4"/>
  <c r="BT155" i="4"/>
  <c r="BU155" i="4"/>
  <c r="BV155" i="4"/>
  <c r="BW155" i="4"/>
  <c r="BX155" i="4"/>
  <c r="BY155" i="4"/>
  <c r="BZ155" i="4"/>
  <c r="CA155" i="4"/>
  <c r="CB155" i="4"/>
  <c r="CC155" i="4"/>
  <c r="CD155" i="4"/>
  <c r="CE155" i="4"/>
  <c r="CF155" i="4"/>
  <c r="CG155" i="4"/>
  <c r="CH155" i="4"/>
  <c r="CI155" i="4"/>
  <c r="CJ155" i="4"/>
  <c r="CK155" i="4"/>
  <c r="CL155" i="4"/>
  <c r="CM155" i="4"/>
  <c r="CN155" i="4"/>
  <c r="CO155" i="4"/>
  <c r="CP155" i="4"/>
  <c r="CQ155" i="4"/>
  <c r="CR155" i="4"/>
  <c r="CS155" i="4"/>
  <c r="CT155" i="4"/>
  <c r="CU155" i="4"/>
  <c r="CV155" i="4"/>
  <c r="Q155" i="4"/>
  <c r="P155" i="4"/>
  <c r="R153" i="4"/>
  <c r="S153" i="4"/>
  <c r="T153" i="4"/>
  <c r="U153" i="4"/>
  <c r="V153" i="4"/>
  <c r="W153" i="4"/>
  <c r="X153" i="4"/>
  <c r="Y153" i="4"/>
  <c r="Z153" i="4"/>
  <c r="AA153" i="4"/>
  <c r="AB153" i="4"/>
  <c r="AC153" i="4"/>
  <c r="AD153" i="4"/>
  <c r="AE153" i="4"/>
  <c r="AF153" i="4"/>
  <c r="AG153" i="4"/>
  <c r="AH153" i="4"/>
  <c r="AI153" i="4"/>
  <c r="AJ153" i="4"/>
  <c r="AK153" i="4"/>
  <c r="AL153" i="4"/>
  <c r="AM153" i="4"/>
  <c r="AN153" i="4"/>
  <c r="AO153" i="4"/>
  <c r="AP153" i="4"/>
  <c r="AQ153" i="4"/>
  <c r="AR153" i="4"/>
  <c r="AS153" i="4"/>
  <c r="AT153" i="4"/>
  <c r="AU153" i="4"/>
  <c r="AV153" i="4"/>
  <c r="AW153" i="4"/>
  <c r="AX153" i="4"/>
  <c r="AY153" i="4"/>
  <c r="AZ153" i="4"/>
  <c r="BA153" i="4"/>
  <c r="BB153" i="4"/>
  <c r="BC153" i="4"/>
  <c r="BD153" i="4"/>
  <c r="BE153" i="4"/>
  <c r="BF153" i="4"/>
  <c r="BG153" i="4"/>
  <c r="BH153" i="4"/>
  <c r="BI153" i="4"/>
  <c r="BJ153" i="4"/>
  <c r="BK153" i="4"/>
  <c r="BL153" i="4"/>
  <c r="BM153" i="4"/>
  <c r="BN153" i="4"/>
  <c r="BO153" i="4"/>
  <c r="BP153" i="4"/>
  <c r="BQ153" i="4"/>
  <c r="BR153" i="4"/>
  <c r="BS153" i="4"/>
  <c r="BT153" i="4"/>
  <c r="BU153" i="4"/>
  <c r="BV153" i="4"/>
  <c r="BW153" i="4"/>
  <c r="BX153" i="4"/>
  <c r="BY153" i="4"/>
  <c r="BZ153" i="4"/>
  <c r="CA153" i="4"/>
  <c r="CB153" i="4"/>
  <c r="CC153" i="4"/>
  <c r="CD153" i="4"/>
  <c r="CE153" i="4"/>
  <c r="CF153" i="4"/>
  <c r="CG153" i="4"/>
  <c r="CH153" i="4"/>
  <c r="CI153" i="4"/>
  <c r="CJ153" i="4"/>
  <c r="CK153" i="4"/>
  <c r="CL153" i="4"/>
  <c r="CM153" i="4"/>
  <c r="CN153" i="4"/>
  <c r="CO153" i="4"/>
  <c r="CP153" i="4"/>
  <c r="CQ153" i="4"/>
  <c r="CR153" i="4"/>
  <c r="CS153" i="4"/>
  <c r="CT153" i="4"/>
  <c r="CU153" i="4"/>
  <c r="CV153" i="4"/>
  <c r="Q153" i="4"/>
  <c r="P153" i="4"/>
  <c r="R151" i="4"/>
  <c r="S151" i="4"/>
  <c r="T151" i="4"/>
  <c r="U151" i="4"/>
  <c r="V151" i="4"/>
  <c r="W151" i="4"/>
  <c r="X151" i="4"/>
  <c r="Y151" i="4"/>
  <c r="Z151" i="4"/>
  <c r="AB151" i="4"/>
  <c r="AC151" i="4"/>
  <c r="AD151" i="4"/>
  <c r="AE151" i="4"/>
  <c r="AF151" i="4"/>
  <c r="AG151" i="4"/>
  <c r="AH151" i="4"/>
  <c r="AI151" i="4"/>
  <c r="AJ151" i="4"/>
  <c r="AK151" i="4"/>
  <c r="AL151" i="4"/>
  <c r="AM151" i="4"/>
  <c r="AN151" i="4"/>
  <c r="AO151" i="4"/>
  <c r="AP151" i="4"/>
  <c r="AQ151" i="4"/>
  <c r="AR151" i="4"/>
  <c r="AS151" i="4"/>
  <c r="AT151" i="4"/>
  <c r="AU151" i="4"/>
  <c r="AV151" i="4"/>
  <c r="AW151" i="4"/>
  <c r="AX151" i="4"/>
  <c r="AY151" i="4"/>
  <c r="AZ151" i="4"/>
  <c r="BA151" i="4"/>
  <c r="BB151" i="4"/>
  <c r="BC151" i="4"/>
  <c r="BD151" i="4"/>
  <c r="BE151" i="4"/>
  <c r="BF151" i="4"/>
  <c r="BG151" i="4"/>
  <c r="BH151" i="4"/>
  <c r="BI151" i="4"/>
  <c r="BJ151" i="4"/>
  <c r="BK151" i="4"/>
  <c r="BL151" i="4"/>
  <c r="BM151" i="4"/>
  <c r="BN151" i="4"/>
  <c r="BO151" i="4"/>
  <c r="BP151" i="4"/>
  <c r="BQ151" i="4"/>
  <c r="BR151" i="4"/>
  <c r="BS151" i="4"/>
  <c r="BT151" i="4"/>
  <c r="BU151" i="4"/>
  <c r="BV151" i="4"/>
  <c r="BW151" i="4"/>
  <c r="BX151" i="4"/>
  <c r="BY151" i="4"/>
  <c r="BZ151" i="4"/>
  <c r="CA151" i="4"/>
  <c r="CB151" i="4"/>
  <c r="CC151" i="4"/>
  <c r="CD151" i="4"/>
  <c r="CE151" i="4"/>
  <c r="CF151" i="4"/>
  <c r="CG151" i="4"/>
  <c r="CH151" i="4"/>
  <c r="CI151" i="4"/>
  <c r="CJ151" i="4"/>
  <c r="CK151" i="4"/>
  <c r="CL151" i="4"/>
  <c r="CM151" i="4"/>
  <c r="CN151" i="4"/>
  <c r="CO151" i="4"/>
  <c r="CP151" i="4"/>
  <c r="CQ151" i="4"/>
  <c r="CR151" i="4"/>
  <c r="CS151" i="4"/>
  <c r="CT151" i="4"/>
  <c r="CU151" i="4"/>
  <c r="CV151" i="4"/>
  <c r="P151" i="4"/>
  <c r="P149" i="4"/>
  <c r="R149" i="4"/>
  <c r="S149" i="4"/>
  <c r="T149" i="4"/>
  <c r="U149" i="4"/>
  <c r="V149" i="4"/>
  <c r="W149" i="4"/>
  <c r="X149" i="4"/>
  <c r="Y149" i="4"/>
  <c r="Z149" i="4"/>
  <c r="AA149" i="4"/>
  <c r="AB149" i="4"/>
  <c r="AC149" i="4"/>
  <c r="AD149" i="4"/>
  <c r="AE149" i="4"/>
  <c r="AF149" i="4"/>
  <c r="AG149" i="4"/>
  <c r="AH149" i="4"/>
  <c r="AI149" i="4"/>
  <c r="AJ149" i="4"/>
  <c r="AL149" i="4"/>
  <c r="AM149" i="4"/>
  <c r="AN149" i="4"/>
  <c r="AO149" i="4"/>
  <c r="AP149" i="4"/>
  <c r="AQ149" i="4"/>
  <c r="AR149" i="4"/>
  <c r="AS149" i="4"/>
  <c r="AT149" i="4"/>
  <c r="AU149" i="4"/>
  <c r="AV149" i="4"/>
  <c r="AW149" i="4"/>
  <c r="AX149" i="4"/>
  <c r="AY149" i="4"/>
  <c r="AZ149" i="4"/>
  <c r="BA149" i="4"/>
  <c r="BB149" i="4"/>
  <c r="BC149" i="4"/>
  <c r="BD149" i="4"/>
  <c r="BE149" i="4"/>
  <c r="BF149" i="4"/>
  <c r="BG149" i="4"/>
  <c r="BH149" i="4"/>
  <c r="BI149" i="4"/>
  <c r="BJ149" i="4"/>
  <c r="BK149" i="4"/>
  <c r="BL149" i="4"/>
  <c r="BM149" i="4"/>
  <c r="BN149" i="4"/>
  <c r="BO149" i="4"/>
  <c r="BP149" i="4"/>
  <c r="BQ149" i="4"/>
  <c r="BR149" i="4"/>
  <c r="BS149" i="4"/>
  <c r="BT149" i="4"/>
  <c r="BU149" i="4"/>
  <c r="BW149" i="4"/>
  <c r="BX149" i="4"/>
  <c r="BY149" i="4"/>
  <c r="BZ149" i="4"/>
  <c r="CA149" i="4"/>
  <c r="CB149" i="4"/>
  <c r="CC149" i="4"/>
  <c r="CD149" i="4"/>
  <c r="CE149" i="4"/>
  <c r="CF149" i="4"/>
  <c r="CG149" i="4"/>
  <c r="CH149" i="4"/>
  <c r="CI149" i="4"/>
  <c r="CJ149" i="4"/>
  <c r="CL149" i="4"/>
  <c r="CM149" i="4"/>
  <c r="CN149" i="4"/>
  <c r="CO149" i="4"/>
  <c r="CP149" i="4"/>
  <c r="CQ149" i="4"/>
  <c r="CR149" i="4"/>
  <c r="CS149" i="4"/>
  <c r="CT149" i="4"/>
  <c r="CU149" i="4"/>
  <c r="CV149" i="4"/>
  <c r="P162" i="4"/>
  <c r="R162" i="4"/>
  <c r="S162" i="4"/>
  <c r="T162" i="4"/>
  <c r="U162" i="4"/>
  <c r="V162" i="4"/>
  <c r="W162" i="4"/>
  <c r="X162" i="4"/>
  <c r="Y162" i="4"/>
  <c r="Z162" i="4"/>
  <c r="AA162" i="4"/>
  <c r="AB162" i="4"/>
  <c r="AC162" i="4"/>
  <c r="AD162" i="4"/>
  <c r="AE162" i="4"/>
  <c r="AF162" i="4"/>
  <c r="AG162" i="4"/>
  <c r="AH162" i="4"/>
  <c r="AI162" i="4"/>
  <c r="AJ162" i="4"/>
  <c r="AK162" i="4"/>
  <c r="AL162" i="4"/>
  <c r="AM162" i="4"/>
  <c r="AN162" i="4"/>
  <c r="AO162" i="4"/>
  <c r="AP162" i="4"/>
  <c r="AQ162" i="4"/>
  <c r="AR162" i="4"/>
  <c r="AS162" i="4"/>
  <c r="AT162" i="4"/>
  <c r="AU162" i="4"/>
  <c r="AV162" i="4"/>
  <c r="AW162" i="4"/>
  <c r="AX162" i="4"/>
  <c r="AY162" i="4"/>
  <c r="AZ162" i="4"/>
  <c r="BA162" i="4"/>
  <c r="BB162" i="4"/>
  <c r="BC162" i="4"/>
  <c r="BD162" i="4"/>
  <c r="BE162" i="4"/>
  <c r="BF162" i="4"/>
  <c r="BG162" i="4"/>
  <c r="BH162" i="4"/>
  <c r="BI162" i="4"/>
  <c r="BJ162" i="4"/>
  <c r="BK162" i="4"/>
  <c r="BL162" i="4"/>
  <c r="BM162" i="4"/>
  <c r="BN162" i="4"/>
  <c r="BO162" i="4"/>
  <c r="BP162" i="4"/>
  <c r="BQ162" i="4"/>
  <c r="BR162" i="4"/>
  <c r="BS162" i="4"/>
  <c r="BT162" i="4"/>
  <c r="BU162" i="4"/>
  <c r="BV162" i="4"/>
  <c r="BW162" i="4"/>
  <c r="BX162" i="4"/>
  <c r="BY162" i="4"/>
  <c r="BZ162" i="4"/>
  <c r="CA162" i="4"/>
  <c r="CB162" i="4"/>
  <c r="CC162" i="4"/>
  <c r="CD162" i="4"/>
  <c r="CE162" i="4"/>
  <c r="CF162" i="4"/>
  <c r="CG162" i="4"/>
  <c r="CH162" i="4"/>
  <c r="CI162" i="4"/>
  <c r="CJ162" i="4"/>
  <c r="CK162" i="4"/>
  <c r="CL162" i="4"/>
  <c r="CM162" i="4"/>
  <c r="CN162" i="4"/>
  <c r="CO162" i="4"/>
  <c r="CP162" i="4"/>
  <c r="CQ162" i="4"/>
  <c r="CR162" i="4"/>
  <c r="CS162" i="4"/>
  <c r="CT162" i="4"/>
  <c r="CU162" i="4"/>
  <c r="CV162" i="4"/>
  <c r="CU207" i="4" l="1"/>
  <c r="CU209" i="4" s="1"/>
  <c r="CQ207" i="4"/>
  <c r="CM207" i="4"/>
  <c r="CM209" i="4" s="1"/>
  <c r="CI207" i="4"/>
  <c r="CI209" i="4" s="1"/>
  <c r="CE207" i="4"/>
  <c r="CE209" i="4" s="1"/>
  <c r="CA207" i="4"/>
  <c r="BW207" i="4"/>
  <c r="BW209" i="4" s="1"/>
  <c r="CO207" i="4"/>
  <c r="CO209" i="4" s="1"/>
  <c r="CK207" i="4"/>
  <c r="CG207" i="4"/>
  <c r="CC207" i="4"/>
  <c r="CC209" i="4" s="1"/>
  <c r="BY207" i="4"/>
  <c r="BY209" i="4" s="1"/>
  <c r="CT207" i="4"/>
  <c r="CT209" i="4" s="1"/>
  <c r="CP207" i="4"/>
  <c r="CP209" i="4" s="1"/>
  <c r="CL207" i="4"/>
  <c r="CL209" i="4" s="1"/>
  <c r="CH207" i="4"/>
  <c r="CD207" i="4"/>
  <c r="CD209" i="4" s="1"/>
  <c r="BZ207" i="4"/>
  <c r="BZ209" i="4" s="1"/>
  <c r="CV207" i="4"/>
  <c r="CV209" i="4" s="1"/>
  <c r="CR207" i="4"/>
  <c r="CR209" i="4" s="1"/>
  <c r="CN207" i="4"/>
  <c r="CN209" i="4" s="1"/>
  <c r="CJ207" i="4"/>
  <c r="CJ209" i="4" s="1"/>
  <c r="CF207" i="4"/>
  <c r="CF209" i="4" s="1"/>
  <c r="CB207" i="4"/>
  <c r="CB209" i="4" s="1"/>
  <c r="BX207" i="4"/>
  <c r="BX209" i="4" s="1"/>
  <c r="BS207" i="4"/>
  <c r="BS209" i="4" s="1"/>
  <c r="BO207" i="4"/>
  <c r="BO209" i="4" s="1"/>
  <c r="BK207" i="4"/>
  <c r="BK209" i="4" s="1"/>
  <c r="BG207" i="4"/>
  <c r="BG209" i="4" s="1"/>
  <c r="BC207" i="4"/>
  <c r="BC209" i="4" s="1"/>
  <c r="AY207" i="4"/>
  <c r="AY209" i="4" s="1"/>
  <c r="AU207" i="4"/>
  <c r="AU209" i="4" s="1"/>
  <c r="AQ207" i="4"/>
  <c r="AQ209" i="4" s="1"/>
  <c r="AM207" i="4"/>
  <c r="AM209" i="4" s="1"/>
  <c r="AI207" i="4"/>
  <c r="AI209" i="4" s="1"/>
  <c r="AE207" i="4"/>
  <c r="AE209" i="4" s="1"/>
  <c r="AA207" i="4"/>
  <c r="AA209" i="4" s="1"/>
  <c r="W207" i="4"/>
  <c r="W209" i="4" s="1"/>
  <c r="S207" i="4"/>
  <c r="S209" i="4" s="1"/>
  <c r="BR207" i="4"/>
  <c r="BR209" i="4" s="1"/>
  <c r="BN207" i="4"/>
  <c r="BN209" i="4" s="1"/>
  <c r="BJ207" i="4"/>
  <c r="BJ209" i="4" s="1"/>
  <c r="BF207" i="4"/>
  <c r="BF209" i="4" s="1"/>
  <c r="BB207" i="4"/>
  <c r="BB209" i="4" s="1"/>
  <c r="AX207" i="4"/>
  <c r="AX209" i="4" s="1"/>
  <c r="AT207" i="4"/>
  <c r="AT209" i="4" s="1"/>
  <c r="AP207" i="4"/>
  <c r="AP209" i="4" s="1"/>
  <c r="AL207" i="4"/>
  <c r="AL209" i="4" s="1"/>
  <c r="AH207" i="4"/>
  <c r="AH209" i="4" s="1"/>
  <c r="AD207" i="4"/>
  <c r="AD209" i="4" s="1"/>
  <c r="Z207" i="4"/>
  <c r="Z209" i="4" s="1"/>
  <c r="V207" i="4"/>
  <c r="V209" i="4" s="1"/>
  <c r="R207" i="4"/>
  <c r="R209" i="4" s="1"/>
  <c r="BU207" i="4"/>
  <c r="BU209" i="4" s="1"/>
  <c r="BQ207" i="4"/>
  <c r="BQ209" i="4" s="1"/>
  <c r="BM207" i="4"/>
  <c r="BM209" i="4" s="1"/>
  <c r="BI207" i="4"/>
  <c r="BI209" i="4" s="1"/>
  <c r="BE207" i="4"/>
  <c r="BE209" i="4" s="1"/>
  <c r="BA207" i="4"/>
  <c r="BA209" i="4" s="1"/>
  <c r="AW207" i="4"/>
  <c r="AW209" i="4" s="1"/>
  <c r="AS207" i="4"/>
  <c r="AS209" i="4" s="1"/>
  <c r="AO207" i="4"/>
  <c r="AO209" i="4" s="1"/>
  <c r="AK207" i="4"/>
  <c r="AG207" i="4"/>
  <c r="AG209" i="4" s="1"/>
  <c r="AC207" i="4"/>
  <c r="AC209" i="4" s="1"/>
  <c r="Y207" i="4"/>
  <c r="Y209" i="4" s="1"/>
  <c r="U207" i="4"/>
  <c r="U209" i="4" s="1"/>
  <c r="Q207" i="4"/>
  <c r="BT207" i="4"/>
  <c r="BT209" i="4" s="1"/>
  <c r="BP207" i="4"/>
  <c r="BP209" i="4" s="1"/>
  <c r="BL207" i="4"/>
  <c r="BL209" i="4" s="1"/>
  <c r="BH207" i="4"/>
  <c r="BH209" i="4" s="1"/>
  <c r="BD207" i="4"/>
  <c r="BD209" i="4" s="1"/>
  <c r="AZ207" i="4"/>
  <c r="AZ209" i="4" s="1"/>
  <c r="AV207" i="4"/>
  <c r="AV209" i="4" s="1"/>
  <c r="AR207" i="4"/>
  <c r="AR209" i="4" s="1"/>
  <c r="AN207" i="4"/>
  <c r="AN209" i="4" s="1"/>
  <c r="AJ207" i="4"/>
  <c r="AJ209" i="4" s="1"/>
  <c r="AF207" i="4"/>
  <c r="AF209" i="4" s="1"/>
  <c r="AB207" i="4"/>
  <c r="AB209" i="4" s="1"/>
  <c r="X207" i="4"/>
  <c r="X209" i="4" s="1"/>
  <c r="T207" i="4"/>
  <c r="T209" i="4" s="1"/>
  <c r="P207" i="4"/>
  <c r="P209" i="4" s="1"/>
  <c r="CH209" i="4"/>
  <c r="CV159" i="4"/>
  <c r="CG209" i="4"/>
  <c r="CQ209" i="4"/>
  <c r="CA209" i="4"/>
  <c r="Q159" i="4"/>
  <c r="CS159" i="4"/>
  <c r="CO159" i="4"/>
  <c r="CK159" i="4"/>
  <c r="CG159" i="4"/>
  <c r="CC159" i="4"/>
  <c r="BY159" i="4"/>
  <c r="BU159" i="4"/>
  <c r="BQ159" i="4"/>
  <c r="BM159" i="4"/>
  <c r="BI159" i="4"/>
  <c r="BE159" i="4"/>
  <c r="BA159" i="4"/>
  <c r="AW159" i="4"/>
  <c r="AS159" i="4"/>
  <c r="AO159" i="4"/>
  <c r="AK159" i="4"/>
  <c r="AG159" i="4"/>
  <c r="Y159" i="4"/>
  <c r="U159" i="4"/>
  <c r="V276" i="4"/>
  <c r="CU276" i="4"/>
  <c r="CQ276" i="4"/>
  <c r="CM276" i="4"/>
  <c r="CI276" i="4"/>
  <c r="CE276" i="4"/>
  <c r="CA276" i="4"/>
  <c r="BW276" i="4"/>
  <c r="BS276" i="4"/>
  <c r="BO276" i="4"/>
  <c r="BK276" i="4"/>
  <c r="BG276" i="4"/>
  <c r="BC276" i="4"/>
  <c r="AY276" i="4"/>
  <c r="AU276" i="4"/>
  <c r="AQ276" i="4"/>
  <c r="AM276" i="4"/>
  <c r="AI276" i="4"/>
  <c r="AE276" i="4"/>
  <c r="AA276" i="4"/>
  <c r="W276" i="4"/>
  <c r="CS226" i="4"/>
  <c r="CK226" i="4"/>
  <c r="CG226" i="4"/>
  <c r="CC226" i="4"/>
  <c r="BY226" i="4"/>
  <c r="BU226" i="4"/>
  <c r="BQ226" i="4"/>
  <c r="BM226" i="4"/>
  <c r="BI226" i="4"/>
  <c r="BE226" i="4"/>
  <c r="BA226" i="4"/>
  <c r="AW226" i="4"/>
  <c r="AS226" i="4"/>
  <c r="AO226" i="4"/>
  <c r="AK226" i="4"/>
  <c r="AG226" i="4"/>
  <c r="AC226" i="4"/>
  <c r="Y226" i="4"/>
  <c r="U226" i="4"/>
  <c r="Q226" i="4"/>
  <c r="O240" i="4"/>
  <c r="CR159" i="4"/>
  <c r="CN159" i="4"/>
  <c r="CJ159" i="4"/>
  <c r="CF159" i="4"/>
  <c r="CB159" i="4"/>
  <c r="BX159" i="4"/>
  <c r="BT159" i="4"/>
  <c r="BP159" i="4"/>
  <c r="BL159" i="4"/>
  <c r="BH159" i="4"/>
  <c r="BD159" i="4"/>
  <c r="AZ159" i="4"/>
  <c r="AV159" i="4"/>
  <c r="AR159" i="4"/>
  <c r="AN159" i="4"/>
  <c r="AJ159" i="4"/>
  <c r="AF159" i="4"/>
  <c r="AB159" i="4"/>
  <c r="X159" i="4"/>
  <c r="T159" i="4"/>
  <c r="U276" i="4"/>
  <c r="CT276" i="4"/>
  <c r="CP276" i="4"/>
  <c r="CL276" i="4"/>
  <c r="CH276" i="4"/>
  <c r="CD276" i="4"/>
  <c r="BZ276" i="4"/>
  <c r="BV276" i="4"/>
  <c r="BR276" i="4"/>
  <c r="BN276" i="4"/>
  <c r="BJ276" i="4"/>
  <c r="BF276" i="4"/>
  <c r="BB276" i="4"/>
  <c r="AX276" i="4"/>
  <c r="AT276" i="4"/>
  <c r="AP276" i="4"/>
  <c r="AL276" i="4"/>
  <c r="AH276" i="4"/>
  <c r="AD276" i="4"/>
  <c r="Z276" i="4"/>
  <c r="CV226" i="4"/>
  <c r="CR226" i="4"/>
  <c r="CN226" i="4"/>
  <c r="CJ226" i="4"/>
  <c r="CF226" i="4"/>
  <c r="CB226" i="4"/>
  <c r="BX226" i="4"/>
  <c r="BT226" i="4"/>
  <c r="BP226" i="4"/>
  <c r="BL226" i="4"/>
  <c r="BH226" i="4"/>
  <c r="BD226" i="4"/>
  <c r="AZ226" i="4"/>
  <c r="AV226" i="4"/>
  <c r="AR226" i="4"/>
  <c r="AN226" i="4"/>
  <c r="AJ226" i="4"/>
  <c r="AF226" i="4"/>
  <c r="AB226" i="4"/>
  <c r="X226" i="4"/>
  <c r="T226" i="4"/>
  <c r="P226" i="4"/>
  <c r="CU159" i="4"/>
  <c r="CQ159" i="4"/>
  <c r="CM159" i="4"/>
  <c r="CI159" i="4"/>
  <c r="CE159" i="4"/>
  <c r="CA159" i="4"/>
  <c r="BW159" i="4"/>
  <c r="BS159" i="4"/>
  <c r="BO159" i="4"/>
  <c r="BK159" i="4"/>
  <c r="BG159" i="4"/>
  <c r="BC159" i="4"/>
  <c r="AY159" i="4"/>
  <c r="AU159" i="4"/>
  <c r="AQ159" i="4"/>
  <c r="AM159" i="4"/>
  <c r="AI159" i="4"/>
  <c r="AE159" i="4"/>
  <c r="AA159" i="4"/>
  <c r="W159" i="4"/>
  <c r="S159" i="4"/>
  <c r="S276" i="4"/>
  <c r="T276" i="4"/>
  <c r="CS276" i="4"/>
  <c r="CO276" i="4"/>
  <c r="CK276" i="4"/>
  <c r="CG276" i="4"/>
  <c r="CC276" i="4"/>
  <c r="BY276" i="4"/>
  <c r="BU276" i="4"/>
  <c r="BQ276" i="4"/>
  <c r="BM276" i="4"/>
  <c r="BI276" i="4"/>
  <c r="BE276" i="4"/>
  <c r="BA276" i="4"/>
  <c r="AW276" i="4"/>
  <c r="AS276" i="4"/>
  <c r="AO276" i="4"/>
  <c r="AK276" i="4"/>
  <c r="AG276" i="4"/>
  <c r="AC276" i="4"/>
  <c r="Y276" i="4"/>
  <c r="CU226" i="4"/>
  <c r="CQ226" i="4"/>
  <c r="CM226" i="4"/>
  <c r="CI226" i="4"/>
  <c r="CE226" i="4"/>
  <c r="CA226" i="4"/>
  <c r="BW226" i="4"/>
  <c r="BS226" i="4"/>
  <c r="BO226" i="4"/>
  <c r="BK226" i="4"/>
  <c r="BG226" i="4"/>
  <c r="BC226" i="4"/>
  <c r="AY226" i="4"/>
  <c r="AU226" i="4"/>
  <c r="AQ226" i="4"/>
  <c r="AM226" i="4"/>
  <c r="AI226" i="4"/>
  <c r="AE226" i="4"/>
  <c r="AA226" i="4"/>
  <c r="W226" i="4"/>
  <c r="S226" i="4"/>
  <c r="P159" i="4"/>
  <c r="CT159" i="4"/>
  <c r="CP159" i="4"/>
  <c r="CL159" i="4"/>
  <c r="CH159" i="4"/>
  <c r="CD159" i="4"/>
  <c r="BZ159" i="4"/>
  <c r="BV159" i="4"/>
  <c r="BR159" i="4"/>
  <c r="BN159" i="4"/>
  <c r="BJ159" i="4"/>
  <c r="BF159" i="4"/>
  <c r="BB159" i="4"/>
  <c r="AX159" i="4"/>
  <c r="AT159" i="4"/>
  <c r="AP159" i="4"/>
  <c r="AL159" i="4"/>
  <c r="AH159" i="4"/>
  <c r="AD159" i="4"/>
  <c r="Z159" i="4"/>
  <c r="V159" i="4"/>
  <c r="R159" i="4"/>
  <c r="CV276" i="4"/>
  <c r="CR276" i="4"/>
  <c r="CN276" i="4"/>
  <c r="CJ276" i="4"/>
  <c r="CF276" i="4"/>
  <c r="CB276" i="4"/>
  <c r="BX276" i="4"/>
  <c r="BT276" i="4"/>
  <c r="BP276" i="4"/>
  <c r="BL276" i="4"/>
  <c r="BH276" i="4"/>
  <c r="BD276" i="4"/>
  <c r="AZ276" i="4"/>
  <c r="AV276" i="4"/>
  <c r="AR276" i="4"/>
  <c r="AN276" i="4"/>
  <c r="AJ276" i="4"/>
  <c r="AF276" i="4"/>
  <c r="AB276" i="4"/>
  <c r="X276" i="4"/>
  <c r="CP226" i="4"/>
  <c r="CL226" i="4"/>
  <c r="CH226" i="4"/>
  <c r="CD226" i="4"/>
  <c r="BZ226" i="4"/>
  <c r="BV226" i="4"/>
  <c r="BR226" i="4"/>
  <c r="BN226" i="4"/>
  <c r="BJ226" i="4"/>
  <c r="BF226" i="4"/>
  <c r="BB226" i="4"/>
  <c r="AX226" i="4"/>
  <c r="AT226" i="4"/>
  <c r="AP226" i="4"/>
  <c r="AL226" i="4"/>
  <c r="AH226" i="4"/>
  <c r="AD226" i="4"/>
  <c r="Z226" i="4"/>
  <c r="V226" i="4"/>
  <c r="R226" i="4"/>
  <c r="O175" i="4"/>
  <c r="O173" i="4"/>
  <c r="O246" i="4"/>
  <c r="O242" i="4"/>
  <c r="O167" i="4"/>
  <c r="O171" i="4"/>
  <c r="P274" i="4"/>
  <c r="P276" i="4" s="1"/>
  <c r="R274" i="4"/>
  <c r="R276" i="4" s="1"/>
  <c r="Q274" i="4"/>
  <c r="Q276" i="4" s="1"/>
  <c r="O155" i="4"/>
  <c r="O218" i="4"/>
  <c r="O222" i="4"/>
  <c r="O153" i="4"/>
  <c r="O216" i="4"/>
  <c r="G130" i="6" s="1"/>
  <c r="O224" i="4"/>
  <c r="O229" i="4"/>
  <c r="G129" i="6" s="1"/>
  <c r="G131" i="6" l="1"/>
  <c r="G128" i="6" s="1"/>
  <c r="G134" i="6"/>
  <c r="F134" i="6"/>
  <c r="Z228" i="4"/>
  <c r="Z277" i="4"/>
  <c r="AL228" i="4"/>
  <c r="AL277" i="4"/>
  <c r="G135" i="6"/>
  <c r="AP228" i="4"/>
  <c r="AP277" i="4"/>
  <c r="BF228" i="4"/>
  <c r="BF277" i="4"/>
  <c r="BV228" i="4"/>
  <c r="BV277" i="4"/>
  <c r="CL228" i="4"/>
  <c r="CL277" i="4"/>
  <c r="R277" i="4"/>
  <c r="R228" i="4"/>
  <c r="F133" i="6"/>
  <c r="V277" i="4"/>
  <c r="V228" i="4"/>
  <c r="AH277" i="4"/>
  <c r="AH228" i="4"/>
  <c r="AX277" i="4"/>
  <c r="AX228" i="4"/>
  <c r="BN277" i="4"/>
  <c r="BN228" i="4"/>
  <c r="CD277" i="4"/>
  <c r="CD228" i="4"/>
  <c r="BB277" i="4"/>
  <c r="BB228" i="4"/>
  <c r="BR277" i="4"/>
  <c r="BR228" i="4"/>
  <c r="CH277" i="4"/>
  <c r="CH228" i="4"/>
  <c r="W277" i="4"/>
  <c r="W228" i="4"/>
  <c r="AE228" i="4"/>
  <c r="AE277" i="4"/>
  <c r="AM277" i="4"/>
  <c r="AM228" i="4"/>
  <c r="AU228" i="4"/>
  <c r="AU277" i="4"/>
  <c r="BC277" i="4"/>
  <c r="BC228" i="4"/>
  <c r="BK228" i="4"/>
  <c r="BK277" i="4"/>
  <c r="BS277" i="4"/>
  <c r="BS228" i="4"/>
  <c r="CA228" i="4"/>
  <c r="CA277" i="4"/>
  <c r="CI277" i="4"/>
  <c r="CI228" i="4"/>
  <c r="CQ228" i="4"/>
  <c r="CQ277" i="4"/>
  <c r="S210" i="4"/>
  <c r="S161" i="4"/>
  <c r="AA210" i="4"/>
  <c r="AA161" i="4"/>
  <c r="AI210" i="4"/>
  <c r="AI161" i="4"/>
  <c r="AQ210" i="4"/>
  <c r="AQ161" i="4"/>
  <c r="AY210" i="4"/>
  <c r="AY161" i="4"/>
  <c r="BG210" i="4"/>
  <c r="BG161" i="4"/>
  <c r="BO210" i="4"/>
  <c r="BO161" i="4"/>
  <c r="BW210" i="4"/>
  <c r="BW161" i="4"/>
  <c r="CE210" i="4"/>
  <c r="CE161" i="4"/>
  <c r="CM210" i="4"/>
  <c r="CM161" i="4"/>
  <c r="CU210" i="4"/>
  <c r="CU161" i="4"/>
  <c r="T277" i="4"/>
  <c r="T228" i="4"/>
  <c r="AB277" i="4"/>
  <c r="AB228" i="4"/>
  <c r="AJ277" i="4"/>
  <c r="AJ228" i="4"/>
  <c r="AR277" i="4"/>
  <c r="AR228" i="4"/>
  <c r="AZ277" i="4"/>
  <c r="AZ228" i="4"/>
  <c r="BP277" i="4"/>
  <c r="BP228" i="4"/>
  <c r="CF277" i="4"/>
  <c r="CF228" i="4"/>
  <c r="CV277" i="4"/>
  <c r="CV228" i="4"/>
  <c r="X210" i="4"/>
  <c r="X161" i="4"/>
  <c r="AF210" i="4"/>
  <c r="AF161" i="4"/>
  <c r="AN210" i="4"/>
  <c r="AN161" i="4"/>
  <c r="AV210" i="4"/>
  <c r="AV161" i="4"/>
  <c r="BD210" i="4"/>
  <c r="BD161" i="4"/>
  <c r="BL210" i="4"/>
  <c r="BL161" i="4"/>
  <c r="BT210" i="4"/>
  <c r="BT161" i="4"/>
  <c r="CB210" i="4"/>
  <c r="CB161" i="4"/>
  <c r="CJ210" i="4"/>
  <c r="CJ161" i="4"/>
  <c r="CR210" i="4"/>
  <c r="CR161" i="4"/>
  <c r="AC277" i="4"/>
  <c r="AC228" i="4"/>
  <c r="AK277" i="4"/>
  <c r="AK228" i="4"/>
  <c r="AS277" i="4"/>
  <c r="AS228" i="4"/>
  <c r="BI277" i="4"/>
  <c r="BI228" i="4"/>
  <c r="BQ277" i="4"/>
  <c r="BQ228" i="4"/>
  <c r="BY277" i="4"/>
  <c r="BY228" i="4"/>
  <c r="CV210" i="4"/>
  <c r="CV161" i="4"/>
  <c r="AD277" i="4"/>
  <c r="AD228" i="4"/>
  <c r="AT277" i="4"/>
  <c r="AT228" i="4"/>
  <c r="BJ277" i="4"/>
  <c r="BJ228" i="4"/>
  <c r="BZ277" i="4"/>
  <c r="BZ228" i="4"/>
  <c r="CP277" i="4"/>
  <c r="CP228" i="4"/>
  <c r="R210" i="4"/>
  <c r="R161" i="4"/>
  <c r="Z210" i="4"/>
  <c r="Z161" i="4"/>
  <c r="AH210" i="4"/>
  <c r="AH161" i="4"/>
  <c r="AP210" i="4"/>
  <c r="AP161" i="4"/>
  <c r="AX210" i="4"/>
  <c r="AX161" i="4"/>
  <c r="BF210" i="4"/>
  <c r="BF161" i="4"/>
  <c r="BN210" i="4"/>
  <c r="BN161" i="4"/>
  <c r="CD210" i="4"/>
  <c r="CD161" i="4"/>
  <c r="CL210" i="4"/>
  <c r="CL161" i="4"/>
  <c r="CT210" i="4"/>
  <c r="CT161" i="4"/>
  <c r="AF277" i="4"/>
  <c r="AF228" i="4"/>
  <c r="BL277" i="4"/>
  <c r="BL228" i="4"/>
  <c r="CR277" i="4"/>
  <c r="CR228" i="4"/>
  <c r="Q277" i="4"/>
  <c r="Q228" i="4"/>
  <c r="AG277" i="4"/>
  <c r="AG228" i="4"/>
  <c r="AW277" i="4"/>
  <c r="AW228" i="4"/>
  <c r="CS277" i="4"/>
  <c r="CS228" i="4"/>
  <c r="Y210" i="4"/>
  <c r="Y161" i="4"/>
  <c r="AG210" i="4"/>
  <c r="AG161" i="4"/>
  <c r="AO161" i="4"/>
  <c r="AO210" i="4"/>
  <c r="AW210" i="4"/>
  <c r="AW161" i="4"/>
  <c r="BE210" i="4"/>
  <c r="BE161" i="4"/>
  <c r="BM210" i="4"/>
  <c r="BM161" i="4"/>
  <c r="BU210" i="4"/>
  <c r="BU161" i="4"/>
  <c r="CC210" i="4"/>
  <c r="CC161" i="4"/>
  <c r="CK210" i="4"/>
  <c r="CS161" i="4"/>
  <c r="AD210" i="4"/>
  <c r="AD161" i="4"/>
  <c r="AT210" i="4"/>
  <c r="AT161" i="4"/>
  <c r="BJ210" i="4"/>
  <c r="BJ161" i="4"/>
  <c r="BZ210" i="4"/>
  <c r="BZ161" i="4"/>
  <c r="CP210" i="4"/>
  <c r="CP161" i="4"/>
  <c r="P210" i="4"/>
  <c r="P161" i="4"/>
  <c r="S228" i="4"/>
  <c r="S277" i="4"/>
  <c r="AA228" i="4"/>
  <c r="AA277" i="4"/>
  <c r="AI228" i="4"/>
  <c r="AI277" i="4"/>
  <c r="AQ228" i="4"/>
  <c r="AQ277" i="4"/>
  <c r="AY228" i="4"/>
  <c r="AY277" i="4"/>
  <c r="BG228" i="4"/>
  <c r="BG277" i="4"/>
  <c r="BO228" i="4"/>
  <c r="BO277" i="4"/>
  <c r="BW228" i="4"/>
  <c r="BW277" i="4"/>
  <c r="CE228" i="4"/>
  <c r="CE277" i="4"/>
  <c r="CM228" i="4"/>
  <c r="CM277" i="4"/>
  <c r="CU228" i="4"/>
  <c r="CU277" i="4"/>
  <c r="W210" i="4"/>
  <c r="W161" i="4"/>
  <c r="AE161" i="4"/>
  <c r="AE210" i="4"/>
  <c r="AM210" i="4"/>
  <c r="AM161" i="4"/>
  <c r="AU210" i="4"/>
  <c r="AU161" i="4"/>
  <c r="BC210" i="4"/>
  <c r="BC161" i="4"/>
  <c r="BK161" i="4"/>
  <c r="BK210" i="4"/>
  <c r="BS210" i="4"/>
  <c r="BS161" i="4"/>
  <c r="CA161" i="4"/>
  <c r="CA210" i="4"/>
  <c r="CI210" i="4"/>
  <c r="CI161" i="4"/>
  <c r="CQ161" i="4"/>
  <c r="CQ210" i="4"/>
  <c r="P228" i="4"/>
  <c r="P277" i="4"/>
  <c r="X277" i="4"/>
  <c r="X228" i="4"/>
  <c r="AN277" i="4"/>
  <c r="AN228" i="4"/>
  <c r="AV228" i="4"/>
  <c r="AV277" i="4"/>
  <c r="BD277" i="4"/>
  <c r="BD228" i="4"/>
  <c r="BT277" i="4"/>
  <c r="BT228" i="4"/>
  <c r="CB228" i="4"/>
  <c r="CB277" i="4"/>
  <c r="CJ277" i="4"/>
  <c r="CJ228" i="4"/>
  <c r="T210" i="4"/>
  <c r="T161" i="4"/>
  <c r="AB210" i="4"/>
  <c r="AB161" i="4"/>
  <c r="AJ210" i="4"/>
  <c r="AJ161" i="4"/>
  <c r="AR210" i="4"/>
  <c r="AR161" i="4"/>
  <c r="AZ210" i="4"/>
  <c r="AZ161" i="4"/>
  <c r="BH210" i="4"/>
  <c r="BH161" i="4"/>
  <c r="BP210" i="4"/>
  <c r="BP161" i="4"/>
  <c r="BX210" i="4"/>
  <c r="BX161" i="4"/>
  <c r="CF210" i="4"/>
  <c r="CF161" i="4"/>
  <c r="CN210" i="4"/>
  <c r="CN161" i="4"/>
  <c r="Y277" i="4"/>
  <c r="Y228" i="4"/>
  <c r="AO277" i="4"/>
  <c r="AO228" i="4"/>
  <c r="BE277" i="4"/>
  <c r="BE228" i="4"/>
  <c r="BM277" i="4"/>
  <c r="BM228" i="4"/>
  <c r="BU277" i="4"/>
  <c r="BU228" i="4"/>
  <c r="CC277" i="4"/>
  <c r="CC228" i="4"/>
  <c r="CK277" i="4"/>
  <c r="CK228" i="4"/>
  <c r="V210" i="4"/>
  <c r="V161" i="4"/>
  <c r="AL210" i="4"/>
  <c r="AL161" i="4"/>
  <c r="BB210" i="4"/>
  <c r="BB161" i="4"/>
  <c r="BR210" i="4"/>
  <c r="BR161" i="4"/>
  <c r="CH210" i="4"/>
  <c r="CH161" i="4"/>
  <c r="BH277" i="4"/>
  <c r="BH228" i="4"/>
  <c r="BX277" i="4"/>
  <c r="BX228" i="4"/>
  <c r="CN277" i="4"/>
  <c r="CN228" i="4"/>
  <c r="U277" i="4"/>
  <c r="U228" i="4"/>
  <c r="BA277" i="4"/>
  <c r="BA228" i="4"/>
  <c r="CG277" i="4"/>
  <c r="CG228" i="4"/>
  <c r="U210" i="4"/>
  <c r="U161" i="4"/>
  <c r="AK210" i="4"/>
  <c r="AS210" i="4"/>
  <c r="AS161" i="4"/>
  <c r="BA210" i="4"/>
  <c r="BA161" i="4"/>
  <c r="BI210" i="4"/>
  <c r="BI161" i="4"/>
  <c r="BQ210" i="4"/>
  <c r="BQ161" i="4"/>
  <c r="BY210" i="4"/>
  <c r="BY161" i="4"/>
  <c r="CG210" i="4"/>
  <c r="CG161" i="4"/>
  <c r="CO210" i="4"/>
  <c r="CO161" i="4"/>
  <c r="Q210" i="4"/>
  <c r="CS51" i="3" l="1"/>
  <c r="CS50" i="3"/>
  <c r="AD51" i="4" l="1"/>
  <c r="AE51" i="4"/>
  <c r="AG51" i="4"/>
  <c r="AH51" i="4"/>
  <c r="AN51" i="4"/>
  <c r="AO51" i="4"/>
  <c r="AY51" i="4"/>
  <c r="BB51" i="4"/>
  <c r="BD51" i="4"/>
  <c r="BE51" i="4"/>
  <c r="BQ51" i="4"/>
  <c r="CA51" i="4"/>
  <c r="CB51" i="4"/>
  <c r="CJ51" i="4"/>
  <c r="CO51" i="4"/>
  <c r="CR51" i="4"/>
  <c r="CV50" i="4" l="1"/>
  <c r="CU50" i="4"/>
  <c r="CT50" i="4"/>
  <c r="CS50" i="4"/>
  <c r="CQ50" i="4"/>
  <c r="CP50" i="4"/>
  <c r="CN50" i="4"/>
  <c r="CM50" i="4"/>
  <c r="CL50" i="4"/>
  <c r="CK50" i="4"/>
  <c r="CI50" i="4"/>
  <c r="CH50" i="4"/>
  <c r="CG50" i="4"/>
  <c r="CF50" i="4"/>
  <c r="CE50" i="4"/>
  <c r="CD50" i="4"/>
  <c r="CC50" i="4"/>
  <c r="BZ50" i="4"/>
  <c r="BY50" i="4"/>
  <c r="BX50" i="4"/>
  <c r="BW50" i="4"/>
  <c r="BV50" i="4"/>
  <c r="BU50" i="4"/>
  <c r="BT50" i="4"/>
  <c r="BS50" i="4"/>
  <c r="BR50" i="4"/>
  <c r="BP50" i="4"/>
  <c r="BO50" i="4"/>
  <c r="BN50" i="4"/>
  <c r="BM50" i="4"/>
  <c r="BL50" i="4"/>
  <c r="BK50" i="4"/>
  <c r="BJ50" i="4"/>
  <c r="BI50" i="4"/>
  <c r="BH50" i="4"/>
  <c r="BG50" i="4"/>
  <c r="BF50" i="4"/>
  <c r="BC50" i="4"/>
  <c r="BA50" i="4"/>
  <c r="AZ50" i="4"/>
  <c r="AX50" i="4"/>
  <c r="AW50" i="4"/>
  <c r="AU50" i="4"/>
  <c r="AT50" i="4"/>
  <c r="AS50" i="4"/>
  <c r="AR50" i="4"/>
  <c r="AQ50" i="4"/>
  <c r="AP50" i="4"/>
  <c r="AM50" i="4"/>
  <c r="AL50" i="4"/>
  <c r="AK50" i="4"/>
  <c r="AJ50" i="4"/>
  <c r="AI50" i="4"/>
  <c r="AF50" i="4"/>
  <c r="AB50" i="4"/>
  <c r="AA50" i="4"/>
  <c r="Z50" i="4"/>
  <c r="Y50" i="4"/>
  <c r="X50" i="4"/>
  <c r="W50" i="4"/>
  <c r="V50" i="4"/>
  <c r="U50" i="4"/>
  <c r="T50" i="4"/>
  <c r="S50" i="4"/>
  <c r="R50" i="4"/>
  <c r="Q50" i="4"/>
  <c r="P50" i="4"/>
  <c r="CV49" i="4"/>
  <c r="CU49" i="4"/>
  <c r="CT49" i="4"/>
  <c r="CS49" i="4"/>
  <c r="CQ49" i="4"/>
  <c r="CP49" i="4"/>
  <c r="CN49" i="4"/>
  <c r="CM49" i="4"/>
  <c r="CL49" i="4"/>
  <c r="CK49" i="4"/>
  <c r="CI49" i="4"/>
  <c r="CH49" i="4"/>
  <c r="CG49" i="4"/>
  <c r="CF49" i="4"/>
  <c r="CE49" i="4"/>
  <c r="CD49" i="4"/>
  <c r="CC49" i="4"/>
  <c r="BZ49" i="4"/>
  <c r="BY49" i="4"/>
  <c r="BX49" i="4"/>
  <c r="BW49" i="4"/>
  <c r="BV49" i="4"/>
  <c r="BU49" i="4"/>
  <c r="BT49" i="4"/>
  <c r="BS49" i="4"/>
  <c r="BR49" i="4"/>
  <c r="BP49" i="4"/>
  <c r="BO49" i="4"/>
  <c r="BN49" i="4"/>
  <c r="BM49" i="4"/>
  <c r="BL49" i="4"/>
  <c r="BK49" i="4"/>
  <c r="BJ49" i="4"/>
  <c r="BI49" i="4"/>
  <c r="BH49" i="4"/>
  <c r="BG49" i="4"/>
  <c r="BF49" i="4"/>
  <c r="BC49" i="4"/>
  <c r="BA49" i="4"/>
  <c r="AZ49" i="4"/>
  <c r="AX49" i="4"/>
  <c r="AW49" i="4"/>
  <c r="AV49" i="4"/>
  <c r="AU49" i="4"/>
  <c r="AT49" i="4"/>
  <c r="AS49" i="4"/>
  <c r="AR49" i="4"/>
  <c r="AQ49" i="4"/>
  <c r="AP49" i="4"/>
  <c r="AM49" i="4"/>
  <c r="AL49" i="4"/>
  <c r="AK49" i="4"/>
  <c r="AJ49" i="4"/>
  <c r="AI49" i="4"/>
  <c r="AF49" i="4"/>
  <c r="AC49" i="4"/>
  <c r="AB49" i="4"/>
  <c r="AA49" i="4"/>
  <c r="Z49" i="4"/>
  <c r="Y49" i="4"/>
  <c r="X49" i="4"/>
  <c r="W49" i="4"/>
  <c r="U49" i="4"/>
  <c r="T49" i="4"/>
  <c r="S49" i="4"/>
  <c r="Q49" i="4"/>
  <c r="P49" i="4"/>
  <c r="CV48" i="4"/>
  <c r="CU48" i="4"/>
  <c r="CT48" i="4"/>
  <c r="CS48" i="4"/>
  <c r="CQ48" i="4"/>
  <c r="CP48" i="4"/>
  <c r="CN48" i="4"/>
  <c r="CM48" i="4"/>
  <c r="CL48" i="4"/>
  <c r="CK48" i="4"/>
  <c r="CI48" i="4"/>
  <c r="CH48" i="4"/>
  <c r="CG48" i="4"/>
  <c r="CF48" i="4"/>
  <c r="CE48" i="4"/>
  <c r="CD48" i="4"/>
  <c r="CC48" i="4"/>
  <c r="BZ48" i="4"/>
  <c r="BY48" i="4"/>
  <c r="BW48" i="4"/>
  <c r="BV48" i="4"/>
  <c r="BU48" i="4"/>
  <c r="BT48" i="4"/>
  <c r="BS48" i="4"/>
  <c r="BR48" i="4"/>
  <c r="BP48" i="4"/>
  <c r="BO48" i="4"/>
  <c r="BN48" i="4"/>
  <c r="BM48" i="4"/>
  <c r="BL48" i="4"/>
  <c r="BK48" i="4"/>
  <c r="BJ48" i="4"/>
  <c r="BI48" i="4"/>
  <c r="BH48" i="4"/>
  <c r="BG48" i="4"/>
  <c r="BC48" i="4"/>
  <c r="BA48" i="4"/>
  <c r="BA47" i="4"/>
  <c r="BA46" i="4"/>
  <c r="BA44" i="4"/>
  <c r="BA45" i="4"/>
  <c r="AZ48" i="4"/>
  <c r="AX48" i="4"/>
  <c r="AW48" i="4"/>
  <c r="AV48" i="4"/>
  <c r="AU48" i="4"/>
  <c r="AT48" i="4"/>
  <c r="AS48" i="4"/>
  <c r="AR48" i="4"/>
  <c r="AQ48" i="4"/>
  <c r="AP48" i="4"/>
  <c r="AM48" i="4"/>
  <c r="AL48" i="4"/>
  <c r="AK48" i="4"/>
  <c r="AJ48" i="4"/>
  <c r="AI48" i="4"/>
  <c r="AF48" i="4"/>
  <c r="AC48" i="4"/>
  <c r="AA48" i="4"/>
  <c r="Z48" i="4"/>
  <c r="Y48" i="4"/>
  <c r="X48" i="4"/>
  <c r="W48" i="4"/>
  <c r="U48" i="4"/>
  <c r="T48" i="4"/>
  <c r="S48" i="4"/>
  <c r="R48" i="4"/>
  <c r="Q48" i="4"/>
  <c r="P48" i="4"/>
  <c r="CV47" i="4"/>
  <c r="CT47" i="4"/>
  <c r="CS47" i="4"/>
  <c r="CQ47" i="4"/>
  <c r="CP47" i="4"/>
  <c r="CN47" i="4"/>
  <c r="CM47" i="4"/>
  <c r="CL47" i="4"/>
  <c r="CK47" i="4"/>
  <c r="CI47" i="4"/>
  <c r="CH47" i="4"/>
  <c r="CG47" i="4"/>
  <c r="CF47" i="4"/>
  <c r="CD47" i="4"/>
  <c r="CC47" i="4"/>
  <c r="BZ47" i="4"/>
  <c r="BY47" i="4"/>
  <c r="BX47" i="4"/>
  <c r="BW47" i="4"/>
  <c r="BV47" i="4"/>
  <c r="BU47" i="4"/>
  <c r="BT47" i="4"/>
  <c r="BS47" i="4"/>
  <c r="BR47" i="4"/>
  <c r="BP47" i="4"/>
  <c r="BO47" i="4"/>
  <c r="BN47" i="4"/>
  <c r="BM47" i="4"/>
  <c r="BL47" i="4"/>
  <c r="BK47" i="4"/>
  <c r="BJ47" i="4"/>
  <c r="BI47" i="4"/>
  <c r="BH47" i="4"/>
  <c r="BG47" i="4"/>
  <c r="BF47" i="4"/>
  <c r="BC47" i="4"/>
  <c r="AZ47" i="4"/>
  <c r="AX47" i="4"/>
  <c r="AW47" i="4"/>
  <c r="AV47" i="4"/>
  <c r="AU47" i="4"/>
  <c r="AT47" i="4"/>
  <c r="AS47" i="4"/>
  <c r="AR47" i="4"/>
  <c r="AQ47" i="4"/>
  <c r="AP47" i="4"/>
  <c r="AM47" i="4"/>
  <c r="AL47" i="4"/>
  <c r="AK47" i="4"/>
  <c r="AJ47" i="4"/>
  <c r="AI47" i="4"/>
  <c r="AF47" i="4"/>
  <c r="AC47" i="4"/>
  <c r="AB47" i="4"/>
  <c r="AA47" i="4"/>
  <c r="Z47" i="4"/>
  <c r="Y47" i="4"/>
  <c r="X47" i="4"/>
  <c r="W47" i="4"/>
  <c r="V47" i="4"/>
  <c r="U47" i="4"/>
  <c r="T47" i="4"/>
  <c r="S47" i="4"/>
  <c r="R47" i="4"/>
  <c r="Q47" i="4"/>
  <c r="P47" i="4"/>
  <c r="CV46" i="4"/>
  <c r="CU46" i="4"/>
  <c r="CT46" i="4"/>
  <c r="CS46" i="4"/>
  <c r="CQ46" i="4"/>
  <c r="CP46" i="4"/>
  <c r="CN46" i="4"/>
  <c r="CM46" i="4"/>
  <c r="CL46" i="4"/>
  <c r="CK46" i="4"/>
  <c r="CI46" i="4"/>
  <c r="CH46" i="4"/>
  <c r="CG46" i="4"/>
  <c r="CF46" i="4"/>
  <c r="CE46" i="4"/>
  <c r="CD46" i="4"/>
  <c r="CC46" i="4"/>
  <c r="BZ46" i="4"/>
  <c r="BY46" i="4"/>
  <c r="BX46" i="4"/>
  <c r="BW46" i="4"/>
  <c r="BV46" i="4"/>
  <c r="BT46" i="4"/>
  <c r="BS46" i="4"/>
  <c r="BR46" i="4"/>
  <c r="BP46" i="4"/>
  <c r="BO46" i="4"/>
  <c r="BN46" i="4"/>
  <c r="BM46" i="4"/>
  <c r="BL46" i="4"/>
  <c r="BK46" i="4"/>
  <c r="BJ46" i="4"/>
  <c r="BI46" i="4"/>
  <c r="BH46" i="4"/>
  <c r="BG46" i="4"/>
  <c r="BF46" i="4"/>
  <c r="BC46" i="4"/>
  <c r="AZ46" i="4"/>
  <c r="AX46" i="4"/>
  <c r="AW46" i="4"/>
  <c r="AV46" i="4"/>
  <c r="AU46" i="4"/>
  <c r="AT46" i="4"/>
  <c r="AS46" i="4"/>
  <c r="AR46" i="4"/>
  <c r="AQ46" i="4"/>
  <c r="AP46" i="4"/>
  <c r="AM46" i="4"/>
  <c r="AL46" i="4"/>
  <c r="AK46" i="4"/>
  <c r="AJ46" i="4"/>
  <c r="AI46" i="4"/>
  <c r="AF46" i="4"/>
  <c r="AC46" i="4"/>
  <c r="AB46" i="4"/>
  <c r="AA46" i="4"/>
  <c r="Z46" i="4"/>
  <c r="Y46" i="4"/>
  <c r="X46" i="4"/>
  <c r="W46" i="4"/>
  <c r="V46" i="4"/>
  <c r="U46" i="4"/>
  <c r="T46" i="4"/>
  <c r="S46" i="4"/>
  <c r="R46" i="4"/>
  <c r="Q46" i="4"/>
  <c r="P46" i="4"/>
  <c r="CV45" i="4"/>
  <c r="CU45" i="4"/>
  <c r="CT45" i="4"/>
  <c r="CS45" i="4"/>
  <c r="CQ45" i="4"/>
  <c r="CP45" i="4"/>
  <c r="CN45" i="4"/>
  <c r="CM45" i="4"/>
  <c r="CL45" i="4"/>
  <c r="CK45" i="4"/>
  <c r="CI45" i="4"/>
  <c r="CH45" i="4"/>
  <c r="CG45" i="4"/>
  <c r="CF45" i="4"/>
  <c r="CD45" i="4"/>
  <c r="CC45" i="4"/>
  <c r="BZ45" i="4"/>
  <c r="BY45" i="4"/>
  <c r="BX45" i="4"/>
  <c r="BW45" i="4"/>
  <c r="BV45" i="4"/>
  <c r="BU45" i="4"/>
  <c r="BT45" i="4"/>
  <c r="R128" i="3"/>
  <c r="AI128" i="3"/>
  <c r="AJ128" i="3" s="1"/>
  <c r="AN128" i="3"/>
  <c r="AO128" i="3" s="1"/>
  <c r="AS128" i="3"/>
  <c r="AT128" i="3" s="1"/>
  <c r="AW128" i="3"/>
  <c r="AX128" i="3" s="1"/>
  <c r="BA128" i="3"/>
  <c r="BB128" i="3" s="1"/>
  <c r="BE128" i="3"/>
  <c r="BF128" i="3" s="1"/>
  <c r="BL128" i="3"/>
  <c r="BP128" i="3"/>
  <c r="BQ128" i="3" s="1"/>
  <c r="CS128" i="3"/>
  <c r="CT128" i="3"/>
  <c r="BS45" i="4"/>
  <c r="BR45" i="4"/>
  <c r="BP45" i="4"/>
  <c r="BN45" i="4"/>
  <c r="BM45" i="4"/>
  <c r="BL45" i="4"/>
  <c r="BK45" i="4"/>
  <c r="BJ45" i="4"/>
  <c r="BI45" i="4"/>
  <c r="BG45" i="4"/>
  <c r="BF45" i="4"/>
  <c r="BC45" i="4"/>
  <c r="AZ45" i="4"/>
  <c r="AX45" i="4"/>
  <c r="AW45" i="4"/>
  <c r="AV45" i="4"/>
  <c r="AU45" i="4"/>
  <c r="AT45" i="4"/>
  <c r="AS45" i="4"/>
  <c r="AR45" i="4"/>
  <c r="AQ45" i="4"/>
  <c r="AP45" i="4"/>
  <c r="AM45" i="4"/>
  <c r="AL45" i="4"/>
  <c r="AK45" i="4"/>
  <c r="AJ45" i="4"/>
  <c r="AI45" i="4"/>
  <c r="AF45" i="4"/>
  <c r="AC45" i="4"/>
  <c r="AB45" i="4"/>
  <c r="AA45" i="4"/>
  <c r="Z45" i="4"/>
  <c r="Y45" i="4"/>
  <c r="X45" i="4"/>
  <c r="X51" i="4" s="1"/>
  <c r="W45" i="4"/>
  <c r="U45" i="4"/>
  <c r="T45" i="4"/>
  <c r="BM128" i="3" l="1"/>
  <c r="BU51" i="4"/>
  <c r="O48" i="4"/>
  <c r="O49" i="4"/>
  <c r="Y51" i="4"/>
  <c r="O50" i="4"/>
  <c r="CU128" i="3"/>
  <c r="BV51" i="4"/>
  <c r="O47" i="4"/>
  <c r="BS51" i="4"/>
  <c r="O46" i="4"/>
  <c r="BN51" i="4"/>
  <c r="BT51" i="4"/>
  <c r="BA51" i="4"/>
  <c r="S45" i="4"/>
  <c r="R45" i="4"/>
  <c r="Q45" i="4"/>
  <c r="P45" i="4"/>
  <c r="O45" i="4" l="1"/>
  <c r="BD7" i="8"/>
  <c r="BE7" i="8"/>
  <c r="BF7" i="8"/>
  <c r="BG7" i="8"/>
  <c r="BH7" i="8"/>
  <c r="BI7" i="8"/>
  <c r="BJ7" i="8"/>
  <c r="BK7" i="8"/>
  <c r="BL7" i="8"/>
  <c r="BM7" i="8"/>
  <c r="BN7" i="8"/>
  <c r="BO7" i="8"/>
  <c r="BP7" i="8"/>
  <c r="BQ7" i="8"/>
  <c r="BR7" i="8"/>
  <c r="BS7" i="8"/>
  <c r="BT7" i="8"/>
  <c r="BU7" i="8"/>
  <c r="BV7" i="8"/>
  <c r="BW7" i="8"/>
  <c r="BX7" i="8"/>
  <c r="BY7" i="8"/>
  <c r="BZ7" i="8"/>
  <c r="CA7" i="8"/>
  <c r="CB7" i="8"/>
  <c r="CC7" i="8"/>
  <c r="CD7" i="8"/>
  <c r="CE7" i="8"/>
  <c r="CF7" i="8"/>
  <c r="CG7" i="8"/>
  <c r="CH7" i="8"/>
  <c r="CI7" i="8"/>
  <c r="CJ7" i="8"/>
  <c r="CK7" i="8"/>
  <c r="CL7" i="8"/>
  <c r="CM7" i="8"/>
  <c r="CN7" i="8"/>
  <c r="CO7" i="8"/>
  <c r="CP7" i="8"/>
  <c r="CQ7" i="8"/>
  <c r="CR7" i="8"/>
  <c r="CS7" i="8"/>
  <c r="CT7" i="8"/>
  <c r="CU7" i="8"/>
  <c r="CV7" i="8"/>
  <c r="CW7" i="8"/>
  <c r="CX7" i="8"/>
  <c r="CY7" i="8"/>
  <c r="CZ7" i="8"/>
  <c r="DA7" i="8"/>
  <c r="DB7" i="8"/>
  <c r="DC7" i="8"/>
  <c r="DD7" i="8"/>
  <c r="DE7" i="8"/>
  <c r="DF7" i="8"/>
  <c r="DG7" i="8"/>
  <c r="DH7" i="8"/>
  <c r="DI7" i="8"/>
  <c r="DJ7" i="8"/>
  <c r="DK7" i="8"/>
  <c r="DL7" i="8"/>
  <c r="DM7" i="8"/>
  <c r="DN7" i="8"/>
  <c r="DO7" i="8"/>
  <c r="DP7" i="8"/>
  <c r="DQ7" i="8"/>
  <c r="DR7" i="8"/>
  <c r="DS7" i="8"/>
  <c r="DT7" i="8"/>
  <c r="DU7" i="8"/>
  <c r="DV7" i="8"/>
  <c r="DW7" i="8"/>
  <c r="DX7" i="8"/>
  <c r="DY7" i="8"/>
  <c r="DZ7" i="8"/>
  <c r="EA7" i="8"/>
  <c r="EB7" i="8"/>
  <c r="EC7" i="8"/>
  <c r="ED7" i="8"/>
  <c r="EE7" i="8"/>
  <c r="EF7" i="8"/>
  <c r="EG7" i="8"/>
  <c r="EH7" i="8"/>
  <c r="EI7" i="8"/>
  <c r="EJ7" i="8"/>
  <c r="EK7" i="8"/>
  <c r="EL7" i="8"/>
  <c r="EM7" i="8"/>
  <c r="EN7" i="8"/>
  <c r="EO7" i="8"/>
  <c r="EP7" i="8"/>
  <c r="EQ7" i="8"/>
  <c r="AY7" i="8" l="1"/>
  <c r="AZ7" i="8"/>
  <c r="BA7" i="8"/>
  <c r="BB7" i="8"/>
  <c r="BC7" i="8"/>
  <c r="AN7" i="8"/>
  <c r="AO7" i="8"/>
  <c r="AP7" i="8"/>
  <c r="AQ7" i="8"/>
  <c r="AR7" i="8"/>
  <c r="AS7" i="8"/>
  <c r="AT7" i="8"/>
  <c r="AU7" i="8"/>
  <c r="AV7" i="8"/>
  <c r="AW7" i="8"/>
  <c r="AX7" i="8"/>
  <c r="Z7" i="8"/>
  <c r="AA7" i="8"/>
  <c r="AB7" i="8"/>
  <c r="AC7" i="8"/>
  <c r="AD7" i="8"/>
  <c r="AE7" i="8"/>
  <c r="AF7" i="8"/>
  <c r="AG7" i="8"/>
  <c r="AH7" i="8"/>
  <c r="AI7" i="8"/>
  <c r="AJ7" i="8"/>
  <c r="AK7" i="8"/>
  <c r="AL7" i="8"/>
  <c r="AM7" i="8"/>
  <c r="R7" i="8"/>
  <c r="S7" i="8"/>
  <c r="T7" i="8"/>
  <c r="U7" i="8"/>
  <c r="V7" i="8"/>
  <c r="W7" i="8"/>
  <c r="X7" i="8"/>
  <c r="Y7" i="8"/>
  <c r="D7" i="8"/>
  <c r="E7" i="8"/>
  <c r="F7" i="8"/>
  <c r="G7" i="8"/>
  <c r="H7" i="8"/>
  <c r="I7" i="8"/>
  <c r="J7" i="8"/>
  <c r="K7" i="8"/>
  <c r="L7" i="8"/>
  <c r="M7" i="8"/>
  <c r="N7" i="8"/>
  <c r="O7" i="8"/>
  <c r="P7" i="8"/>
  <c r="Q7" i="8"/>
  <c r="C7" i="8"/>
  <c r="B7" i="8"/>
  <c r="I6" i="8"/>
  <c r="CV44" i="4"/>
  <c r="CV51" i="4" s="1"/>
  <c r="CU44" i="4"/>
  <c r="CU51" i="4" s="1"/>
  <c r="CT44" i="4"/>
  <c r="CT51" i="4" s="1"/>
  <c r="CS44" i="4"/>
  <c r="CS51" i="4" s="1"/>
  <c r="CQ44" i="4"/>
  <c r="CQ51" i="4" s="1"/>
  <c r="CP44" i="4"/>
  <c r="CP51" i="4" s="1"/>
  <c r="CN44" i="4"/>
  <c r="CN51" i="4" s="1"/>
  <c r="CM44" i="4"/>
  <c r="CM51" i="4" s="1"/>
  <c r="CL44" i="4"/>
  <c r="CL51" i="4" s="1"/>
  <c r="CK44" i="4"/>
  <c r="CK51" i="4" s="1"/>
  <c r="CI44" i="4"/>
  <c r="CI51" i="4" s="1"/>
  <c r="CH44" i="4"/>
  <c r="CH51" i="4" s="1"/>
  <c r="CG44" i="4"/>
  <c r="CG51" i="4" s="1"/>
  <c r="CF44" i="4"/>
  <c r="CF51" i="4" s="1"/>
  <c r="CE44" i="4"/>
  <c r="CE51" i="4" s="1"/>
  <c r="CD44" i="4"/>
  <c r="CD51" i="4" s="1"/>
  <c r="CC44" i="4"/>
  <c r="CC51" i="4" s="1"/>
  <c r="BZ44" i="4"/>
  <c r="BZ51" i="4" s="1"/>
  <c r="BY44" i="4"/>
  <c r="BY51" i="4" s="1"/>
  <c r="BX44" i="4"/>
  <c r="BX51" i="4" s="1"/>
  <c r="BW44" i="4"/>
  <c r="BW51" i="4" s="1"/>
  <c r="BR44" i="4"/>
  <c r="BR51" i="4" s="1"/>
  <c r="BP44" i="4"/>
  <c r="BP51" i="4" s="1"/>
  <c r="BO44" i="4"/>
  <c r="BO51" i="4" s="1"/>
  <c r="BM44" i="4"/>
  <c r="BM51" i="4" s="1"/>
  <c r="BL44" i="4"/>
  <c r="BL51" i="4" s="1"/>
  <c r="BK44" i="4"/>
  <c r="BK51" i="4" s="1"/>
  <c r="BJ44" i="4"/>
  <c r="BJ51" i="4" s="1"/>
  <c r="BI44" i="4"/>
  <c r="BI51" i="4" s="1"/>
  <c r="BH44" i="4"/>
  <c r="BH51" i="4" s="1"/>
  <c r="BG44" i="4"/>
  <c r="BG51" i="4" s="1"/>
  <c r="BF44" i="4"/>
  <c r="BF51" i="4" s="1"/>
  <c r="BC44" i="4"/>
  <c r="BC51" i="4" s="1"/>
  <c r="AZ44" i="4"/>
  <c r="AZ51" i="4" s="1"/>
  <c r="AX44" i="4"/>
  <c r="AX51" i="4" s="1"/>
  <c r="AW44" i="4"/>
  <c r="AW51" i="4" s="1"/>
  <c r="AV44" i="4"/>
  <c r="AV51" i="4" s="1"/>
  <c r="AU44" i="4"/>
  <c r="AU51" i="4" s="1"/>
  <c r="AT44" i="4"/>
  <c r="AT51" i="4" s="1"/>
  <c r="AS44" i="4"/>
  <c r="AS51" i="4" s="1"/>
  <c r="AR44" i="4"/>
  <c r="AR51" i="4" s="1"/>
  <c r="AQ44" i="4"/>
  <c r="AQ51" i="4" s="1"/>
  <c r="AP44" i="4"/>
  <c r="AP51" i="4" s="1"/>
  <c r="AM44" i="4"/>
  <c r="AM51" i="4" s="1"/>
  <c r="AL44" i="4"/>
  <c r="AL51" i="4" s="1"/>
  <c r="AK44" i="4"/>
  <c r="AK51" i="4" s="1"/>
  <c r="AJ44" i="4"/>
  <c r="AJ51" i="4" s="1"/>
  <c r="AI44" i="4"/>
  <c r="AI51" i="4" s="1"/>
  <c r="AF44" i="4"/>
  <c r="AF51" i="4" s="1"/>
  <c r="AC44" i="4"/>
  <c r="AC51" i="4" s="1"/>
  <c r="AB44" i="4"/>
  <c r="AB51" i="4" s="1"/>
  <c r="AA44" i="4"/>
  <c r="AA51" i="4" s="1"/>
  <c r="Z44" i="4"/>
  <c r="Z51" i="4" s="1"/>
  <c r="W44" i="4"/>
  <c r="W51" i="4" s="1"/>
  <c r="V44" i="4"/>
  <c r="V51" i="4" s="1"/>
  <c r="U44" i="4"/>
  <c r="U51" i="4" s="1"/>
  <c r="T44" i="4"/>
  <c r="T51" i="4" s="1"/>
  <c r="S44" i="4"/>
  <c r="S51" i="4" s="1"/>
  <c r="R44" i="4"/>
  <c r="R51" i="4" s="1"/>
  <c r="Q44" i="4"/>
  <c r="Q51" i="4" s="1"/>
  <c r="P44" i="4"/>
  <c r="P51" i="4" s="1"/>
  <c r="Q135" i="4"/>
  <c r="R135" i="4"/>
  <c r="S135" i="4"/>
  <c r="T135" i="4"/>
  <c r="U135" i="4"/>
  <c r="V135" i="4"/>
  <c r="W135" i="4"/>
  <c r="X135" i="4"/>
  <c r="Y135" i="4"/>
  <c r="Z135" i="4"/>
  <c r="AA135" i="4"/>
  <c r="AB135" i="4"/>
  <c r="AC135" i="4"/>
  <c r="AD135" i="4"/>
  <c r="AE135" i="4"/>
  <c r="AF135" i="4"/>
  <c r="AG135" i="4"/>
  <c r="AH135" i="4"/>
  <c r="AI135" i="4"/>
  <c r="AJ135" i="4"/>
  <c r="AK135" i="4"/>
  <c r="AL135" i="4"/>
  <c r="AM135" i="4"/>
  <c r="AN135" i="4"/>
  <c r="AO135" i="4"/>
  <c r="AP135" i="4"/>
  <c r="AQ135" i="4"/>
  <c r="AR135" i="4"/>
  <c r="AS135" i="4"/>
  <c r="AT135" i="4"/>
  <c r="AU135" i="4"/>
  <c r="AV135" i="4"/>
  <c r="AW135" i="4"/>
  <c r="AX135" i="4"/>
  <c r="AY135" i="4"/>
  <c r="AZ135" i="4"/>
  <c r="BA135" i="4"/>
  <c r="BB135" i="4"/>
  <c r="BC135" i="4"/>
  <c r="BD135" i="4"/>
  <c r="BE135" i="4"/>
  <c r="BF135" i="4"/>
  <c r="BG135" i="4"/>
  <c r="BH135" i="4"/>
  <c r="BI135" i="4"/>
  <c r="BJ135" i="4"/>
  <c r="BK135" i="4"/>
  <c r="BL135" i="4"/>
  <c r="BM135" i="4"/>
  <c r="BN135" i="4"/>
  <c r="BO135" i="4"/>
  <c r="BP135" i="4"/>
  <c r="BQ135" i="4"/>
  <c r="BR135" i="4"/>
  <c r="BS135" i="4"/>
  <c r="BT135" i="4"/>
  <c r="BU135" i="4"/>
  <c r="BV135" i="4"/>
  <c r="BW135" i="4"/>
  <c r="BX135" i="4"/>
  <c r="BY135" i="4"/>
  <c r="CA135" i="4"/>
  <c r="CB135" i="4"/>
  <c r="CC135" i="4"/>
  <c r="CD135" i="4"/>
  <c r="CE135" i="4"/>
  <c r="CF135" i="4"/>
  <c r="CG135" i="4"/>
  <c r="CH135" i="4"/>
  <c r="CI135" i="4"/>
  <c r="CJ135" i="4"/>
  <c r="CK135" i="4"/>
  <c r="CL135" i="4"/>
  <c r="CM135" i="4"/>
  <c r="CN135" i="4"/>
  <c r="CO135" i="4"/>
  <c r="CQ135" i="4"/>
  <c r="CR135" i="4"/>
  <c r="CS135" i="4"/>
  <c r="CT135" i="4"/>
  <c r="CV135" i="4"/>
  <c r="P135" i="4"/>
  <c r="Q134" i="4"/>
  <c r="R134" i="4"/>
  <c r="S134" i="4"/>
  <c r="T134" i="4"/>
  <c r="U134" i="4"/>
  <c r="V134" i="4"/>
  <c r="W134" i="4"/>
  <c r="X134" i="4"/>
  <c r="Y134" i="4"/>
  <c r="Z134" i="4"/>
  <c r="AA134" i="4"/>
  <c r="AB134" i="4"/>
  <c r="AC134" i="4"/>
  <c r="AD134" i="4"/>
  <c r="AE134" i="4"/>
  <c r="AF134" i="4"/>
  <c r="AG134" i="4"/>
  <c r="AH134" i="4"/>
  <c r="AI134" i="4"/>
  <c r="AJ134" i="4"/>
  <c r="AK134" i="4"/>
  <c r="AL134" i="4"/>
  <c r="AM134" i="4"/>
  <c r="AN134" i="4"/>
  <c r="AO134" i="4"/>
  <c r="AP134" i="4"/>
  <c r="AQ134" i="4"/>
  <c r="AR134" i="4"/>
  <c r="AS134" i="4"/>
  <c r="AT134" i="4"/>
  <c r="AU134" i="4"/>
  <c r="AV134" i="4"/>
  <c r="AW134" i="4"/>
  <c r="AX134" i="4"/>
  <c r="AY134" i="4"/>
  <c r="AZ134" i="4"/>
  <c r="BA134" i="4"/>
  <c r="BB134" i="4"/>
  <c r="BC134" i="4"/>
  <c r="BD134" i="4"/>
  <c r="BE134" i="4"/>
  <c r="BF134" i="4"/>
  <c r="BG134" i="4"/>
  <c r="BH134" i="4"/>
  <c r="BI134" i="4"/>
  <c r="BJ134" i="4"/>
  <c r="BK134" i="4"/>
  <c r="BL134" i="4"/>
  <c r="BM134" i="4"/>
  <c r="BN134" i="4"/>
  <c r="BO134" i="4"/>
  <c r="BP134" i="4"/>
  <c r="BQ134" i="4"/>
  <c r="BR134" i="4"/>
  <c r="BS134" i="4"/>
  <c r="BT134" i="4"/>
  <c r="BU134" i="4"/>
  <c r="BV134" i="4"/>
  <c r="BW134" i="4"/>
  <c r="BX134" i="4"/>
  <c r="BY134" i="4"/>
  <c r="BZ134" i="4"/>
  <c r="CA134" i="4"/>
  <c r="CB134" i="4"/>
  <c r="CC134" i="4"/>
  <c r="CD134" i="4"/>
  <c r="CE134" i="4"/>
  <c r="CF134" i="4"/>
  <c r="CG134" i="4"/>
  <c r="CH134" i="4"/>
  <c r="CI134" i="4"/>
  <c r="CJ134" i="4"/>
  <c r="CK134" i="4"/>
  <c r="CL134" i="4"/>
  <c r="CM134" i="4"/>
  <c r="CN134" i="4"/>
  <c r="CO134" i="4"/>
  <c r="CP134" i="4"/>
  <c r="CQ134" i="4"/>
  <c r="CR134" i="4"/>
  <c r="CS134" i="4"/>
  <c r="CT134" i="4"/>
  <c r="CV134" i="4"/>
  <c r="P134" i="4"/>
  <c r="P133" i="4"/>
  <c r="R133" i="4"/>
  <c r="S133" i="4"/>
  <c r="T133" i="4"/>
  <c r="U133" i="4"/>
  <c r="V133" i="4"/>
  <c r="X133" i="4"/>
  <c r="Y133" i="4"/>
  <c r="Z133" i="4"/>
  <c r="AA133" i="4"/>
  <c r="AB133" i="4"/>
  <c r="AC133" i="4"/>
  <c r="AD133" i="4"/>
  <c r="AE133" i="4"/>
  <c r="AF133" i="4"/>
  <c r="AG133" i="4"/>
  <c r="AH133" i="4"/>
  <c r="AI133" i="4"/>
  <c r="AJ133" i="4"/>
  <c r="AK133" i="4"/>
  <c r="AL133" i="4"/>
  <c r="AM133" i="4"/>
  <c r="AN133" i="4"/>
  <c r="AO133" i="4"/>
  <c r="AP133" i="4"/>
  <c r="AQ133" i="4"/>
  <c r="AR133" i="4"/>
  <c r="AS133" i="4"/>
  <c r="AT133" i="4"/>
  <c r="AU133" i="4"/>
  <c r="AV133" i="4"/>
  <c r="AW133" i="4"/>
  <c r="AX133" i="4"/>
  <c r="AY133" i="4"/>
  <c r="AZ133" i="4"/>
  <c r="BA133" i="4"/>
  <c r="BB133" i="4"/>
  <c r="BC133" i="4"/>
  <c r="BD133" i="4"/>
  <c r="BE133" i="4"/>
  <c r="BF133" i="4"/>
  <c r="BG133" i="4"/>
  <c r="BH133" i="4"/>
  <c r="BI133" i="4"/>
  <c r="BJ133" i="4"/>
  <c r="BK133" i="4"/>
  <c r="BL133" i="4"/>
  <c r="BM133" i="4"/>
  <c r="BN133" i="4"/>
  <c r="BO133" i="4"/>
  <c r="BP133" i="4"/>
  <c r="BQ133" i="4"/>
  <c r="BR133" i="4"/>
  <c r="BS133" i="4"/>
  <c r="BT133" i="4"/>
  <c r="BU133" i="4"/>
  <c r="BV133" i="4"/>
  <c r="BW133" i="4"/>
  <c r="BX133" i="4"/>
  <c r="BY133" i="4"/>
  <c r="BZ133" i="4"/>
  <c r="CA133" i="4"/>
  <c r="CB133" i="4"/>
  <c r="CC133" i="4"/>
  <c r="CD133" i="4"/>
  <c r="CE133" i="4"/>
  <c r="CF133" i="4"/>
  <c r="CG133" i="4"/>
  <c r="CH133" i="4"/>
  <c r="CI133" i="4"/>
  <c r="CJ133" i="4"/>
  <c r="CK133" i="4"/>
  <c r="CL133" i="4"/>
  <c r="CM133" i="4"/>
  <c r="CN133" i="4"/>
  <c r="CO133" i="4"/>
  <c r="CP133" i="4"/>
  <c r="CQ133" i="4"/>
  <c r="CR133" i="4"/>
  <c r="CS133" i="4"/>
  <c r="CT133" i="4"/>
  <c r="CV133" i="4"/>
  <c r="P136" i="4" l="1"/>
  <c r="CT136" i="4"/>
  <c r="CP136" i="4"/>
  <c r="CL136" i="4"/>
  <c r="CH136" i="4"/>
  <c r="CD136" i="4"/>
  <c r="BZ136" i="4"/>
  <c r="BV136" i="4"/>
  <c r="BR136" i="4"/>
  <c r="BN136" i="4"/>
  <c r="BJ136" i="4"/>
  <c r="BF136" i="4"/>
  <c r="BB136" i="4"/>
  <c r="AX136" i="4"/>
  <c r="AT136" i="4"/>
  <c r="AP136" i="4"/>
  <c r="AL136" i="4"/>
  <c r="AH136" i="4"/>
  <c r="AD136" i="4"/>
  <c r="Z136" i="4"/>
  <c r="V136" i="4"/>
  <c r="R136" i="4"/>
  <c r="CT138" i="4"/>
  <c r="CT137" i="4"/>
  <c r="CO137" i="4"/>
  <c r="CO138" i="4"/>
  <c r="CK137" i="4"/>
  <c r="CK138" i="4"/>
  <c r="CG137" i="4"/>
  <c r="CG138" i="4"/>
  <c r="CC137" i="4"/>
  <c r="CC138" i="4"/>
  <c r="BX137" i="4"/>
  <c r="BX138" i="4"/>
  <c r="BT138" i="4"/>
  <c r="BT137" i="4"/>
  <c r="BP138" i="4"/>
  <c r="BP137" i="4"/>
  <c r="BL138" i="4"/>
  <c r="BL137" i="4"/>
  <c r="BH137" i="4"/>
  <c r="BH138" i="4"/>
  <c r="BD138" i="4"/>
  <c r="BD137" i="4"/>
  <c r="AZ138" i="4"/>
  <c r="AZ137" i="4"/>
  <c r="AV138" i="4"/>
  <c r="AV137" i="4"/>
  <c r="AR137" i="4"/>
  <c r="AR138" i="4"/>
  <c r="AN138" i="4"/>
  <c r="AN137" i="4"/>
  <c r="AJ138" i="4"/>
  <c r="AJ137" i="4"/>
  <c r="AF138" i="4"/>
  <c r="AF137" i="4"/>
  <c r="AB137" i="4"/>
  <c r="AB138" i="4"/>
  <c r="X138" i="4"/>
  <c r="X137" i="4"/>
  <c r="T138" i="4"/>
  <c r="T137" i="4"/>
  <c r="CS136" i="4"/>
  <c r="CO136" i="4"/>
  <c r="CK136" i="4"/>
  <c r="CG136" i="4"/>
  <c r="CC136" i="4"/>
  <c r="BY136" i="4"/>
  <c r="BU136" i="4"/>
  <c r="BQ136" i="4"/>
  <c r="BM136" i="4"/>
  <c r="BI136" i="4"/>
  <c r="BE136" i="4"/>
  <c r="BA136" i="4"/>
  <c r="AW136" i="4"/>
  <c r="AS136" i="4"/>
  <c r="AO136" i="4"/>
  <c r="AK136" i="4"/>
  <c r="AG136" i="4"/>
  <c r="AC136" i="4"/>
  <c r="Y136" i="4"/>
  <c r="U136" i="4"/>
  <c r="CS137" i="4"/>
  <c r="CS138" i="4"/>
  <c r="CN137" i="4"/>
  <c r="CN138" i="4"/>
  <c r="CJ138" i="4"/>
  <c r="CJ137" i="4"/>
  <c r="CF138" i="4"/>
  <c r="CF137" i="4"/>
  <c r="CB138" i="4"/>
  <c r="CB137" i="4"/>
  <c r="BW138" i="4"/>
  <c r="BW137" i="4"/>
  <c r="BS138" i="4"/>
  <c r="BS137" i="4"/>
  <c r="BO138" i="4"/>
  <c r="BO137" i="4"/>
  <c r="BK138" i="4"/>
  <c r="BK137" i="4"/>
  <c r="BG138" i="4"/>
  <c r="BG137" i="4"/>
  <c r="BC138" i="4"/>
  <c r="BC137" i="4"/>
  <c r="AY138" i="4"/>
  <c r="AY137" i="4"/>
  <c r="AU138" i="4"/>
  <c r="AU137" i="4"/>
  <c r="AQ138" i="4"/>
  <c r="AQ137" i="4"/>
  <c r="AM138" i="4"/>
  <c r="AM137" i="4"/>
  <c r="AI138" i="4"/>
  <c r="AI137" i="4"/>
  <c r="AE138" i="4"/>
  <c r="AE137" i="4"/>
  <c r="AA138" i="4"/>
  <c r="AA137" i="4"/>
  <c r="W137" i="4"/>
  <c r="S138" i="4"/>
  <c r="S137" i="4"/>
  <c r="CR136" i="4"/>
  <c r="CN136" i="4"/>
  <c r="CJ136" i="4"/>
  <c r="CF136" i="4"/>
  <c r="CB136" i="4"/>
  <c r="BX136" i="4"/>
  <c r="BT136" i="4"/>
  <c r="BP136" i="4"/>
  <c r="BL136" i="4"/>
  <c r="BH136" i="4"/>
  <c r="BD136" i="4"/>
  <c r="AZ136" i="4"/>
  <c r="AV136" i="4"/>
  <c r="AR136" i="4"/>
  <c r="AN136" i="4"/>
  <c r="AJ136" i="4"/>
  <c r="AF136" i="4"/>
  <c r="AB136" i="4"/>
  <c r="X136" i="4"/>
  <c r="T136" i="4"/>
  <c r="P137" i="4"/>
  <c r="P138" i="4"/>
  <c r="CR138" i="4"/>
  <c r="CR137" i="4"/>
  <c r="CM138" i="4"/>
  <c r="CM137" i="4"/>
  <c r="CI138" i="4"/>
  <c r="CI137" i="4"/>
  <c r="CE138" i="4"/>
  <c r="CE137" i="4"/>
  <c r="CA138" i="4"/>
  <c r="CA137" i="4"/>
  <c r="BV138" i="4"/>
  <c r="BV137" i="4"/>
  <c r="BR138" i="4"/>
  <c r="BR137" i="4"/>
  <c r="BN138" i="4"/>
  <c r="BN137" i="4"/>
  <c r="BJ138" i="4"/>
  <c r="BJ137" i="4"/>
  <c r="BF138" i="4"/>
  <c r="BF137" i="4"/>
  <c r="BB138" i="4"/>
  <c r="BB137" i="4"/>
  <c r="AX138" i="4"/>
  <c r="AX137" i="4"/>
  <c r="AT138" i="4"/>
  <c r="AT137" i="4"/>
  <c r="AP138" i="4"/>
  <c r="AP137" i="4"/>
  <c r="AL138" i="4"/>
  <c r="AL137" i="4"/>
  <c r="AH138" i="4"/>
  <c r="AH137" i="4"/>
  <c r="AD138" i="4"/>
  <c r="AD137" i="4"/>
  <c r="Z138" i="4"/>
  <c r="Z137" i="4"/>
  <c r="V138" i="4"/>
  <c r="V137" i="4"/>
  <c r="R138" i="4"/>
  <c r="R137" i="4"/>
  <c r="CV136" i="4"/>
  <c r="CQ136" i="4"/>
  <c r="CM136" i="4"/>
  <c r="CI136" i="4"/>
  <c r="CE136" i="4"/>
  <c r="CA136" i="4"/>
  <c r="BW136" i="4"/>
  <c r="BS136" i="4"/>
  <c r="BO136" i="4"/>
  <c r="BK136" i="4"/>
  <c r="BG136" i="4"/>
  <c r="BC136" i="4"/>
  <c r="AY136" i="4"/>
  <c r="AU136" i="4"/>
  <c r="AQ136" i="4"/>
  <c r="AM136" i="4"/>
  <c r="AI136" i="4"/>
  <c r="AE136" i="4"/>
  <c r="AA136" i="4"/>
  <c r="S136" i="4"/>
  <c r="CV138" i="4"/>
  <c r="CV137" i="4"/>
  <c r="CQ138" i="4"/>
  <c r="CQ137" i="4"/>
  <c r="CL138" i="4"/>
  <c r="CL137" i="4"/>
  <c r="CH138" i="4"/>
  <c r="CH137" i="4"/>
  <c r="CD138" i="4"/>
  <c r="CD137" i="4"/>
  <c r="BY137" i="4"/>
  <c r="BY138" i="4"/>
  <c r="BU137" i="4"/>
  <c r="BU138" i="4"/>
  <c r="BQ137" i="4"/>
  <c r="BQ138" i="4"/>
  <c r="BM137" i="4"/>
  <c r="BM138" i="4"/>
  <c r="BI137" i="4"/>
  <c r="BI138" i="4"/>
  <c r="BE137" i="4"/>
  <c r="BE138" i="4"/>
  <c r="BA137" i="4"/>
  <c r="BA138" i="4"/>
  <c r="AW137" i="4"/>
  <c r="AW138" i="4"/>
  <c r="AS137" i="4"/>
  <c r="AS138" i="4"/>
  <c r="AO137" i="4"/>
  <c r="AO138" i="4"/>
  <c r="AK137" i="4"/>
  <c r="AK138" i="4"/>
  <c r="AG137" i="4"/>
  <c r="AG138" i="4"/>
  <c r="AC137" i="4"/>
  <c r="AC138" i="4"/>
  <c r="Y137" i="4"/>
  <c r="Y138" i="4"/>
  <c r="U137" i="4"/>
  <c r="U138" i="4"/>
  <c r="Q137" i="4"/>
  <c r="O51" i="4"/>
  <c r="J117" i="6" s="1"/>
  <c r="O44" i="4"/>
  <c r="R78" i="3" l="1"/>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75" i="3"/>
  <c r="R76" i="3"/>
  <c r="R77" i="3"/>
  <c r="R74" i="3"/>
  <c r="R73" i="3"/>
  <c r="R72" i="3"/>
  <c r="R69" i="3"/>
  <c r="R70" i="3"/>
  <c r="R71" i="3"/>
  <c r="R68" i="3"/>
  <c r="R67" i="3"/>
  <c r="R65" i="3"/>
  <c r="R66" i="3"/>
  <c r="R64" i="3"/>
  <c r="R62" i="3"/>
  <c r="R63" i="3"/>
  <c r="R61" i="3"/>
  <c r="R60" i="3"/>
  <c r="R57" i="3"/>
  <c r="R58" i="3"/>
  <c r="R59" i="3"/>
  <c r="R55" i="3"/>
  <c r="R56" i="3"/>
  <c r="R53" i="3"/>
  <c r="R54" i="3"/>
  <c r="R51" i="3"/>
  <c r="R52" i="3"/>
  <c r="R50" i="3"/>
  <c r="R48" i="3"/>
  <c r="R49" i="3"/>
  <c r="R45" i="3"/>
  <c r="R46" i="3"/>
  <c r="R47" i="3"/>
  <c r="R43" i="3"/>
  <c r="R44" i="3"/>
  <c r="R42" i="3"/>
  <c r="R41" i="3"/>
  <c r="R40" i="3"/>
  <c r="R39" i="3"/>
  <c r="R36" i="3"/>
  <c r="R35" i="3"/>
  <c r="R34" i="3"/>
  <c r="R32" i="3"/>
  <c r="R33" i="3"/>
  <c r="R31" i="3"/>
  <c r="R30" i="3"/>
  <c r="R29" i="3"/>
  <c r="R28" i="3"/>
  <c r="R25" i="3"/>
  <c r="R26" i="3"/>
  <c r="R27" i="3"/>
  <c r="R24" i="3"/>
  <c r="R23" i="3"/>
  <c r="CV21" i="4"/>
  <c r="CU21" i="4"/>
  <c r="CT21" i="4"/>
  <c r="CS21" i="4"/>
  <c r="CQ21" i="4"/>
  <c r="CP21" i="4"/>
  <c r="CN21" i="4"/>
  <c r="CM21" i="4"/>
  <c r="CL21" i="4"/>
  <c r="CK21" i="4"/>
  <c r="CI21" i="4"/>
  <c r="CH21" i="4"/>
  <c r="CG21" i="4"/>
  <c r="CF21" i="4"/>
  <c r="CE21" i="4"/>
  <c r="CD21" i="4"/>
  <c r="CC21" i="4"/>
  <c r="BZ21" i="4"/>
  <c r="BY21" i="4"/>
  <c r="BX21" i="4"/>
  <c r="BW21" i="4"/>
  <c r="BV21" i="4"/>
  <c r="BU21" i="4"/>
  <c r="BT21" i="4"/>
  <c r="BS21" i="4"/>
  <c r="BR21" i="4"/>
  <c r="BP21" i="4"/>
  <c r="BO21" i="4"/>
  <c r="BN21" i="4"/>
  <c r="BM21" i="4"/>
  <c r="BL21" i="4"/>
  <c r="BK21" i="4"/>
  <c r="BJ21" i="4"/>
  <c r="BI21" i="4"/>
  <c r="BH21" i="4"/>
  <c r="BG21" i="4"/>
  <c r="BF21" i="4"/>
  <c r="BC21" i="4"/>
  <c r="BA21" i="4"/>
  <c r="AZ21" i="4"/>
  <c r="AX21" i="4"/>
  <c r="AW21" i="4"/>
  <c r="AV21" i="4"/>
  <c r="AU21" i="4"/>
  <c r="AT21" i="4"/>
  <c r="AS21" i="4"/>
  <c r="AR21" i="4"/>
  <c r="AQ21" i="4"/>
  <c r="AP21" i="4"/>
  <c r="AM21" i="4"/>
  <c r="AL21" i="4"/>
  <c r="AK21" i="4"/>
  <c r="AJ21" i="4"/>
  <c r="AI21" i="4"/>
  <c r="AF21" i="4"/>
  <c r="AC21" i="4"/>
  <c r="AB21" i="4"/>
  <c r="AA21" i="4"/>
  <c r="Z21" i="4"/>
  <c r="Y21" i="4"/>
  <c r="X21" i="4"/>
  <c r="W21" i="4"/>
  <c r="V21" i="4"/>
  <c r="U21" i="4"/>
  <c r="T21" i="4"/>
  <c r="S21" i="4"/>
  <c r="R21" i="4"/>
  <c r="Q21" i="4"/>
  <c r="P21" i="4"/>
  <c r="P10" i="4"/>
  <c r="P9" i="4" s="1"/>
  <c r="P11" i="4"/>
  <c r="P13" i="4" s="1"/>
  <c r="P12" i="4"/>
  <c r="P16" i="4"/>
  <c r="P17" i="4"/>
  <c r="P18" i="4"/>
  <c r="P60" i="4"/>
  <c r="P61" i="4"/>
  <c r="P62" i="4"/>
  <c r="P65" i="4"/>
  <c r="P67" i="4"/>
  <c r="P69" i="4"/>
  <c r="P71" i="4"/>
  <c r="P76" i="4"/>
  <c r="P78" i="4"/>
  <c r="P86" i="4"/>
  <c r="P88" i="4"/>
  <c r="P90" i="4"/>
  <c r="P92" i="4"/>
  <c r="P94" i="4"/>
  <c r="P96" i="4"/>
  <c r="P98" i="4"/>
  <c r="P100" i="4"/>
  <c r="P102" i="4"/>
  <c r="P104" i="4"/>
  <c r="P106" i="4"/>
  <c r="P108" i="4"/>
  <c r="P110" i="4"/>
  <c r="P112" i="4"/>
  <c r="P114" i="4"/>
  <c r="P116" i="4"/>
  <c r="P118" i="4"/>
  <c r="P120" i="4"/>
  <c r="P122" i="4"/>
  <c r="P124" i="4"/>
  <c r="P139" i="4"/>
  <c r="O142" i="4"/>
  <c r="Q18" i="4"/>
  <c r="R18" i="4"/>
  <c r="S18" i="4"/>
  <c r="T18" i="4"/>
  <c r="U18" i="4"/>
  <c r="V18" i="4"/>
  <c r="W18" i="4"/>
  <c r="X18" i="4"/>
  <c r="Y18" i="4"/>
  <c r="Z18" i="4"/>
  <c r="AA18" i="4"/>
  <c r="AB18" i="4"/>
  <c r="AC18" i="4"/>
  <c r="AD18" i="4"/>
  <c r="AE18" i="4"/>
  <c r="AF18" i="4"/>
  <c r="AG18" i="4"/>
  <c r="AH18" i="4"/>
  <c r="AI18" i="4"/>
  <c r="AJ18" i="4"/>
  <c r="AK18" i="4"/>
  <c r="AL18" i="4"/>
  <c r="AM18" i="4"/>
  <c r="AN18" i="4"/>
  <c r="AO18" i="4"/>
  <c r="AP18" i="4"/>
  <c r="AQ18" i="4"/>
  <c r="AR18" i="4"/>
  <c r="AS18" i="4"/>
  <c r="AT18" i="4"/>
  <c r="AU18" i="4"/>
  <c r="AV18" i="4"/>
  <c r="AW18" i="4"/>
  <c r="AX18" i="4"/>
  <c r="AY18" i="4"/>
  <c r="AZ18" i="4"/>
  <c r="BA18" i="4"/>
  <c r="BB18" i="4"/>
  <c r="BC18" i="4"/>
  <c r="BD18" i="4"/>
  <c r="BE18" i="4"/>
  <c r="BF18" i="4"/>
  <c r="BG18" i="4"/>
  <c r="BH18" i="4"/>
  <c r="BI18" i="4"/>
  <c r="BJ18" i="4"/>
  <c r="BK18" i="4"/>
  <c r="BL18" i="4"/>
  <c r="BM18" i="4"/>
  <c r="BN18" i="4"/>
  <c r="BO18" i="4"/>
  <c r="BP18" i="4"/>
  <c r="BQ18" i="4"/>
  <c r="BR18" i="4"/>
  <c r="BS18" i="4"/>
  <c r="BT18" i="4"/>
  <c r="BU18" i="4"/>
  <c r="BV18" i="4"/>
  <c r="BW18" i="4"/>
  <c r="BX18" i="4"/>
  <c r="BY18" i="4"/>
  <c r="BZ18" i="4"/>
  <c r="CA18" i="4"/>
  <c r="CB18" i="4"/>
  <c r="CC18" i="4"/>
  <c r="CD18" i="4"/>
  <c r="CE18" i="4"/>
  <c r="CF18" i="4"/>
  <c r="CG18" i="4"/>
  <c r="CH18" i="4"/>
  <c r="CI18" i="4"/>
  <c r="CJ18" i="4"/>
  <c r="CK18" i="4"/>
  <c r="CL18" i="4"/>
  <c r="CM18" i="4"/>
  <c r="CN18" i="4"/>
  <c r="CO18" i="4"/>
  <c r="CP18" i="4"/>
  <c r="CQ18" i="4"/>
  <c r="CR18" i="4"/>
  <c r="CS18" i="4"/>
  <c r="CT18" i="4"/>
  <c r="CU18" i="4"/>
  <c r="CV18" i="4"/>
  <c r="R17" i="4"/>
  <c r="S17" i="4"/>
  <c r="T17" i="4"/>
  <c r="U17" i="4"/>
  <c r="V17" i="4"/>
  <c r="W17" i="4"/>
  <c r="X17" i="4"/>
  <c r="Y17" i="4"/>
  <c r="Z17" i="4"/>
  <c r="AA17" i="4"/>
  <c r="AB17" i="4"/>
  <c r="AC17" i="4"/>
  <c r="AD17" i="4"/>
  <c r="AE17" i="4"/>
  <c r="AF17" i="4"/>
  <c r="AG17" i="4"/>
  <c r="AH17" i="4"/>
  <c r="AI17" i="4"/>
  <c r="AJ17" i="4"/>
  <c r="AK17" i="4"/>
  <c r="AL17" i="4"/>
  <c r="AM17" i="4"/>
  <c r="AN17" i="4"/>
  <c r="AO17" i="4"/>
  <c r="AP17" i="4"/>
  <c r="AQ17" i="4"/>
  <c r="AR17" i="4"/>
  <c r="AS17" i="4"/>
  <c r="AT17" i="4"/>
  <c r="AU17" i="4"/>
  <c r="AV17" i="4"/>
  <c r="AW17" i="4"/>
  <c r="AX17" i="4"/>
  <c r="AY17" i="4"/>
  <c r="AZ17" i="4"/>
  <c r="BA17" i="4"/>
  <c r="BB17" i="4"/>
  <c r="BC17" i="4"/>
  <c r="BD17" i="4"/>
  <c r="BE17" i="4"/>
  <c r="BF17" i="4"/>
  <c r="BG17" i="4"/>
  <c r="BH17" i="4"/>
  <c r="BI17" i="4"/>
  <c r="BJ17" i="4"/>
  <c r="BK17" i="4"/>
  <c r="BL17" i="4"/>
  <c r="BM17" i="4"/>
  <c r="BN17" i="4"/>
  <c r="BO17" i="4"/>
  <c r="BP17" i="4"/>
  <c r="BQ17" i="4"/>
  <c r="BR17" i="4"/>
  <c r="BS17" i="4"/>
  <c r="BT17" i="4"/>
  <c r="BU17" i="4"/>
  <c r="BV17" i="4"/>
  <c r="BW17" i="4"/>
  <c r="BX17" i="4"/>
  <c r="BY17" i="4"/>
  <c r="BZ17" i="4"/>
  <c r="CA17" i="4"/>
  <c r="CB17" i="4"/>
  <c r="CC17" i="4"/>
  <c r="CD17" i="4"/>
  <c r="CE17" i="4"/>
  <c r="CF17" i="4"/>
  <c r="CG17" i="4"/>
  <c r="CH17" i="4"/>
  <c r="CI17" i="4"/>
  <c r="CJ17" i="4"/>
  <c r="CK17" i="4"/>
  <c r="CL17" i="4"/>
  <c r="CM17" i="4"/>
  <c r="CN17" i="4"/>
  <c r="CO17" i="4"/>
  <c r="CP17" i="4"/>
  <c r="CQ17" i="4"/>
  <c r="CR17" i="4"/>
  <c r="CS17" i="4"/>
  <c r="CT17" i="4"/>
  <c r="CU17" i="4"/>
  <c r="CV17" i="4"/>
  <c r="Q17" i="4"/>
  <c r="Q16" i="4"/>
  <c r="R16" i="4"/>
  <c r="S16" i="4"/>
  <c r="T16" i="4"/>
  <c r="U16" i="4"/>
  <c r="V16" i="4"/>
  <c r="W16" i="4"/>
  <c r="X16" i="4"/>
  <c r="Y16" i="4"/>
  <c r="Z16" i="4"/>
  <c r="AA16" i="4"/>
  <c r="AB16" i="4"/>
  <c r="AC16" i="4"/>
  <c r="AD16" i="4"/>
  <c r="AE16" i="4"/>
  <c r="AF16" i="4"/>
  <c r="AG16" i="4"/>
  <c r="AH16" i="4"/>
  <c r="AI16" i="4"/>
  <c r="AJ16" i="4"/>
  <c r="AK16" i="4"/>
  <c r="AL16" i="4"/>
  <c r="AM16" i="4"/>
  <c r="AN16" i="4"/>
  <c r="AO16" i="4"/>
  <c r="AP16" i="4"/>
  <c r="AQ16" i="4"/>
  <c r="AR16" i="4"/>
  <c r="AS16" i="4"/>
  <c r="AT16" i="4"/>
  <c r="AU16" i="4"/>
  <c r="AV16" i="4"/>
  <c r="AW16" i="4"/>
  <c r="AX16" i="4"/>
  <c r="AY16" i="4"/>
  <c r="AZ16" i="4"/>
  <c r="BA16" i="4"/>
  <c r="BB16" i="4"/>
  <c r="BC16" i="4"/>
  <c r="BD16" i="4"/>
  <c r="BE16" i="4"/>
  <c r="BF16" i="4"/>
  <c r="BG16" i="4"/>
  <c r="BH16" i="4"/>
  <c r="BI16" i="4"/>
  <c r="BJ16" i="4"/>
  <c r="BK16" i="4"/>
  <c r="BL16" i="4"/>
  <c r="BM16" i="4"/>
  <c r="BN16" i="4"/>
  <c r="BO16" i="4"/>
  <c r="BP16" i="4"/>
  <c r="BQ16" i="4"/>
  <c r="BR16" i="4"/>
  <c r="BS16" i="4"/>
  <c r="BT16" i="4"/>
  <c r="BU16" i="4"/>
  <c r="BV16" i="4"/>
  <c r="BW16" i="4"/>
  <c r="BX16" i="4"/>
  <c r="BY16" i="4"/>
  <c r="BZ16" i="4"/>
  <c r="CA16" i="4"/>
  <c r="CB16" i="4"/>
  <c r="CC16" i="4"/>
  <c r="CD16" i="4"/>
  <c r="CE16" i="4"/>
  <c r="CF16" i="4"/>
  <c r="CG16" i="4"/>
  <c r="CH16" i="4"/>
  <c r="CI16" i="4"/>
  <c r="CJ16" i="4"/>
  <c r="CK16" i="4"/>
  <c r="CL16" i="4"/>
  <c r="CM16" i="4"/>
  <c r="CN16" i="4"/>
  <c r="CO16" i="4"/>
  <c r="CP16" i="4"/>
  <c r="CQ16" i="4"/>
  <c r="CR16" i="4"/>
  <c r="CS16" i="4"/>
  <c r="CT16" i="4"/>
  <c r="CU16" i="4"/>
  <c r="CV16" i="4"/>
  <c r="P275" i="4" l="1"/>
  <c r="P232" i="4"/>
  <c r="P219" i="4"/>
  <c r="P221" i="4"/>
  <c r="P223" i="4"/>
  <c r="P225" i="4"/>
  <c r="P227" i="4"/>
  <c r="P208" i="4"/>
  <c r="P165" i="4"/>
  <c r="P154" i="4"/>
  <c r="P150" i="4"/>
  <c r="P152" i="4"/>
  <c r="P163" i="4"/>
  <c r="P156" i="4"/>
  <c r="P158" i="4"/>
  <c r="P160" i="4"/>
  <c r="P79" i="4"/>
  <c r="R7" i="4"/>
  <c r="P7" i="4"/>
  <c r="P6" i="4"/>
  <c r="O16" i="4"/>
  <c r="P140" i="4"/>
  <c r="P73" i="4"/>
  <c r="P15" i="4"/>
  <c r="O18" i="4"/>
  <c r="P14" i="4"/>
  <c r="O17" i="4"/>
  <c r="P126" i="4"/>
  <c r="P117" i="4" s="1"/>
  <c r="P77" i="4"/>
  <c r="P72" i="4"/>
  <c r="P70" i="4"/>
  <c r="P68" i="4"/>
  <c r="P66" i="4"/>
  <c r="P64" i="4"/>
  <c r="P80" i="4"/>
  <c r="P128" i="4" l="1"/>
  <c r="P127" i="4"/>
  <c r="P129" i="4"/>
  <c r="P74" i="4"/>
  <c r="P75" i="4"/>
  <c r="P91" i="4"/>
  <c r="P111" i="4"/>
  <c r="P105" i="4"/>
  <c r="P123" i="4"/>
  <c r="P115" i="4"/>
  <c r="P119" i="4"/>
  <c r="P109" i="4"/>
  <c r="P89" i="4"/>
  <c r="P113" i="4"/>
  <c r="P95" i="4"/>
  <c r="P125" i="4"/>
  <c r="P93" i="4"/>
  <c r="P121" i="4"/>
  <c r="P101" i="4"/>
  <c r="P103" i="4"/>
  <c r="P107" i="4"/>
  <c r="P97" i="4"/>
  <c r="P99" i="4"/>
  <c r="P87" i="4"/>
  <c r="BN39" i="3" l="1"/>
  <c r="AB55" i="9" l="1"/>
  <c r="AC157" i="4"/>
  <c r="R78" i="4"/>
  <c r="S78" i="4"/>
  <c r="T78" i="4"/>
  <c r="U78" i="4"/>
  <c r="V78" i="4"/>
  <c r="W78" i="4"/>
  <c r="X78" i="4"/>
  <c r="Y78" i="4"/>
  <c r="Z78" i="4"/>
  <c r="AD78" i="4"/>
  <c r="AE78" i="4"/>
  <c r="AF78" i="4"/>
  <c r="AG78" i="4"/>
  <c r="AH78" i="4"/>
  <c r="AI78" i="4"/>
  <c r="AJ78" i="4"/>
  <c r="AL78" i="4"/>
  <c r="AM78" i="4"/>
  <c r="AN78" i="4"/>
  <c r="AO78" i="4"/>
  <c r="AQ78" i="4"/>
  <c r="AR78" i="4"/>
  <c r="AS78" i="4"/>
  <c r="AT78" i="4"/>
  <c r="AU78" i="4"/>
  <c r="AV78" i="4"/>
  <c r="AW78" i="4"/>
  <c r="AX78" i="4"/>
  <c r="AY78" i="4"/>
  <c r="AZ78" i="4"/>
  <c r="BA78" i="4"/>
  <c r="BB78" i="4"/>
  <c r="BC78" i="4"/>
  <c r="BD78" i="4"/>
  <c r="BE78" i="4"/>
  <c r="BF78" i="4"/>
  <c r="BG78" i="4"/>
  <c r="BH78" i="4"/>
  <c r="BJ78" i="4"/>
  <c r="BK78" i="4"/>
  <c r="BL78" i="4"/>
  <c r="BM78" i="4"/>
  <c r="BO78" i="4"/>
  <c r="BQ78" i="4"/>
  <c r="BS78" i="4"/>
  <c r="BU78" i="4"/>
  <c r="BW78" i="4"/>
  <c r="BX78" i="4"/>
  <c r="BY78" i="4"/>
  <c r="CA78" i="4"/>
  <c r="CB78" i="4"/>
  <c r="CC78" i="4"/>
  <c r="CD78" i="4"/>
  <c r="CE78" i="4"/>
  <c r="CF78" i="4"/>
  <c r="CG78" i="4"/>
  <c r="CH78" i="4"/>
  <c r="CI78" i="4"/>
  <c r="CJ78" i="4"/>
  <c r="CL78" i="4"/>
  <c r="CM78" i="4"/>
  <c r="CN78" i="4"/>
  <c r="CO78" i="4"/>
  <c r="CP78" i="4"/>
  <c r="CQ78" i="4"/>
  <c r="CR78" i="4"/>
  <c r="CT78" i="4"/>
  <c r="CU78" i="4"/>
  <c r="CV78" i="4"/>
  <c r="O157" i="4" l="1"/>
  <c r="AC159" i="4"/>
  <c r="N55" i="9"/>
  <c r="AB57" i="9"/>
  <c r="AB56" i="9"/>
  <c r="CF140" i="4"/>
  <c r="BJ140" i="4"/>
  <c r="Q139" i="4"/>
  <c r="R139" i="4"/>
  <c r="R140" i="4" s="1"/>
  <c r="S139" i="4"/>
  <c r="S140" i="4" s="1"/>
  <c r="T139" i="4"/>
  <c r="T140" i="4" s="1"/>
  <c r="U139" i="4"/>
  <c r="U140" i="4" s="1"/>
  <c r="V139" i="4"/>
  <c r="W139" i="4"/>
  <c r="W140" i="4" s="1"/>
  <c r="X139" i="4"/>
  <c r="X140" i="4" s="1"/>
  <c r="Y139" i="4"/>
  <c r="Y140" i="4" s="1"/>
  <c r="Z139" i="4"/>
  <c r="Z140" i="4" s="1"/>
  <c r="AA139" i="4"/>
  <c r="AA140" i="4" s="1"/>
  <c r="AB139" i="4"/>
  <c r="AB140" i="4" s="1"/>
  <c r="AC139" i="4"/>
  <c r="AC140" i="4" s="1"/>
  <c r="AD139" i="4"/>
  <c r="AE139" i="4"/>
  <c r="AF139" i="4"/>
  <c r="AF140" i="4" s="1"/>
  <c r="AG139" i="4"/>
  <c r="AH139" i="4"/>
  <c r="AI139" i="4"/>
  <c r="AI140" i="4" s="1"/>
  <c r="AJ139" i="4"/>
  <c r="AJ140" i="4" s="1"/>
  <c r="AK139" i="4"/>
  <c r="AK140" i="4" s="1"/>
  <c r="AL139" i="4"/>
  <c r="AL140" i="4" s="1"/>
  <c r="AM139" i="4"/>
  <c r="AM140" i="4" s="1"/>
  <c r="AN139" i="4"/>
  <c r="AO139" i="4"/>
  <c r="AP139" i="4"/>
  <c r="AP140" i="4" s="1"/>
  <c r="AQ139" i="4"/>
  <c r="AQ140" i="4" s="1"/>
  <c r="AR139" i="4"/>
  <c r="AR140" i="4" s="1"/>
  <c r="AS139" i="4"/>
  <c r="AS140" i="4" s="1"/>
  <c r="AT139" i="4"/>
  <c r="AT140" i="4" s="1"/>
  <c r="AU139" i="4"/>
  <c r="AU140" i="4" s="1"/>
  <c r="AV139" i="4"/>
  <c r="AV140" i="4" s="1"/>
  <c r="AW139" i="4"/>
  <c r="AX139" i="4"/>
  <c r="AX140" i="4" s="1"/>
  <c r="AY139" i="4"/>
  <c r="AZ139" i="4"/>
  <c r="BA139" i="4"/>
  <c r="BA140" i="4" s="1"/>
  <c r="BB139" i="4"/>
  <c r="BB140" i="4" s="1"/>
  <c r="BC139" i="4"/>
  <c r="BC140" i="4" s="1"/>
  <c r="BD139" i="4"/>
  <c r="BE139" i="4"/>
  <c r="BF139" i="4"/>
  <c r="BF140" i="4" s="1"/>
  <c r="BG139" i="4"/>
  <c r="BG140" i="4" s="1"/>
  <c r="BH139" i="4"/>
  <c r="BH140" i="4" s="1"/>
  <c r="BI139" i="4"/>
  <c r="BI140" i="4" s="1"/>
  <c r="BJ139" i="4"/>
  <c r="BK139" i="4"/>
  <c r="BK140" i="4" s="1"/>
  <c r="BL139" i="4"/>
  <c r="BL140" i="4" s="1"/>
  <c r="BM139" i="4"/>
  <c r="BM140" i="4" s="1"/>
  <c r="BN139" i="4"/>
  <c r="BN140" i="4" s="1"/>
  <c r="BO139" i="4"/>
  <c r="BO140" i="4" s="1"/>
  <c r="BP139" i="4"/>
  <c r="BP140" i="4" s="1"/>
  <c r="BQ139" i="4"/>
  <c r="BR139" i="4"/>
  <c r="BR140" i="4" s="1"/>
  <c r="BS139" i="4"/>
  <c r="BS140" i="4" s="1"/>
  <c r="BT139" i="4"/>
  <c r="BT140" i="4" s="1"/>
  <c r="BU139" i="4"/>
  <c r="BU140" i="4" s="1"/>
  <c r="BV139" i="4"/>
  <c r="BV140" i="4" s="1"/>
  <c r="BW139" i="4"/>
  <c r="BW140" i="4" s="1"/>
  <c r="BX139" i="4"/>
  <c r="BX140" i="4" s="1"/>
  <c r="BY139" i="4"/>
  <c r="BZ139" i="4"/>
  <c r="BZ140" i="4" s="1"/>
  <c r="CA139" i="4"/>
  <c r="CB139" i="4"/>
  <c r="CC139" i="4"/>
  <c r="CC140" i="4" s="1"/>
  <c r="CD139" i="4"/>
  <c r="CD140" i="4" s="1"/>
  <c r="CE139" i="4"/>
  <c r="CE140" i="4" s="1"/>
  <c r="CF139" i="4"/>
  <c r="CG139" i="4"/>
  <c r="CG140" i="4" s="1"/>
  <c r="CH139" i="4"/>
  <c r="CH140" i="4" s="1"/>
  <c r="CI139" i="4"/>
  <c r="CI140" i="4" s="1"/>
  <c r="CJ139" i="4"/>
  <c r="CK139" i="4"/>
  <c r="CK140" i="4" s="1"/>
  <c r="CL139" i="4"/>
  <c r="CL140" i="4" s="1"/>
  <c r="CN139" i="4"/>
  <c r="CN140" i="4" s="1"/>
  <c r="CO139" i="4"/>
  <c r="CQ139" i="4"/>
  <c r="CQ140" i="4" s="1"/>
  <c r="CR139" i="4"/>
  <c r="CT139" i="4"/>
  <c r="CT140" i="4" s="1"/>
  <c r="CU139" i="4"/>
  <c r="CV139" i="4"/>
  <c r="CV140" i="4" s="1"/>
  <c r="Q124" i="4"/>
  <c r="R124" i="4"/>
  <c r="S124" i="4"/>
  <c r="T124" i="4"/>
  <c r="U124" i="4"/>
  <c r="V124" i="4"/>
  <c r="X124" i="4"/>
  <c r="Y124" i="4"/>
  <c r="Z124" i="4"/>
  <c r="AA124" i="4"/>
  <c r="AB124" i="4"/>
  <c r="AC124" i="4"/>
  <c r="AD124" i="4"/>
  <c r="AE124" i="4"/>
  <c r="AF124" i="4"/>
  <c r="AG124" i="4"/>
  <c r="AH124" i="4"/>
  <c r="AI124" i="4"/>
  <c r="AJ124" i="4"/>
  <c r="AK124" i="4"/>
  <c r="AL124" i="4"/>
  <c r="AM124" i="4"/>
  <c r="AN124" i="4"/>
  <c r="AO124" i="4"/>
  <c r="AP124" i="4"/>
  <c r="AQ124" i="4"/>
  <c r="AR124" i="4"/>
  <c r="AS124" i="4"/>
  <c r="AT124" i="4"/>
  <c r="AU124" i="4"/>
  <c r="AV124" i="4"/>
  <c r="AW124" i="4"/>
  <c r="AX124" i="4"/>
  <c r="AY124" i="4"/>
  <c r="AZ124" i="4"/>
  <c r="BA124" i="4"/>
  <c r="BB124" i="4"/>
  <c r="BC124" i="4"/>
  <c r="BD124" i="4"/>
  <c r="BE124" i="4"/>
  <c r="BF124" i="4"/>
  <c r="BG124" i="4"/>
  <c r="BH124" i="4"/>
  <c r="BI124" i="4"/>
  <c r="BJ124" i="4"/>
  <c r="BK124" i="4"/>
  <c r="BL124" i="4"/>
  <c r="BM124" i="4"/>
  <c r="BN124" i="4"/>
  <c r="BO124" i="4"/>
  <c r="BP124" i="4"/>
  <c r="BQ124" i="4"/>
  <c r="BR124" i="4"/>
  <c r="BS124" i="4"/>
  <c r="BT124" i="4"/>
  <c r="BU124" i="4"/>
  <c r="BW124" i="4"/>
  <c r="BX124" i="4"/>
  <c r="BY124" i="4"/>
  <c r="BZ124" i="4"/>
  <c r="CA124" i="4"/>
  <c r="CB124" i="4"/>
  <c r="CC124" i="4"/>
  <c r="CD124" i="4"/>
  <c r="CE124" i="4"/>
  <c r="CF124" i="4"/>
  <c r="CG124" i="4"/>
  <c r="CH124" i="4"/>
  <c r="CI124" i="4"/>
  <c r="CJ124" i="4"/>
  <c r="CK124" i="4"/>
  <c r="CL124" i="4"/>
  <c r="CM124" i="4"/>
  <c r="CN124" i="4"/>
  <c r="CO124" i="4"/>
  <c r="CP124" i="4"/>
  <c r="CQ124" i="4"/>
  <c r="CR124" i="4"/>
  <c r="CS124" i="4"/>
  <c r="CT124" i="4"/>
  <c r="CU124" i="4"/>
  <c r="CV124" i="4"/>
  <c r="Q122" i="4"/>
  <c r="R122" i="4"/>
  <c r="S122" i="4"/>
  <c r="T122" i="4"/>
  <c r="U122" i="4"/>
  <c r="V122" i="4"/>
  <c r="W122" i="4"/>
  <c r="X122" i="4"/>
  <c r="Y122" i="4"/>
  <c r="Z122" i="4"/>
  <c r="AA122" i="4"/>
  <c r="AB122" i="4"/>
  <c r="AC122" i="4"/>
  <c r="AD122" i="4"/>
  <c r="AE122" i="4"/>
  <c r="AF122" i="4"/>
  <c r="AG122" i="4"/>
  <c r="AH122" i="4"/>
  <c r="AI122" i="4"/>
  <c r="AJ122" i="4"/>
  <c r="AK122" i="4"/>
  <c r="AL122" i="4"/>
  <c r="AM122" i="4"/>
  <c r="AN122" i="4"/>
  <c r="AO122" i="4"/>
  <c r="AP122" i="4"/>
  <c r="AQ122" i="4"/>
  <c r="AR122" i="4"/>
  <c r="AS122" i="4"/>
  <c r="AT122" i="4"/>
  <c r="AU122" i="4"/>
  <c r="AV122" i="4"/>
  <c r="AW122" i="4"/>
  <c r="AX122" i="4"/>
  <c r="AY122" i="4"/>
  <c r="AZ122" i="4"/>
  <c r="BA122" i="4"/>
  <c r="BB122" i="4"/>
  <c r="BC122" i="4"/>
  <c r="BD122" i="4"/>
  <c r="BE122" i="4"/>
  <c r="BF122" i="4"/>
  <c r="BG122" i="4"/>
  <c r="BH122" i="4"/>
  <c r="BI122" i="4"/>
  <c r="BJ122" i="4"/>
  <c r="BK122" i="4"/>
  <c r="BL122" i="4"/>
  <c r="BM122" i="4"/>
  <c r="BN122" i="4"/>
  <c r="BO122" i="4"/>
  <c r="BP122" i="4"/>
  <c r="BQ122" i="4"/>
  <c r="BR122" i="4"/>
  <c r="BS122" i="4"/>
  <c r="BT122" i="4"/>
  <c r="BU122" i="4"/>
  <c r="BW122" i="4"/>
  <c r="BX122" i="4"/>
  <c r="BY122" i="4"/>
  <c r="BZ122" i="4"/>
  <c r="CA122" i="4"/>
  <c r="CB122" i="4"/>
  <c r="CC122" i="4"/>
  <c r="CD122" i="4"/>
  <c r="CE122" i="4"/>
  <c r="CF122" i="4"/>
  <c r="CG122" i="4"/>
  <c r="CH122" i="4"/>
  <c r="CI122" i="4"/>
  <c r="CJ122" i="4"/>
  <c r="CK122" i="4"/>
  <c r="CL122" i="4"/>
  <c r="CM122" i="4"/>
  <c r="CN122" i="4"/>
  <c r="CO122" i="4"/>
  <c r="CP122" i="4"/>
  <c r="CQ122" i="4"/>
  <c r="CR122" i="4"/>
  <c r="CS122" i="4"/>
  <c r="CT122" i="4"/>
  <c r="CU122" i="4"/>
  <c r="CV122" i="4"/>
  <c r="Q120" i="4"/>
  <c r="R120" i="4"/>
  <c r="S120" i="4"/>
  <c r="T120" i="4"/>
  <c r="U120" i="4"/>
  <c r="V120" i="4"/>
  <c r="X120" i="4"/>
  <c r="Y120" i="4"/>
  <c r="Z120" i="4"/>
  <c r="AA120" i="4"/>
  <c r="AB120" i="4"/>
  <c r="AC120" i="4"/>
  <c r="AD120" i="4"/>
  <c r="AE120" i="4"/>
  <c r="AF120" i="4"/>
  <c r="AG120" i="4"/>
  <c r="AH120" i="4"/>
  <c r="AI120" i="4"/>
  <c r="AJ120" i="4"/>
  <c r="AK120" i="4"/>
  <c r="AL120" i="4"/>
  <c r="AM120" i="4"/>
  <c r="AN120" i="4"/>
  <c r="AO120" i="4"/>
  <c r="AP120" i="4"/>
  <c r="AQ120" i="4"/>
  <c r="AR120" i="4"/>
  <c r="AS120" i="4"/>
  <c r="AT120" i="4"/>
  <c r="AU120" i="4"/>
  <c r="AV120" i="4"/>
  <c r="AW120" i="4"/>
  <c r="AX120" i="4"/>
  <c r="AY120" i="4"/>
  <c r="AZ120" i="4"/>
  <c r="BA120" i="4"/>
  <c r="BB120" i="4"/>
  <c r="BC120" i="4"/>
  <c r="BD120" i="4"/>
  <c r="BE120" i="4"/>
  <c r="BF120" i="4"/>
  <c r="BG120" i="4"/>
  <c r="BH120" i="4"/>
  <c r="BI120" i="4"/>
  <c r="BJ120" i="4"/>
  <c r="BK120" i="4"/>
  <c r="BL120" i="4"/>
  <c r="BM120" i="4"/>
  <c r="BN120" i="4"/>
  <c r="BO120" i="4"/>
  <c r="BP120" i="4"/>
  <c r="BQ120" i="4"/>
  <c r="BR120" i="4"/>
  <c r="BS120" i="4"/>
  <c r="BT120" i="4"/>
  <c r="BU120" i="4"/>
  <c r="BV120" i="4"/>
  <c r="BW120" i="4"/>
  <c r="BX120" i="4"/>
  <c r="BY120" i="4"/>
  <c r="BZ120" i="4"/>
  <c r="CA120" i="4"/>
  <c r="CB120" i="4"/>
  <c r="CC120" i="4"/>
  <c r="CD120" i="4"/>
  <c r="CE120" i="4"/>
  <c r="CF120" i="4"/>
  <c r="CG120" i="4"/>
  <c r="CH120" i="4"/>
  <c r="CI120" i="4"/>
  <c r="CJ120" i="4"/>
  <c r="CK120" i="4"/>
  <c r="CL120" i="4"/>
  <c r="CM120" i="4"/>
  <c r="CN120" i="4"/>
  <c r="CO120" i="4"/>
  <c r="CP120" i="4"/>
  <c r="CQ120" i="4"/>
  <c r="CR120" i="4"/>
  <c r="CS120" i="4"/>
  <c r="CT120" i="4"/>
  <c r="CU120" i="4"/>
  <c r="CV120" i="4"/>
  <c r="Q118" i="4"/>
  <c r="R118" i="4"/>
  <c r="S118" i="4"/>
  <c r="T118" i="4"/>
  <c r="U118" i="4"/>
  <c r="V118" i="4"/>
  <c r="W118" i="4"/>
  <c r="X118" i="4"/>
  <c r="Y118" i="4"/>
  <c r="Z118" i="4"/>
  <c r="AA118" i="4"/>
  <c r="AB118" i="4"/>
  <c r="AC118" i="4"/>
  <c r="AD118" i="4"/>
  <c r="AE118" i="4"/>
  <c r="AF118" i="4"/>
  <c r="AG118" i="4"/>
  <c r="AH118" i="4"/>
  <c r="AI118" i="4"/>
  <c r="AJ118" i="4"/>
  <c r="AK118" i="4"/>
  <c r="AL118" i="4"/>
  <c r="AM118" i="4"/>
  <c r="AN118" i="4"/>
  <c r="AO118" i="4"/>
  <c r="AP118" i="4"/>
  <c r="AQ118" i="4"/>
  <c r="AR118" i="4"/>
  <c r="AS118" i="4"/>
  <c r="AT118" i="4"/>
  <c r="AU118" i="4"/>
  <c r="AV118" i="4"/>
  <c r="AW118" i="4"/>
  <c r="AX118" i="4"/>
  <c r="AY118" i="4"/>
  <c r="AZ118" i="4"/>
  <c r="BA118" i="4"/>
  <c r="BB118" i="4"/>
  <c r="BC118" i="4"/>
  <c r="BD118" i="4"/>
  <c r="BE118" i="4"/>
  <c r="BF118" i="4"/>
  <c r="BG118" i="4"/>
  <c r="BH118" i="4"/>
  <c r="BI118" i="4"/>
  <c r="BJ118" i="4"/>
  <c r="BK118" i="4"/>
  <c r="BL118" i="4"/>
  <c r="BM118" i="4"/>
  <c r="BN118" i="4"/>
  <c r="BO118" i="4"/>
  <c r="BP118" i="4"/>
  <c r="BQ118" i="4"/>
  <c r="BR118" i="4"/>
  <c r="BS118" i="4"/>
  <c r="BT118" i="4"/>
  <c r="BU118" i="4"/>
  <c r="BV118" i="4"/>
  <c r="BW118" i="4"/>
  <c r="BX118" i="4"/>
  <c r="BY118" i="4"/>
  <c r="BZ118" i="4"/>
  <c r="CA118" i="4"/>
  <c r="CB118" i="4"/>
  <c r="CC118" i="4"/>
  <c r="CD118" i="4"/>
  <c r="CE118" i="4"/>
  <c r="CF118" i="4"/>
  <c r="CG118" i="4"/>
  <c r="CH118" i="4"/>
  <c r="CI118" i="4"/>
  <c r="CJ118" i="4"/>
  <c r="CK118" i="4"/>
  <c r="CL118" i="4"/>
  <c r="CM118" i="4"/>
  <c r="CN118" i="4"/>
  <c r="CO118" i="4"/>
  <c r="CP118" i="4"/>
  <c r="CQ118" i="4"/>
  <c r="CR118" i="4"/>
  <c r="CS118" i="4"/>
  <c r="CT118" i="4"/>
  <c r="CU118" i="4"/>
  <c r="CV118" i="4"/>
  <c r="Q116" i="4"/>
  <c r="R116" i="4"/>
  <c r="S116" i="4"/>
  <c r="T116" i="4"/>
  <c r="U116" i="4"/>
  <c r="V116" i="4"/>
  <c r="W116" i="4"/>
  <c r="X116" i="4"/>
  <c r="Y116" i="4"/>
  <c r="Z116" i="4"/>
  <c r="AA116" i="4"/>
  <c r="AB116" i="4"/>
  <c r="AC116" i="4"/>
  <c r="AD116" i="4"/>
  <c r="AE116" i="4"/>
  <c r="AF116" i="4"/>
  <c r="AG116" i="4"/>
  <c r="AH116" i="4"/>
  <c r="AI116" i="4"/>
  <c r="AJ116" i="4"/>
  <c r="AK116" i="4"/>
  <c r="AL116" i="4"/>
  <c r="AM116" i="4"/>
  <c r="AN116" i="4"/>
  <c r="AO116" i="4"/>
  <c r="AP116" i="4"/>
  <c r="AQ116" i="4"/>
  <c r="AR116" i="4"/>
  <c r="AS116" i="4"/>
  <c r="AT116" i="4"/>
  <c r="AU116" i="4"/>
  <c r="AV116" i="4"/>
  <c r="AW116" i="4"/>
  <c r="AX116" i="4"/>
  <c r="AY116" i="4"/>
  <c r="AZ116" i="4"/>
  <c r="BA116" i="4"/>
  <c r="BB116" i="4"/>
  <c r="BC116" i="4"/>
  <c r="BD116" i="4"/>
  <c r="BE116" i="4"/>
  <c r="BF116" i="4"/>
  <c r="BG116" i="4"/>
  <c r="BH116" i="4"/>
  <c r="BI116" i="4"/>
  <c r="BJ116" i="4"/>
  <c r="BK116" i="4"/>
  <c r="BL116" i="4"/>
  <c r="BM116" i="4"/>
  <c r="BN116" i="4"/>
  <c r="BO116" i="4"/>
  <c r="BP116" i="4"/>
  <c r="BQ116" i="4"/>
  <c r="BR116" i="4"/>
  <c r="BS116" i="4"/>
  <c r="BT116" i="4"/>
  <c r="BU116" i="4"/>
  <c r="BV116" i="4"/>
  <c r="BW116" i="4"/>
  <c r="BX116" i="4"/>
  <c r="BY116" i="4"/>
  <c r="BZ116" i="4"/>
  <c r="CA116" i="4"/>
  <c r="CB116" i="4"/>
  <c r="CC116" i="4"/>
  <c r="CD116" i="4"/>
  <c r="CE116" i="4"/>
  <c r="CF116" i="4"/>
  <c r="CG116" i="4"/>
  <c r="CH116" i="4"/>
  <c r="CI116" i="4"/>
  <c r="CJ116" i="4"/>
  <c r="CK116" i="4"/>
  <c r="CL116" i="4"/>
  <c r="CM116" i="4"/>
  <c r="CN116" i="4"/>
  <c r="CO116" i="4"/>
  <c r="CP116" i="4"/>
  <c r="CQ116" i="4"/>
  <c r="CR116" i="4"/>
  <c r="CS116" i="4"/>
  <c r="CT116" i="4"/>
  <c r="CU116" i="4"/>
  <c r="CV116" i="4"/>
  <c r="Q114" i="4"/>
  <c r="R114" i="4"/>
  <c r="S114" i="4"/>
  <c r="T114" i="4"/>
  <c r="U114" i="4"/>
  <c r="V114" i="4"/>
  <c r="W114" i="4"/>
  <c r="X114" i="4"/>
  <c r="Y114" i="4"/>
  <c r="Z114" i="4"/>
  <c r="AA114" i="4"/>
  <c r="AB114" i="4"/>
  <c r="AC114" i="4"/>
  <c r="AD114" i="4"/>
  <c r="AE114" i="4"/>
  <c r="AF114" i="4"/>
  <c r="AG114" i="4"/>
  <c r="AH114" i="4"/>
  <c r="AI114" i="4"/>
  <c r="AJ114" i="4"/>
  <c r="AK114" i="4"/>
  <c r="AL114" i="4"/>
  <c r="AM114" i="4"/>
  <c r="AN114" i="4"/>
  <c r="AO114" i="4"/>
  <c r="AP114" i="4"/>
  <c r="AQ114" i="4"/>
  <c r="AR114" i="4"/>
  <c r="AS114" i="4"/>
  <c r="AT114" i="4"/>
  <c r="AU114" i="4"/>
  <c r="AV114" i="4"/>
  <c r="AW114" i="4"/>
  <c r="AX114" i="4"/>
  <c r="AY114" i="4"/>
  <c r="AZ114" i="4"/>
  <c r="BA114" i="4"/>
  <c r="BB114" i="4"/>
  <c r="BC114" i="4"/>
  <c r="BD114" i="4"/>
  <c r="BE114" i="4"/>
  <c r="BF114" i="4"/>
  <c r="BG114" i="4"/>
  <c r="BH114" i="4"/>
  <c r="BI114" i="4"/>
  <c r="BJ114" i="4"/>
  <c r="BK114" i="4"/>
  <c r="BL114" i="4"/>
  <c r="BM114" i="4"/>
  <c r="BN114" i="4"/>
  <c r="BO114" i="4"/>
  <c r="BP114" i="4"/>
  <c r="BQ114" i="4"/>
  <c r="BR114" i="4"/>
  <c r="BS114" i="4"/>
  <c r="BT114" i="4"/>
  <c r="BU114" i="4"/>
  <c r="BV114" i="4"/>
  <c r="BW114" i="4"/>
  <c r="BX114" i="4"/>
  <c r="BY114" i="4"/>
  <c r="BZ114" i="4"/>
  <c r="CA114" i="4"/>
  <c r="CB114" i="4"/>
  <c r="CC114" i="4"/>
  <c r="CD114" i="4"/>
  <c r="CE114" i="4"/>
  <c r="CF114" i="4"/>
  <c r="CG114" i="4"/>
  <c r="CH114" i="4"/>
  <c r="CI114" i="4"/>
  <c r="CJ114" i="4"/>
  <c r="CK114" i="4"/>
  <c r="CL114" i="4"/>
  <c r="CM114" i="4"/>
  <c r="CN114" i="4"/>
  <c r="CO114" i="4"/>
  <c r="CP114" i="4"/>
  <c r="CQ114" i="4"/>
  <c r="CR114" i="4"/>
  <c r="CS114" i="4"/>
  <c r="CT114" i="4"/>
  <c r="CU114" i="4"/>
  <c r="CV114" i="4"/>
  <c r="Q112" i="4"/>
  <c r="R112" i="4"/>
  <c r="S112" i="4"/>
  <c r="T112" i="4"/>
  <c r="U112" i="4"/>
  <c r="V112" i="4"/>
  <c r="W112" i="4"/>
  <c r="X112" i="4"/>
  <c r="Y112" i="4"/>
  <c r="Z112" i="4"/>
  <c r="AA112" i="4"/>
  <c r="AB112" i="4"/>
  <c r="AC112" i="4"/>
  <c r="AD112" i="4"/>
  <c r="AE112" i="4"/>
  <c r="AF112" i="4"/>
  <c r="AG112" i="4"/>
  <c r="AH112" i="4"/>
  <c r="AI112" i="4"/>
  <c r="AJ112" i="4"/>
  <c r="AK112" i="4"/>
  <c r="AL112" i="4"/>
  <c r="AM112" i="4"/>
  <c r="AN112" i="4"/>
  <c r="AO112" i="4"/>
  <c r="AP112" i="4"/>
  <c r="AQ112" i="4"/>
  <c r="AR112" i="4"/>
  <c r="AS112" i="4"/>
  <c r="AT112" i="4"/>
  <c r="AU112" i="4"/>
  <c r="AV112" i="4"/>
  <c r="AW112" i="4"/>
  <c r="AX112" i="4"/>
  <c r="AY112" i="4"/>
  <c r="AZ112" i="4"/>
  <c r="BA112" i="4"/>
  <c r="BB112" i="4"/>
  <c r="BC112" i="4"/>
  <c r="BD112" i="4"/>
  <c r="BE112" i="4"/>
  <c r="BF112" i="4"/>
  <c r="BG112" i="4"/>
  <c r="BH112" i="4"/>
  <c r="BI112" i="4"/>
  <c r="BJ112" i="4"/>
  <c r="BK112" i="4"/>
  <c r="BL112" i="4"/>
  <c r="BM112" i="4"/>
  <c r="BN112" i="4"/>
  <c r="BO112" i="4"/>
  <c r="BP112" i="4"/>
  <c r="BQ112" i="4"/>
  <c r="BR112" i="4"/>
  <c r="BS112" i="4"/>
  <c r="BT112" i="4"/>
  <c r="BU112" i="4"/>
  <c r="BV112" i="4"/>
  <c r="BW112" i="4"/>
  <c r="BX112" i="4"/>
  <c r="BY112" i="4"/>
  <c r="BZ112" i="4"/>
  <c r="CA112" i="4"/>
  <c r="CB112" i="4"/>
  <c r="CC112" i="4"/>
  <c r="CD112" i="4"/>
  <c r="CE112" i="4"/>
  <c r="CF112" i="4"/>
  <c r="CG112" i="4"/>
  <c r="CH112" i="4"/>
  <c r="CI112" i="4"/>
  <c r="CJ112" i="4"/>
  <c r="CK112" i="4"/>
  <c r="CL112" i="4"/>
  <c r="CM112" i="4"/>
  <c r="CN112" i="4"/>
  <c r="CO112" i="4"/>
  <c r="CP112" i="4"/>
  <c r="CQ112" i="4"/>
  <c r="CR112" i="4"/>
  <c r="CS112" i="4"/>
  <c r="CT112" i="4"/>
  <c r="CU112" i="4"/>
  <c r="CV112" i="4"/>
  <c r="Q110" i="4"/>
  <c r="R110" i="4"/>
  <c r="S110" i="4"/>
  <c r="T110" i="4"/>
  <c r="U110" i="4"/>
  <c r="V110" i="4"/>
  <c r="W110" i="4"/>
  <c r="X110" i="4"/>
  <c r="Y110" i="4"/>
  <c r="Z110" i="4"/>
  <c r="AA110" i="4"/>
  <c r="AB110" i="4"/>
  <c r="AC110" i="4"/>
  <c r="AD110" i="4"/>
  <c r="AE110" i="4"/>
  <c r="AF110" i="4"/>
  <c r="AG110" i="4"/>
  <c r="AH110" i="4"/>
  <c r="AI110" i="4"/>
  <c r="AJ110" i="4"/>
  <c r="AK110" i="4"/>
  <c r="AL110" i="4"/>
  <c r="AM110" i="4"/>
  <c r="AN110" i="4"/>
  <c r="AO110" i="4"/>
  <c r="AP110" i="4"/>
  <c r="AQ110" i="4"/>
  <c r="AR110" i="4"/>
  <c r="AS110" i="4"/>
  <c r="AT110" i="4"/>
  <c r="AU110" i="4"/>
  <c r="AV110" i="4"/>
  <c r="AW110" i="4"/>
  <c r="AX110" i="4"/>
  <c r="AY110" i="4"/>
  <c r="AZ110" i="4"/>
  <c r="BA110" i="4"/>
  <c r="BB110" i="4"/>
  <c r="BC110" i="4"/>
  <c r="BD110" i="4"/>
  <c r="BE110" i="4"/>
  <c r="BF110" i="4"/>
  <c r="BG110" i="4"/>
  <c r="BH110" i="4"/>
  <c r="BI110" i="4"/>
  <c r="BJ110" i="4"/>
  <c r="BK110" i="4"/>
  <c r="BL110" i="4"/>
  <c r="BM110" i="4"/>
  <c r="BN110" i="4"/>
  <c r="BO110" i="4"/>
  <c r="BP110" i="4"/>
  <c r="BQ110" i="4"/>
  <c r="BR110" i="4"/>
  <c r="BS110" i="4"/>
  <c r="BT110" i="4"/>
  <c r="BU110" i="4"/>
  <c r="BV110" i="4"/>
  <c r="BW110" i="4"/>
  <c r="BX110" i="4"/>
  <c r="BY110" i="4"/>
  <c r="BZ110" i="4"/>
  <c r="CA110" i="4"/>
  <c r="CB110" i="4"/>
  <c r="CC110" i="4"/>
  <c r="CD110" i="4"/>
  <c r="CE110" i="4"/>
  <c r="CF110" i="4"/>
  <c r="CG110" i="4"/>
  <c r="CH110" i="4"/>
  <c r="CI110" i="4"/>
  <c r="CJ110" i="4"/>
  <c r="CK110" i="4"/>
  <c r="CL110" i="4"/>
  <c r="CM110" i="4"/>
  <c r="CN110" i="4"/>
  <c r="CO110" i="4"/>
  <c r="CP110" i="4"/>
  <c r="CQ110" i="4"/>
  <c r="CR110" i="4"/>
  <c r="CS110" i="4"/>
  <c r="CT110" i="4"/>
  <c r="CU110" i="4"/>
  <c r="CV110" i="4"/>
  <c r="Q108" i="4"/>
  <c r="R108" i="4"/>
  <c r="S108" i="4"/>
  <c r="T108" i="4"/>
  <c r="U108" i="4"/>
  <c r="V108" i="4"/>
  <c r="X108" i="4"/>
  <c r="Y108" i="4"/>
  <c r="Z108" i="4"/>
  <c r="AA108" i="4"/>
  <c r="AB108" i="4"/>
  <c r="AC108" i="4"/>
  <c r="AD108" i="4"/>
  <c r="AE108" i="4"/>
  <c r="AF108" i="4"/>
  <c r="AG108" i="4"/>
  <c r="AH108" i="4"/>
  <c r="AI108" i="4"/>
  <c r="AJ108" i="4"/>
  <c r="AK108" i="4"/>
  <c r="AL108" i="4"/>
  <c r="AM108" i="4"/>
  <c r="AN108" i="4"/>
  <c r="AO108" i="4"/>
  <c r="AP108" i="4"/>
  <c r="AQ108" i="4"/>
  <c r="AR108" i="4"/>
  <c r="AS108" i="4"/>
  <c r="AT108" i="4"/>
  <c r="AU108" i="4"/>
  <c r="AV108" i="4"/>
  <c r="AW108" i="4"/>
  <c r="AX108" i="4"/>
  <c r="AY108" i="4"/>
  <c r="AZ108" i="4"/>
  <c r="BA108" i="4"/>
  <c r="BB108" i="4"/>
  <c r="BC108" i="4"/>
  <c r="BD108" i="4"/>
  <c r="BE108" i="4"/>
  <c r="BF108" i="4"/>
  <c r="BG108" i="4"/>
  <c r="BH108" i="4"/>
  <c r="BI108" i="4"/>
  <c r="BJ108" i="4"/>
  <c r="BK108" i="4"/>
  <c r="BL108" i="4"/>
  <c r="BM108" i="4"/>
  <c r="BN108" i="4"/>
  <c r="BP108" i="4"/>
  <c r="BQ108" i="4"/>
  <c r="BR108" i="4"/>
  <c r="BS108" i="4"/>
  <c r="BT108" i="4"/>
  <c r="BU108" i="4"/>
  <c r="BW108" i="4"/>
  <c r="BX108" i="4"/>
  <c r="BY108" i="4"/>
  <c r="BZ108" i="4"/>
  <c r="CA108" i="4"/>
  <c r="CB108" i="4"/>
  <c r="CC108" i="4"/>
  <c r="CD108" i="4"/>
  <c r="CE108" i="4"/>
  <c r="CF108" i="4"/>
  <c r="CG108" i="4"/>
  <c r="CH108" i="4"/>
  <c r="CI108" i="4"/>
  <c r="CJ108" i="4"/>
  <c r="CK108" i="4"/>
  <c r="CL108" i="4"/>
  <c r="CM108" i="4"/>
  <c r="CN108" i="4"/>
  <c r="CO108" i="4"/>
  <c r="CQ108" i="4"/>
  <c r="CR108" i="4"/>
  <c r="CT108" i="4"/>
  <c r="CU108" i="4"/>
  <c r="CV108" i="4"/>
  <c r="Q106" i="4"/>
  <c r="R106" i="4"/>
  <c r="S106" i="4"/>
  <c r="T106" i="4"/>
  <c r="U106" i="4"/>
  <c r="V106" i="4"/>
  <c r="X106" i="4"/>
  <c r="Y106" i="4"/>
  <c r="Z106" i="4"/>
  <c r="AA106" i="4"/>
  <c r="AB106" i="4"/>
  <c r="AC106" i="4"/>
  <c r="AD106" i="4"/>
  <c r="AE106" i="4"/>
  <c r="AF106" i="4"/>
  <c r="AG106" i="4"/>
  <c r="AH106" i="4"/>
  <c r="AI106" i="4"/>
  <c r="AJ106" i="4"/>
  <c r="AK106" i="4"/>
  <c r="AL106" i="4"/>
  <c r="AM106" i="4"/>
  <c r="AN106" i="4"/>
  <c r="AO106" i="4"/>
  <c r="AP106" i="4"/>
  <c r="AQ106" i="4"/>
  <c r="AR106" i="4"/>
  <c r="AS106" i="4"/>
  <c r="AT106" i="4"/>
  <c r="AU106" i="4"/>
  <c r="AV106" i="4"/>
  <c r="AW106" i="4"/>
  <c r="AX106" i="4"/>
  <c r="AY106" i="4"/>
  <c r="AZ106" i="4"/>
  <c r="BA106" i="4"/>
  <c r="BB106" i="4"/>
  <c r="BC106" i="4"/>
  <c r="BD106" i="4"/>
  <c r="BE106" i="4"/>
  <c r="BF106" i="4"/>
  <c r="BG106" i="4"/>
  <c r="BH106" i="4"/>
  <c r="BI106" i="4"/>
  <c r="BJ106" i="4"/>
  <c r="BK106" i="4"/>
  <c r="BL106" i="4"/>
  <c r="BM106" i="4"/>
  <c r="BN106" i="4"/>
  <c r="BO106" i="4"/>
  <c r="BP106" i="4"/>
  <c r="BQ106" i="4"/>
  <c r="BR106" i="4"/>
  <c r="BS106" i="4"/>
  <c r="BT106" i="4"/>
  <c r="BU106" i="4"/>
  <c r="BV106" i="4"/>
  <c r="BW106" i="4"/>
  <c r="BX106" i="4"/>
  <c r="BY106" i="4"/>
  <c r="BZ106" i="4"/>
  <c r="CA106" i="4"/>
  <c r="CB106" i="4"/>
  <c r="CC106" i="4"/>
  <c r="CD106" i="4"/>
  <c r="CE106" i="4"/>
  <c r="CF106" i="4"/>
  <c r="CG106" i="4"/>
  <c r="CH106" i="4"/>
  <c r="CI106" i="4"/>
  <c r="CJ106" i="4"/>
  <c r="CK106" i="4"/>
  <c r="CL106" i="4"/>
  <c r="CM106" i="4"/>
  <c r="CN106" i="4"/>
  <c r="CO106" i="4"/>
  <c r="CP106" i="4"/>
  <c r="CQ106" i="4"/>
  <c r="CR106" i="4"/>
  <c r="CT106" i="4"/>
  <c r="CU106" i="4"/>
  <c r="CV106" i="4"/>
  <c r="Q104" i="4"/>
  <c r="R104" i="4"/>
  <c r="S104" i="4"/>
  <c r="T104" i="4"/>
  <c r="U104" i="4"/>
  <c r="V104" i="4"/>
  <c r="X104" i="4"/>
  <c r="Y104" i="4"/>
  <c r="Z104" i="4"/>
  <c r="AA104" i="4"/>
  <c r="AB104" i="4"/>
  <c r="AC104" i="4"/>
  <c r="AD104" i="4"/>
  <c r="AE104" i="4"/>
  <c r="AF104" i="4"/>
  <c r="AG104" i="4"/>
  <c r="AH104" i="4"/>
  <c r="AI104" i="4"/>
  <c r="AJ104" i="4"/>
  <c r="AK104" i="4"/>
  <c r="AL104" i="4"/>
  <c r="AM104" i="4"/>
  <c r="AN104" i="4"/>
  <c r="AO104" i="4"/>
  <c r="AP104" i="4"/>
  <c r="AQ104" i="4"/>
  <c r="AR104" i="4"/>
  <c r="AS104" i="4"/>
  <c r="AT104" i="4"/>
  <c r="AU104" i="4"/>
  <c r="AV104" i="4"/>
  <c r="AW104" i="4"/>
  <c r="AX104" i="4"/>
  <c r="AY104" i="4"/>
  <c r="AZ104" i="4"/>
  <c r="BA104" i="4"/>
  <c r="BB104" i="4"/>
  <c r="BC104" i="4"/>
  <c r="BD104" i="4"/>
  <c r="BE104" i="4"/>
  <c r="BF104" i="4"/>
  <c r="BG104" i="4"/>
  <c r="BH104" i="4"/>
  <c r="BI104" i="4"/>
  <c r="BJ104" i="4"/>
  <c r="BK104" i="4"/>
  <c r="BL104" i="4"/>
  <c r="BM104" i="4"/>
  <c r="BN104" i="4"/>
  <c r="BP104" i="4"/>
  <c r="BQ104" i="4"/>
  <c r="BR104" i="4"/>
  <c r="BS104" i="4"/>
  <c r="BT104" i="4"/>
  <c r="BU104" i="4"/>
  <c r="BV104" i="4"/>
  <c r="BW104" i="4"/>
  <c r="BX104" i="4"/>
  <c r="BY104" i="4"/>
  <c r="BZ104" i="4"/>
  <c r="CA104" i="4"/>
  <c r="CB104" i="4"/>
  <c r="CC104" i="4"/>
  <c r="CD104" i="4"/>
  <c r="CE104" i="4"/>
  <c r="CF104" i="4"/>
  <c r="CG104" i="4"/>
  <c r="CH104" i="4"/>
  <c r="CI104" i="4"/>
  <c r="CJ104" i="4"/>
  <c r="CK104" i="4"/>
  <c r="CL104" i="4"/>
  <c r="CM104" i="4"/>
  <c r="CN104" i="4"/>
  <c r="CO104" i="4"/>
  <c r="CP104" i="4"/>
  <c r="CQ104" i="4"/>
  <c r="CR104" i="4"/>
  <c r="CS104" i="4"/>
  <c r="CT104" i="4"/>
  <c r="CU104" i="4"/>
  <c r="CV104" i="4"/>
  <c r="Q102" i="4"/>
  <c r="R102" i="4"/>
  <c r="S102" i="4"/>
  <c r="T102" i="4"/>
  <c r="U102" i="4"/>
  <c r="V102" i="4"/>
  <c r="W102" i="4"/>
  <c r="X102" i="4"/>
  <c r="Y102" i="4"/>
  <c r="Z102" i="4"/>
  <c r="AA102" i="4"/>
  <c r="AB102" i="4"/>
  <c r="AC102" i="4"/>
  <c r="AD102" i="4"/>
  <c r="AE102" i="4"/>
  <c r="AF102" i="4"/>
  <c r="AG102" i="4"/>
  <c r="AH102" i="4"/>
  <c r="AI102" i="4"/>
  <c r="AJ102" i="4"/>
  <c r="AK102" i="4"/>
  <c r="AL102" i="4"/>
  <c r="AM102" i="4"/>
  <c r="AN102" i="4"/>
  <c r="AO102" i="4"/>
  <c r="AP102" i="4"/>
  <c r="AQ102" i="4"/>
  <c r="AR102" i="4"/>
  <c r="AS102" i="4"/>
  <c r="AT102" i="4"/>
  <c r="AU102" i="4"/>
  <c r="AV102" i="4"/>
  <c r="AW102" i="4"/>
  <c r="AX102" i="4"/>
  <c r="AY102" i="4"/>
  <c r="AZ102" i="4"/>
  <c r="BA102" i="4"/>
  <c r="BB102" i="4"/>
  <c r="BC102" i="4"/>
  <c r="BD102" i="4"/>
  <c r="BE102" i="4"/>
  <c r="BF102" i="4"/>
  <c r="BG102" i="4"/>
  <c r="BH102" i="4"/>
  <c r="BI102" i="4"/>
  <c r="BJ102" i="4"/>
  <c r="BK102" i="4"/>
  <c r="BL102" i="4"/>
  <c r="BM102" i="4"/>
  <c r="BN102" i="4"/>
  <c r="BO102" i="4"/>
  <c r="BP102" i="4"/>
  <c r="BQ102" i="4"/>
  <c r="BR102" i="4"/>
  <c r="BS102" i="4"/>
  <c r="BT102" i="4"/>
  <c r="BU102" i="4"/>
  <c r="BW102" i="4"/>
  <c r="BX102" i="4"/>
  <c r="BY102" i="4"/>
  <c r="BZ102" i="4"/>
  <c r="CA102" i="4"/>
  <c r="CB102" i="4"/>
  <c r="CC102" i="4"/>
  <c r="CD102" i="4"/>
  <c r="CE102" i="4"/>
  <c r="CF102" i="4"/>
  <c r="CG102" i="4"/>
  <c r="CH102" i="4"/>
  <c r="CI102" i="4"/>
  <c r="CJ102" i="4"/>
  <c r="CK102" i="4"/>
  <c r="CL102" i="4"/>
  <c r="CM102" i="4"/>
  <c r="CN102" i="4"/>
  <c r="CO102" i="4"/>
  <c r="CP102" i="4"/>
  <c r="CQ102" i="4"/>
  <c r="CR102" i="4"/>
  <c r="CS102" i="4"/>
  <c r="CT102" i="4"/>
  <c r="CU102" i="4"/>
  <c r="CV102" i="4"/>
  <c r="Q100" i="4"/>
  <c r="R100" i="4"/>
  <c r="S100" i="4"/>
  <c r="T100" i="4"/>
  <c r="U100" i="4"/>
  <c r="V100" i="4"/>
  <c r="X100" i="4"/>
  <c r="Y100" i="4"/>
  <c r="Z100" i="4"/>
  <c r="AA100" i="4"/>
  <c r="AB100" i="4"/>
  <c r="AC100" i="4"/>
  <c r="AD100" i="4"/>
  <c r="AE100" i="4"/>
  <c r="AF100" i="4"/>
  <c r="AG100" i="4"/>
  <c r="AH100" i="4"/>
  <c r="AI100" i="4"/>
  <c r="AJ100" i="4"/>
  <c r="AK100" i="4"/>
  <c r="AL100" i="4"/>
  <c r="AM100" i="4"/>
  <c r="AN100" i="4"/>
  <c r="AO100" i="4"/>
  <c r="AP100" i="4"/>
  <c r="AQ100" i="4"/>
  <c r="AR100" i="4"/>
  <c r="AS100" i="4"/>
  <c r="AT100" i="4"/>
  <c r="AU100" i="4"/>
  <c r="AV100" i="4"/>
  <c r="AW100" i="4"/>
  <c r="AX100" i="4"/>
  <c r="AY100" i="4"/>
  <c r="AZ100" i="4"/>
  <c r="BA100" i="4"/>
  <c r="BB100" i="4"/>
  <c r="BC100" i="4"/>
  <c r="BD100" i="4"/>
  <c r="BE100" i="4"/>
  <c r="BF100" i="4"/>
  <c r="BG100" i="4"/>
  <c r="BH100" i="4"/>
  <c r="BI100" i="4"/>
  <c r="BJ100" i="4"/>
  <c r="BK100" i="4"/>
  <c r="BL100" i="4"/>
  <c r="BM100" i="4"/>
  <c r="BN100" i="4"/>
  <c r="BO100" i="4"/>
  <c r="BP100" i="4"/>
  <c r="BQ100" i="4"/>
  <c r="BR100" i="4"/>
  <c r="BS100" i="4"/>
  <c r="BT100" i="4"/>
  <c r="BU100" i="4"/>
  <c r="BV100" i="4"/>
  <c r="BW100" i="4"/>
  <c r="BX100" i="4"/>
  <c r="BY100" i="4"/>
  <c r="BZ100" i="4"/>
  <c r="CA100" i="4"/>
  <c r="CB100" i="4"/>
  <c r="CC100" i="4"/>
  <c r="CD100" i="4"/>
  <c r="CE100" i="4"/>
  <c r="CF100" i="4"/>
  <c r="CG100" i="4"/>
  <c r="CH100" i="4"/>
  <c r="CI100" i="4"/>
  <c r="CJ100" i="4"/>
  <c r="CK100" i="4"/>
  <c r="CL100" i="4"/>
  <c r="CM100" i="4"/>
  <c r="CN100" i="4"/>
  <c r="CO100" i="4"/>
  <c r="CP100" i="4"/>
  <c r="CQ100" i="4"/>
  <c r="CR100" i="4"/>
  <c r="CS100" i="4"/>
  <c r="CT100" i="4"/>
  <c r="CU100" i="4"/>
  <c r="CV100" i="4"/>
  <c r="Q98" i="4"/>
  <c r="R98" i="4"/>
  <c r="S98" i="4"/>
  <c r="T98" i="4"/>
  <c r="U98" i="4"/>
  <c r="V98" i="4"/>
  <c r="W98" i="4"/>
  <c r="X98" i="4"/>
  <c r="Y98" i="4"/>
  <c r="Z98" i="4"/>
  <c r="AA98" i="4"/>
  <c r="AB98" i="4"/>
  <c r="AC98" i="4"/>
  <c r="AD98" i="4"/>
  <c r="AE98" i="4"/>
  <c r="AF98" i="4"/>
  <c r="AG98" i="4"/>
  <c r="AH98" i="4"/>
  <c r="AI98" i="4"/>
  <c r="AJ98" i="4"/>
  <c r="AK98" i="4"/>
  <c r="AL98" i="4"/>
  <c r="AM98" i="4"/>
  <c r="AN98" i="4"/>
  <c r="AO98" i="4"/>
  <c r="AP98" i="4"/>
  <c r="AQ98" i="4"/>
  <c r="AR98" i="4"/>
  <c r="AS98" i="4"/>
  <c r="AT98" i="4"/>
  <c r="AU98" i="4"/>
  <c r="AV98" i="4"/>
  <c r="AW98" i="4"/>
  <c r="AX98" i="4"/>
  <c r="AY98" i="4"/>
  <c r="AZ98" i="4"/>
  <c r="BA98" i="4"/>
  <c r="BB98" i="4"/>
  <c r="BC98" i="4"/>
  <c r="BD98" i="4"/>
  <c r="BE98" i="4"/>
  <c r="BF98" i="4"/>
  <c r="BG98" i="4"/>
  <c r="BH98" i="4"/>
  <c r="BI98" i="4"/>
  <c r="BJ98" i="4"/>
  <c r="BK98" i="4"/>
  <c r="BL98" i="4"/>
  <c r="BM98" i="4"/>
  <c r="BN98" i="4"/>
  <c r="BO98" i="4"/>
  <c r="BP98" i="4"/>
  <c r="BQ98" i="4"/>
  <c r="BR98" i="4"/>
  <c r="BS98" i="4"/>
  <c r="BT98" i="4"/>
  <c r="BU98" i="4"/>
  <c r="BV98" i="4"/>
  <c r="BW98" i="4"/>
  <c r="BX98" i="4"/>
  <c r="BY98" i="4"/>
  <c r="BZ98" i="4"/>
  <c r="CA98" i="4"/>
  <c r="CB98" i="4"/>
  <c r="CC98" i="4"/>
  <c r="CD98" i="4"/>
  <c r="CE98" i="4"/>
  <c r="CF98" i="4"/>
  <c r="CG98" i="4"/>
  <c r="CH98" i="4"/>
  <c r="CI98" i="4"/>
  <c r="CJ98" i="4"/>
  <c r="CK98" i="4"/>
  <c r="CL98" i="4"/>
  <c r="CM98" i="4"/>
  <c r="CN98" i="4"/>
  <c r="CO98" i="4"/>
  <c r="CP98" i="4"/>
  <c r="CQ98" i="4"/>
  <c r="CR98" i="4"/>
  <c r="CS98" i="4"/>
  <c r="CT98" i="4"/>
  <c r="CU98" i="4"/>
  <c r="CV98" i="4"/>
  <c r="Q96" i="4"/>
  <c r="R96" i="4"/>
  <c r="S96" i="4"/>
  <c r="T96" i="4"/>
  <c r="U96" i="4"/>
  <c r="V96" i="4"/>
  <c r="X96" i="4"/>
  <c r="Y96" i="4"/>
  <c r="Z96" i="4"/>
  <c r="AA96" i="4"/>
  <c r="AB96" i="4"/>
  <c r="AC96" i="4"/>
  <c r="AD96" i="4"/>
  <c r="AE96" i="4"/>
  <c r="AF96" i="4"/>
  <c r="AG96" i="4"/>
  <c r="AH96" i="4"/>
  <c r="AI96" i="4"/>
  <c r="AJ96" i="4"/>
  <c r="AK96" i="4"/>
  <c r="AL96" i="4"/>
  <c r="AM96" i="4"/>
  <c r="AN96" i="4"/>
  <c r="AO96" i="4"/>
  <c r="AP96" i="4"/>
  <c r="AQ96" i="4"/>
  <c r="AR96" i="4"/>
  <c r="AS96" i="4"/>
  <c r="AT96" i="4"/>
  <c r="AU96" i="4"/>
  <c r="AV96" i="4"/>
  <c r="AW96" i="4"/>
  <c r="AX96" i="4"/>
  <c r="AY96" i="4"/>
  <c r="AZ96" i="4"/>
  <c r="BA96" i="4"/>
  <c r="BB96" i="4"/>
  <c r="BC96" i="4"/>
  <c r="BD96" i="4"/>
  <c r="BE96" i="4"/>
  <c r="BF96" i="4"/>
  <c r="BG96" i="4"/>
  <c r="BH96" i="4"/>
  <c r="BI96" i="4"/>
  <c r="BJ96" i="4"/>
  <c r="BK96" i="4"/>
  <c r="BL96" i="4"/>
  <c r="BM96" i="4"/>
  <c r="BN96" i="4"/>
  <c r="BO96" i="4"/>
  <c r="BP96" i="4"/>
  <c r="BQ96" i="4"/>
  <c r="BR96" i="4"/>
  <c r="BS96" i="4"/>
  <c r="BT96" i="4"/>
  <c r="BU96" i="4"/>
  <c r="BV96" i="4"/>
  <c r="BW96" i="4"/>
  <c r="BX96" i="4"/>
  <c r="BY96" i="4"/>
  <c r="BZ96" i="4"/>
  <c r="CA96" i="4"/>
  <c r="CB96" i="4"/>
  <c r="CC96" i="4"/>
  <c r="CD96" i="4"/>
  <c r="CE96" i="4"/>
  <c r="CF96" i="4"/>
  <c r="CG96" i="4"/>
  <c r="CH96" i="4"/>
  <c r="CI96" i="4"/>
  <c r="CJ96" i="4"/>
  <c r="CK96" i="4"/>
  <c r="CL96" i="4"/>
  <c r="CM96" i="4"/>
  <c r="CN96" i="4"/>
  <c r="CO96" i="4"/>
  <c r="CQ96" i="4"/>
  <c r="CR96" i="4"/>
  <c r="CS96" i="4"/>
  <c r="CT96" i="4"/>
  <c r="CU96" i="4"/>
  <c r="CV96" i="4"/>
  <c r="Q94" i="4"/>
  <c r="R94" i="4"/>
  <c r="S94" i="4"/>
  <c r="T94" i="4"/>
  <c r="U94" i="4"/>
  <c r="V94" i="4"/>
  <c r="W94" i="4"/>
  <c r="X94" i="4"/>
  <c r="Y94" i="4"/>
  <c r="Z94" i="4"/>
  <c r="AA94" i="4"/>
  <c r="AB94" i="4"/>
  <c r="AC94" i="4"/>
  <c r="AD94" i="4"/>
  <c r="AE94" i="4"/>
  <c r="AF94" i="4"/>
  <c r="AG94" i="4"/>
  <c r="AH94" i="4"/>
  <c r="AI94" i="4"/>
  <c r="AJ94" i="4"/>
  <c r="AK94" i="4"/>
  <c r="AL94" i="4"/>
  <c r="AM94" i="4"/>
  <c r="AN94" i="4"/>
  <c r="AO94" i="4"/>
  <c r="AP94" i="4"/>
  <c r="AQ94" i="4"/>
  <c r="AR94" i="4"/>
  <c r="AS94" i="4"/>
  <c r="AT94" i="4"/>
  <c r="AU94" i="4"/>
  <c r="AV94" i="4"/>
  <c r="AW94" i="4"/>
  <c r="AX94" i="4"/>
  <c r="AY94" i="4"/>
  <c r="AZ94" i="4"/>
  <c r="BA94" i="4"/>
  <c r="BB94" i="4"/>
  <c r="BC94" i="4"/>
  <c r="BD94" i="4"/>
  <c r="BE94" i="4"/>
  <c r="BF94" i="4"/>
  <c r="BG94" i="4"/>
  <c r="BH94" i="4"/>
  <c r="BI94" i="4"/>
  <c r="BJ94" i="4"/>
  <c r="BK94" i="4"/>
  <c r="BL94" i="4"/>
  <c r="BM94" i="4"/>
  <c r="BN94" i="4"/>
  <c r="BO94" i="4"/>
  <c r="BP94" i="4"/>
  <c r="BQ94" i="4"/>
  <c r="BR94" i="4"/>
  <c r="BS94" i="4"/>
  <c r="BT94" i="4"/>
  <c r="BU94" i="4"/>
  <c r="BV94" i="4"/>
  <c r="BW94" i="4"/>
  <c r="BX94" i="4"/>
  <c r="BY94" i="4"/>
  <c r="BZ94" i="4"/>
  <c r="CA94" i="4"/>
  <c r="CB94" i="4"/>
  <c r="CC94" i="4"/>
  <c r="CD94" i="4"/>
  <c r="CE94" i="4"/>
  <c r="CF94" i="4"/>
  <c r="CG94" i="4"/>
  <c r="CH94" i="4"/>
  <c r="CI94" i="4"/>
  <c r="CJ94" i="4"/>
  <c r="CK94" i="4"/>
  <c r="CL94" i="4"/>
  <c r="CM94" i="4"/>
  <c r="CN94" i="4"/>
  <c r="CO94" i="4"/>
  <c r="CP94" i="4"/>
  <c r="CQ94" i="4"/>
  <c r="CR94" i="4"/>
  <c r="CS94" i="4"/>
  <c r="CT94" i="4"/>
  <c r="CU94" i="4"/>
  <c r="CV94" i="4"/>
  <c r="Q92" i="4"/>
  <c r="R92" i="4"/>
  <c r="S92" i="4"/>
  <c r="T92" i="4"/>
  <c r="U92" i="4"/>
  <c r="V92" i="4"/>
  <c r="W92" i="4"/>
  <c r="X92" i="4"/>
  <c r="Y92" i="4"/>
  <c r="Z92" i="4"/>
  <c r="AA92" i="4"/>
  <c r="AB92" i="4"/>
  <c r="AC92" i="4"/>
  <c r="AD92" i="4"/>
  <c r="AE92" i="4"/>
  <c r="AF92" i="4"/>
  <c r="AG92" i="4"/>
  <c r="AH92" i="4"/>
  <c r="AI92" i="4"/>
  <c r="AJ92" i="4"/>
  <c r="AK92" i="4"/>
  <c r="AL92" i="4"/>
  <c r="AM92" i="4"/>
  <c r="AN92" i="4"/>
  <c r="AO92" i="4"/>
  <c r="AP92" i="4"/>
  <c r="AQ92" i="4"/>
  <c r="AR92" i="4"/>
  <c r="AS92" i="4"/>
  <c r="AT92" i="4"/>
  <c r="AU92" i="4"/>
  <c r="AV92" i="4"/>
  <c r="AW92" i="4"/>
  <c r="AX92" i="4"/>
  <c r="AY92" i="4"/>
  <c r="AZ92" i="4"/>
  <c r="BA92" i="4"/>
  <c r="BB92" i="4"/>
  <c r="BC92" i="4"/>
  <c r="BD92" i="4"/>
  <c r="BE92" i="4"/>
  <c r="BF92" i="4"/>
  <c r="BG92" i="4"/>
  <c r="BH92" i="4"/>
  <c r="BI92" i="4"/>
  <c r="BJ92" i="4"/>
  <c r="BK92" i="4"/>
  <c r="BL92" i="4"/>
  <c r="BM92" i="4"/>
  <c r="BN92" i="4"/>
  <c r="BO92" i="4"/>
  <c r="BP92" i="4"/>
  <c r="BQ92" i="4"/>
  <c r="BR92" i="4"/>
  <c r="BS92" i="4"/>
  <c r="BT92" i="4"/>
  <c r="BU92" i="4"/>
  <c r="BV92" i="4"/>
  <c r="BW92" i="4"/>
  <c r="BX92" i="4"/>
  <c r="BY92" i="4"/>
  <c r="BZ92" i="4"/>
  <c r="CA92" i="4"/>
  <c r="CB92" i="4"/>
  <c r="CC92" i="4"/>
  <c r="CD92" i="4"/>
  <c r="CE92" i="4"/>
  <c r="CF92" i="4"/>
  <c r="CG92" i="4"/>
  <c r="CH92" i="4"/>
  <c r="CI92" i="4"/>
  <c r="CJ92" i="4"/>
  <c r="CK92" i="4"/>
  <c r="CL92" i="4"/>
  <c r="CM92" i="4"/>
  <c r="CN92" i="4"/>
  <c r="CO92" i="4"/>
  <c r="CP92" i="4"/>
  <c r="CQ92" i="4"/>
  <c r="CR92" i="4"/>
  <c r="CS92" i="4"/>
  <c r="CT92" i="4"/>
  <c r="CU92" i="4"/>
  <c r="CV92" i="4"/>
  <c r="Q90" i="4"/>
  <c r="R90" i="4"/>
  <c r="S90" i="4"/>
  <c r="T90" i="4"/>
  <c r="U90" i="4"/>
  <c r="V90" i="4"/>
  <c r="X90" i="4"/>
  <c r="Y90" i="4"/>
  <c r="Z90" i="4"/>
  <c r="AA90" i="4"/>
  <c r="AB90" i="4"/>
  <c r="AC90" i="4"/>
  <c r="AD90" i="4"/>
  <c r="AE90" i="4"/>
  <c r="AF90" i="4"/>
  <c r="AG90" i="4"/>
  <c r="AH90" i="4"/>
  <c r="AI90" i="4"/>
  <c r="AJ90" i="4"/>
  <c r="AK90" i="4"/>
  <c r="AL90" i="4"/>
  <c r="AM90" i="4"/>
  <c r="AN90" i="4"/>
  <c r="AO90" i="4"/>
  <c r="AP90" i="4"/>
  <c r="AQ90" i="4"/>
  <c r="AR90" i="4"/>
  <c r="AS90" i="4"/>
  <c r="AT90" i="4"/>
  <c r="AU90" i="4"/>
  <c r="AV90" i="4"/>
  <c r="AW90" i="4"/>
  <c r="AX90" i="4"/>
  <c r="AY90" i="4"/>
  <c r="AZ90" i="4"/>
  <c r="BA90" i="4"/>
  <c r="BB90" i="4"/>
  <c r="BC90" i="4"/>
  <c r="BD90" i="4"/>
  <c r="BE90" i="4"/>
  <c r="BF90" i="4"/>
  <c r="BG90" i="4"/>
  <c r="BH90" i="4"/>
  <c r="BI90" i="4"/>
  <c r="BJ90" i="4"/>
  <c r="BK90" i="4"/>
  <c r="BL90" i="4"/>
  <c r="BM90" i="4"/>
  <c r="BN90" i="4"/>
  <c r="BO90" i="4"/>
  <c r="BP90" i="4"/>
  <c r="BQ90" i="4"/>
  <c r="BR90" i="4"/>
  <c r="BS90" i="4"/>
  <c r="BT90" i="4"/>
  <c r="BU90" i="4"/>
  <c r="BV90" i="4"/>
  <c r="BW90" i="4"/>
  <c r="BX90" i="4"/>
  <c r="BY90" i="4"/>
  <c r="BZ90" i="4"/>
  <c r="CA90" i="4"/>
  <c r="CB90" i="4"/>
  <c r="CC90" i="4"/>
  <c r="CD90" i="4"/>
  <c r="CE90" i="4"/>
  <c r="CF90" i="4"/>
  <c r="CG90" i="4"/>
  <c r="CH90" i="4"/>
  <c r="CI90" i="4"/>
  <c r="CJ90" i="4"/>
  <c r="CK90" i="4"/>
  <c r="CL90" i="4"/>
  <c r="CM90" i="4"/>
  <c r="CN90" i="4"/>
  <c r="CO90" i="4"/>
  <c r="CP90" i="4"/>
  <c r="CQ90" i="4"/>
  <c r="CR90" i="4"/>
  <c r="CS90" i="4"/>
  <c r="CT90" i="4"/>
  <c r="CU90" i="4"/>
  <c r="CV90" i="4"/>
  <c r="Q88" i="4"/>
  <c r="R88" i="4"/>
  <c r="S88" i="4"/>
  <c r="T88" i="4"/>
  <c r="U88" i="4"/>
  <c r="V88" i="4"/>
  <c r="X88" i="4"/>
  <c r="Y88" i="4"/>
  <c r="Z88" i="4"/>
  <c r="AA88" i="4"/>
  <c r="AB88" i="4"/>
  <c r="AC88" i="4"/>
  <c r="AD88" i="4"/>
  <c r="AE88" i="4"/>
  <c r="AF88" i="4"/>
  <c r="AG88" i="4"/>
  <c r="AH88" i="4"/>
  <c r="AI88" i="4"/>
  <c r="AJ88" i="4"/>
  <c r="AK88" i="4"/>
  <c r="AL88" i="4"/>
  <c r="AM88" i="4"/>
  <c r="AN88" i="4"/>
  <c r="AO88" i="4"/>
  <c r="AP88" i="4"/>
  <c r="AQ88" i="4"/>
  <c r="AR88" i="4"/>
  <c r="AS88" i="4"/>
  <c r="AT88" i="4"/>
  <c r="AU88" i="4"/>
  <c r="AV88" i="4"/>
  <c r="AW88" i="4"/>
  <c r="AX88" i="4"/>
  <c r="AY88" i="4"/>
  <c r="AZ88" i="4"/>
  <c r="BA88" i="4"/>
  <c r="BB88" i="4"/>
  <c r="BC88" i="4"/>
  <c r="BD88" i="4"/>
  <c r="BE88" i="4"/>
  <c r="BF88" i="4"/>
  <c r="BG88" i="4"/>
  <c r="BH88" i="4"/>
  <c r="BI88" i="4"/>
  <c r="BJ88" i="4"/>
  <c r="BK88" i="4"/>
  <c r="BL88" i="4"/>
  <c r="BM88" i="4"/>
  <c r="BN88" i="4"/>
  <c r="BO88" i="4"/>
  <c r="BP88" i="4"/>
  <c r="BQ88" i="4"/>
  <c r="BR88" i="4"/>
  <c r="BS88" i="4"/>
  <c r="BT88" i="4"/>
  <c r="BU88" i="4"/>
  <c r="BW88" i="4"/>
  <c r="BX88" i="4"/>
  <c r="BY88" i="4"/>
  <c r="BZ88" i="4"/>
  <c r="CA88" i="4"/>
  <c r="CB88" i="4"/>
  <c r="CC88" i="4"/>
  <c r="CD88" i="4"/>
  <c r="CE88" i="4"/>
  <c r="CF88" i="4"/>
  <c r="CG88" i="4"/>
  <c r="CH88" i="4"/>
  <c r="CI88" i="4"/>
  <c r="CJ88" i="4"/>
  <c r="CK88" i="4"/>
  <c r="CL88" i="4"/>
  <c r="CM88" i="4"/>
  <c r="CN88" i="4"/>
  <c r="CO88" i="4"/>
  <c r="CP88" i="4"/>
  <c r="CQ88" i="4"/>
  <c r="CR88" i="4"/>
  <c r="CS88" i="4"/>
  <c r="CT88" i="4"/>
  <c r="CU88" i="4"/>
  <c r="CV88" i="4"/>
  <c r="Q86" i="4"/>
  <c r="R86" i="4"/>
  <c r="S86" i="4"/>
  <c r="T86" i="4"/>
  <c r="U86" i="4"/>
  <c r="V86" i="4"/>
  <c r="X86" i="4"/>
  <c r="Y86" i="4"/>
  <c r="Z86" i="4"/>
  <c r="AA86" i="4"/>
  <c r="AB86" i="4"/>
  <c r="AC86" i="4"/>
  <c r="AD86" i="4"/>
  <c r="AE86" i="4"/>
  <c r="AF86" i="4"/>
  <c r="AG86" i="4"/>
  <c r="AH86" i="4"/>
  <c r="AI86" i="4"/>
  <c r="AJ86" i="4"/>
  <c r="AK86" i="4"/>
  <c r="AL86" i="4"/>
  <c r="AM86" i="4"/>
  <c r="AN86" i="4"/>
  <c r="AO86" i="4"/>
  <c r="AP86" i="4"/>
  <c r="AQ86" i="4"/>
  <c r="AR86" i="4"/>
  <c r="AS86" i="4"/>
  <c r="AT86" i="4"/>
  <c r="AU86" i="4"/>
  <c r="AV86" i="4"/>
  <c r="AW86" i="4"/>
  <c r="AX86" i="4"/>
  <c r="AY86" i="4"/>
  <c r="AZ86" i="4"/>
  <c r="BA86" i="4"/>
  <c r="BB86" i="4"/>
  <c r="BC86" i="4"/>
  <c r="BD86" i="4"/>
  <c r="BE86" i="4"/>
  <c r="BF86" i="4"/>
  <c r="BG86" i="4"/>
  <c r="BH86" i="4"/>
  <c r="BI86" i="4"/>
  <c r="BJ86" i="4"/>
  <c r="BK86" i="4"/>
  <c r="BL86" i="4"/>
  <c r="BM86" i="4"/>
  <c r="BN86" i="4"/>
  <c r="BO86" i="4"/>
  <c r="BP86" i="4"/>
  <c r="BQ86" i="4"/>
  <c r="BR86" i="4"/>
  <c r="BS86" i="4"/>
  <c r="BT86" i="4"/>
  <c r="BU86" i="4"/>
  <c r="BV86" i="4"/>
  <c r="BW86" i="4"/>
  <c r="BX86" i="4"/>
  <c r="BY86" i="4"/>
  <c r="BZ86" i="4"/>
  <c r="CA86" i="4"/>
  <c r="CB86" i="4"/>
  <c r="CC86" i="4"/>
  <c r="CD86" i="4"/>
  <c r="CE86" i="4"/>
  <c r="CF86" i="4"/>
  <c r="CG86" i="4"/>
  <c r="CH86" i="4"/>
  <c r="CI86" i="4"/>
  <c r="CJ86" i="4"/>
  <c r="CK86" i="4"/>
  <c r="CL86" i="4"/>
  <c r="CM86" i="4"/>
  <c r="CN86" i="4"/>
  <c r="CO86" i="4"/>
  <c r="CP86" i="4"/>
  <c r="CQ86" i="4"/>
  <c r="CR86" i="4"/>
  <c r="CS86" i="4"/>
  <c r="CT86" i="4"/>
  <c r="CU86" i="4"/>
  <c r="CV86" i="4"/>
  <c r="AI20" i="3"/>
  <c r="AI11" i="3"/>
  <c r="AF76" i="4"/>
  <c r="AG76" i="4"/>
  <c r="AH76" i="4"/>
  <c r="AI76" i="4"/>
  <c r="AJ76" i="4"/>
  <c r="AK76" i="4"/>
  <c r="AL76" i="4"/>
  <c r="AM76" i="4"/>
  <c r="AN76" i="4"/>
  <c r="AO76" i="4"/>
  <c r="AP76" i="4"/>
  <c r="AQ76" i="4"/>
  <c r="AR76" i="4"/>
  <c r="AS76" i="4"/>
  <c r="AT76" i="4"/>
  <c r="AU76" i="4"/>
  <c r="AV76" i="4"/>
  <c r="AW76" i="4"/>
  <c r="AX76" i="4"/>
  <c r="AY76" i="4"/>
  <c r="AZ76" i="4"/>
  <c r="BA76" i="4"/>
  <c r="BB76" i="4"/>
  <c r="BC76" i="4"/>
  <c r="BD76" i="4"/>
  <c r="BE76" i="4"/>
  <c r="BF76" i="4"/>
  <c r="BG76" i="4"/>
  <c r="BH76" i="4"/>
  <c r="BI76" i="4"/>
  <c r="BJ76" i="4"/>
  <c r="BK76" i="4"/>
  <c r="BL76" i="4"/>
  <c r="BM76" i="4"/>
  <c r="BN76" i="4"/>
  <c r="BO76" i="4"/>
  <c r="BP76" i="4"/>
  <c r="BQ76" i="4"/>
  <c r="BR76" i="4"/>
  <c r="BS76" i="4"/>
  <c r="BT76" i="4"/>
  <c r="BU76" i="4"/>
  <c r="BV76" i="4"/>
  <c r="BW76" i="4"/>
  <c r="BX76" i="4"/>
  <c r="BY76" i="4"/>
  <c r="BZ76" i="4"/>
  <c r="CA76" i="4"/>
  <c r="CB76" i="4"/>
  <c r="CC76" i="4"/>
  <c r="CD76" i="4"/>
  <c r="CE76" i="4"/>
  <c r="CF76" i="4"/>
  <c r="CG76" i="4"/>
  <c r="CH76" i="4"/>
  <c r="CI76" i="4"/>
  <c r="CJ76" i="4"/>
  <c r="CK76" i="4"/>
  <c r="CL76" i="4"/>
  <c r="CM76" i="4"/>
  <c r="CN76" i="4"/>
  <c r="CO76" i="4"/>
  <c r="CP76" i="4"/>
  <c r="CQ76" i="4"/>
  <c r="CR76" i="4"/>
  <c r="CS76" i="4"/>
  <c r="CT76" i="4"/>
  <c r="CU76" i="4"/>
  <c r="CV76" i="4"/>
  <c r="R76" i="4"/>
  <c r="S76" i="4"/>
  <c r="T76" i="4"/>
  <c r="U76" i="4"/>
  <c r="V76" i="4"/>
  <c r="W76" i="4"/>
  <c r="X76" i="4"/>
  <c r="Y76" i="4"/>
  <c r="Z76" i="4"/>
  <c r="AA76" i="4"/>
  <c r="AB76" i="4"/>
  <c r="AC76" i="4"/>
  <c r="AD76" i="4"/>
  <c r="AE76" i="4"/>
  <c r="Q71" i="4"/>
  <c r="R71" i="4"/>
  <c r="S71" i="4"/>
  <c r="T71" i="4"/>
  <c r="U71" i="4"/>
  <c r="V71" i="4"/>
  <c r="W71" i="4"/>
  <c r="X71" i="4"/>
  <c r="Y71" i="4"/>
  <c r="Z71" i="4"/>
  <c r="AA71" i="4"/>
  <c r="AB71" i="4"/>
  <c r="AC71" i="4"/>
  <c r="AD71" i="4"/>
  <c r="AE71" i="4"/>
  <c r="AF71" i="4"/>
  <c r="AG71" i="4"/>
  <c r="AH71" i="4"/>
  <c r="AI71" i="4"/>
  <c r="AJ71" i="4"/>
  <c r="AK71" i="4"/>
  <c r="AL71" i="4"/>
  <c r="AM71" i="4"/>
  <c r="AN71" i="4"/>
  <c r="AO71" i="4"/>
  <c r="AP71" i="4"/>
  <c r="AQ71" i="4"/>
  <c r="AR71" i="4"/>
  <c r="AS71" i="4"/>
  <c r="AT71" i="4"/>
  <c r="AU71" i="4"/>
  <c r="AV71" i="4"/>
  <c r="AW71" i="4"/>
  <c r="AX71" i="4"/>
  <c r="AY71" i="4"/>
  <c r="AZ71" i="4"/>
  <c r="BA71" i="4"/>
  <c r="BB71" i="4"/>
  <c r="BC71" i="4"/>
  <c r="BD71" i="4"/>
  <c r="BE71" i="4"/>
  <c r="BF71" i="4"/>
  <c r="BG71" i="4"/>
  <c r="BH71" i="4"/>
  <c r="BI71" i="4"/>
  <c r="BJ71" i="4"/>
  <c r="BK71" i="4"/>
  <c r="BL71" i="4"/>
  <c r="BM71" i="4"/>
  <c r="BN71" i="4"/>
  <c r="BO71" i="4"/>
  <c r="BP71" i="4"/>
  <c r="BQ71" i="4"/>
  <c r="BR71" i="4"/>
  <c r="BS71" i="4"/>
  <c r="BT71" i="4"/>
  <c r="BU71" i="4"/>
  <c r="BV71" i="4"/>
  <c r="BW71" i="4"/>
  <c r="BX71" i="4"/>
  <c r="BY71" i="4"/>
  <c r="BZ71" i="4"/>
  <c r="CA71" i="4"/>
  <c r="CB71" i="4"/>
  <c r="CC71" i="4"/>
  <c r="CD71" i="4"/>
  <c r="CE71" i="4"/>
  <c r="CF71" i="4"/>
  <c r="CG71" i="4"/>
  <c r="CH71" i="4"/>
  <c r="CI71" i="4"/>
  <c r="CJ71" i="4"/>
  <c r="CK71" i="4"/>
  <c r="CL71" i="4"/>
  <c r="CM71" i="4"/>
  <c r="CN71" i="4"/>
  <c r="CO71" i="4"/>
  <c r="CP71" i="4"/>
  <c r="CQ71" i="4"/>
  <c r="CR71" i="4"/>
  <c r="CS71" i="4"/>
  <c r="CT71" i="4"/>
  <c r="CU71" i="4"/>
  <c r="CV71" i="4"/>
  <c r="Q69" i="4"/>
  <c r="R69" i="4"/>
  <c r="S69" i="4"/>
  <c r="T69" i="4"/>
  <c r="U69" i="4"/>
  <c r="V69" i="4"/>
  <c r="W69" i="4"/>
  <c r="X69" i="4"/>
  <c r="Y69" i="4"/>
  <c r="Z69" i="4"/>
  <c r="AA69" i="4"/>
  <c r="AB69" i="4"/>
  <c r="AC69" i="4"/>
  <c r="AD69" i="4"/>
  <c r="AE69" i="4"/>
  <c r="AF69" i="4"/>
  <c r="AG69" i="4"/>
  <c r="AH69" i="4"/>
  <c r="AI69" i="4"/>
  <c r="AJ69" i="4"/>
  <c r="AK69" i="4"/>
  <c r="AL69" i="4"/>
  <c r="AM69" i="4"/>
  <c r="AN69" i="4"/>
  <c r="AO69" i="4"/>
  <c r="AP69" i="4"/>
  <c r="AQ69" i="4"/>
  <c r="AR69" i="4"/>
  <c r="AS69" i="4"/>
  <c r="AT69" i="4"/>
  <c r="AU69" i="4"/>
  <c r="AV69" i="4"/>
  <c r="AW69" i="4"/>
  <c r="AX69" i="4"/>
  <c r="AY69" i="4"/>
  <c r="AZ69" i="4"/>
  <c r="BA69" i="4"/>
  <c r="BB69" i="4"/>
  <c r="BC69" i="4"/>
  <c r="BD69" i="4"/>
  <c r="BE69" i="4"/>
  <c r="BF69" i="4"/>
  <c r="BG69" i="4"/>
  <c r="BH69" i="4"/>
  <c r="BI69" i="4"/>
  <c r="BJ69" i="4"/>
  <c r="BK69" i="4"/>
  <c r="BL69" i="4"/>
  <c r="BM69" i="4"/>
  <c r="BN69" i="4"/>
  <c r="BO69" i="4"/>
  <c r="BP69" i="4"/>
  <c r="BQ69" i="4"/>
  <c r="BR69" i="4"/>
  <c r="BS69" i="4"/>
  <c r="BT69" i="4"/>
  <c r="BU69" i="4"/>
  <c r="BV69" i="4"/>
  <c r="BW69" i="4"/>
  <c r="BX69" i="4"/>
  <c r="BY69" i="4"/>
  <c r="BZ69" i="4"/>
  <c r="CA69" i="4"/>
  <c r="CB69" i="4"/>
  <c r="CC69" i="4"/>
  <c r="CD69" i="4"/>
  <c r="CE69" i="4"/>
  <c r="CF69" i="4"/>
  <c r="CG69" i="4"/>
  <c r="CH69" i="4"/>
  <c r="CI69" i="4"/>
  <c r="CJ69" i="4"/>
  <c r="CK69" i="4"/>
  <c r="CL69" i="4"/>
  <c r="CM69" i="4"/>
  <c r="CN69" i="4"/>
  <c r="CO69" i="4"/>
  <c r="CP69" i="4"/>
  <c r="CQ69" i="4"/>
  <c r="CR69" i="4"/>
  <c r="CS69" i="4"/>
  <c r="CT69" i="4"/>
  <c r="CU69" i="4"/>
  <c r="CV69" i="4"/>
  <c r="AB110" i="9" l="1"/>
  <c r="AB59" i="9"/>
  <c r="AB58" i="9"/>
  <c r="H51" i="11"/>
  <c r="H22" i="11"/>
  <c r="AC161" i="4"/>
  <c r="AC210" i="4"/>
  <c r="O159" i="4"/>
  <c r="F135" i="6"/>
  <c r="F132" i="6" s="1"/>
  <c r="O69" i="4"/>
  <c r="O71" i="4"/>
  <c r="O110" i="4"/>
  <c r="L77" i="6" s="1"/>
  <c r="O112" i="4"/>
  <c r="L78" i="6" s="1"/>
  <c r="O114" i="4"/>
  <c r="L79" i="6" s="1"/>
  <c r="O116" i="4"/>
  <c r="L80" i="6" s="1"/>
  <c r="O118" i="4"/>
  <c r="L81" i="6" s="1"/>
  <c r="O92" i="4"/>
  <c r="L68" i="6" s="1"/>
  <c r="O94" i="4"/>
  <c r="L69" i="6" s="1"/>
  <c r="Q140" i="4"/>
  <c r="O98" i="4"/>
  <c r="L71" i="6" s="1"/>
  <c r="CO126" i="4"/>
  <c r="CK126" i="4"/>
  <c r="CK95" i="4" s="1"/>
  <c r="CG126" i="4"/>
  <c r="CG121" i="4" s="1"/>
  <c r="CC126" i="4"/>
  <c r="BY126" i="4"/>
  <c r="BU126" i="4"/>
  <c r="BU103" i="4" s="1"/>
  <c r="BQ126" i="4"/>
  <c r="BQ125" i="4" s="1"/>
  <c r="BM126" i="4"/>
  <c r="BM117" i="4" s="1"/>
  <c r="BI126" i="4"/>
  <c r="BE126" i="4"/>
  <c r="BE89" i="4" s="1"/>
  <c r="BA126" i="4"/>
  <c r="BA119" i="4" s="1"/>
  <c r="AW126" i="4"/>
  <c r="AW113" i="4" s="1"/>
  <c r="AS126" i="4"/>
  <c r="AO126" i="4"/>
  <c r="AO99" i="4" s="1"/>
  <c r="AK126" i="4"/>
  <c r="AK121" i="4" s="1"/>
  <c r="AG126" i="4"/>
  <c r="AG123" i="4" s="1"/>
  <c r="AC126" i="4"/>
  <c r="Y126" i="4"/>
  <c r="Y95" i="4" s="1"/>
  <c r="U126" i="4"/>
  <c r="U121" i="4" s="1"/>
  <c r="Q126" i="4"/>
  <c r="Q119" i="4" s="1"/>
  <c r="CU126" i="4"/>
  <c r="CQ126" i="4"/>
  <c r="CQ121" i="4" s="1"/>
  <c r="CM126" i="4"/>
  <c r="CM117" i="4" s="1"/>
  <c r="CI126" i="4"/>
  <c r="CI113" i="4" s="1"/>
  <c r="CE126" i="4"/>
  <c r="CA126" i="4"/>
  <c r="CA89" i="4" s="1"/>
  <c r="BW126" i="4"/>
  <c r="BW123" i="4" s="1"/>
  <c r="BS126" i="4"/>
  <c r="BS109" i="4" s="1"/>
  <c r="BK126" i="4"/>
  <c r="BK95" i="4" s="1"/>
  <c r="BG126" i="4"/>
  <c r="BG123" i="4" s="1"/>
  <c r="BC126" i="4"/>
  <c r="BC119" i="4" s="1"/>
  <c r="AY126" i="4"/>
  <c r="AU126" i="4"/>
  <c r="AU95" i="4" s="1"/>
  <c r="AQ126" i="4"/>
  <c r="AQ123" i="4" s="1"/>
  <c r="AM126" i="4"/>
  <c r="AI126" i="4"/>
  <c r="AE126" i="4"/>
  <c r="AE121" i="4" s="1"/>
  <c r="AA126" i="4"/>
  <c r="AA117" i="4" s="1"/>
  <c r="S126" i="4"/>
  <c r="CT126" i="4"/>
  <c r="CT99" i="4" s="1"/>
  <c r="CL126" i="4"/>
  <c r="CL123" i="4" s="1"/>
  <c r="CH126" i="4"/>
  <c r="CD126" i="4"/>
  <c r="CD109" i="4" s="1"/>
  <c r="BZ126" i="4"/>
  <c r="BZ123" i="4" s="1"/>
  <c r="BR126" i="4"/>
  <c r="BN126" i="4"/>
  <c r="BN117" i="4" s="1"/>
  <c r="BJ126" i="4"/>
  <c r="BJ105" i="4" s="1"/>
  <c r="BF126" i="4"/>
  <c r="BF123" i="4" s="1"/>
  <c r="BB126" i="4"/>
  <c r="AX126" i="4"/>
  <c r="AX113" i="4" s="1"/>
  <c r="AT126" i="4"/>
  <c r="AT87" i="4" s="1"/>
  <c r="AP126" i="4"/>
  <c r="AP113" i="4" s="1"/>
  <c r="AL126" i="4"/>
  <c r="AH126" i="4"/>
  <c r="AH99" i="4" s="1"/>
  <c r="AD126" i="4"/>
  <c r="AD91" i="4" s="1"/>
  <c r="Z126" i="4"/>
  <c r="Z123" i="4" s="1"/>
  <c r="V126" i="4"/>
  <c r="R126" i="4"/>
  <c r="R109" i="4" s="1"/>
  <c r="CV126" i="4"/>
  <c r="CV87" i="4" s="1"/>
  <c r="CR126" i="4"/>
  <c r="CN126" i="4"/>
  <c r="CN117" i="4" s="1"/>
  <c r="CJ126" i="4"/>
  <c r="CJ105" i="4" s="1"/>
  <c r="CF126" i="4"/>
  <c r="CF123" i="4" s="1"/>
  <c r="CB126" i="4"/>
  <c r="BX126" i="4"/>
  <c r="BX97" i="4" s="1"/>
  <c r="BT126" i="4"/>
  <c r="BT101" i="4" s="1"/>
  <c r="BP126" i="4"/>
  <c r="BP89" i="4" s="1"/>
  <c r="BL126" i="4"/>
  <c r="BH126" i="4"/>
  <c r="BH111" i="4" s="1"/>
  <c r="BD126" i="4"/>
  <c r="BD89" i="4" s="1"/>
  <c r="AZ126" i="4"/>
  <c r="AZ123" i="4" s="1"/>
  <c r="AV126" i="4"/>
  <c r="AR126" i="4"/>
  <c r="AR121" i="4" s="1"/>
  <c r="AN126" i="4"/>
  <c r="AN95" i="4" s="1"/>
  <c r="AJ126" i="4"/>
  <c r="AJ117" i="4" s="1"/>
  <c r="AF126" i="4"/>
  <c r="AB126" i="4"/>
  <c r="AB117" i="4" s="1"/>
  <c r="X126" i="4"/>
  <c r="X105" i="4" s="1"/>
  <c r="T126" i="4"/>
  <c r="T101" i="4" s="1"/>
  <c r="Q67" i="4"/>
  <c r="R67" i="4"/>
  <c r="R73" i="4" s="1"/>
  <c r="S67" i="4"/>
  <c r="S73" i="4" s="1"/>
  <c r="T67" i="4"/>
  <c r="T73" i="4" s="1"/>
  <c r="T129" i="4" s="1"/>
  <c r="U67" i="4"/>
  <c r="U73" i="4" s="1"/>
  <c r="V67" i="4"/>
  <c r="V73" i="4" s="1"/>
  <c r="V129" i="4" s="1"/>
  <c r="W67" i="4"/>
  <c r="W73" i="4" s="1"/>
  <c r="X67" i="4"/>
  <c r="X73" i="4" s="1"/>
  <c r="Y67" i="4"/>
  <c r="Y73" i="4" s="1"/>
  <c r="Z67" i="4"/>
  <c r="Z73" i="4" s="1"/>
  <c r="AA67" i="4"/>
  <c r="AA73" i="4" s="1"/>
  <c r="AA129" i="4" s="1"/>
  <c r="AB67" i="4"/>
  <c r="AB73" i="4" s="1"/>
  <c r="AC67" i="4"/>
  <c r="AC73" i="4" s="1"/>
  <c r="AD67" i="4"/>
  <c r="AD73" i="4" s="1"/>
  <c r="AE67" i="4"/>
  <c r="AE73" i="4" s="1"/>
  <c r="AF67" i="4"/>
  <c r="AF73" i="4" s="1"/>
  <c r="AG67" i="4"/>
  <c r="AG73" i="4" s="1"/>
  <c r="AG129" i="4" s="1"/>
  <c r="AH67" i="4"/>
  <c r="AH73" i="4" s="1"/>
  <c r="AI67" i="4"/>
  <c r="AI73" i="4" s="1"/>
  <c r="AJ67" i="4"/>
  <c r="AJ73" i="4" s="1"/>
  <c r="AJ129" i="4" s="1"/>
  <c r="AK67" i="4"/>
  <c r="AK73" i="4" s="1"/>
  <c r="AL67" i="4"/>
  <c r="AL73" i="4" s="1"/>
  <c r="AL129" i="4" s="1"/>
  <c r="AM67" i="4"/>
  <c r="AM73" i="4" s="1"/>
  <c r="AN67" i="4"/>
  <c r="AN73" i="4" s="1"/>
  <c r="AO67" i="4"/>
  <c r="AO73" i="4" s="1"/>
  <c r="AP67" i="4"/>
  <c r="AP73" i="4" s="1"/>
  <c r="AQ67" i="4"/>
  <c r="AQ73" i="4" s="1"/>
  <c r="AQ129" i="4" s="1"/>
  <c r="AR67" i="4"/>
  <c r="AR73" i="4" s="1"/>
  <c r="AS67" i="4"/>
  <c r="AS73" i="4" s="1"/>
  <c r="AT67" i="4"/>
  <c r="AT73" i="4" s="1"/>
  <c r="AU67" i="4"/>
  <c r="AU73" i="4" s="1"/>
  <c r="AV67" i="4"/>
  <c r="AV73" i="4" s="1"/>
  <c r="AW67" i="4"/>
  <c r="AW73" i="4" s="1"/>
  <c r="AW129" i="4" s="1"/>
  <c r="AX67" i="4"/>
  <c r="AX73" i="4" s="1"/>
  <c r="AY67" i="4"/>
  <c r="AY73" i="4" s="1"/>
  <c r="AZ67" i="4"/>
  <c r="AZ73" i="4" s="1"/>
  <c r="AZ129" i="4" s="1"/>
  <c r="BA67" i="4"/>
  <c r="BA73" i="4" s="1"/>
  <c r="BB67" i="4"/>
  <c r="BB73" i="4" s="1"/>
  <c r="BB129" i="4" s="1"/>
  <c r="BC67" i="4"/>
  <c r="BC73" i="4" s="1"/>
  <c r="BD67" i="4"/>
  <c r="BD73" i="4" s="1"/>
  <c r="BE67" i="4"/>
  <c r="BE73" i="4" s="1"/>
  <c r="BF67" i="4"/>
  <c r="BF73" i="4" s="1"/>
  <c r="BG67" i="4"/>
  <c r="BG73" i="4" s="1"/>
  <c r="BG129" i="4" s="1"/>
  <c r="BH67" i="4"/>
  <c r="BH73" i="4" s="1"/>
  <c r="BI67" i="4"/>
  <c r="BI73" i="4" s="1"/>
  <c r="BJ67" i="4"/>
  <c r="BJ73" i="4" s="1"/>
  <c r="BK67" i="4"/>
  <c r="BK73" i="4" s="1"/>
  <c r="BL67" i="4"/>
  <c r="BL73" i="4" s="1"/>
  <c r="BM67" i="4"/>
  <c r="BM73" i="4" s="1"/>
  <c r="BM129" i="4" s="1"/>
  <c r="BN67" i="4"/>
  <c r="BN73" i="4" s="1"/>
  <c r="BO67" i="4"/>
  <c r="BO73" i="4" s="1"/>
  <c r="BP67" i="4"/>
  <c r="BP73" i="4" s="1"/>
  <c r="BP129" i="4" s="1"/>
  <c r="BQ67" i="4"/>
  <c r="BQ73" i="4" s="1"/>
  <c r="BR67" i="4"/>
  <c r="BR73" i="4" s="1"/>
  <c r="BR129" i="4" s="1"/>
  <c r="BS67" i="4"/>
  <c r="BS73" i="4" s="1"/>
  <c r="BT67" i="4"/>
  <c r="BT73" i="4" s="1"/>
  <c r="BU67" i="4"/>
  <c r="BU73" i="4" s="1"/>
  <c r="BV67" i="4"/>
  <c r="BV73" i="4" s="1"/>
  <c r="BW67" i="4"/>
  <c r="BW73" i="4" s="1"/>
  <c r="BX67" i="4"/>
  <c r="BX73" i="4" s="1"/>
  <c r="BY67" i="4"/>
  <c r="BY73" i="4" s="1"/>
  <c r="BZ67" i="4"/>
  <c r="BZ73" i="4" s="1"/>
  <c r="CA67" i="4"/>
  <c r="CA73" i="4" s="1"/>
  <c r="CA129" i="4" s="1"/>
  <c r="CB67" i="4"/>
  <c r="CB73" i="4" s="1"/>
  <c r="CC67" i="4"/>
  <c r="CC73" i="4" s="1"/>
  <c r="CC129" i="4" s="1"/>
  <c r="CD67" i="4"/>
  <c r="CD73" i="4" s="1"/>
  <c r="CE67" i="4"/>
  <c r="CE73" i="4" s="1"/>
  <c r="CF67" i="4"/>
  <c r="CF73" i="4" s="1"/>
  <c r="CF129" i="4" s="1"/>
  <c r="CG67" i="4"/>
  <c r="CG73" i="4" s="1"/>
  <c r="CH67" i="4"/>
  <c r="CH73" i="4" s="1"/>
  <c r="CI67" i="4"/>
  <c r="CI73" i="4" s="1"/>
  <c r="CJ67" i="4"/>
  <c r="CJ73" i="4" s="1"/>
  <c r="CK67" i="4"/>
  <c r="CK73" i="4" s="1"/>
  <c r="CL67" i="4"/>
  <c r="CL73" i="4" s="1"/>
  <c r="CL129" i="4" s="1"/>
  <c r="CM67" i="4"/>
  <c r="CM73" i="4" s="1"/>
  <c r="CN67" i="4"/>
  <c r="CN73" i="4" s="1"/>
  <c r="CO67" i="4"/>
  <c r="CO73" i="4" s="1"/>
  <c r="CQ67" i="4"/>
  <c r="CQ73" i="4" s="1"/>
  <c r="CR67" i="4"/>
  <c r="CR73" i="4" s="1"/>
  <c r="CS67" i="4"/>
  <c r="CS73" i="4" s="1"/>
  <c r="CT67" i="4"/>
  <c r="CT73" i="4" s="1"/>
  <c r="CT129" i="4" s="1"/>
  <c r="CV67" i="4"/>
  <c r="CV73" i="4" s="1"/>
  <c r="AO65" i="4"/>
  <c r="AP65" i="4"/>
  <c r="AQ65" i="4"/>
  <c r="AR65" i="4"/>
  <c r="AS65" i="4"/>
  <c r="AT65" i="4"/>
  <c r="AU65" i="4"/>
  <c r="AV65" i="4"/>
  <c r="AW65" i="4"/>
  <c r="AX65" i="4"/>
  <c r="AY65" i="4"/>
  <c r="AZ65" i="4"/>
  <c r="BA65" i="4"/>
  <c r="BB65" i="4"/>
  <c r="BC65" i="4"/>
  <c r="BD65" i="4"/>
  <c r="BE65" i="4"/>
  <c r="BF65" i="4"/>
  <c r="BG65" i="4"/>
  <c r="BH65" i="4"/>
  <c r="BI65" i="4"/>
  <c r="BJ65" i="4"/>
  <c r="BK65" i="4"/>
  <c r="BL65" i="4"/>
  <c r="BM65" i="4"/>
  <c r="BN65" i="4"/>
  <c r="BO65" i="4"/>
  <c r="BP65" i="4"/>
  <c r="BQ65" i="4"/>
  <c r="BR65" i="4"/>
  <c r="BS65" i="4"/>
  <c r="BT65" i="4"/>
  <c r="BU65" i="4"/>
  <c r="BV65" i="4"/>
  <c r="BW65" i="4"/>
  <c r="BX65" i="4"/>
  <c r="BY65" i="4"/>
  <c r="BZ65" i="4"/>
  <c r="CA65" i="4"/>
  <c r="CB65" i="4"/>
  <c r="CC65" i="4"/>
  <c r="CD65" i="4"/>
  <c r="CE65" i="4"/>
  <c r="CF65" i="4"/>
  <c r="CG65" i="4"/>
  <c r="CH65" i="4"/>
  <c r="CI65" i="4"/>
  <c r="CJ65" i="4"/>
  <c r="CK65" i="4"/>
  <c r="CL65" i="4"/>
  <c r="CM65" i="4"/>
  <c r="CN65" i="4"/>
  <c r="CO65" i="4"/>
  <c r="CP65" i="4"/>
  <c r="CQ65" i="4"/>
  <c r="CR65" i="4"/>
  <c r="CS65" i="4"/>
  <c r="CT65" i="4"/>
  <c r="CU65" i="4"/>
  <c r="CV65" i="4"/>
  <c r="R65" i="4"/>
  <c r="S65" i="4"/>
  <c r="T65" i="4"/>
  <c r="U65" i="4"/>
  <c r="V65" i="4"/>
  <c r="W65" i="4"/>
  <c r="X65" i="4"/>
  <c r="Y65" i="4"/>
  <c r="Z65" i="4"/>
  <c r="AB65" i="4"/>
  <c r="AC65" i="4"/>
  <c r="AD65" i="4"/>
  <c r="AE65" i="4"/>
  <c r="AF65" i="4"/>
  <c r="AG65" i="4"/>
  <c r="AH65" i="4"/>
  <c r="AI65" i="4"/>
  <c r="AJ65" i="4"/>
  <c r="AK65" i="4"/>
  <c r="AL65" i="4"/>
  <c r="AM65" i="4"/>
  <c r="AN65" i="4"/>
  <c r="AU8" i="3"/>
  <c r="AU35" i="3"/>
  <c r="R63" i="4"/>
  <c r="S63" i="4"/>
  <c r="T63" i="4"/>
  <c r="U63" i="4"/>
  <c r="V63" i="4"/>
  <c r="W63" i="4"/>
  <c r="X63" i="4"/>
  <c r="Y63" i="4"/>
  <c r="Z63" i="4"/>
  <c r="AA63" i="4"/>
  <c r="AB63" i="4"/>
  <c r="AC63" i="4"/>
  <c r="AD63" i="4"/>
  <c r="AE63" i="4"/>
  <c r="AF63" i="4"/>
  <c r="AG63" i="4"/>
  <c r="AH63" i="4"/>
  <c r="AI63" i="4"/>
  <c r="AJ63" i="4"/>
  <c r="AL63" i="4"/>
  <c r="AM63" i="4"/>
  <c r="AN63" i="4"/>
  <c r="AO63" i="4"/>
  <c r="AP63" i="4"/>
  <c r="AQ63" i="4"/>
  <c r="AR63" i="4"/>
  <c r="AS63" i="4"/>
  <c r="AT63" i="4"/>
  <c r="AU63" i="4"/>
  <c r="AV63" i="4"/>
  <c r="AW63" i="4"/>
  <c r="AX63" i="4"/>
  <c r="AY63" i="4"/>
  <c r="AZ63" i="4"/>
  <c r="BA63" i="4"/>
  <c r="BB63" i="4"/>
  <c r="BC63" i="4"/>
  <c r="BD63" i="4"/>
  <c r="BE63" i="4"/>
  <c r="BF63" i="4"/>
  <c r="BG63" i="4"/>
  <c r="BH63" i="4"/>
  <c r="BI63" i="4"/>
  <c r="BJ63" i="4"/>
  <c r="BK63" i="4"/>
  <c r="BL63" i="4"/>
  <c r="BM63" i="4"/>
  <c r="BN63" i="4"/>
  <c r="BO63" i="4"/>
  <c r="BP63" i="4"/>
  <c r="BQ63" i="4"/>
  <c r="BR63" i="4"/>
  <c r="BS63" i="4"/>
  <c r="BT63" i="4"/>
  <c r="BU63" i="4"/>
  <c r="BW63" i="4"/>
  <c r="BX63" i="4"/>
  <c r="BY63" i="4"/>
  <c r="BZ63" i="4"/>
  <c r="CA63" i="4"/>
  <c r="CB63" i="4"/>
  <c r="CC63" i="4"/>
  <c r="CD63" i="4"/>
  <c r="CE63" i="4"/>
  <c r="CF63" i="4"/>
  <c r="CG63" i="4"/>
  <c r="CH63" i="4"/>
  <c r="CI63" i="4"/>
  <c r="CJ63" i="4"/>
  <c r="CL63" i="4"/>
  <c r="CM63" i="4"/>
  <c r="CN63" i="4"/>
  <c r="CO63" i="4"/>
  <c r="CP63" i="4"/>
  <c r="CQ63" i="4"/>
  <c r="CR63" i="4"/>
  <c r="CS63" i="4"/>
  <c r="CT63" i="4"/>
  <c r="CU63" i="4"/>
  <c r="CV63" i="4"/>
  <c r="CG129" i="4" l="1"/>
  <c r="BQ129" i="4"/>
  <c r="BA129" i="4"/>
  <c r="AK129" i="4"/>
  <c r="U129" i="4"/>
  <c r="CM129" i="4"/>
  <c r="BW129" i="4"/>
  <c r="BC129" i="4"/>
  <c r="AM129" i="4"/>
  <c r="S129" i="4"/>
  <c r="CV129" i="4"/>
  <c r="CD129" i="4"/>
  <c r="BJ129" i="4"/>
  <c r="AT129" i="4"/>
  <c r="AD129" i="4"/>
  <c r="CK129" i="4"/>
  <c r="BU129" i="4"/>
  <c r="CJ129" i="4"/>
  <c r="BT129" i="4"/>
  <c r="CQ129" i="4"/>
  <c r="CH129" i="4"/>
  <c r="CB129" i="4"/>
  <c r="CR129" i="4"/>
  <c r="CI129" i="4"/>
  <c r="BZ129" i="4"/>
  <c r="BE129" i="4"/>
  <c r="AO129" i="4"/>
  <c r="Y129" i="4"/>
  <c r="BD129" i="4"/>
  <c r="AN129" i="4"/>
  <c r="X129" i="4"/>
  <c r="BN129" i="4"/>
  <c r="AX129" i="4"/>
  <c r="AH129" i="4"/>
  <c r="R129" i="4"/>
  <c r="CO129" i="4"/>
  <c r="BY129" i="4"/>
  <c r="BI129" i="4"/>
  <c r="AS129" i="4"/>
  <c r="AC129" i="4"/>
  <c r="CN129" i="4"/>
  <c r="BX129" i="4"/>
  <c r="BH129" i="4"/>
  <c r="AR129" i="4"/>
  <c r="AB129" i="4"/>
  <c r="CE129" i="4"/>
  <c r="BK129" i="4"/>
  <c r="AU129" i="4"/>
  <c r="AE129" i="4"/>
  <c r="BS129" i="4"/>
  <c r="BL129" i="4"/>
  <c r="AV129" i="4"/>
  <c r="AF129" i="4"/>
  <c r="AY129" i="4"/>
  <c r="AI129" i="4"/>
  <c r="BF129" i="4"/>
  <c r="AP129" i="4"/>
  <c r="Z129" i="4"/>
  <c r="AA65" i="4"/>
  <c r="Z49" i="9"/>
  <c r="AA151" i="4"/>
  <c r="Q65" i="4"/>
  <c r="Q151" i="4"/>
  <c r="CV80" i="4"/>
  <c r="CV128" i="4"/>
  <c r="CN80" i="4"/>
  <c r="CN128" i="4"/>
  <c r="CI80" i="4"/>
  <c r="CI128" i="4"/>
  <c r="CE80" i="4"/>
  <c r="CE128" i="4"/>
  <c r="CA80" i="4"/>
  <c r="CA128" i="4"/>
  <c r="BW80" i="4"/>
  <c r="BW128" i="4"/>
  <c r="BR80" i="4"/>
  <c r="BR128" i="4"/>
  <c r="BN80" i="4"/>
  <c r="BN128" i="4"/>
  <c r="BJ80" i="4"/>
  <c r="BJ128" i="4"/>
  <c r="BF80" i="4"/>
  <c r="BF128" i="4"/>
  <c r="BB80" i="4"/>
  <c r="BB128" i="4"/>
  <c r="AX80" i="4"/>
  <c r="AX128" i="4"/>
  <c r="AT80" i="4"/>
  <c r="AT128" i="4"/>
  <c r="AP80" i="4"/>
  <c r="AP128" i="4"/>
  <c r="AL80" i="4"/>
  <c r="AL128" i="4"/>
  <c r="AG80" i="4"/>
  <c r="AG128" i="4"/>
  <c r="AC80" i="4"/>
  <c r="AC128" i="4"/>
  <c r="Y80" i="4"/>
  <c r="Y128" i="4"/>
  <c r="U80" i="4"/>
  <c r="U128" i="4"/>
  <c r="CR80" i="4"/>
  <c r="CR128" i="4"/>
  <c r="CU80" i="4"/>
  <c r="CU128" i="4"/>
  <c r="CQ80" i="4"/>
  <c r="CQ128" i="4"/>
  <c r="CM80" i="4"/>
  <c r="CM128" i="4"/>
  <c r="CH80" i="4"/>
  <c r="CH128" i="4"/>
  <c r="CD80" i="4"/>
  <c r="CD128" i="4"/>
  <c r="BZ80" i="4"/>
  <c r="BZ128" i="4"/>
  <c r="BU80" i="4"/>
  <c r="BU128" i="4"/>
  <c r="BQ80" i="4"/>
  <c r="BQ128" i="4"/>
  <c r="BM80" i="4"/>
  <c r="BM128" i="4"/>
  <c r="BI80" i="4"/>
  <c r="BI128" i="4"/>
  <c r="BE80" i="4"/>
  <c r="BE128" i="4"/>
  <c r="BA80" i="4"/>
  <c r="BA128" i="4"/>
  <c r="AW80" i="4"/>
  <c r="AW128" i="4"/>
  <c r="AS80" i="4"/>
  <c r="AS128" i="4"/>
  <c r="AO80" i="4"/>
  <c r="AO128" i="4"/>
  <c r="AJ80" i="4"/>
  <c r="AJ128" i="4"/>
  <c r="AF80" i="4"/>
  <c r="AF128" i="4"/>
  <c r="AB80" i="4"/>
  <c r="AB128" i="4"/>
  <c r="X80" i="4"/>
  <c r="X128" i="4"/>
  <c r="T80" i="4"/>
  <c r="T128" i="4"/>
  <c r="CT80" i="4"/>
  <c r="CT128" i="4"/>
  <c r="CL80" i="4"/>
  <c r="CL128" i="4"/>
  <c r="CC80" i="4"/>
  <c r="CC128" i="4"/>
  <c r="BY80" i="4"/>
  <c r="BY128" i="4"/>
  <c r="BT80" i="4"/>
  <c r="BT128" i="4"/>
  <c r="BP80" i="4"/>
  <c r="BP128" i="4"/>
  <c r="BL80" i="4"/>
  <c r="BL128" i="4"/>
  <c r="BH80" i="4"/>
  <c r="BH128" i="4"/>
  <c r="BD80" i="4"/>
  <c r="BD128" i="4"/>
  <c r="AZ80" i="4"/>
  <c r="AZ128" i="4"/>
  <c r="AV80" i="4"/>
  <c r="AV128" i="4"/>
  <c r="AR80" i="4"/>
  <c r="AR128" i="4"/>
  <c r="AN80" i="4"/>
  <c r="AN128" i="4"/>
  <c r="AI80" i="4"/>
  <c r="AI128" i="4"/>
  <c r="AE80" i="4"/>
  <c r="AE128" i="4"/>
  <c r="AA80" i="4"/>
  <c r="AA128" i="4"/>
  <c r="W80" i="4"/>
  <c r="S80" i="4"/>
  <c r="S128" i="4"/>
  <c r="CP80" i="4"/>
  <c r="CG80" i="4"/>
  <c r="CG128" i="4"/>
  <c r="CS80" i="4"/>
  <c r="CO80" i="4"/>
  <c r="CO128" i="4"/>
  <c r="CJ80" i="4"/>
  <c r="CJ128" i="4"/>
  <c r="CF80" i="4"/>
  <c r="CF128" i="4"/>
  <c r="CB80" i="4"/>
  <c r="CB128" i="4"/>
  <c r="BX80" i="4"/>
  <c r="BX128" i="4"/>
  <c r="BS80" i="4"/>
  <c r="BS128" i="4"/>
  <c r="BO80" i="4"/>
  <c r="BK80" i="4"/>
  <c r="BK128" i="4"/>
  <c r="BG80" i="4"/>
  <c r="BG128" i="4"/>
  <c r="BC80" i="4"/>
  <c r="BC128" i="4"/>
  <c r="AY80" i="4"/>
  <c r="AY128" i="4"/>
  <c r="AU80" i="4"/>
  <c r="AU128" i="4"/>
  <c r="AQ80" i="4"/>
  <c r="AQ128" i="4"/>
  <c r="AM80" i="4"/>
  <c r="AM128" i="4"/>
  <c r="AH80" i="4"/>
  <c r="AH128" i="4"/>
  <c r="AD80" i="4"/>
  <c r="AD128" i="4"/>
  <c r="Z80" i="4"/>
  <c r="Z128" i="4"/>
  <c r="V80" i="4"/>
  <c r="V128" i="4"/>
  <c r="R80" i="4"/>
  <c r="R128" i="4"/>
  <c r="CV75" i="4"/>
  <c r="CQ75" i="4"/>
  <c r="CL75" i="4"/>
  <c r="CH75" i="4"/>
  <c r="CD75" i="4"/>
  <c r="BZ75" i="4"/>
  <c r="BR75" i="4"/>
  <c r="BN75" i="4"/>
  <c r="BJ75" i="4"/>
  <c r="BF75" i="4"/>
  <c r="BB75" i="4"/>
  <c r="AX75" i="4"/>
  <c r="AT75" i="4"/>
  <c r="AP75" i="4"/>
  <c r="AL75" i="4"/>
  <c r="AH75" i="4"/>
  <c r="AD75" i="4"/>
  <c r="Z75" i="4"/>
  <c r="V75" i="4"/>
  <c r="R75" i="4"/>
  <c r="CT75" i="4"/>
  <c r="CO75" i="4"/>
  <c r="CG75" i="4"/>
  <c r="CC75" i="4"/>
  <c r="BY75" i="4"/>
  <c r="BU75" i="4"/>
  <c r="BQ75" i="4"/>
  <c r="BM75" i="4"/>
  <c r="BI75" i="4"/>
  <c r="BE75" i="4"/>
  <c r="BA75" i="4"/>
  <c r="AW75" i="4"/>
  <c r="AS75" i="4"/>
  <c r="AO75" i="4"/>
  <c r="AG75" i="4"/>
  <c r="AC75" i="4"/>
  <c r="Y75" i="4"/>
  <c r="U75" i="4"/>
  <c r="CS75" i="4"/>
  <c r="CN75" i="4"/>
  <c r="CJ75" i="4"/>
  <c r="CF75" i="4"/>
  <c r="CB75" i="4"/>
  <c r="BX75" i="4"/>
  <c r="BT75" i="4"/>
  <c r="BP75" i="4"/>
  <c r="BL75" i="4"/>
  <c r="BH75" i="4"/>
  <c r="BD75" i="4"/>
  <c r="AZ75" i="4"/>
  <c r="AV75" i="4"/>
  <c r="AR75" i="4"/>
  <c r="AN75" i="4"/>
  <c r="AJ75" i="4"/>
  <c r="AF75" i="4"/>
  <c r="AB75" i="4"/>
  <c r="X75" i="4"/>
  <c r="T75" i="4"/>
  <c r="CR75" i="4"/>
  <c r="CM75" i="4"/>
  <c r="CI75" i="4"/>
  <c r="CE75" i="4"/>
  <c r="CA75" i="4"/>
  <c r="BW75" i="4"/>
  <c r="BS75" i="4"/>
  <c r="BO75" i="4"/>
  <c r="BK75" i="4"/>
  <c r="BG75" i="4"/>
  <c r="BC75" i="4"/>
  <c r="AY75" i="4"/>
  <c r="AU75" i="4"/>
  <c r="AQ75" i="4"/>
  <c r="AM75" i="4"/>
  <c r="AI75" i="4"/>
  <c r="AE75" i="4"/>
  <c r="AA75" i="4"/>
  <c r="W75" i="4"/>
  <c r="S75" i="4"/>
  <c r="Q73" i="4"/>
  <c r="Q129" i="4" s="1"/>
  <c r="CD125" i="4"/>
  <c r="AO121" i="4"/>
  <c r="CQ125" i="4"/>
  <c r="BE119" i="4"/>
  <c r="BX125" i="4"/>
  <c r="U111" i="4"/>
  <c r="CG111" i="4"/>
  <c r="AR115" i="4"/>
  <c r="BD113" i="4"/>
  <c r="BN103" i="4"/>
  <c r="BJ95" i="4"/>
  <c r="CK87" i="4"/>
  <c r="CQ95" i="4"/>
  <c r="AO89" i="4"/>
  <c r="AD123" i="4"/>
  <c r="BU121" i="4"/>
  <c r="AU123" i="4"/>
  <c r="AN125" i="4"/>
  <c r="AE115" i="4"/>
  <c r="Y111" i="4"/>
  <c r="CK111" i="4"/>
  <c r="R111" i="4"/>
  <c r="AB111" i="4"/>
  <c r="CD103" i="4"/>
  <c r="Y93" i="4"/>
  <c r="BT105" i="4"/>
  <c r="CD99" i="4"/>
  <c r="BE95" i="4"/>
  <c r="BJ123" i="4"/>
  <c r="AE125" i="4"/>
  <c r="CA123" i="4"/>
  <c r="AR125" i="4"/>
  <c r="CA115" i="4"/>
  <c r="BA111" i="4"/>
  <c r="BZ105" i="4"/>
  <c r="X107" i="4"/>
  <c r="AX107" i="4"/>
  <c r="R97" i="4"/>
  <c r="AU89" i="4"/>
  <c r="BU99" i="4"/>
  <c r="AR97" i="4"/>
  <c r="BU95" i="4"/>
  <c r="AU125" i="4"/>
  <c r="U119" i="4"/>
  <c r="BT125" i="4"/>
  <c r="CQ115" i="4"/>
  <c r="BE111" i="4"/>
  <c r="AO103" i="4"/>
  <c r="AH117" i="4"/>
  <c r="BN107" i="4"/>
  <c r="BN97" i="4"/>
  <c r="BK89" i="4"/>
  <c r="CK99" i="4"/>
  <c r="Y89" i="4"/>
  <c r="BZ91" i="4"/>
  <c r="BF125" i="4"/>
  <c r="AP123" i="4"/>
  <c r="BA121" i="4"/>
  <c r="AA123" i="4"/>
  <c r="CM123" i="4"/>
  <c r="AG119" i="4"/>
  <c r="BQ119" i="4"/>
  <c r="X117" i="4"/>
  <c r="X123" i="4"/>
  <c r="BD123" i="4"/>
  <c r="CJ123" i="4"/>
  <c r="BW121" i="4"/>
  <c r="AN117" i="4"/>
  <c r="BT117" i="4"/>
  <c r="AT113" i="4"/>
  <c r="BZ113" i="4"/>
  <c r="CJ107" i="4"/>
  <c r="BS111" i="4"/>
  <c r="AD101" i="4"/>
  <c r="CI101" i="4"/>
  <c r="BF89" i="4"/>
  <c r="BJ125" i="4"/>
  <c r="CT125" i="4"/>
  <c r="AT123" i="4"/>
  <c r="Y121" i="4"/>
  <c r="BE121" i="4"/>
  <c r="CK121" i="4"/>
  <c r="BK125" i="4"/>
  <c r="AE123" i="4"/>
  <c r="BK123" i="4"/>
  <c r="CQ123" i="4"/>
  <c r="AK119" i="4"/>
  <c r="BU119" i="4"/>
  <c r="X125" i="4"/>
  <c r="BD125" i="4"/>
  <c r="CJ125" i="4"/>
  <c r="AJ123" i="4"/>
  <c r="BP123" i="4"/>
  <c r="CV123" i="4"/>
  <c r="CI121" i="4"/>
  <c r="AZ117" i="4"/>
  <c r="CF117" i="4"/>
  <c r="AU115" i="4"/>
  <c r="Z113" i="4"/>
  <c r="BF113" i="4"/>
  <c r="CL113" i="4"/>
  <c r="AK111" i="4"/>
  <c r="BQ111" i="4"/>
  <c r="BE103" i="4"/>
  <c r="BH115" i="4"/>
  <c r="BN111" i="4"/>
  <c r="BA125" i="4"/>
  <c r="BX121" i="4"/>
  <c r="AX117" i="4"/>
  <c r="AQ117" i="4"/>
  <c r="CN111" i="4"/>
  <c r="BT103" i="4"/>
  <c r="X99" i="4"/>
  <c r="CD97" i="4"/>
  <c r="AO93" i="4"/>
  <c r="Y87" i="4"/>
  <c r="AX109" i="4"/>
  <c r="AE95" i="4"/>
  <c r="AZ91" i="4"/>
  <c r="R99" i="4"/>
  <c r="X95" i="4"/>
  <c r="CK89" i="4"/>
  <c r="AJ93" i="4"/>
  <c r="AJ87" i="4"/>
  <c r="T117" i="4"/>
  <c r="T123" i="4"/>
  <c r="BS121" i="4"/>
  <c r="BP117" i="4"/>
  <c r="CV117" i="4"/>
  <c r="BQ121" i="4"/>
  <c r="CA125" i="4"/>
  <c r="CK119" i="4"/>
  <c r="AB125" i="4"/>
  <c r="BH125" i="4"/>
  <c r="CN125" i="4"/>
  <c r="AN123" i="4"/>
  <c r="BT123" i="4"/>
  <c r="CM121" i="4"/>
  <c r="BD117" i="4"/>
  <c r="CJ117" i="4"/>
  <c r="BK115" i="4"/>
  <c r="AD113" i="4"/>
  <c r="BJ113" i="4"/>
  <c r="AO111" i="4"/>
  <c r="BU111" i="4"/>
  <c r="CD111" i="4"/>
  <c r="CN121" i="4"/>
  <c r="CT117" i="4"/>
  <c r="R103" i="4"/>
  <c r="CJ99" i="4"/>
  <c r="AT95" i="4"/>
  <c r="CK93" i="4"/>
  <c r="AO87" i="4"/>
  <c r="BN109" i="4"/>
  <c r="Y99" i="4"/>
  <c r="BN99" i="4"/>
  <c r="CJ95" i="4"/>
  <c r="BD101" i="4"/>
  <c r="CV93" i="4"/>
  <c r="J11" i="6"/>
  <c r="J43" i="6"/>
  <c r="AF87" i="4"/>
  <c r="AF93" i="4"/>
  <c r="AF91" i="4"/>
  <c r="AF89" i="4"/>
  <c r="AF101" i="4"/>
  <c r="AF95" i="4"/>
  <c r="AF105" i="4"/>
  <c r="AF99" i="4"/>
  <c r="AF103" i="4"/>
  <c r="AF113" i="4"/>
  <c r="AF107" i="4"/>
  <c r="AF97" i="4"/>
  <c r="AF111" i="4"/>
  <c r="AF121" i="4"/>
  <c r="AF115" i="4"/>
  <c r="AV87" i="4"/>
  <c r="AV93" i="4"/>
  <c r="AV89" i="4"/>
  <c r="AV91" i="4"/>
  <c r="AV101" i="4"/>
  <c r="AV95" i="4"/>
  <c r="AV105" i="4"/>
  <c r="AV99" i="4"/>
  <c r="AV103" i="4"/>
  <c r="AV113" i="4"/>
  <c r="AV107" i="4"/>
  <c r="AV97" i="4"/>
  <c r="AV111" i="4"/>
  <c r="AV121" i="4"/>
  <c r="AV115" i="4"/>
  <c r="BL87" i="4"/>
  <c r="BL93" i="4"/>
  <c r="BL91" i="4"/>
  <c r="BL101" i="4"/>
  <c r="BL95" i="4"/>
  <c r="BL105" i="4"/>
  <c r="BL99" i="4"/>
  <c r="BL103" i="4"/>
  <c r="BL113" i="4"/>
  <c r="BL107" i="4"/>
  <c r="BL89" i="4"/>
  <c r="BL97" i="4"/>
  <c r="BL111" i="4"/>
  <c r="BL121" i="4"/>
  <c r="BL115" i="4"/>
  <c r="CB87" i="4"/>
  <c r="CB93" i="4"/>
  <c r="CB91" i="4"/>
  <c r="CB101" i="4"/>
  <c r="CB95" i="4"/>
  <c r="CB105" i="4"/>
  <c r="CB99" i="4"/>
  <c r="CB113" i="4"/>
  <c r="CB107" i="4"/>
  <c r="CB97" i="4"/>
  <c r="CB103" i="4"/>
  <c r="CB89" i="4"/>
  <c r="CB111" i="4"/>
  <c r="CB121" i="4"/>
  <c r="CB115" i="4"/>
  <c r="CR87" i="4"/>
  <c r="CR93" i="4"/>
  <c r="CR91" i="4"/>
  <c r="CR101" i="4"/>
  <c r="CR95" i="4"/>
  <c r="CR105" i="4"/>
  <c r="CR99" i="4"/>
  <c r="CR113" i="4"/>
  <c r="CR107" i="4"/>
  <c r="CR109" i="4"/>
  <c r="CR97" i="4"/>
  <c r="CR103" i="4"/>
  <c r="CR111" i="4"/>
  <c r="CR121" i="4"/>
  <c r="CR115" i="4"/>
  <c r="V89" i="4"/>
  <c r="V93" i="4"/>
  <c r="V91" i="4"/>
  <c r="V87" i="4"/>
  <c r="V101" i="4"/>
  <c r="V95" i="4"/>
  <c r="V105" i="4"/>
  <c r="V99" i="4"/>
  <c r="V109" i="4"/>
  <c r="V97" i="4"/>
  <c r="V103" i="4"/>
  <c r="V107" i="4"/>
  <c r="V117" i="4"/>
  <c r="V111" i="4"/>
  <c r="AL89" i="4"/>
  <c r="AL93" i="4"/>
  <c r="AL91" i="4"/>
  <c r="AL101" i="4"/>
  <c r="AL95" i="4"/>
  <c r="AL105" i="4"/>
  <c r="AL99" i="4"/>
  <c r="AL109" i="4"/>
  <c r="AL97" i="4"/>
  <c r="AL103" i="4"/>
  <c r="AL107" i="4"/>
  <c r="AL117" i="4"/>
  <c r="AL111" i="4"/>
  <c r="BB89" i="4"/>
  <c r="BB93" i="4"/>
  <c r="BB91" i="4"/>
  <c r="BB101" i="4"/>
  <c r="BB95" i="4"/>
  <c r="BB105" i="4"/>
  <c r="BB99" i="4"/>
  <c r="BB109" i="4"/>
  <c r="BB97" i="4"/>
  <c r="BB103" i="4"/>
  <c r="BB107" i="4"/>
  <c r="BB117" i="4"/>
  <c r="BB111" i="4"/>
  <c r="BR89" i="4"/>
  <c r="BR93" i="4"/>
  <c r="BR91" i="4"/>
  <c r="BR87" i="4"/>
  <c r="BR101" i="4"/>
  <c r="BR95" i="4"/>
  <c r="BR105" i="4"/>
  <c r="BR99" i="4"/>
  <c r="BR109" i="4"/>
  <c r="BR97" i="4"/>
  <c r="BR103" i="4"/>
  <c r="BR107" i="4"/>
  <c r="BR117" i="4"/>
  <c r="BR111" i="4"/>
  <c r="CH89" i="4"/>
  <c r="CH93" i="4"/>
  <c r="CH91" i="4"/>
  <c r="CH101" i="4"/>
  <c r="CH95" i="4"/>
  <c r="CH105" i="4"/>
  <c r="CH99" i="4"/>
  <c r="CH109" i="4"/>
  <c r="CH97" i="4"/>
  <c r="CH103" i="4"/>
  <c r="CH107" i="4"/>
  <c r="CH117" i="4"/>
  <c r="CH111" i="4"/>
  <c r="S101" i="4"/>
  <c r="S111" i="4"/>
  <c r="S109" i="4"/>
  <c r="S119" i="4"/>
  <c r="S113" i="4"/>
  <c r="S117" i="4"/>
  <c r="S95" i="4"/>
  <c r="S89" i="4"/>
  <c r="AI101" i="4"/>
  <c r="AI111" i="4"/>
  <c r="AI109" i="4"/>
  <c r="AI119" i="4"/>
  <c r="AI113" i="4"/>
  <c r="AI117" i="4"/>
  <c r="AI121" i="4"/>
  <c r="AI95" i="4"/>
  <c r="AI89" i="4"/>
  <c r="AY101" i="4"/>
  <c r="AY111" i="4"/>
  <c r="AY109" i="4"/>
  <c r="AY119" i="4"/>
  <c r="AY113" i="4"/>
  <c r="AY117" i="4"/>
  <c r="AY95" i="4"/>
  <c r="AY89" i="4"/>
  <c r="CE101" i="4"/>
  <c r="CE111" i="4"/>
  <c r="CE109" i="4"/>
  <c r="CE119" i="4"/>
  <c r="CE113" i="4"/>
  <c r="CE117" i="4"/>
  <c r="CE95" i="4"/>
  <c r="CE89" i="4"/>
  <c r="CU121" i="4"/>
  <c r="CU101" i="4"/>
  <c r="CU111" i="4"/>
  <c r="CU105" i="4"/>
  <c r="CU109" i="4"/>
  <c r="CU119" i="4"/>
  <c r="CU113" i="4"/>
  <c r="CU117" i="4"/>
  <c r="CU95" i="4"/>
  <c r="CU89" i="4"/>
  <c r="AC113" i="4"/>
  <c r="AC123" i="4"/>
  <c r="AC117" i="4"/>
  <c r="AC125" i="4"/>
  <c r="AC95" i="4"/>
  <c r="AC89" i="4"/>
  <c r="AC99" i="4"/>
  <c r="AC87" i="4"/>
  <c r="AC93" i="4"/>
  <c r="AC103" i="4"/>
  <c r="AS113" i="4"/>
  <c r="AS123" i="4"/>
  <c r="AS117" i="4"/>
  <c r="AS125" i="4"/>
  <c r="AS95" i="4"/>
  <c r="AS89" i="4"/>
  <c r="AS99" i="4"/>
  <c r="AS87" i="4"/>
  <c r="AS93" i="4"/>
  <c r="AS103" i="4"/>
  <c r="BI113" i="4"/>
  <c r="BI123" i="4"/>
  <c r="BI117" i="4"/>
  <c r="BI125" i="4"/>
  <c r="BI95" i="4"/>
  <c r="BI89" i="4"/>
  <c r="BI99" i="4"/>
  <c r="BI87" i="4"/>
  <c r="BI93" i="4"/>
  <c r="BI103" i="4"/>
  <c r="BY113" i="4"/>
  <c r="BY123" i="4"/>
  <c r="BY117" i="4"/>
  <c r="BY125" i="4"/>
  <c r="BY95" i="4"/>
  <c r="BY89" i="4"/>
  <c r="BY99" i="4"/>
  <c r="BY87" i="4"/>
  <c r="BY93" i="4"/>
  <c r="BY103" i="4"/>
  <c r="CO113" i="4"/>
  <c r="CO123" i="4"/>
  <c r="CO117" i="4"/>
  <c r="CO125" i="4"/>
  <c r="CO95" i="4"/>
  <c r="CO89" i="4"/>
  <c r="CO99" i="4"/>
  <c r="CO87" i="4"/>
  <c r="CO93" i="4"/>
  <c r="CO103" i="4"/>
  <c r="V125" i="4"/>
  <c r="AL125" i="4"/>
  <c r="AF119" i="4"/>
  <c r="AV119" i="4"/>
  <c r="BL119" i="4"/>
  <c r="CB119" i="4"/>
  <c r="CR119" i="4"/>
  <c r="V121" i="4"/>
  <c r="AL121" i="4"/>
  <c r="BB121" i="4"/>
  <c r="BR121" i="4"/>
  <c r="CH121" i="4"/>
  <c r="AY121" i="4"/>
  <c r="V119" i="4"/>
  <c r="AS119" i="4"/>
  <c r="AF109" i="4"/>
  <c r="AV109" i="4"/>
  <c r="BL109" i="4"/>
  <c r="CB109" i="4"/>
  <c r="S107" i="4"/>
  <c r="CE107" i="4"/>
  <c r="CH119" i="4"/>
  <c r="AS109" i="4"/>
  <c r="BY115" i="4"/>
  <c r="BR115" i="4"/>
  <c r="AC105" i="4"/>
  <c r="CO105" i="4"/>
  <c r="AS101" i="4"/>
  <c r="CH87" i="4"/>
  <c r="AC107" i="4"/>
  <c r="CO107" i="4"/>
  <c r="AY103" i="4"/>
  <c r="AY97" i="4"/>
  <c r="AS91" i="4"/>
  <c r="AI99" i="4"/>
  <c r="CU99" i="4"/>
  <c r="BY97" i="4"/>
  <c r="T95" i="4"/>
  <c r="T105" i="4"/>
  <c r="T99" i="4"/>
  <c r="T103" i="4"/>
  <c r="T113" i="4"/>
  <c r="T107" i="4"/>
  <c r="T97" i="4"/>
  <c r="T111" i="4"/>
  <c r="T121" i="4"/>
  <c r="T115" i="4"/>
  <c r="T89" i="4"/>
  <c r="AJ101" i="4"/>
  <c r="AJ95" i="4"/>
  <c r="AJ105" i="4"/>
  <c r="AJ99" i="4"/>
  <c r="AJ103" i="4"/>
  <c r="AJ113" i="4"/>
  <c r="AJ107" i="4"/>
  <c r="AJ97" i="4"/>
  <c r="AJ89" i="4"/>
  <c r="AJ111" i="4"/>
  <c r="AJ121" i="4"/>
  <c r="AJ115" i="4"/>
  <c r="AZ101" i="4"/>
  <c r="AZ95" i="4"/>
  <c r="AZ105" i="4"/>
  <c r="AZ99" i="4"/>
  <c r="AZ103" i="4"/>
  <c r="AZ113" i="4"/>
  <c r="AZ107" i="4"/>
  <c r="AZ97" i="4"/>
  <c r="AZ111" i="4"/>
  <c r="AZ121" i="4"/>
  <c r="AZ115" i="4"/>
  <c r="AZ89" i="4"/>
  <c r="BP101" i="4"/>
  <c r="BP95" i="4"/>
  <c r="BP105" i="4"/>
  <c r="BP99" i="4"/>
  <c r="BP103" i="4"/>
  <c r="BP113" i="4"/>
  <c r="BP107" i="4"/>
  <c r="BP97" i="4"/>
  <c r="BP111" i="4"/>
  <c r="BP121" i="4"/>
  <c r="BP115" i="4"/>
  <c r="CF101" i="4"/>
  <c r="CF95" i="4"/>
  <c r="CF105" i="4"/>
  <c r="CF99" i="4"/>
  <c r="CF113" i="4"/>
  <c r="CF107" i="4"/>
  <c r="CF97" i="4"/>
  <c r="CF103" i="4"/>
  <c r="CF111" i="4"/>
  <c r="CF121" i="4"/>
  <c r="CF115" i="4"/>
  <c r="CV101" i="4"/>
  <c r="CV95" i="4"/>
  <c r="CV105" i="4"/>
  <c r="CV99" i="4"/>
  <c r="CV107" i="4"/>
  <c r="CV109" i="4"/>
  <c r="CV97" i="4"/>
  <c r="CV103" i="4"/>
  <c r="CV113" i="4"/>
  <c r="CV89" i="4"/>
  <c r="CV111" i="4"/>
  <c r="CV121" i="4"/>
  <c r="CV115" i="4"/>
  <c r="CV119" i="4"/>
  <c r="Z91" i="4"/>
  <c r="Z101" i="4"/>
  <c r="Z87" i="4"/>
  <c r="Z95" i="4"/>
  <c r="Z105" i="4"/>
  <c r="Z99" i="4"/>
  <c r="Z109" i="4"/>
  <c r="Z97" i="4"/>
  <c r="Z103" i="4"/>
  <c r="Z107" i="4"/>
  <c r="Z117" i="4"/>
  <c r="Z111" i="4"/>
  <c r="Z115" i="4"/>
  <c r="AP87" i="4"/>
  <c r="AP91" i="4"/>
  <c r="AP101" i="4"/>
  <c r="AP95" i="4"/>
  <c r="AP105" i="4"/>
  <c r="AP99" i="4"/>
  <c r="AP109" i="4"/>
  <c r="AP97" i="4"/>
  <c r="AP103" i="4"/>
  <c r="AP107" i="4"/>
  <c r="AP117" i="4"/>
  <c r="AP111" i="4"/>
  <c r="AP115" i="4"/>
  <c r="AP119" i="4"/>
  <c r="BF91" i="4"/>
  <c r="BF101" i="4"/>
  <c r="BF95" i="4"/>
  <c r="BF105" i="4"/>
  <c r="BF99" i="4"/>
  <c r="BF109" i="4"/>
  <c r="BF97" i="4"/>
  <c r="BF103" i="4"/>
  <c r="BF107" i="4"/>
  <c r="BF117" i="4"/>
  <c r="BF111" i="4"/>
  <c r="BF87" i="4"/>
  <c r="BF115" i="4"/>
  <c r="BF119" i="4"/>
  <c r="CL87" i="4"/>
  <c r="CL91" i="4"/>
  <c r="CL101" i="4"/>
  <c r="CL95" i="4"/>
  <c r="CL105" i="4"/>
  <c r="CL99" i="4"/>
  <c r="CL109" i="4"/>
  <c r="CL97" i="4"/>
  <c r="CL103" i="4"/>
  <c r="CL107" i="4"/>
  <c r="CL117" i="4"/>
  <c r="CL111" i="4"/>
  <c r="CL115" i="4"/>
  <c r="CL119" i="4"/>
  <c r="AM117" i="4"/>
  <c r="AM95" i="4"/>
  <c r="AM89" i="4"/>
  <c r="AM99" i="4"/>
  <c r="AM87" i="4"/>
  <c r="AM93" i="4"/>
  <c r="AM97" i="4"/>
  <c r="AM103" i="4"/>
  <c r="AM91" i="4"/>
  <c r="AM105" i="4"/>
  <c r="AM107" i="4"/>
  <c r="BC117" i="4"/>
  <c r="BC95" i="4"/>
  <c r="BC89" i="4"/>
  <c r="BC99" i="4"/>
  <c r="BC87" i="4"/>
  <c r="BC93" i="4"/>
  <c r="BC97" i="4"/>
  <c r="BC103" i="4"/>
  <c r="BC91" i="4"/>
  <c r="BC105" i="4"/>
  <c r="BC107" i="4"/>
  <c r="BS117" i="4"/>
  <c r="BS95" i="4"/>
  <c r="BS89" i="4"/>
  <c r="BS99" i="4"/>
  <c r="BS87" i="4"/>
  <c r="BS93" i="4"/>
  <c r="BS97" i="4"/>
  <c r="BS103" i="4"/>
  <c r="BS91" i="4"/>
  <c r="BS105" i="4"/>
  <c r="BS107" i="4"/>
  <c r="CI117" i="4"/>
  <c r="CI95" i="4"/>
  <c r="CI89" i="4"/>
  <c r="CI99" i="4"/>
  <c r="CI87" i="4"/>
  <c r="CI93" i="4"/>
  <c r="CI97" i="4"/>
  <c r="CI103" i="4"/>
  <c r="CI91" i="4"/>
  <c r="CI105" i="4"/>
  <c r="CI107" i="4"/>
  <c r="Q125" i="4"/>
  <c r="Q95" i="4"/>
  <c r="Q89" i="4"/>
  <c r="Q99" i="4"/>
  <c r="Q87" i="4"/>
  <c r="Q93" i="4"/>
  <c r="Q103" i="4"/>
  <c r="Q97" i="4"/>
  <c r="Q91" i="4"/>
  <c r="Q107" i="4"/>
  <c r="Q101" i="4"/>
  <c r="Q105" i="4"/>
  <c r="Q115" i="4"/>
  <c r="Q109" i="4"/>
  <c r="AG125" i="4"/>
  <c r="AG95" i="4"/>
  <c r="AG89" i="4"/>
  <c r="AG99" i="4"/>
  <c r="AG87" i="4"/>
  <c r="AG93" i="4"/>
  <c r="AG103" i="4"/>
  <c r="AG97" i="4"/>
  <c r="AG91" i="4"/>
  <c r="AG107" i="4"/>
  <c r="AG101" i="4"/>
  <c r="AG105" i="4"/>
  <c r="AG115" i="4"/>
  <c r="AG109" i="4"/>
  <c r="AW125" i="4"/>
  <c r="AW95" i="4"/>
  <c r="AW89" i="4"/>
  <c r="AW99" i="4"/>
  <c r="AW87" i="4"/>
  <c r="AW93" i="4"/>
  <c r="AW103" i="4"/>
  <c r="AW97" i="4"/>
  <c r="AW91" i="4"/>
  <c r="AW107" i="4"/>
  <c r="AW101" i="4"/>
  <c r="AW105" i="4"/>
  <c r="AW115" i="4"/>
  <c r="AW109" i="4"/>
  <c r="BM125" i="4"/>
  <c r="BM95" i="4"/>
  <c r="BM89" i="4"/>
  <c r="BM99" i="4"/>
  <c r="BM87" i="4"/>
  <c r="BM93" i="4"/>
  <c r="BM103" i="4"/>
  <c r="BM97" i="4"/>
  <c r="BM91" i="4"/>
  <c r="BM107" i="4"/>
  <c r="BM101" i="4"/>
  <c r="BM105" i="4"/>
  <c r="BM115" i="4"/>
  <c r="BM109" i="4"/>
  <c r="CC125" i="4"/>
  <c r="CC95" i="4"/>
  <c r="CC89" i="4"/>
  <c r="CC99" i="4"/>
  <c r="CC87" i="4"/>
  <c r="CC93" i="4"/>
  <c r="CC103" i="4"/>
  <c r="CC97" i="4"/>
  <c r="CC91" i="4"/>
  <c r="CC107" i="4"/>
  <c r="CC101" i="4"/>
  <c r="CC105" i="4"/>
  <c r="CC115" i="4"/>
  <c r="CC109" i="4"/>
  <c r="Z125" i="4"/>
  <c r="AP125" i="4"/>
  <c r="T119" i="4"/>
  <c r="AJ119" i="4"/>
  <c r="AZ119" i="4"/>
  <c r="BP119" i="4"/>
  <c r="CF119" i="4"/>
  <c r="S125" i="4"/>
  <c r="AI125" i="4"/>
  <c r="AY125" i="4"/>
  <c r="CE125" i="4"/>
  <c r="CU125" i="4"/>
  <c r="Z121" i="4"/>
  <c r="AP121" i="4"/>
  <c r="BF121" i="4"/>
  <c r="CL121" i="4"/>
  <c r="CO119" i="4"/>
  <c r="S121" i="4"/>
  <c r="AM121" i="4"/>
  <c r="BC121" i="4"/>
  <c r="Z119" i="4"/>
  <c r="BY119" i="4"/>
  <c r="S115" i="4"/>
  <c r="AI115" i="4"/>
  <c r="AY115" i="4"/>
  <c r="CE115" i="4"/>
  <c r="CU115" i="4"/>
  <c r="T109" i="4"/>
  <c r="AJ109" i="4"/>
  <c r="AZ109" i="4"/>
  <c r="BP109" i="4"/>
  <c r="CF109" i="4"/>
  <c r="AI107" i="4"/>
  <c r="CU107" i="4"/>
  <c r="AL119" i="4"/>
  <c r="Q117" i="4"/>
  <c r="CC117" i="4"/>
  <c r="AM113" i="4"/>
  <c r="BI109" i="4"/>
  <c r="AN107" i="4"/>
  <c r="S105" i="4"/>
  <c r="CE105" i="4"/>
  <c r="AW123" i="4"/>
  <c r="AB121" i="4"/>
  <c r="BS119" i="4"/>
  <c r="AC115" i="4"/>
  <c r="CO115" i="4"/>
  <c r="BT113" i="4"/>
  <c r="V115" i="4"/>
  <c r="CH115" i="4"/>
  <c r="BM113" i="4"/>
  <c r="AR111" i="4"/>
  <c r="CI109" i="4"/>
  <c r="AS105" i="4"/>
  <c r="X103" i="4"/>
  <c r="BI101" i="4"/>
  <c r="AN99" i="4"/>
  <c r="S91" i="4"/>
  <c r="CE91" i="4"/>
  <c r="AN89" i="4"/>
  <c r="CI111" i="4"/>
  <c r="AS107" i="4"/>
  <c r="AT101" i="4"/>
  <c r="Z93" i="4"/>
  <c r="CL93" i="4"/>
  <c r="BP91" i="4"/>
  <c r="AM101" i="4"/>
  <c r="BH97" i="4"/>
  <c r="S93" i="4"/>
  <c r="CE93" i="4"/>
  <c r="BI91" i="4"/>
  <c r="S87" i="4"/>
  <c r="CE87" i="4"/>
  <c r="AY99" i="4"/>
  <c r="AC97" i="4"/>
  <c r="CO97" i="4"/>
  <c r="AZ93" i="4"/>
  <c r="AZ87" i="4"/>
  <c r="X97" i="4"/>
  <c r="X111" i="4"/>
  <c r="X121" i="4"/>
  <c r="X115" i="4"/>
  <c r="X89" i="4"/>
  <c r="X87" i="4"/>
  <c r="X93" i="4"/>
  <c r="X91" i="4"/>
  <c r="X101" i="4"/>
  <c r="AN97" i="4"/>
  <c r="AN111" i="4"/>
  <c r="AN121" i="4"/>
  <c r="AN115" i="4"/>
  <c r="AN87" i="4"/>
  <c r="AN93" i="4"/>
  <c r="AN91" i="4"/>
  <c r="BD97" i="4"/>
  <c r="BD111" i="4"/>
  <c r="BD121" i="4"/>
  <c r="BD115" i="4"/>
  <c r="BD87" i="4"/>
  <c r="BD93" i="4"/>
  <c r="BD91" i="4"/>
  <c r="BT97" i="4"/>
  <c r="BT89" i="4"/>
  <c r="BT111" i="4"/>
  <c r="BT121" i="4"/>
  <c r="BT115" i="4"/>
  <c r="BT87" i="4"/>
  <c r="BT93" i="4"/>
  <c r="BT91" i="4"/>
  <c r="CJ89" i="4"/>
  <c r="CJ97" i="4"/>
  <c r="CJ103" i="4"/>
  <c r="CJ111" i="4"/>
  <c r="CJ121" i="4"/>
  <c r="CJ115" i="4"/>
  <c r="CJ87" i="4"/>
  <c r="CJ93" i="4"/>
  <c r="CJ91" i="4"/>
  <c r="AD99" i="4"/>
  <c r="AD109" i="4"/>
  <c r="AD97" i="4"/>
  <c r="AD103" i="4"/>
  <c r="AD107" i="4"/>
  <c r="AD117" i="4"/>
  <c r="AD111" i="4"/>
  <c r="AD87" i="4"/>
  <c r="AD115" i="4"/>
  <c r="AD89" i="4"/>
  <c r="AD93" i="4"/>
  <c r="AT99" i="4"/>
  <c r="AT109" i="4"/>
  <c r="AT97" i="4"/>
  <c r="AT103" i="4"/>
  <c r="AT107" i="4"/>
  <c r="AT125" i="4"/>
  <c r="AT117" i="4"/>
  <c r="AT111" i="4"/>
  <c r="AT115" i="4"/>
  <c r="AT119" i="4"/>
  <c r="AT89" i="4"/>
  <c r="AT93" i="4"/>
  <c r="BJ99" i="4"/>
  <c r="BJ109" i="4"/>
  <c r="BJ97" i="4"/>
  <c r="BJ103" i="4"/>
  <c r="BJ107" i="4"/>
  <c r="BJ117" i="4"/>
  <c r="BJ111" i="4"/>
  <c r="BJ87" i="4"/>
  <c r="BJ115" i="4"/>
  <c r="BJ119" i="4"/>
  <c r="BJ89" i="4"/>
  <c r="BJ93" i="4"/>
  <c r="BZ99" i="4"/>
  <c r="BZ109" i="4"/>
  <c r="BZ97" i="4"/>
  <c r="BZ103" i="4"/>
  <c r="BZ107" i="4"/>
  <c r="BZ117" i="4"/>
  <c r="BZ111" i="4"/>
  <c r="BZ87" i="4"/>
  <c r="BZ115" i="4"/>
  <c r="BZ119" i="4"/>
  <c r="BZ89" i="4"/>
  <c r="BZ93" i="4"/>
  <c r="AA95" i="4"/>
  <c r="AA89" i="4"/>
  <c r="AA99" i="4"/>
  <c r="AA87" i="4"/>
  <c r="AA93" i="4"/>
  <c r="AA97" i="4"/>
  <c r="AA103" i="4"/>
  <c r="AA91" i="4"/>
  <c r="AA105" i="4"/>
  <c r="AA107" i="4"/>
  <c r="AA101" i="4"/>
  <c r="AA111" i="4"/>
  <c r="AA109" i="4"/>
  <c r="AA119" i="4"/>
  <c r="AA113" i="4"/>
  <c r="AQ95" i="4"/>
  <c r="AQ89" i="4"/>
  <c r="AQ99" i="4"/>
  <c r="AQ87" i="4"/>
  <c r="AQ93" i="4"/>
  <c r="AQ97" i="4"/>
  <c r="AQ103" i="4"/>
  <c r="AQ91" i="4"/>
  <c r="AQ105" i="4"/>
  <c r="AQ107" i="4"/>
  <c r="AQ101" i="4"/>
  <c r="AQ111" i="4"/>
  <c r="AQ109" i="4"/>
  <c r="AQ119" i="4"/>
  <c r="AQ113" i="4"/>
  <c r="BG95" i="4"/>
  <c r="BG89" i="4"/>
  <c r="BG99" i="4"/>
  <c r="BG87" i="4"/>
  <c r="BG93" i="4"/>
  <c r="BG97" i="4"/>
  <c r="BG103" i="4"/>
  <c r="BG91" i="4"/>
  <c r="BG105" i="4"/>
  <c r="BG107" i="4"/>
  <c r="BG101" i="4"/>
  <c r="BG111" i="4"/>
  <c r="BG109" i="4"/>
  <c r="BG119" i="4"/>
  <c r="BG113" i="4"/>
  <c r="BW95" i="4"/>
  <c r="BW89" i="4"/>
  <c r="BW99" i="4"/>
  <c r="BW87" i="4"/>
  <c r="BW93" i="4"/>
  <c r="BW97" i="4"/>
  <c r="BW103" i="4"/>
  <c r="BW91" i="4"/>
  <c r="BW105" i="4"/>
  <c r="BW107" i="4"/>
  <c r="BW101" i="4"/>
  <c r="BW111" i="4"/>
  <c r="BW109" i="4"/>
  <c r="BW119" i="4"/>
  <c r="BW113" i="4"/>
  <c r="CM95" i="4"/>
  <c r="CM89" i="4"/>
  <c r="CM99" i="4"/>
  <c r="CM87" i="4"/>
  <c r="CM93" i="4"/>
  <c r="CM97" i="4"/>
  <c r="CM103" i="4"/>
  <c r="CM91" i="4"/>
  <c r="CM105" i="4"/>
  <c r="CM107" i="4"/>
  <c r="CM101" i="4"/>
  <c r="CM111" i="4"/>
  <c r="CM109" i="4"/>
  <c r="CM119" i="4"/>
  <c r="CM113" i="4"/>
  <c r="U95" i="4"/>
  <c r="U89" i="4"/>
  <c r="U99" i="4"/>
  <c r="U87" i="4"/>
  <c r="U93" i="4"/>
  <c r="U103" i="4"/>
  <c r="U97" i="4"/>
  <c r="U91" i="4"/>
  <c r="U107" i="4"/>
  <c r="U101" i="4"/>
  <c r="U105" i="4"/>
  <c r="U115" i="4"/>
  <c r="U109" i="4"/>
  <c r="U113" i="4"/>
  <c r="U123" i="4"/>
  <c r="U117" i="4"/>
  <c r="AK95" i="4"/>
  <c r="AK89" i="4"/>
  <c r="AK99" i="4"/>
  <c r="AK87" i="4"/>
  <c r="AK93" i="4"/>
  <c r="AK103" i="4"/>
  <c r="AK97" i="4"/>
  <c r="AK91" i="4"/>
  <c r="AK107" i="4"/>
  <c r="AK101" i="4"/>
  <c r="AK105" i="4"/>
  <c r="AK115" i="4"/>
  <c r="AK109" i="4"/>
  <c r="AK113" i="4"/>
  <c r="AK123" i="4"/>
  <c r="AK117" i="4"/>
  <c r="BA95" i="4"/>
  <c r="BA89" i="4"/>
  <c r="BA99" i="4"/>
  <c r="BA87" i="4"/>
  <c r="BA93" i="4"/>
  <c r="BA103" i="4"/>
  <c r="BA97" i="4"/>
  <c r="BA91" i="4"/>
  <c r="BA107" i="4"/>
  <c r="BA101" i="4"/>
  <c r="BA105" i="4"/>
  <c r="BA115" i="4"/>
  <c r="BA109" i="4"/>
  <c r="BA113" i="4"/>
  <c r="BA123" i="4"/>
  <c r="BA117" i="4"/>
  <c r="BQ95" i="4"/>
  <c r="BQ89" i="4"/>
  <c r="BQ99" i="4"/>
  <c r="BQ87" i="4"/>
  <c r="BQ93" i="4"/>
  <c r="BQ103" i="4"/>
  <c r="BQ97" i="4"/>
  <c r="BQ91" i="4"/>
  <c r="BQ107" i="4"/>
  <c r="BQ101" i="4"/>
  <c r="BQ105" i="4"/>
  <c r="BQ115" i="4"/>
  <c r="BQ109" i="4"/>
  <c r="BQ113" i="4"/>
  <c r="BQ123" i="4"/>
  <c r="BQ117" i="4"/>
  <c r="CG95" i="4"/>
  <c r="CG89" i="4"/>
  <c r="CG99" i="4"/>
  <c r="CG87" i="4"/>
  <c r="CG93" i="4"/>
  <c r="CG103" i="4"/>
  <c r="CG97" i="4"/>
  <c r="CG91" i="4"/>
  <c r="CG107" i="4"/>
  <c r="CG101" i="4"/>
  <c r="CG105" i="4"/>
  <c r="CG115" i="4"/>
  <c r="CG109" i="4"/>
  <c r="CG113" i="4"/>
  <c r="CG123" i="4"/>
  <c r="CG117" i="4"/>
  <c r="AD125" i="4"/>
  <c r="AX125" i="4"/>
  <c r="BN125" i="4"/>
  <c r="CH125" i="4"/>
  <c r="R123" i="4"/>
  <c r="AH123" i="4"/>
  <c r="AX123" i="4"/>
  <c r="BN123" i="4"/>
  <c r="CD123" i="4"/>
  <c r="CT123" i="4"/>
  <c r="AC121" i="4"/>
  <c r="AS121" i="4"/>
  <c r="BI121" i="4"/>
  <c r="BY121" i="4"/>
  <c r="CO121" i="4"/>
  <c r="X119" i="4"/>
  <c r="AN119" i="4"/>
  <c r="BD119" i="4"/>
  <c r="BT119" i="4"/>
  <c r="CJ119" i="4"/>
  <c r="AM125" i="4"/>
  <c r="BC125" i="4"/>
  <c r="BS125" i="4"/>
  <c r="CI125" i="4"/>
  <c r="S123" i="4"/>
  <c r="AI123" i="4"/>
  <c r="AY123" i="4"/>
  <c r="CE123" i="4"/>
  <c r="CU123" i="4"/>
  <c r="AD121" i="4"/>
  <c r="AT121" i="4"/>
  <c r="BJ121" i="4"/>
  <c r="BZ121" i="4"/>
  <c r="Y119" i="4"/>
  <c r="AO119" i="4"/>
  <c r="BI119" i="4"/>
  <c r="CC119" i="4"/>
  <c r="AF125" i="4"/>
  <c r="AV125" i="4"/>
  <c r="BL125" i="4"/>
  <c r="CB125" i="4"/>
  <c r="CR125" i="4"/>
  <c r="AB123" i="4"/>
  <c r="AR123" i="4"/>
  <c r="BH123" i="4"/>
  <c r="BX123" i="4"/>
  <c r="CN123" i="4"/>
  <c r="AQ121" i="4"/>
  <c r="BG121" i="4"/>
  <c r="CA121" i="4"/>
  <c r="AD119" i="4"/>
  <c r="AR117" i="4"/>
  <c r="BH117" i="4"/>
  <c r="BX117" i="4"/>
  <c r="AM115" i="4"/>
  <c r="BC115" i="4"/>
  <c r="BS115" i="4"/>
  <c r="CI115" i="4"/>
  <c r="R113" i="4"/>
  <c r="AH113" i="4"/>
  <c r="BN113" i="4"/>
  <c r="CD113" i="4"/>
  <c r="CT113" i="4"/>
  <c r="AC111" i="4"/>
  <c r="AS111" i="4"/>
  <c r="BI111" i="4"/>
  <c r="BY111" i="4"/>
  <c r="CO111" i="4"/>
  <c r="X109" i="4"/>
  <c r="AN109" i="4"/>
  <c r="BD109" i="4"/>
  <c r="BT109" i="4"/>
  <c r="CJ109" i="4"/>
  <c r="AY107" i="4"/>
  <c r="AD105" i="4"/>
  <c r="BB119" i="4"/>
  <c r="AG117" i="4"/>
  <c r="BX115" i="4"/>
  <c r="BC113" i="4"/>
  <c r="AH111" i="4"/>
  <c r="CT111" i="4"/>
  <c r="BY109" i="4"/>
  <c r="BD107" i="4"/>
  <c r="AI105" i="4"/>
  <c r="U125" i="4"/>
  <c r="CG125" i="4"/>
  <c r="BM123" i="4"/>
  <c r="CI119" i="4"/>
  <c r="AS115" i="4"/>
  <c r="X113" i="4"/>
  <c r="CJ113" i="4"/>
  <c r="BG117" i="4"/>
  <c r="AL115" i="4"/>
  <c r="Q113" i="4"/>
  <c r="CC113" i="4"/>
  <c r="AM109" i="4"/>
  <c r="R107" i="4"/>
  <c r="CD107" i="4"/>
  <c r="BI105" i="4"/>
  <c r="AN103" i="4"/>
  <c r="AH103" i="4"/>
  <c r="CT103" i="4"/>
  <c r="BY101" i="4"/>
  <c r="BD99" i="4"/>
  <c r="AH97" i="4"/>
  <c r="CT97" i="4"/>
  <c r="BZ95" i="4"/>
  <c r="BE93" i="4"/>
  <c r="AI91" i="4"/>
  <c r="CU91" i="4"/>
  <c r="BE87" i="4"/>
  <c r="CF89" i="4"/>
  <c r="AM111" i="4"/>
  <c r="BI107" i="4"/>
  <c r="AN105" i="4"/>
  <c r="S103" i="4"/>
  <c r="CE103" i="4"/>
  <c r="BJ101" i="4"/>
  <c r="S97" i="4"/>
  <c r="CE97" i="4"/>
  <c r="AP93" i="4"/>
  <c r="T91" i="4"/>
  <c r="CF91" i="4"/>
  <c r="BC101" i="4"/>
  <c r="BD95" i="4"/>
  <c r="AI93" i="4"/>
  <c r="CU93" i="4"/>
  <c r="BY91" i="4"/>
  <c r="AI87" i="4"/>
  <c r="CU87" i="4"/>
  <c r="CJ101" i="4"/>
  <c r="AS97" i="4"/>
  <c r="BP93" i="4"/>
  <c r="AT91" i="4"/>
  <c r="Z89" i="4"/>
  <c r="CL89" i="4"/>
  <c r="BP87" i="4"/>
  <c r="CR89" i="4"/>
  <c r="AB89" i="4"/>
  <c r="AB87" i="4"/>
  <c r="AB93" i="4"/>
  <c r="AB91" i="4"/>
  <c r="AB101" i="4"/>
  <c r="AB95" i="4"/>
  <c r="AB105" i="4"/>
  <c r="AB99" i="4"/>
  <c r="AB103" i="4"/>
  <c r="AB113" i="4"/>
  <c r="AB107" i="4"/>
  <c r="AR89" i="4"/>
  <c r="AR87" i="4"/>
  <c r="AR93" i="4"/>
  <c r="AR91" i="4"/>
  <c r="AR101" i="4"/>
  <c r="AR95" i="4"/>
  <c r="AR105" i="4"/>
  <c r="AR99" i="4"/>
  <c r="AR103" i="4"/>
  <c r="AR113" i="4"/>
  <c r="AR107" i="4"/>
  <c r="BH87" i="4"/>
  <c r="BH93" i="4"/>
  <c r="BH91" i="4"/>
  <c r="BH89" i="4"/>
  <c r="BH101" i="4"/>
  <c r="BH95" i="4"/>
  <c r="BH105" i="4"/>
  <c r="BH99" i="4"/>
  <c r="BH103" i="4"/>
  <c r="BH113" i="4"/>
  <c r="BH107" i="4"/>
  <c r="BX89" i="4"/>
  <c r="BX87" i="4"/>
  <c r="BX93" i="4"/>
  <c r="BX91" i="4"/>
  <c r="BX101" i="4"/>
  <c r="BX95" i="4"/>
  <c r="BX105" i="4"/>
  <c r="BX99" i="4"/>
  <c r="BX103" i="4"/>
  <c r="BX113" i="4"/>
  <c r="BX107" i="4"/>
  <c r="CN87" i="4"/>
  <c r="CN93" i="4"/>
  <c r="CN91" i="4"/>
  <c r="CN101" i="4"/>
  <c r="CN95" i="4"/>
  <c r="CN105" i="4"/>
  <c r="CN89" i="4"/>
  <c r="CN99" i="4"/>
  <c r="CN113" i="4"/>
  <c r="CN107" i="4"/>
  <c r="R115" i="4"/>
  <c r="R89" i="4"/>
  <c r="R93" i="4"/>
  <c r="R87" i="4"/>
  <c r="R91" i="4"/>
  <c r="R101" i="4"/>
  <c r="R95" i="4"/>
  <c r="R105" i="4"/>
  <c r="AH87" i="4"/>
  <c r="AH115" i="4"/>
  <c r="AH89" i="4"/>
  <c r="AH93" i="4"/>
  <c r="AH91" i="4"/>
  <c r="AH101" i="4"/>
  <c r="AH95" i="4"/>
  <c r="AH105" i="4"/>
  <c r="AX115" i="4"/>
  <c r="AX119" i="4"/>
  <c r="AX89" i="4"/>
  <c r="AX93" i="4"/>
  <c r="AX91" i="4"/>
  <c r="AX101" i="4"/>
  <c r="AX87" i="4"/>
  <c r="AX95" i="4"/>
  <c r="AX105" i="4"/>
  <c r="BN115" i="4"/>
  <c r="BN119" i="4"/>
  <c r="BN89" i="4"/>
  <c r="BN93" i="4"/>
  <c r="BN87" i="4"/>
  <c r="BN91" i="4"/>
  <c r="BN101" i="4"/>
  <c r="BN95" i="4"/>
  <c r="BN105" i="4"/>
  <c r="CD87" i="4"/>
  <c r="CD115" i="4"/>
  <c r="CD119" i="4"/>
  <c r="CD89" i="4"/>
  <c r="CD93" i="4"/>
  <c r="CD91" i="4"/>
  <c r="CD101" i="4"/>
  <c r="CD95" i="4"/>
  <c r="CD105" i="4"/>
  <c r="CT115" i="4"/>
  <c r="CT119" i="4"/>
  <c r="CT89" i="4"/>
  <c r="CT93" i="4"/>
  <c r="CT91" i="4"/>
  <c r="CT101" i="4"/>
  <c r="CT87" i="4"/>
  <c r="CT95" i="4"/>
  <c r="CT105" i="4"/>
  <c r="AE99" i="4"/>
  <c r="AE87" i="4"/>
  <c r="AE93" i="4"/>
  <c r="AE97" i="4"/>
  <c r="AE103" i="4"/>
  <c r="AE91" i="4"/>
  <c r="AE105" i="4"/>
  <c r="AE107" i="4"/>
  <c r="AE101" i="4"/>
  <c r="AE111" i="4"/>
  <c r="AE109" i="4"/>
  <c r="AE119" i="4"/>
  <c r="AE113" i="4"/>
  <c r="AE117" i="4"/>
  <c r="AU99" i="4"/>
  <c r="AU87" i="4"/>
  <c r="AU93" i="4"/>
  <c r="AU97" i="4"/>
  <c r="AU103" i="4"/>
  <c r="AU91" i="4"/>
  <c r="AU105" i="4"/>
  <c r="AU107" i="4"/>
  <c r="AU101" i="4"/>
  <c r="AU111" i="4"/>
  <c r="AU109" i="4"/>
  <c r="AU119" i="4"/>
  <c r="AU113" i="4"/>
  <c r="AU117" i="4"/>
  <c r="BK99" i="4"/>
  <c r="BK87" i="4"/>
  <c r="BK93" i="4"/>
  <c r="BK97" i="4"/>
  <c r="BK103" i="4"/>
  <c r="BK91" i="4"/>
  <c r="BK105" i="4"/>
  <c r="BK107" i="4"/>
  <c r="BK101" i="4"/>
  <c r="BK111" i="4"/>
  <c r="BK109" i="4"/>
  <c r="BK119" i="4"/>
  <c r="BK113" i="4"/>
  <c r="BK117" i="4"/>
  <c r="CA99" i="4"/>
  <c r="CA87" i="4"/>
  <c r="CA93" i="4"/>
  <c r="CA97" i="4"/>
  <c r="CA103" i="4"/>
  <c r="CA91" i="4"/>
  <c r="CA105" i="4"/>
  <c r="CA107" i="4"/>
  <c r="CA101" i="4"/>
  <c r="CA111" i="4"/>
  <c r="CA109" i="4"/>
  <c r="CA119" i="4"/>
  <c r="CA113" i="4"/>
  <c r="CA117" i="4"/>
  <c r="CQ99" i="4"/>
  <c r="CQ87" i="4"/>
  <c r="CQ93" i="4"/>
  <c r="CQ97" i="4"/>
  <c r="CQ103" i="4"/>
  <c r="CQ91" i="4"/>
  <c r="CQ107" i="4"/>
  <c r="CQ101" i="4"/>
  <c r="CQ111" i="4"/>
  <c r="CQ105" i="4"/>
  <c r="CQ109" i="4"/>
  <c r="CQ119" i="4"/>
  <c r="CQ113" i="4"/>
  <c r="CQ117" i="4"/>
  <c r="Y97" i="4"/>
  <c r="Y91" i="4"/>
  <c r="Y107" i="4"/>
  <c r="Y101" i="4"/>
  <c r="Y105" i="4"/>
  <c r="Y115" i="4"/>
  <c r="Y109" i="4"/>
  <c r="Y113" i="4"/>
  <c r="Y123" i="4"/>
  <c r="Y117" i="4"/>
  <c r="Y125" i="4"/>
  <c r="AO97" i="4"/>
  <c r="AO91" i="4"/>
  <c r="AO107" i="4"/>
  <c r="AO101" i="4"/>
  <c r="AO105" i="4"/>
  <c r="AO115" i="4"/>
  <c r="AO109" i="4"/>
  <c r="AO113" i="4"/>
  <c r="AO123" i="4"/>
  <c r="AO117" i="4"/>
  <c r="AO125" i="4"/>
  <c r="BE97" i="4"/>
  <c r="BE91" i="4"/>
  <c r="BE107" i="4"/>
  <c r="BE101" i="4"/>
  <c r="BE105" i="4"/>
  <c r="BE115" i="4"/>
  <c r="BE109" i="4"/>
  <c r="BE113" i="4"/>
  <c r="BE123" i="4"/>
  <c r="BE117" i="4"/>
  <c r="BE125" i="4"/>
  <c r="BU97" i="4"/>
  <c r="BU91" i="4"/>
  <c r="BU107" i="4"/>
  <c r="BU101" i="4"/>
  <c r="BU105" i="4"/>
  <c r="BU115" i="4"/>
  <c r="BU109" i="4"/>
  <c r="BU113" i="4"/>
  <c r="BU123" i="4"/>
  <c r="BU117" i="4"/>
  <c r="BU125" i="4"/>
  <c r="CK97" i="4"/>
  <c r="CK91" i="4"/>
  <c r="CK107" i="4"/>
  <c r="CK101" i="4"/>
  <c r="CK105" i="4"/>
  <c r="CK115" i="4"/>
  <c r="CK109" i="4"/>
  <c r="CK113" i="4"/>
  <c r="CK123" i="4"/>
  <c r="CK117" i="4"/>
  <c r="CK125" i="4"/>
  <c r="R125" i="4"/>
  <c r="AH125" i="4"/>
  <c r="BB125" i="4"/>
  <c r="BR125" i="4"/>
  <c r="CL125" i="4"/>
  <c r="V123" i="4"/>
  <c r="AL123" i="4"/>
  <c r="BB123" i="4"/>
  <c r="BR123" i="4"/>
  <c r="CH123" i="4"/>
  <c r="Q121" i="4"/>
  <c r="AG121" i="4"/>
  <c r="AW121" i="4"/>
  <c r="BM121" i="4"/>
  <c r="CC121" i="4"/>
  <c r="AB119" i="4"/>
  <c r="AR119" i="4"/>
  <c r="BH119" i="4"/>
  <c r="BX119" i="4"/>
  <c r="CN119" i="4"/>
  <c r="AA125" i="4"/>
  <c r="AQ125" i="4"/>
  <c r="BG125" i="4"/>
  <c r="BW125" i="4"/>
  <c r="CM125" i="4"/>
  <c r="AM123" i="4"/>
  <c r="BC123" i="4"/>
  <c r="BS123" i="4"/>
  <c r="CI123" i="4"/>
  <c r="R121" i="4"/>
  <c r="AH121" i="4"/>
  <c r="AX121" i="4"/>
  <c r="BN121" i="4"/>
  <c r="CD121" i="4"/>
  <c r="CT121" i="4"/>
  <c r="AC119" i="4"/>
  <c r="AW119" i="4"/>
  <c r="BM119" i="4"/>
  <c r="CG119" i="4"/>
  <c r="T125" i="4"/>
  <c r="AJ125" i="4"/>
  <c r="AZ125" i="4"/>
  <c r="BP125" i="4"/>
  <c r="CF125" i="4"/>
  <c r="CV125" i="4"/>
  <c r="AF123" i="4"/>
  <c r="AV123" i="4"/>
  <c r="BL123" i="4"/>
  <c r="CB123" i="4"/>
  <c r="CR123" i="4"/>
  <c r="AA121" i="4"/>
  <c r="AU121" i="4"/>
  <c r="BK121" i="4"/>
  <c r="CE121" i="4"/>
  <c r="R119" i="4"/>
  <c r="AH119" i="4"/>
  <c r="AF117" i="4"/>
  <c r="AV117" i="4"/>
  <c r="BL117" i="4"/>
  <c r="CB117" i="4"/>
  <c r="CR117" i="4"/>
  <c r="AA115" i="4"/>
  <c r="AQ115" i="4"/>
  <c r="BG115" i="4"/>
  <c r="BW115" i="4"/>
  <c r="CM115" i="4"/>
  <c r="V113" i="4"/>
  <c r="AL113" i="4"/>
  <c r="BB113" i="4"/>
  <c r="BR113" i="4"/>
  <c r="CH113" i="4"/>
  <c r="Q111" i="4"/>
  <c r="AG111" i="4"/>
  <c r="AW111" i="4"/>
  <c r="BM111" i="4"/>
  <c r="CC111" i="4"/>
  <c r="AB109" i="4"/>
  <c r="AR109" i="4"/>
  <c r="BH109" i="4"/>
  <c r="BX109" i="4"/>
  <c r="CN109" i="4"/>
  <c r="AT105" i="4"/>
  <c r="Y103" i="4"/>
  <c r="CK103" i="4"/>
  <c r="BR119" i="4"/>
  <c r="AW117" i="4"/>
  <c r="AB115" i="4"/>
  <c r="CN115" i="4"/>
  <c r="BS113" i="4"/>
  <c r="AX111" i="4"/>
  <c r="AC109" i="4"/>
  <c r="CO109" i="4"/>
  <c r="BT107" i="4"/>
  <c r="AY105" i="4"/>
  <c r="AK125" i="4"/>
  <c r="Q123" i="4"/>
  <c r="CC123" i="4"/>
  <c r="BH121" i="4"/>
  <c r="AM119" i="4"/>
  <c r="R117" i="4"/>
  <c r="CD117" i="4"/>
  <c r="BI115" i="4"/>
  <c r="AN113" i="4"/>
  <c r="BZ125" i="4"/>
  <c r="BW117" i="4"/>
  <c r="BB115" i="4"/>
  <c r="AG113" i="4"/>
  <c r="BX111" i="4"/>
  <c r="BC109" i="4"/>
  <c r="AH107" i="4"/>
  <c r="CT107" i="4"/>
  <c r="BY105" i="4"/>
  <c r="BD103" i="4"/>
  <c r="AX103" i="4"/>
  <c r="AC101" i="4"/>
  <c r="CO101" i="4"/>
  <c r="BT99" i="4"/>
  <c r="AX97" i="4"/>
  <c r="AD95" i="4"/>
  <c r="BU93" i="4"/>
  <c r="AY91" i="4"/>
  <c r="AE89" i="4"/>
  <c r="CQ89" i="4"/>
  <c r="BU87" i="4"/>
  <c r="AL87" i="4"/>
  <c r="BC111" i="4"/>
  <c r="AH109" i="4"/>
  <c r="CT109" i="4"/>
  <c r="BY107" i="4"/>
  <c r="BD105" i="4"/>
  <c r="AI103" i="4"/>
  <c r="CU103" i="4"/>
  <c r="BZ101" i="4"/>
  <c r="BE99" i="4"/>
  <c r="AI97" i="4"/>
  <c r="CU97" i="4"/>
  <c r="CA95" i="4"/>
  <c r="BF93" i="4"/>
  <c r="AJ91" i="4"/>
  <c r="CV91" i="4"/>
  <c r="CN103" i="4"/>
  <c r="BS101" i="4"/>
  <c r="AX99" i="4"/>
  <c r="AB97" i="4"/>
  <c r="CN97" i="4"/>
  <c r="BT95" i="4"/>
  <c r="AY93" i="4"/>
  <c r="AC91" i="4"/>
  <c r="CO91" i="4"/>
  <c r="BU89" i="4"/>
  <c r="AY87" i="4"/>
  <c r="AN101" i="4"/>
  <c r="S99" i="4"/>
  <c r="CE99" i="4"/>
  <c r="BI97" i="4"/>
  <c r="AO95" i="4"/>
  <c r="T93" i="4"/>
  <c r="CF93" i="4"/>
  <c r="BJ91" i="4"/>
  <c r="AP89" i="4"/>
  <c r="T87" i="4"/>
  <c r="CF87" i="4"/>
  <c r="BB87" i="4"/>
  <c r="J12" i="6"/>
  <c r="J44" i="6"/>
  <c r="U62" i="4"/>
  <c r="V62" i="4"/>
  <c r="X62" i="4"/>
  <c r="Y62" i="4"/>
  <c r="Z62" i="4"/>
  <c r="AA62" i="4"/>
  <c r="AB62" i="4"/>
  <c r="AC62" i="4"/>
  <c r="AD62" i="4"/>
  <c r="AE62" i="4"/>
  <c r="AF62" i="4"/>
  <c r="AG62" i="4"/>
  <c r="AH62" i="4"/>
  <c r="AI62" i="4"/>
  <c r="AJ62" i="4"/>
  <c r="AK62" i="4"/>
  <c r="AL62" i="4"/>
  <c r="AN62" i="4"/>
  <c r="AO62" i="4"/>
  <c r="AP62" i="4"/>
  <c r="AQ62" i="4"/>
  <c r="AR62" i="4"/>
  <c r="AS62" i="4"/>
  <c r="AT62" i="4"/>
  <c r="AU62" i="4"/>
  <c r="AV62" i="4"/>
  <c r="AW62" i="4"/>
  <c r="AX62" i="4"/>
  <c r="AY62" i="4"/>
  <c r="AZ62" i="4"/>
  <c r="BA62" i="4"/>
  <c r="BB62" i="4"/>
  <c r="BC62" i="4"/>
  <c r="BD62" i="4"/>
  <c r="BE62" i="4"/>
  <c r="BF62" i="4"/>
  <c r="BG62" i="4"/>
  <c r="BH62" i="4"/>
  <c r="BI62" i="4"/>
  <c r="BJ62" i="4"/>
  <c r="BK62" i="4"/>
  <c r="BL62" i="4"/>
  <c r="BM62" i="4"/>
  <c r="BN62" i="4"/>
  <c r="BO62" i="4"/>
  <c r="BP62" i="4"/>
  <c r="BQ62" i="4"/>
  <c r="BR62" i="4"/>
  <c r="BS62" i="4"/>
  <c r="BT62" i="4"/>
  <c r="BU62" i="4"/>
  <c r="BV62" i="4"/>
  <c r="BW62" i="4"/>
  <c r="BX62" i="4"/>
  <c r="BY62" i="4"/>
  <c r="BZ62" i="4"/>
  <c r="CA62" i="4"/>
  <c r="CB62" i="4"/>
  <c r="CC62" i="4"/>
  <c r="CD62" i="4"/>
  <c r="CE62" i="4"/>
  <c r="CF62" i="4"/>
  <c r="CG62" i="4"/>
  <c r="CH62" i="4"/>
  <c r="CI62" i="4"/>
  <c r="CJ62" i="4"/>
  <c r="CK62" i="4"/>
  <c r="CL62" i="4"/>
  <c r="CM62" i="4"/>
  <c r="CN62" i="4"/>
  <c r="CO62" i="4"/>
  <c r="CQ62" i="4"/>
  <c r="CR62" i="4"/>
  <c r="CS62" i="4"/>
  <c r="CT62" i="4"/>
  <c r="CV62" i="4"/>
  <c r="Q62" i="4"/>
  <c r="R62" i="4"/>
  <c r="S62" i="4"/>
  <c r="T62" i="4"/>
  <c r="W61" i="4"/>
  <c r="X61" i="4"/>
  <c r="Y61" i="4"/>
  <c r="Z61" i="4"/>
  <c r="AA61" i="4"/>
  <c r="AB61" i="4"/>
  <c r="AC61" i="4"/>
  <c r="AD61" i="4"/>
  <c r="AE61" i="4"/>
  <c r="AF61" i="4"/>
  <c r="AG61" i="4"/>
  <c r="AH61" i="4"/>
  <c r="AI61" i="4"/>
  <c r="AJ61" i="4"/>
  <c r="AL61" i="4"/>
  <c r="AM61" i="4"/>
  <c r="AN61" i="4"/>
  <c r="AO61" i="4"/>
  <c r="AP61" i="4"/>
  <c r="AQ61" i="4"/>
  <c r="AR61" i="4"/>
  <c r="AS61" i="4"/>
  <c r="AT61" i="4"/>
  <c r="AU61" i="4"/>
  <c r="AV61" i="4"/>
  <c r="AX61" i="4"/>
  <c r="AY61" i="4"/>
  <c r="AZ61" i="4"/>
  <c r="BA61" i="4"/>
  <c r="BB61" i="4"/>
  <c r="BC61" i="4"/>
  <c r="BD61" i="4"/>
  <c r="BE61" i="4"/>
  <c r="BF61" i="4"/>
  <c r="BG61" i="4"/>
  <c r="BH61" i="4"/>
  <c r="BI61" i="4"/>
  <c r="BK61" i="4"/>
  <c r="BL61" i="4"/>
  <c r="BN61" i="4"/>
  <c r="BO61" i="4"/>
  <c r="BQ61" i="4"/>
  <c r="BS61" i="4"/>
  <c r="BT61" i="4"/>
  <c r="BU61" i="4"/>
  <c r="BW61" i="4"/>
  <c r="BX61" i="4"/>
  <c r="BY61" i="4"/>
  <c r="BZ61" i="4"/>
  <c r="CA61" i="4"/>
  <c r="CB61" i="4"/>
  <c r="CC61" i="4"/>
  <c r="CD61" i="4"/>
  <c r="CE61" i="4"/>
  <c r="CF61" i="4"/>
  <c r="CG61" i="4"/>
  <c r="CH61" i="4"/>
  <c r="CI61" i="4"/>
  <c r="CJ61" i="4"/>
  <c r="CK61" i="4"/>
  <c r="CL61" i="4"/>
  <c r="CM61" i="4"/>
  <c r="CN61" i="4"/>
  <c r="CO61" i="4"/>
  <c r="CP61" i="4"/>
  <c r="CQ61" i="4"/>
  <c r="CR61" i="4"/>
  <c r="CT61" i="4"/>
  <c r="CU61" i="4"/>
  <c r="CV61" i="4"/>
  <c r="U61" i="4"/>
  <c r="T61" i="4"/>
  <c r="S61" i="4"/>
  <c r="R61" i="4"/>
  <c r="CT60" i="4"/>
  <c r="CV60" i="4"/>
  <c r="CR60" i="4"/>
  <c r="CR127" i="4" s="1"/>
  <c r="R60" i="4"/>
  <c r="S60" i="4"/>
  <c r="S127" i="4" s="1"/>
  <c r="T60" i="4"/>
  <c r="U60" i="4"/>
  <c r="U127" i="4" s="1"/>
  <c r="X60" i="4"/>
  <c r="Y60" i="4"/>
  <c r="Z60" i="4"/>
  <c r="AA60" i="4"/>
  <c r="AA127" i="4" s="1"/>
  <c r="AB60" i="4"/>
  <c r="AB127" i="4" s="1"/>
  <c r="AC60" i="4"/>
  <c r="AC127" i="4" s="1"/>
  <c r="AD60" i="4"/>
  <c r="AE60" i="4"/>
  <c r="AE127" i="4" s="1"/>
  <c r="AF60" i="4"/>
  <c r="AF127" i="4" s="1"/>
  <c r="AG60" i="4"/>
  <c r="AH60" i="4"/>
  <c r="AI60" i="4"/>
  <c r="AJ60" i="4"/>
  <c r="AL60" i="4"/>
  <c r="AL127" i="4" s="1"/>
  <c r="AN60" i="4"/>
  <c r="AO60" i="4"/>
  <c r="AP60" i="4"/>
  <c r="AP127" i="4" s="1"/>
  <c r="AQ60" i="4"/>
  <c r="AR60" i="4"/>
  <c r="AS60" i="4"/>
  <c r="AS127" i="4" s="1"/>
  <c r="AT60" i="4"/>
  <c r="AU60" i="4"/>
  <c r="AU127" i="4" s="1"/>
  <c r="AV60" i="4"/>
  <c r="AX60" i="4"/>
  <c r="AY60" i="4"/>
  <c r="AZ60" i="4"/>
  <c r="BA60" i="4"/>
  <c r="BB60" i="4"/>
  <c r="BB127" i="4" s="1"/>
  <c r="BC60" i="4"/>
  <c r="BD60" i="4"/>
  <c r="BE60" i="4"/>
  <c r="BF60" i="4"/>
  <c r="BF127" i="4" s="1"/>
  <c r="BG60" i="4"/>
  <c r="BG127" i="4" s="1"/>
  <c r="BH60" i="4"/>
  <c r="BH127" i="4" s="1"/>
  <c r="BI60" i="4"/>
  <c r="BK60" i="4"/>
  <c r="BK127" i="4" s="1"/>
  <c r="BL60" i="4"/>
  <c r="BL127" i="4" s="1"/>
  <c r="BN60" i="4"/>
  <c r="BO60" i="4"/>
  <c r="BQ60" i="4"/>
  <c r="BQ127" i="4" s="1"/>
  <c r="BS60" i="4"/>
  <c r="BT60" i="4"/>
  <c r="BU60" i="4"/>
  <c r="BW60" i="4"/>
  <c r="BW127" i="4" s="1"/>
  <c r="BX60" i="4"/>
  <c r="BX127" i="4" s="1"/>
  <c r="BY60" i="4"/>
  <c r="BY127" i="4" s="1"/>
  <c r="BZ60" i="4"/>
  <c r="CA60" i="4"/>
  <c r="CA127" i="4" s="1"/>
  <c r="CB60" i="4"/>
  <c r="CB127" i="4" s="1"/>
  <c r="CC60" i="4"/>
  <c r="CD60" i="4"/>
  <c r="CE60" i="4"/>
  <c r="CF60" i="4"/>
  <c r="CG60" i="4"/>
  <c r="CH60" i="4"/>
  <c r="CI60" i="4"/>
  <c r="CJ60" i="4"/>
  <c r="CK60" i="4"/>
  <c r="CL60" i="4"/>
  <c r="CM60" i="4"/>
  <c r="CM127" i="4" s="1"/>
  <c r="CN60" i="4"/>
  <c r="CN127" i="4" s="1"/>
  <c r="CO60" i="4"/>
  <c r="CO127" i="4" s="1"/>
  <c r="CQ60" i="4"/>
  <c r="Q12" i="4"/>
  <c r="R12" i="4"/>
  <c r="R14" i="4" s="1"/>
  <c r="S12" i="4"/>
  <c r="S14" i="4" s="1"/>
  <c r="T12" i="4"/>
  <c r="T14" i="4" s="1"/>
  <c r="U12" i="4"/>
  <c r="U14" i="4" s="1"/>
  <c r="V12" i="4"/>
  <c r="V14" i="4" s="1"/>
  <c r="W12" i="4"/>
  <c r="W14" i="4" s="1"/>
  <c r="X12" i="4"/>
  <c r="X14" i="4" s="1"/>
  <c r="Y12" i="4"/>
  <c r="Y14" i="4" s="1"/>
  <c r="Z12" i="4"/>
  <c r="Z14" i="4" s="1"/>
  <c r="AA12" i="4"/>
  <c r="AA14" i="4" s="1"/>
  <c r="AB12" i="4"/>
  <c r="AB14" i="4" s="1"/>
  <c r="AC12" i="4"/>
  <c r="AC14" i="4" s="1"/>
  <c r="AD12" i="4"/>
  <c r="AD14" i="4" s="1"/>
  <c r="AE12" i="4"/>
  <c r="AE14" i="4" s="1"/>
  <c r="AF12" i="4"/>
  <c r="AF14" i="4" s="1"/>
  <c r="AG12" i="4"/>
  <c r="AG14" i="4" s="1"/>
  <c r="AH12" i="4"/>
  <c r="AH14" i="4" s="1"/>
  <c r="AI12" i="4"/>
  <c r="AI14" i="4" s="1"/>
  <c r="AJ12" i="4"/>
  <c r="AJ14" i="4" s="1"/>
  <c r="AK12" i="4"/>
  <c r="AK14" i="4" s="1"/>
  <c r="AL12" i="4"/>
  <c r="AL14" i="4" s="1"/>
  <c r="AM12" i="4"/>
  <c r="AM14" i="4" s="1"/>
  <c r="AN12" i="4"/>
  <c r="AN14" i="4" s="1"/>
  <c r="AO12" i="4"/>
  <c r="AO14" i="4" s="1"/>
  <c r="AP12" i="4"/>
  <c r="AP14" i="4" s="1"/>
  <c r="AQ12" i="4"/>
  <c r="AQ14" i="4" s="1"/>
  <c r="AR12" i="4"/>
  <c r="AR14" i="4" s="1"/>
  <c r="AS12" i="4"/>
  <c r="AS14" i="4" s="1"/>
  <c r="AT12" i="4"/>
  <c r="AT14" i="4" s="1"/>
  <c r="AU12" i="4"/>
  <c r="AU14" i="4" s="1"/>
  <c r="AV12" i="4"/>
  <c r="AV14" i="4" s="1"/>
  <c r="AW12" i="4"/>
  <c r="AW14" i="4" s="1"/>
  <c r="AX12" i="4"/>
  <c r="AX14" i="4" s="1"/>
  <c r="AY12" i="4"/>
  <c r="AY14" i="4" s="1"/>
  <c r="AZ12" i="4"/>
  <c r="AZ14" i="4" s="1"/>
  <c r="BA12" i="4"/>
  <c r="BA14" i="4" s="1"/>
  <c r="BB12" i="4"/>
  <c r="BB14" i="4" s="1"/>
  <c r="BC12" i="4"/>
  <c r="BC14" i="4" s="1"/>
  <c r="BD12" i="4"/>
  <c r="BD14" i="4" s="1"/>
  <c r="BE12" i="4"/>
  <c r="BE14" i="4" s="1"/>
  <c r="BF12" i="4"/>
  <c r="BF14" i="4" s="1"/>
  <c r="BG12" i="4"/>
  <c r="BG14" i="4" s="1"/>
  <c r="BH12" i="4"/>
  <c r="BH14" i="4" s="1"/>
  <c r="BI12" i="4"/>
  <c r="BI14" i="4" s="1"/>
  <c r="BJ12" i="4"/>
  <c r="BJ14" i="4" s="1"/>
  <c r="BK12" i="4"/>
  <c r="BK14" i="4" s="1"/>
  <c r="BL12" i="4"/>
  <c r="BL14" i="4" s="1"/>
  <c r="BM12" i="4"/>
  <c r="BM14" i="4" s="1"/>
  <c r="BN12" i="4"/>
  <c r="BN14" i="4" s="1"/>
  <c r="BO12" i="4"/>
  <c r="BO14" i="4" s="1"/>
  <c r="BP12" i="4"/>
  <c r="BP14" i="4" s="1"/>
  <c r="BQ12" i="4"/>
  <c r="BQ14" i="4" s="1"/>
  <c r="BR12" i="4"/>
  <c r="BR14" i="4" s="1"/>
  <c r="BS12" i="4"/>
  <c r="BS14" i="4" s="1"/>
  <c r="BT12" i="4"/>
  <c r="BT14" i="4" s="1"/>
  <c r="BU12" i="4"/>
  <c r="BU14" i="4" s="1"/>
  <c r="BV12" i="4"/>
  <c r="BV14" i="4" s="1"/>
  <c r="BW12" i="4"/>
  <c r="BW14" i="4" s="1"/>
  <c r="BX12" i="4"/>
  <c r="BX14" i="4" s="1"/>
  <c r="BY12" i="4"/>
  <c r="BY14" i="4" s="1"/>
  <c r="BZ12" i="4"/>
  <c r="BZ14" i="4" s="1"/>
  <c r="CA12" i="4"/>
  <c r="CA14" i="4" s="1"/>
  <c r="CB12" i="4"/>
  <c r="CB14" i="4" s="1"/>
  <c r="CC12" i="4"/>
  <c r="CC14" i="4" s="1"/>
  <c r="CD12" i="4"/>
  <c r="CD14" i="4" s="1"/>
  <c r="CE12" i="4"/>
  <c r="CE14" i="4" s="1"/>
  <c r="CF12" i="4"/>
  <c r="CF14" i="4" s="1"/>
  <c r="CG12" i="4"/>
  <c r="CG14" i="4" s="1"/>
  <c r="CH12" i="4"/>
  <c r="CH14" i="4" s="1"/>
  <c r="CI12" i="4"/>
  <c r="CI14" i="4" s="1"/>
  <c r="CJ12" i="4"/>
  <c r="CJ14" i="4" s="1"/>
  <c r="CK12" i="4"/>
  <c r="CK14" i="4" s="1"/>
  <c r="CL12" i="4"/>
  <c r="CL14" i="4" s="1"/>
  <c r="CM12" i="4"/>
  <c r="CM14" i="4" s="1"/>
  <c r="CN12" i="4"/>
  <c r="CN14" i="4" s="1"/>
  <c r="CO12" i="4"/>
  <c r="CO14" i="4" s="1"/>
  <c r="CP12" i="4"/>
  <c r="CP14" i="4" s="1"/>
  <c r="CQ12" i="4"/>
  <c r="CQ14" i="4" s="1"/>
  <c r="CR12" i="4"/>
  <c r="CR14" i="4" s="1"/>
  <c r="CS12" i="4"/>
  <c r="CS14" i="4" s="1"/>
  <c r="CT12" i="4"/>
  <c r="CT14" i="4" s="1"/>
  <c r="CU12" i="4"/>
  <c r="CU14" i="4" s="1"/>
  <c r="CV12" i="4"/>
  <c r="CV14" i="4" s="1"/>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AQ11" i="4"/>
  <c r="AR11" i="4"/>
  <c r="AS11" i="4"/>
  <c r="AT11" i="4"/>
  <c r="AU11" i="4"/>
  <c r="AV11" i="4"/>
  <c r="AW11" i="4"/>
  <c r="AX11" i="4"/>
  <c r="AY11" i="4"/>
  <c r="AZ11" i="4"/>
  <c r="BA11" i="4"/>
  <c r="BB11" i="4"/>
  <c r="BC11" i="4"/>
  <c r="BD11" i="4"/>
  <c r="BE11" i="4"/>
  <c r="BF11" i="4"/>
  <c r="BG11" i="4"/>
  <c r="BH11" i="4"/>
  <c r="BI11" i="4"/>
  <c r="BJ11" i="4"/>
  <c r="BK11" i="4"/>
  <c r="BL11" i="4"/>
  <c r="BM11" i="4"/>
  <c r="BN11" i="4"/>
  <c r="BO11" i="4"/>
  <c r="BP11" i="4"/>
  <c r="BQ11" i="4"/>
  <c r="BR11" i="4"/>
  <c r="BS11" i="4"/>
  <c r="BT11" i="4"/>
  <c r="BU11" i="4"/>
  <c r="BV11" i="4"/>
  <c r="BW11" i="4"/>
  <c r="BX11" i="4"/>
  <c r="BY11" i="4"/>
  <c r="BZ11" i="4"/>
  <c r="CA11" i="4"/>
  <c r="CB11" i="4"/>
  <c r="CC11" i="4"/>
  <c r="CD11" i="4"/>
  <c r="CE11" i="4"/>
  <c r="CF11" i="4"/>
  <c r="CG11" i="4"/>
  <c r="CH11" i="4"/>
  <c r="CI11" i="4"/>
  <c r="CJ11" i="4"/>
  <c r="CK11" i="4"/>
  <c r="CL11" i="4"/>
  <c r="CM11" i="4"/>
  <c r="CN11" i="4"/>
  <c r="CO11" i="4"/>
  <c r="CP11" i="4"/>
  <c r="CQ11" i="4"/>
  <c r="CR11" i="4"/>
  <c r="CS11" i="4"/>
  <c r="CT11" i="4"/>
  <c r="CU11" i="4"/>
  <c r="CV11" i="4"/>
  <c r="Q10" i="4"/>
  <c r="Q9" i="4" s="1"/>
  <c r="R10" i="4"/>
  <c r="R9" i="4" s="1"/>
  <c r="S10" i="4"/>
  <c r="S9" i="4" s="1"/>
  <c r="T10" i="4"/>
  <c r="T9" i="4" s="1"/>
  <c r="U10" i="4"/>
  <c r="U9" i="4" s="1"/>
  <c r="V10" i="4"/>
  <c r="V9" i="4" s="1"/>
  <c r="W10" i="4"/>
  <c r="W9" i="4" s="1"/>
  <c r="X10" i="4"/>
  <c r="X9" i="4" s="1"/>
  <c r="Y10" i="4"/>
  <c r="Y9" i="4" s="1"/>
  <c r="Z10" i="4"/>
  <c r="Z9" i="4" s="1"/>
  <c r="AA10" i="4"/>
  <c r="AA9" i="4" s="1"/>
  <c r="AB10" i="4"/>
  <c r="AB9" i="4" s="1"/>
  <c r="AC10" i="4"/>
  <c r="AC9" i="4" s="1"/>
  <c r="AD10" i="4"/>
  <c r="AD9" i="4" s="1"/>
  <c r="AE10" i="4"/>
  <c r="AE9" i="4" s="1"/>
  <c r="AF10" i="4"/>
  <c r="AF9" i="4" s="1"/>
  <c r="AG10" i="4"/>
  <c r="AG9" i="4" s="1"/>
  <c r="AH10" i="4"/>
  <c r="AH9" i="4" s="1"/>
  <c r="AI10" i="4"/>
  <c r="AI9" i="4" s="1"/>
  <c r="AJ10" i="4"/>
  <c r="AJ9" i="4" s="1"/>
  <c r="AK10" i="4"/>
  <c r="AK9" i="4" s="1"/>
  <c r="AL10" i="4"/>
  <c r="AL9" i="4" s="1"/>
  <c r="AM10" i="4"/>
  <c r="AM9" i="4" s="1"/>
  <c r="AN10" i="4"/>
  <c r="AN9" i="4" s="1"/>
  <c r="AO10" i="4"/>
  <c r="AO9" i="4" s="1"/>
  <c r="AP10" i="4"/>
  <c r="AP9" i="4" s="1"/>
  <c r="AQ10" i="4"/>
  <c r="AQ9" i="4" s="1"/>
  <c r="AR10" i="4"/>
  <c r="AR9" i="4" s="1"/>
  <c r="AS10" i="4"/>
  <c r="AS9" i="4" s="1"/>
  <c r="AT10" i="4"/>
  <c r="AT9" i="4" s="1"/>
  <c r="AU10" i="4"/>
  <c r="AU9" i="4" s="1"/>
  <c r="AV10" i="4"/>
  <c r="AV9" i="4" s="1"/>
  <c r="AW10" i="4"/>
  <c r="AW9" i="4" s="1"/>
  <c r="AX10" i="4"/>
  <c r="AX9" i="4" s="1"/>
  <c r="AY10" i="4"/>
  <c r="AY9" i="4" s="1"/>
  <c r="AZ10" i="4"/>
  <c r="AZ9" i="4" s="1"/>
  <c r="BA10" i="4"/>
  <c r="BA9" i="4" s="1"/>
  <c r="BB10" i="4"/>
  <c r="BB9" i="4" s="1"/>
  <c r="BC10" i="4"/>
  <c r="BC9" i="4" s="1"/>
  <c r="BD10" i="4"/>
  <c r="BD9" i="4" s="1"/>
  <c r="BE10" i="4"/>
  <c r="BE9" i="4" s="1"/>
  <c r="BF10" i="4"/>
  <c r="BF9" i="4" s="1"/>
  <c r="BG10" i="4"/>
  <c r="BG9" i="4" s="1"/>
  <c r="BH10" i="4"/>
  <c r="BH9" i="4" s="1"/>
  <c r="BI10" i="4"/>
  <c r="BI9" i="4" s="1"/>
  <c r="BJ10" i="4"/>
  <c r="BJ9" i="4" s="1"/>
  <c r="BK10" i="4"/>
  <c r="BK9" i="4" s="1"/>
  <c r="BL10" i="4"/>
  <c r="BL9" i="4" s="1"/>
  <c r="BM10" i="4"/>
  <c r="BM9" i="4" s="1"/>
  <c r="BN10" i="4"/>
  <c r="BN9" i="4" s="1"/>
  <c r="BO10" i="4"/>
  <c r="BO9" i="4" s="1"/>
  <c r="BP10" i="4"/>
  <c r="BP9" i="4" s="1"/>
  <c r="BQ10" i="4"/>
  <c r="BQ9" i="4" s="1"/>
  <c r="BR10" i="4"/>
  <c r="BR9" i="4" s="1"/>
  <c r="BS10" i="4"/>
  <c r="BS9" i="4" s="1"/>
  <c r="BT10" i="4"/>
  <c r="BT9" i="4" s="1"/>
  <c r="BU10" i="4"/>
  <c r="BU9" i="4" s="1"/>
  <c r="BV10" i="4"/>
  <c r="BV9" i="4" s="1"/>
  <c r="BW10" i="4"/>
  <c r="BW9" i="4" s="1"/>
  <c r="BX10" i="4"/>
  <c r="BX9" i="4" s="1"/>
  <c r="BY10" i="4"/>
  <c r="BY9" i="4" s="1"/>
  <c r="BZ10" i="4"/>
  <c r="BZ9" i="4" s="1"/>
  <c r="CA10" i="4"/>
  <c r="CA9" i="4" s="1"/>
  <c r="CB10" i="4"/>
  <c r="CB9" i="4" s="1"/>
  <c r="CC10" i="4"/>
  <c r="CC9" i="4" s="1"/>
  <c r="CD10" i="4"/>
  <c r="CD9" i="4" s="1"/>
  <c r="CE10" i="4"/>
  <c r="CE9" i="4" s="1"/>
  <c r="CF10" i="4"/>
  <c r="CF9" i="4" s="1"/>
  <c r="CG10" i="4"/>
  <c r="CG9" i="4" s="1"/>
  <c r="CH10" i="4"/>
  <c r="CH9" i="4" s="1"/>
  <c r="CI10" i="4"/>
  <c r="CI9" i="4" s="1"/>
  <c r="CJ10" i="4"/>
  <c r="CJ9" i="4" s="1"/>
  <c r="CK10" i="4"/>
  <c r="CK9" i="4" s="1"/>
  <c r="CL10" i="4"/>
  <c r="CL9" i="4" s="1"/>
  <c r="CM10" i="4"/>
  <c r="CM9" i="4" s="1"/>
  <c r="CN10" i="4"/>
  <c r="CN9" i="4" s="1"/>
  <c r="CO10" i="4"/>
  <c r="CO9" i="4" s="1"/>
  <c r="CP10" i="4"/>
  <c r="CP9" i="4" s="1"/>
  <c r="CQ10" i="4"/>
  <c r="CQ9" i="4" s="1"/>
  <c r="CR10" i="4"/>
  <c r="CR9" i="4" s="1"/>
  <c r="CS10" i="4"/>
  <c r="CS9" i="4" s="1"/>
  <c r="CT10" i="4"/>
  <c r="CT9" i="4" s="1"/>
  <c r="CU10" i="4"/>
  <c r="CU9" i="4" s="1"/>
  <c r="CV10" i="4"/>
  <c r="CV9" i="4" s="1"/>
  <c r="Q8" i="4"/>
  <c r="S7" i="4" s="1"/>
  <c r="R8" i="4"/>
  <c r="S8" i="4"/>
  <c r="T8" i="4"/>
  <c r="U8" i="4"/>
  <c r="V8" i="4"/>
  <c r="W8" i="4"/>
  <c r="X8" i="4"/>
  <c r="Y8" i="4"/>
  <c r="Z8" i="4"/>
  <c r="AA8" i="4"/>
  <c r="AB8" i="4"/>
  <c r="AC8" i="4"/>
  <c r="AD8" i="4"/>
  <c r="AE8" i="4"/>
  <c r="AG7" i="4" s="1"/>
  <c r="AF8" i="4"/>
  <c r="AG8" i="4"/>
  <c r="AH8" i="4"/>
  <c r="AI8" i="4"/>
  <c r="AJ8" i="4"/>
  <c r="AL7" i="4" s="1"/>
  <c r="AK8" i="4"/>
  <c r="AL8" i="4"/>
  <c r="AM8" i="4"/>
  <c r="AN8" i="4"/>
  <c r="AO8" i="4"/>
  <c r="AP8" i="4"/>
  <c r="AQ8" i="4"/>
  <c r="AR8" i="4"/>
  <c r="AS8" i="4"/>
  <c r="AT8" i="4"/>
  <c r="AU8" i="4"/>
  <c r="AV8" i="4"/>
  <c r="AX7" i="4" s="1"/>
  <c r="AW8" i="4"/>
  <c r="AX8" i="4"/>
  <c r="AY8" i="4"/>
  <c r="AZ8" i="4"/>
  <c r="BA8" i="4"/>
  <c r="BB8" i="4"/>
  <c r="BC8" i="4"/>
  <c r="BD8" i="4"/>
  <c r="BE8" i="4"/>
  <c r="BF8" i="4"/>
  <c r="BG8" i="4"/>
  <c r="BH8" i="4"/>
  <c r="BI8" i="4"/>
  <c r="BJ8" i="4"/>
  <c r="BK8" i="4"/>
  <c r="BL8" i="4"/>
  <c r="BM8" i="4"/>
  <c r="BO7" i="4" s="1"/>
  <c r="BN8" i="4"/>
  <c r="BO8" i="4"/>
  <c r="BP8" i="4"/>
  <c r="BQ8" i="4"/>
  <c r="BR8" i="4"/>
  <c r="BS8" i="4"/>
  <c r="BT8" i="4"/>
  <c r="BU8" i="4"/>
  <c r="BV8" i="4"/>
  <c r="BW8" i="4"/>
  <c r="BX8" i="4"/>
  <c r="BY8" i="4"/>
  <c r="BZ8" i="4"/>
  <c r="CA8" i="4"/>
  <c r="CB8" i="4"/>
  <c r="CC8" i="4"/>
  <c r="CD8" i="4"/>
  <c r="CE8" i="4"/>
  <c r="CF8" i="4"/>
  <c r="CH7" i="4" s="1"/>
  <c r="CG8" i="4"/>
  <c r="CH8" i="4"/>
  <c r="CI8" i="4"/>
  <c r="CJ8" i="4"/>
  <c r="CK8" i="4"/>
  <c r="CL8" i="4"/>
  <c r="CM8" i="4"/>
  <c r="CN8" i="4"/>
  <c r="CO8" i="4"/>
  <c r="CQ7" i="4" s="1"/>
  <c r="CP8" i="4"/>
  <c r="CQ8" i="4"/>
  <c r="CR8" i="4"/>
  <c r="CS8" i="4"/>
  <c r="CT8" i="4"/>
  <c r="CU8" i="4"/>
  <c r="CU6" i="4" s="1"/>
  <c r="CU22" i="4" s="1"/>
  <c r="CV8" i="4"/>
  <c r="CV6" i="4" s="1"/>
  <c r="CV22" i="4" s="1"/>
  <c r="O151" i="4" l="1"/>
  <c r="F131" i="6" s="1"/>
  <c r="O65" i="4"/>
  <c r="N49" i="9"/>
  <c r="Z50" i="9"/>
  <c r="S208" i="4"/>
  <c r="S165" i="4"/>
  <c r="S158" i="4"/>
  <c r="S154" i="4"/>
  <c r="S150" i="4"/>
  <c r="S156" i="4"/>
  <c r="S152" i="4"/>
  <c r="S163" i="4"/>
  <c r="S160" i="4"/>
  <c r="CU208" i="4"/>
  <c r="CU165" i="4"/>
  <c r="CU152" i="4"/>
  <c r="CU154" i="4"/>
  <c r="CU156" i="4"/>
  <c r="CU150" i="4"/>
  <c r="CU163" i="4"/>
  <c r="CU158" i="4"/>
  <c r="CU160" i="4"/>
  <c r="CP165" i="4"/>
  <c r="CP208" i="4"/>
  <c r="CP156" i="4"/>
  <c r="CP154" i="4"/>
  <c r="CP150" i="4"/>
  <c r="CP163" i="4"/>
  <c r="CP152" i="4"/>
  <c r="CP158" i="4"/>
  <c r="CP160" i="4"/>
  <c r="CL208" i="4"/>
  <c r="CL165" i="4"/>
  <c r="CL150" i="4"/>
  <c r="CL152" i="4"/>
  <c r="CL158" i="4"/>
  <c r="CL163" i="4"/>
  <c r="CL156" i="4"/>
  <c r="CL154" i="4"/>
  <c r="CL160" i="4"/>
  <c r="CH208" i="4"/>
  <c r="CH165" i="4"/>
  <c r="CH150" i="4"/>
  <c r="CH163" i="4"/>
  <c r="CH152" i="4"/>
  <c r="CH154" i="4"/>
  <c r="CH156" i="4"/>
  <c r="CH158" i="4"/>
  <c r="CH160" i="4"/>
  <c r="CD165" i="4"/>
  <c r="CD208" i="4"/>
  <c r="CD150" i="4"/>
  <c r="CD163" i="4"/>
  <c r="CD152" i="4"/>
  <c r="CD158" i="4"/>
  <c r="CD156" i="4"/>
  <c r="CD154" i="4"/>
  <c r="CD160" i="4"/>
  <c r="BZ208" i="4"/>
  <c r="BZ165" i="4"/>
  <c r="BZ156" i="4"/>
  <c r="BZ154" i="4"/>
  <c r="BZ150" i="4"/>
  <c r="BZ163" i="4"/>
  <c r="BZ152" i="4"/>
  <c r="BZ158" i="4"/>
  <c r="BZ160" i="4"/>
  <c r="BU165" i="4"/>
  <c r="BU208" i="4"/>
  <c r="BU152" i="4"/>
  <c r="BU156" i="4"/>
  <c r="BU150" i="4"/>
  <c r="BU163" i="4"/>
  <c r="BU154" i="4"/>
  <c r="BU158" i="4"/>
  <c r="BU160" i="4"/>
  <c r="BO208" i="4"/>
  <c r="BO165" i="4"/>
  <c r="BO154" i="4"/>
  <c r="BO156" i="4"/>
  <c r="BO163" i="4"/>
  <c r="BO150" i="4"/>
  <c r="BO152" i="4"/>
  <c r="BO158" i="4"/>
  <c r="BO160" i="4"/>
  <c r="BI165" i="4"/>
  <c r="BI208" i="4"/>
  <c r="BI156" i="4"/>
  <c r="BI150" i="4"/>
  <c r="BI163" i="4"/>
  <c r="BI154" i="4"/>
  <c r="BI158" i="4"/>
  <c r="BI152" i="4"/>
  <c r="BI160" i="4"/>
  <c r="BE165" i="4"/>
  <c r="BE208" i="4"/>
  <c r="BE156" i="4"/>
  <c r="BE150" i="4"/>
  <c r="BE163" i="4"/>
  <c r="BE152" i="4"/>
  <c r="BE154" i="4"/>
  <c r="BE158" i="4"/>
  <c r="BE160" i="4"/>
  <c r="BA165" i="4"/>
  <c r="BA208" i="4"/>
  <c r="BA158" i="4"/>
  <c r="BA154" i="4"/>
  <c r="BA156" i="4"/>
  <c r="BA163" i="4"/>
  <c r="BA150" i="4"/>
  <c r="BA152" i="4"/>
  <c r="BA160" i="4"/>
  <c r="AV208" i="4"/>
  <c r="AV165" i="4"/>
  <c r="AV152" i="4"/>
  <c r="AV158" i="4"/>
  <c r="AV154" i="4"/>
  <c r="AV156" i="4"/>
  <c r="AV163" i="4"/>
  <c r="AV150" i="4"/>
  <c r="AV160" i="4"/>
  <c r="AR208" i="4"/>
  <c r="AR165" i="4"/>
  <c r="AR163" i="4"/>
  <c r="AR154" i="4"/>
  <c r="AR152" i="4"/>
  <c r="AR158" i="4"/>
  <c r="AR150" i="4"/>
  <c r="AR156" i="4"/>
  <c r="AR160" i="4"/>
  <c r="AN208" i="4"/>
  <c r="AN165" i="4"/>
  <c r="AN163" i="4"/>
  <c r="AN156" i="4"/>
  <c r="AN150" i="4"/>
  <c r="AN152" i="4"/>
  <c r="AN154" i="4"/>
  <c r="AN158" i="4"/>
  <c r="AN160" i="4"/>
  <c r="AI208" i="4"/>
  <c r="AI165" i="4"/>
  <c r="AI154" i="4"/>
  <c r="AI150" i="4"/>
  <c r="AI156" i="4"/>
  <c r="AI152" i="4"/>
  <c r="AI163" i="4"/>
  <c r="AI158" i="4"/>
  <c r="AI160" i="4"/>
  <c r="AE208" i="4"/>
  <c r="AE165" i="4"/>
  <c r="AE158" i="4"/>
  <c r="AE163" i="4"/>
  <c r="AE152" i="4"/>
  <c r="AE154" i="4"/>
  <c r="AE150" i="4"/>
  <c r="AE156" i="4"/>
  <c r="AE160" i="4"/>
  <c r="AA208" i="4"/>
  <c r="AA165" i="4"/>
  <c r="AA154" i="4"/>
  <c r="AA163" i="4"/>
  <c r="AA158" i="4"/>
  <c r="AA150" i="4"/>
  <c r="AA156" i="4"/>
  <c r="AA152" i="4"/>
  <c r="AA160" i="4"/>
  <c r="W208" i="4"/>
  <c r="W165" i="4"/>
  <c r="W152" i="4"/>
  <c r="W150" i="4"/>
  <c r="W163" i="4"/>
  <c r="W154" i="4"/>
  <c r="W158" i="4"/>
  <c r="W156" i="4"/>
  <c r="W160" i="4"/>
  <c r="Q275" i="4"/>
  <c r="Q232" i="4"/>
  <c r="Q223" i="4"/>
  <c r="Q225" i="4"/>
  <c r="Q221" i="4"/>
  <c r="Q219" i="4"/>
  <c r="Q227" i="4"/>
  <c r="CR275" i="4"/>
  <c r="CR232" i="4"/>
  <c r="CR225" i="4"/>
  <c r="CR221" i="4"/>
  <c r="CR219" i="4"/>
  <c r="CR223" i="4"/>
  <c r="CR227" i="4"/>
  <c r="CM232" i="4"/>
  <c r="CM275" i="4"/>
  <c r="CM223" i="4"/>
  <c r="CM219" i="4"/>
  <c r="CM225" i="4"/>
  <c r="CM221" i="4"/>
  <c r="CM227" i="4"/>
  <c r="CI232" i="4"/>
  <c r="CI275" i="4"/>
  <c r="CI219" i="4"/>
  <c r="CI221" i="4"/>
  <c r="CI223" i="4"/>
  <c r="CI225" i="4"/>
  <c r="CI227" i="4"/>
  <c r="CE232" i="4"/>
  <c r="CE275" i="4"/>
  <c r="CE225" i="4"/>
  <c r="CE219" i="4"/>
  <c r="CE221" i="4"/>
  <c r="CE223" i="4"/>
  <c r="CE227" i="4"/>
  <c r="CA232" i="4"/>
  <c r="CA275" i="4"/>
  <c r="CA219" i="4"/>
  <c r="CA223" i="4"/>
  <c r="CA221" i="4"/>
  <c r="CA225" i="4"/>
  <c r="CA227" i="4"/>
  <c r="BW232" i="4"/>
  <c r="BW275" i="4"/>
  <c r="BW223" i="4"/>
  <c r="BW219" i="4"/>
  <c r="BW225" i="4"/>
  <c r="BW221" i="4"/>
  <c r="BW227" i="4"/>
  <c r="BS232" i="4"/>
  <c r="BS275" i="4"/>
  <c r="BS219" i="4"/>
  <c r="BS221" i="4"/>
  <c r="BS223" i="4"/>
  <c r="BS225" i="4"/>
  <c r="BS227" i="4"/>
  <c r="BO232" i="4"/>
  <c r="BO275" i="4"/>
  <c r="BO225" i="4"/>
  <c r="BO219" i="4"/>
  <c r="BO221" i="4"/>
  <c r="BO223" i="4"/>
  <c r="BO227" i="4"/>
  <c r="BK232" i="4"/>
  <c r="BK275" i="4"/>
  <c r="BK219" i="4"/>
  <c r="BK223" i="4"/>
  <c r="BK221" i="4"/>
  <c r="BK225" i="4"/>
  <c r="BK227" i="4"/>
  <c r="BG275" i="4"/>
  <c r="BG232" i="4"/>
  <c r="BG223" i="4"/>
  <c r="BG219" i="4"/>
  <c r="BG225" i="4"/>
  <c r="BG221" i="4"/>
  <c r="BG227" i="4"/>
  <c r="BC275" i="4"/>
  <c r="BC232" i="4"/>
  <c r="BC219" i="4"/>
  <c r="BC221" i="4"/>
  <c r="BC223" i="4"/>
  <c r="BC225" i="4"/>
  <c r="BC227" i="4"/>
  <c r="AY232" i="4"/>
  <c r="AY275" i="4"/>
  <c r="AY225" i="4"/>
  <c r="AY219" i="4"/>
  <c r="AY221" i="4"/>
  <c r="AY223" i="4"/>
  <c r="AY227" i="4"/>
  <c r="AU232" i="4"/>
  <c r="AU275" i="4"/>
  <c r="AU219" i="4"/>
  <c r="AU223" i="4"/>
  <c r="AU221" i="4"/>
  <c r="AU225" i="4"/>
  <c r="AU227" i="4"/>
  <c r="AQ275" i="4"/>
  <c r="AQ232" i="4"/>
  <c r="AQ223" i="4"/>
  <c r="AQ219" i="4"/>
  <c r="AQ225" i="4"/>
  <c r="AQ221" i="4"/>
  <c r="AQ227" i="4"/>
  <c r="AL275" i="4"/>
  <c r="AL232" i="4"/>
  <c r="AL219" i="4"/>
  <c r="AL225" i="4"/>
  <c r="AL223" i="4"/>
  <c r="AL221" i="4"/>
  <c r="AL227" i="4"/>
  <c r="AH232" i="4"/>
  <c r="AH275" i="4"/>
  <c r="AH221" i="4"/>
  <c r="AH225" i="4"/>
  <c r="AH219" i="4"/>
  <c r="AH223" i="4"/>
  <c r="AH227" i="4"/>
  <c r="AD232" i="4"/>
  <c r="AD275" i="4"/>
  <c r="AD219" i="4"/>
  <c r="AD223" i="4"/>
  <c r="AD225" i="4"/>
  <c r="AD221" i="4"/>
  <c r="AD227" i="4"/>
  <c r="Z232" i="4"/>
  <c r="Z275" i="4"/>
  <c r="Z221" i="4"/>
  <c r="Z223" i="4"/>
  <c r="Z219" i="4"/>
  <c r="Z225" i="4"/>
  <c r="Z227" i="4"/>
  <c r="U275" i="4"/>
  <c r="U232" i="4"/>
  <c r="U219" i="4"/>
  <c r="U221" i="4"/>
  <c r="U223" i="4"/>
  <c r="U225" i="4"/>
  <c r="U227" i="4"/>
  <c r="T208" i="4"/>
  <c r="T165" i="4"/>
  <c r="T154" i="4"/>
  <c r="T158" i="4"/>
  <c r="T150" i="4"/>
  <c r="T156" i="4"/>
  <c r="T163" i="4"/>
  <c r="T152" i="4"/>
  <c r="T160" i="4"/>
  <c r="CT165" i="4"/>
  <c r="CT208" i="4"/>
  <c r="CT163" i="4"/>
  <c r="CT152" i="4"/>
  <c r="CT158" i="4"/>
  <c r="CT150" i="4"/>
  <c r="CT156" i="4"/>
  <c r="CT154" i="4"/>
  <c r="CT160" i="4"/>
  <c r="CO165" i="4"/>
  <c r="CO208" i="4"/>
  <c r="CO156" i="4"/>
  <c r="CO163" i="4"/>
  <c r="CO154" i="4"/>
  <c r="CO150" i="4"/>
  <c r="CO158" i="4"/>
  <c r="CO152" i="4"/>
  <c r="CO160" i="4"/>
  <c r="CK165" i="4"/>
  <c r="CK208" i="4"/>
  <c r="CK156" i="4"/>
  <c r="CK163" i="4"/>
  <c r="CK152" i="4"/>
  <c r="CK154" i="4"/>
  <c r="CK158" i="4"/>
  <c r="CK160" i="4"/>
  <c r="CG165" i="4"/>
  <c r="CG208" i="4"/>
  <c r="CG152" i="4"/>
  <c r="CG158" i="4"/>
  <c r="CG150" i="4"/>
  <c r="CG154" i="4"/>
  <c r="CG156" i="4"/>
  <c r="CG163" i="4"/>
  <c r="CG160" i="4"/>
  <c r="CC165" i="4"/>
  <c r="CC208" i="4"/>
  <c r="CC150" i="4"/>
  <c r="CC163" i="4"/>
  <c r="CC158" i="4"/>
  <c r="CC154" i="4"/>
  <c r="CC156" i="4"/>
  <c r="CC152" i="4"/>
  <c r="CC160" i="4"/>
  <c r="BY165" i="4"/>
  <c r="BY208" i="4"/>
  <c r="BY156" i="4"/>
  <c r="BY152" i="4"/>
  <c r="BY163" i="4"/>
  <c r="BY154" i="4"/>
  <c r="BY150" i="4"/>
  <c r="BY158" i="4"/>
  <c r="BY160" i="4"/>
  <c r="BT208" i="4"/>
  <c r="BT165" i="4"/>
  <c r="BT156" i="4"/>
  <c r="BT150" i="4"/>
  <c r="BT163" i="4"/>
  <c r="BT152" i="4"/>
  <c r="BT154" i="4"/>
  <c r="BT158" i="4"/>
  <c r="BT160" i="4"/>
  <c r="BN165" i="4"/>
  <c r="BN208" i="4"/>
  <c r="BN152" i="4"/>
  <c r="BN158" i="4"/>
  <c r="BN150" i="4"/>
  <c r="BN163" i="4"/>
  <c r="BN156" i="4"/>
  <c r="BN154" i="4"/>
  <c r="BN160" i="4"/>
  <c r="BH208" i="4"/>
  <c r="BH165" i="4"/>
  <c r="BH154" i="4"/>
  <c r="BH163" i="4"/>
  <c r="BH152" i="4"/>
  <c r="BH158" i="4"/>
  <c r="BH150" i="4"/>
  <c r="BH156" i="4"/>
  <c r="BH160" i="4"/>
  <c r="BD208" i="4"/>
  <c r="BD165" i="4"/>
  <c r="BD156" i="4"/>
  <c r="BD150" i="4"/>
  <c r="BD152" i="4"/>
  <c r="BD154" i="4"/>
  <c r="BD163" i="4"/>
  <c r="BD158" i="4"/>
  <c r="BD160" i="4"/>
  <c r="AZ208" i="4"/>
  <c r="AZ165" i="4"/>
  <c r="AZ154" i="4"/>
  <c r="AZ158" i="4"/>
  <c r="AZ150" i="4"/>
  <c r="AZ156" i="4"/>
  <c r="AZ163" i="4"/>
  <c r="AZ152" i="4"/>
  <c r="AZ160" i="4"/>
  <c r="AU208" i="4"/>
  <c r="AU165" i="4"/>
  <c r="AU163" i="4"/>
  <c r="AU150" i="4"/>
  <c r="AU158" i="4"/>
  <c r="AU156" i="4"/>
  <c r="AU152" i="4"/>
  <c r="AU154" i="4"/>
  <c r="AU160" i="4"/>
  <c r="AQ208" i="4"/>
  <c r="AQ165" i="4"/>
  <c r="AQ163" i="4"/>
  <c r="AQ154" i="4"/>
  <c r="AQ158" i="4"/>
  <c r="AQ150" i="4"/>
  <c r="AQ156" i="4"/>
  <c r="AQ152" i="4"/>
  <c r="AQ160" i="4"/>
  <c r="AM208" i="4"/>
  <c r="AM165" i="4"/>
  <c r="AM163" i="4"/>
  <c r="AM152" i="4"/>
  <c r="AM150" i="4"/>
  <c r="AM154" i="4"/>
  <c r="AM158" i="4"/>
  <c r="AM156" i="4"/>
  <c r="AM160" i="4"/>
  <c r="AH165" i="4"/>
  <c r="AH208" i="4"/>
  <c r="AH150" i="4"/>
  <c r="AH152" i="4"/>
  <c r="AH158" i="4"/>
  <c r="AH163" i="4"/>
  <c r="AH156" i="4"/>
  <c r="AH154" i="4"/>
  <c r="AH160" i="4"/>
  <c r="AD165" i="4"/>
  <c r="AD208" i="4"/>
  <c r="AD150" i="4"/>
  <c r="AD156" i="4"/>
  <c r="AD154" i="4"/>
  <c r="AD163" i="4"/>
  <c r="AD152" i="4"/>
  <c r="AD158" i="4"/>
  <c r="AD160" i="4"/>
  <c r="Z208" i="4"/>
  <c r="Z165" i="4"/>
  <c r="Z163" i="4"/>
  <c r="Z152" i="4"/>
  <c r="Z158" i="4"/>
  <c r="Z156" i="4"/>
  <c r="Z150" i="4"/>
  <c r="Z154" i="4"/>
  <c r="Z160" i="4"/>
  <c r="T275" i="4"/>
  <c r="T232" i="4"/>
  <c r="T225" i="4"/>
  <c r="T221" i="4"/>
  <c r="T219" i="4"/>
  <c r="T223" i="4"/>
  <c r="T227" i="4"/>
  <c r="CV232" i="4"/>
  <c r="CV275" i="4"/>
  <c r="CV225" i="4"/>
  <c r="CV221" i="4"/>
  <c r="CV219" i="4"/>
  <c r="CV223" i="4"/>
  <c r="CV227" i="4"/>
  <c r="CQ232" i="4"/>
  <c r="CQ275" i="4"/>
  <c r="CQ219" i="4"/>
  <c r="CQ223" i="4"/>
  <c r="CQ221" i="4"/>
  <c r="CQ225" i="4"/>
  <c r="CQ227" i="4"/>
  <c r="CL232" i="4"/>
  <c r="CL275" i="4"/>
  <c r="CL221" i="4"/>
  <c r="CL223" i="4"/>
  <c r="CL219" i="4"/>
  <c r="CL225" i="4"/>
  <c r="CL227" i="4"/>
  <c r="CH232" i="4"/>
  <c r="CH275" i="4"/>
  <c r="CH219" i="4"/>
  <c r="CH225" i="4"/>
  <c r="CH223" i="4"/>
  <c r="CH221" i="4"/>
  <c r="CH227" i="4"/>
  <c r="CD232" i="4"/>
  <c r="CD275" i="4"/>
  <c r="CD221" i="4"/>
  <c r="CD225" i="4"/>
  <c r="CD219" i="4"/>
  <c r="CD223" i="4"/>
  <c r="CD227" i="4"/>
  <c r="BZ232" i="4"/>
  <c r="BZ275" i="4"/>
  <c r="BZ219" i="4"/>
  <c r="BZ223" i="4"/>
  <c r="BZ225" i="4"/>
  <c r="BZ221" i="4"/>
  <c r="BZ227" i="4"/>
  <c r="BV232" i="4"/>
  <c r="BV275" i="4"/>
  <c r="BV221" i="4"/>
  <c r="BV223" i="4"/>
  <c r="BV219" i="4"/>
  <c r="BV225" i="4"/>
  <c r="BV227" i="4"/>
  <c r="BR232" i="4"/>
  <c r="BR275" i="4"/>
  <c r="BR219" i="4"/>
  <c r="BR225" i="4"/>
  <c r="BR223" i="4"/>
  <c r="BR221" i="4"/>
  <c r="BR227" i="4"/>
  <c r="BN232" i="4"/>
  <c r="BN275" i="4"/>
  <c r="BN221" i="4"/>
  <c r="BN225" i="4"/>
  <c r="BN219" i="4"/>
  <c r="BN223" i="4"/>
  <c r="BN227" i="4"/>
  <c r="BJ232" i="4"/>
  <c r="BJ275" i="4"/>
  <c r="BJ219" i="4"/>
  <c r="BJ223" i="4"/>
  <c r="BJ225" i="4"/>
  <c r="BJ221" i="4"/>
  <c r="BJ227" i="4"/>
  <c r="BF232" i="4"/>
  <c r="BF275" i="4"/>
  <c r="BF221" i="4"/>
  <c r="BF219" i="4"/>
  <c r="BF223" i="4"/>
  <c r="BF225" i="4"/>
  <c r="BF227" i="4"/>
  <c r="BB275" i="4"/>
  <c r="BB232" i="4"/>
  <c r="BB219" i="4"/>
  <c r="BB225" i="4"/>
  <c r="BB223" i="4"/>
  <c r="BB221" i="4"/>
  <c r="BB227" i="4"/>
  <c r="AX232" i="4"/>
  <c r="AX275" i="4"/>
  <c r="AX221" i="4"/>
  <c r="AX225" i="4"/>
  <c r="AX219" i="4"/>
  <c r="AX223" i="4"/>
  <c r="AX227" i="4"/>
  <c r="AT232" i="4"/>
  <c r="AT275" i="4"/>
  <c r="AT219" i="4"/>
  <c r="AT223" i="4"/>
  <c r="AT225" i="4"/>
  <c r="AT221" i="4"/>
  <c r="AT227" i="4"/>
  <c r="AP232" i="4"/>
  <c r="AP275" i="4"/>
  <c r="AP221" i="4"/>
  <c r="AP223" i="4"/>
  <c r="AP219" i="4"/>
  <c r="AP225" i="4"/>
  <c r="AP227" i="4"/>
  <c r="AK275" i="4"/>
  <c r="AK232" i="4"/>
  <c r="AK221" i="4"/>
  <c r="AK219" i="4"/>
  <c r="AK223" i="4"/>
  <c r="AK225" i="4"/>
  <c r="AK227" i="4"/>
  <c r="AG275" i="4"/>
  <c r="AG232" i="4"/>
  <c r="AG219" i="4"/>
  <c r="AG223" i="4"/>
  <c r="AG225" i="4"/>
  <c r="AG221" i="4"/>
  <c r="AG227" i="4"/>
  <c r="AC275" i="4"/>
  <c r="AC232" i="4"/>
  <c r="AC221" i="4"/>
  <c r="AC223" i="4"/>
  <c r="AC219" i="4"/>
  <c r="AC225" i="4"/>
  <c r="AC227" i="4"/>
  <c r="Y275" i="4"/>
  <c r="Y232" i="4"/>
  <c r="Y219" i="4"/>
  <c r="Y221" i="4"/>
  <c r="Y223" i="4"/>
  <c r="Y225" i="4"/>
  <c r="Y227" i="4"/>
  <c r="U165" i="4"/>
  <c r="U208" i="4"/>
  <c r="U158" i="4"/>
  <c r="U154" i="4"/>
  <c r="U156" i="4"/>
  <c r="U150" i="4"/>
  <c r="U163" i="4"/>
  <c r="U152" i="4"/>
  <c r="U160" i="4"/>
  <c r="CR208" i="4"/>
  <c r="CR165" i="4"/>
  <c r="CR163" i="4"/>
  <c r="CR152" i="4"/>
  <c r="CR158" i="4"/>
  <c r="CR154" i="4"/>
  <c r="CR156" i="4"/>
  <c r="CR150" i="4"/>
  <c r="CR160" i="4"/>
  <c r="CN208" i="4"/>
  <c r="CN165" i="4"/>
  <c r="CN154" i="4"/>
  <c r="CN152" i="4"/>
  <c r="CN158" i="4"/>
  <c r="CN150" i="4"/>
  <c r="CN163" i="4"/>
  <c r="CN156" i="4"/>
  <c r="CN160" i="4"/>
  <c r="CJ208" i="4"/>
  <c r="CJ165" i="4"/>
  <c r="CJ156" i="4"/>
  <c r="CJ163" i="4"/>
  <c r="CJ150" i="4"/>
  <c r="CJ152" i="4"/>
  <c r="CJ154" i="4"/>
  <c r="CJ158" i="4"/>
  <c r="CJ160" i="4"/>
  <c r="CF208" i="4"/>
  <c r="CF165" i="4"/>
  <c r="CF154" i="4"/>
  <c r="CF158" i="4"/>
  <c r="CF150" i="4"/>
  <c r="CF163" i="4"/>
  <c r="CF156" i="4"/>
  <c r="CF152" i="4"/>
  <c r="CF160" i="4"/>
  <c r="CB208" i="4"/>
  <c r="CB165" i="4"/>
  <c r="CB152" i="4"/>
  <c r="CB163" i="4"/>
  <c r="CB158" i="4"/>
  <c r="CB154" i="4"/>
  <c r="CB156" i="4"/>
  <c r="CB150" i="4"/>
  <c r="CB160" i="4"/>
  <c r="BX208" i="4"/>
  <c r="BX165" i="4"/>
  <c r="BX163" i="4"/>
  <c r="BX154" i="4"/>
  <c r="BX152" i="4"/>
  <c r="BX158" i="4"/>
  <c r="BX150" i="4"/>
  <c r="BX156" i="4"/>
  <c r="BX160" i="4"/>
  <c r="BS208" i="4"/>
  <c r="BS165" i="4"/>
  <c r="BS150" i="4"/>
  <c r="BS163" i="4"/>
  <c r="BS154" i="4"/>
  <c r="BS158" i="4"/>
  <c r="BS152" i="4"/>
  <c r="BS156" i="4"/>
  <c r="BS160" i="4"/>
  <c r="BL208" i="4"/>
  <c r="BL165" i="4"/>
  <c r="BL152" i="4"/>
  <c r="BL158" i="4"/>
  <c r="BL163" i="4"/>
  <c r="BL154" i="4"/>
  <c r="BL156" i="4"/>
  <c r="BL150" i="4"/>
  <c r="BL160" i="4"/>
  <c r="BG208" i="4"/>
  <c r="BG165" i="4"/>
  <c r="BG154" i="4"/>
  <c r="BG158" i="4"/>
  <c r="BG150" i="4"/>
  <c r="BG156" i="4"/>
  <c r="BG152" i="4"/>
  <c r="BG163" i="4"/>
  <c r="BG160" i="4"/>
  <c r="BC208" i="4"/>
  <c r="BC165" i="4"/>
  <c r="BC152" i="4"/>
  <c r="BC150" i="4"/>
  <c r="BC154" i="4"/>
  <c r="BC158" i="4"/>
  <c r="BC163" i="4"/>
  <c r="BC156" i="4"/>
  <c r="BC160" i="4"/>
  <c r="AY208" i="4"/>
  <c r="AY165" i="4"/>
  <c r="AY154" i="4"/>
  <c r="AY156" i="4"/>
  <c r="AY152" i="4"/>
  <c r="AY150" i="4"/>
  <c r="AY163" i="4"/>
  <c r="AY158" i="4"/>
  <c r="AY160" i="4"/>
  <c r="AT208" i="4"/>
  <c r="AT165" i="4"/>
  <c r="AT156" i="4"/>
  <c r="AT154" i="4"/>
  <c r="AT150" i="4"/>
  <c r="AT152" i="4"/>
  <c r="AT163" i="4"/>
  <c r="AT158" i="4"/>
  <c r="AT160" i="4"/>
  <c r="AP208" i="4"/>
  <c r="AP165" i="4"/>
  <c r="AP152" i="4"/>
  <c r="AP158" i="4"/>
  <c r="AP156" i="4"/>
  <c r="AP150" i="4"/>
  <c r="AP163" i="4"/>
  <c r="AP154" i="4"/>
  <c r="AP160" i="4"/>
  <c r="AL208" i="4"/>
  <c r="AL165" i="4"/>
  <c r="AL163" i="4"/>
  <c r="AL152" i="4"/>
  <c r="AL154" i="4"/>
  <c r="AL150" i="4"/>
  <c r="AL156" i="4"/>
  <c r="AL158" i="4"/>
  <c r="AL160" i="4"/>
  <c r="AG165" i="4"/>
  <c r="AG208" i="4"/>
  <c r="AG163" i="4"/>
  <c r="AG152" i="4"/>
  <c r="AG158" i="4"/>
  <c r="AG150" i="4"/>
  <c r="AG154" i="4"/>
  <c r="AG156" i="4"/>
  <c r="AG160" i="4"/>
  <c r="AC165" i="4"/>
  <c r="AC208" i="4"/>
  <c r="AC156" i="4"/>
  <c r="AC163" i="4"/>
  <c r="AC154" i="4"/>
  <c r="AC152" i="4"/>
  <c r="AC158" i="4"/>
  <c r="AC150" i="4"/>
  <c r="AC160" i="4"/>
  <c r="Y165" i="4"/>
  <c r="Y208" i="4"/>
  <c r="Y150" i="4"/>
  <c r="Y156" i="4"/>
  <c r="Y163" i="4"/>
  <c r="Y152" i="4"/>
  <c r="Y154" i="4"/>
  <c r="Y158" i="4"/>
  <c r="Y160" i="4"/>
  <c r="S232" i="4"/>
  <c r="S275" i="4"/>
  <c r="S225" i="4"/>
  <c r="S219" i="4"/>
  <c r="S221" i="4"/>
  <c r="S223" i="4"/>
  <c r="S227" i="4"/>
  <c r="CT232" i="4"/>
  <c r="CT275" i="4"/>
  <c r="CT225" i="4"/>
  <c r="CT219" i="4"/>
  <c r="CT223" i="4"/>
  <c r="CO275" i="4"/>
  <c r="CO232" i="4"/>
  <c r="CO223" i="4"/>
  <c r="CO219" i="4"/>
  <c r="CO225" i="4"/>
  <c r="CK275" i="4"/>
  <c r="CK232" i="4"/>
  <c r="CK219" i="4"/>
  <c r="CK221" i="4"/>
  <c r="CK223" i="4"/>
  <c r="CK225" i="4"/>
  <c r="CK227" i="4"/>
  <c r="CG275" i="4"/>
  <c r="CG232" i="4"/>
  <c r="CG219" i="4"/>
  <c r="CG221" i="4"/>
  <c r="CG223" i="4"/>
  <c r="CG225" i="4"/>
  <c r="CG227" i="4"/>
  <c r="CC275" i="4"/>
  <c r="CC232" i="4"/>
  <c r="CC219" i="4"/>
  <c r="CC223" i="4"/>
  <c r="CC225" i="4"/>
  <c r="CC221" i="4"/>
  <c r="CC227" i="4"/>
  <c r="BY275" i="4"/>
  <c r="BY232" i="4"/>
  <c r="BY221" i="4"/>
  <c r="BY223" i="4"/>
  <c r="BY219" i="4"/>
  <c r="BY225" i="4"/>
  <c r="BY227" i="4"/>
  <c r="BU275" i="4"/>
  <c r="BU232" i="4"/>
  <c r="BU219" i="4"/>
  <c r="BU221" i="4"/>
  <c r="BU223" i="4"/>
  <c r="BU225" i="4"/>
  <c r="BU227" i="4"/>
  <c r="BQ275" i="4"/>
  <c r="BQ232" i="4"/>
  <c r="BQ221" i="4"/>
  <c r="BQ219" i="4"/>
  <c r="BQ223" i="4"/>
  <c r="BQ225" i="4"/>
  <c r="BQ227" i="4"/>
  <c r="BM275" i="4"/>
  <c r="BM232" i="4"/>
  <c r="BM219" i="4"/>
  <c r="BM223" i="4"/>
  <c r="BM225" i="4"/>
  <c r="BM221" i="4"/>
  <c r="BM227" i="4"/>
  <c r="BI275" i="4"/>
  <c r="BI232" i="4"/>
  <c r="BI221" i="4"/>
  <c r="BI223" i="4"/>
  <c r="BI219" i="4"/>
  <c r="BI225" i="4"/>
  <c r="BI227" i="4"/>
  <c r="BE275" i="4"/>
  <c r="BE232" i="4"/>
  <c r="BE219" i="4"/>
  <c r="BE221" i="4"/>
  <c r="BE223" i="4"/>
  <c r="BE225" i="4"/>
  <c r="BE227" i="4"/>
  <c r="BA275" i="4"/>
  <c r="BA232" i="4"/>
  <c r="BA219" i="4"/>
  <c r="BA221" i="4"/>
  <c r="BA223" i="4"/>
  <c r="BA225" i="4"/>
  <c r="BA227" i="4"/>
  <c r="AW275" i="4"/>
  <c r="AW232" i="4"/>
  <c r="AW219" i="4"/>
  <c r="AW223" i="4"/>
  <c r="AW225" i="4"/>
  <c r="AW221" i="4"/>
  <c r="AW227" i="4"/>
  <c r="AS275" i="4"/>
  <c r="AS232" i="4"/>
  <c r="AS221" i="4"/>
  <c r="AS223" i="4"/>
  <c r="AS219" i="4"/>
  <c r="AS225" i="4"/>
  <c r="AS227" i="4"/>
  <c r="AO275" i="4"/>
  <c r="AO232" i="4"/>
  <c r="AO219" i="4"/>
  <c r="AO221" i="4"/>
  <c r="AO223" i="4"/>
  <c r="AO225" i="4"/>
  <c r="AO227" i="4"/>
  <c r="AJ232" i="4"/>
  <c r="AJ275" i="4"/>
  <c r="AJ225" i="4"/>
  <c r="AJ221" i="4"/>
  <c r="AJ219" i="4"/>
  <c r="AJ223" i="4"/>
  <c r="AJ227" i="4"/>
  <c r="AF275" i="4"/>
  <c r="AF232" i="4"/>
  <c r="AF225" i="4"/>
  <c r="AF221" i="4"/>
  <c r="AF219" i="4"/>
  <c r="AF223" i="4"/>
  <c r="AF227" i="4"/>
  <c r="AB275" i="4"/>
  <c r="AB232" i="4"/>
  <c r="AB221" i="4"/>
  <c r="AB223" i="4"/>
  <c r="AB225" i="4"/>
  <c r="AB219" i="4"/>
  <c r="AB227" i="4"/>
  <c r="X275" i="4"/>
  <c r="X232" i="4"/>
  <c r="X221" i="4"/>
  <c r="X225" i="4"/>
  <c r="X219" i="4"/>
  <c r="X223" i="4"/>
  <c r="X227" i="4"/>
  <c r="R165" i="4"/>
  <c r="R208" i="4"/>
  <c r="R163" i="4"/>
  <c r="R150" i="4"/>
  <c r="R152" i="4"/>
  <c r="R156" i="4"/>
  <c r="R154" i="4"/>
  <c r="R158" i="4"/>
  <c r="R160" i="4"/>
  <c r="CV208" i="4"/>
  <c r="CV165" i="4"/>
  <c r="CV163" i="4"/>
  <c r="CV158" i="4"/>
  <c r="CV150" i="4"/>
  <c r="CV156" i="4"/>
  <c r="CV154" i="4"/>
  <c r="CV152" i="4"/>
  <c r="CV160" i="4"/>
  <c r="CQ208" i="4"/>
  <c r="CQ165" i="4"/>
  <c r="CQ163" i="4"/>
  <c r="CQ150" i="4"/>
  <c r="CQ158" i="4"/>
  <c r="CQ152" i="4"/>
  <c r="CQ156" i="4"/>
  <c r="CQ154" i="4"/>
  <c r="CQ160" i="4"/>
  <c r="CM208" i="4"/>
  <c r="CM165" i="4"/>
  <c r="CM163" i="4"/>
  <c r="CM154" i="4"/>
  <c r="CM152" i="4"/>
  <c r="CM158" i="4"/>
  <c r="CM150" i="4"/>
  <c r="CM156" i="4"/>
  <c r="CM160" i="4"/>
  <c r="CI208" i="4"/>
  <c r="CI165" i="4"/>
  <c r="CI163" i="4"/>
  <c r="CI150" i="4"/>
  <c r="CI152" i="4"/>
  <c r="CI154" i="4"/>
  <c r="CI158" i="4"/>
  <c r="CI156" i="4"/>
  <c r="CI160" i="4"/>
  <c r="CE208" i="4"/>
  <c r="CE165" i="4"/>
  <c r="CE154" i="4"/>
  <c r="CE156" i="4"/>
  <c r="CE163" i="4"/>
  <c r="CE152" i="4"/>
  <c r="CE150" i="4"/>
  <c r="CE158" i="4"/>
  <c r="CE160" i="4"/>
  <c r="CA208" i="4"/>
  <c r="CA165" i="4"/>
  <c r="CA150" i="4"/>
  <c r="CA158" i="4"/>
  <c r="CA163" i="4"/>
  <c r="CA156" i="4"/>
  <c r="CA152" i="4"/>
  <c r="CA154" i="4"/>
  <c r="CA160" i="4"/>
  <c r="BW208" i="4"/>
  <c r="BW165" i="4"/>
  <c r="BW154" i="4"/>
  <c r="BW163" i="4"/>
  <c r="BW152" i="4"/>
  <c r="BW158" i="4"/>
  <c r="BW150" i="4"/>
  <c r="BW156" i="4"/>
  <c r="BW160" i="4"/>
  <c r="BQ165" i="4"/>
  <c r="BQ208" i="4"/>
  <c r="BQ158" i="4"/>
  <c r="BQ150" i="4"/>
  <c r="BQ154" i="4"/>
  <c r="BQ152" i="4"/>
  <c r="BQ156" i="4"/>
  <c r="BQ163" i="4"/>
  <c r="BQ160" i="4"/>
  <c r="BK208" i="4"/>
  <c r="BK165" i="4"/>
  <c r="BK150" i="4"/>
  <c r="BK158" i="4"/>
  <c r="BK156" i="4"/>
  <c r="BK163" i="4"/>
  <c r="BK152" i="4"/>
  <c r="BK154" i="4"/>
  <c r="BK160" i="4"/>
  <c r="BF208" i="4"/>
  <c r="BF165" i="4"/>
  <c r="BF150" i="4"/>
  <c r="BF163" i="4"/>
  <c r="BF152" i="4"/>
  <c r="BF158" i="4"/>
  <c r="BF156" i="4"/>
  <c r="BF154" i="4"/>
  <c r="BF160" i="4"/>
  <c r="BB208" i="4"/>
  <c r="BB165" i="4"/>
  <c r="BB150" i="4"/>
  <c r="BB163" i="4"/>
  <c r="BB152" i="4"/>
  <c r="BB154" i="4"/>
  <c r="BB156" i="4"/>
  <c r="BB158" i="4"/>
  <c r="BB160" i="4"/>
  <c r="AX165" i="4"/>
  <c r="AX208" i="4"/>
  <c r="AX150" i="4"/>
  <c r="AX152" i="4"/>
  <c r="AX163" i="4"/>
  <c r="AX158" i="4"/>
  <c r="AX156" i="4"/>
  <c r="AX154" i="4"/>
  <c r="AX160" i="4"/>
  <c r="AS165" i="4"/>
  <c r="AS208" i="4"/>
  <c r="AS156" i="4"/>
  <c r="AS150" i="4"/>
  <c r="AS163" i="4"/>
  <c r="AS154" i="4"/>
  <c r="AS152" i="4"/>
  <c r="AS158" i="4"/>
  <c r="AS160" i="4"/>
  <c r="AO165" i="4"/>
  <c r="AO208" i="4"/>
  <c r="AO156" i="4"/>
  <c r="AO150" i="4"/>
  <c r="AO163" i="4"/>
  <c r="AO152" i="4"/>
  <c r="AO154" i="4"/>
  <c r="AO158" i="4"/>
  <c r="AO160" i="4"/>
  <c r="AJ208" i="4"/>
  <c r="AJ165" i="4"/>
  <c r="AJ163" i="4"/>
  <c r="AJ154" i="4"/>
  <c r="AJ158" i="4"/>
  <c r="AJ150" i="4"/>
  <c r="AJ156" i="4"/>
  <c r="AJ152" i="4"/>
  <c r="AJ160" i="4"/>
  <c r="AF208" i="4"/>
  <c r="AF165" i="4"/>
  <c r="AF152" i="4"/>
  <c r="AF163" i="4"/>
  <c r="AF158" i="4"/>
  <c r="AF154" i="4"/>
  <c r="AF150" i="4"/>
  <c r="AF156" i="4"/>
  <c r="AF160" i="4"/>
  <c r="AB208" i="4"/>
  <c r="AB165" i="4"/>
  <c r="AB154" i="4"/>
  <c r="AB150" i="4"/>
  <c r="AB163" i="4"/>
  <c r="AB152" i="4"/>
  <c r="AB158" i="4"/>
  <c r="AB156" i="4"/>
  <c r="AB160" i="4"/>
  <c r="X208" i="4"/>
  <c r="X165" i="4"/>
  <c r="X156" i="4"/>
  <c r="X163" i="4"/>
  <c r="X152" i="4"/>
  <c r="X154" i="4"/>
  <c r="X150" i="4"/>
  <c r="X158" i="4"/>
  <c r="X160" i="4"/>
  <c r="R232" i="4"/>
  <c r="R275" i="4"/>
  <c r="R221" i="4"/>
  <c r="R225" i="4"/>
  <c r="R223" i="4"/>
  <c r="R219" i="4"/>
  <c r="R227" i="4"/>
  <c r="CS275" i="4"/>
  <c r="CS232" i="4"/>
  <c r="CS219" i="4"/>
  <c r="CS223" i="4"/>
  <c r="CS225" i="4"/>
  <c r="CS221" i="4"/>
  <c r="CS227" i="4"/>
  <c r="CN232" i="4"/>
  <c r="CN275" i="4"/>
  <c r="CN223" i="4"/>
  <c r="CN225" i="4"/>
  <c r="CN221" i="4"/>
  <c r="CN219" i="4"/>
  <c r="CN227" i="4"/>
  <c r="CJ275" i="4"/>
  <c r="CJ232" i="4"/>
  <c r="CJ221" i="4"/>
  <c r="CJ225" i="4"/>
  <c r="CJ219" i="4"/>
  <c r="CJ223" i="4"/>
  <c r="CJ227" i="4"/>
  <c r="CF232" i="4"/>
  <c r="CF275" i="4"/>
  <c r="CF225" i="4"/>
  <c r="CF221" i="4"/>
  <c r="CF219" i="4"/>
  <c r="CF223" i="4"/>
  <c r="CF227" i="4"/>
  <c r="CB275" i="4"/>
  <c r="CB232" i="4"/>
  <c r="CB225" i="4"/>
  <c r="CB221" i="4"/>
  <c r="CB219" i="4"/>
  <c r="CB223" i="4"/>
  <c r="CB227" i="4"/>
  <c r="BX232" i="4"/>
  <c r="BX275" i="4"/>
  <c r="BX223" i="4"/>
  <c r="BX225" i="4"/>
  <c r="BX221" i="4"/>
  <c r="BX219" i="4"/>
  <c r="BX227" i="4"/>
  <c r="BT275" i="4"/>
  <c r="BT232" i="4"/>
  <c r="BT221" i="4"/>
  <c r="BT225" i="4"/>
  <c r="BT219" i="4"/>
  <c r="BT223" i="4"/>
  <c r="BT227" i="4"/>
  <c r="BP232" i="4"/>
  <c r="BP275" i="4"/>
  <c r="BP225" i="4"/>
  <c r="BP221" i="4"/>
  <c r="BP219" i="4"/>
  <c r="BP223" i="4"/>
  <c r="BP227" i="4"/>
  <c r="BL275" i="4"/>
  <c r="BL232" i="4"/>
  <c r="BL225" i="4"/>
  <c r="BL221" i="4"/>
  <c r="BL219" i="4"/>
  <c r="BL223" i="4"/>
  <c r="BL227" i="4"/>
  <c r="BH275" i="4"/>
  <c r="BH232" i="4"/>
  <c r="BH223" i="4"/>
  <c r="BH225" i="4"/>
  <c r="BH221" i="4"/>
  <c r="BH219" i="4"/>
  <c r="BH227" i="4"/>
  <c r="BD275" i="4"/>
  <c r="BD232" i="4"/>
  <c r="BD221" i="4"/>
  <c r="BD225" i="4"/>
  <c r="BD219" i="4"/>
  <c r="BD223" i="4"/>
  <c r="BD227" i="4"/>
  <c r="AZ275" i="4"/>
  <c r="AZ232" i="4"/>
  <c r="AZ225" i="4"/>
  <c r="AZ221" i="4"/>
  <c r="AZ219" i="4"/>
  <c r="AZ223" i="4"/>
  <c r="AZ227" i="4"/>
  <c r="AV275" i="4"/>
  <c r="AV232" i="4"/>
  <c r="AV225" i="4"/>
  <c r="AV221" i="4"/>
  <c r="AV219" i="4"/>
  <c r="AV223" i="4"/>
  <c r="AV227" i="4"/>
  <c r="AR275" i="4"/>
  <c r="AR232" i="4"/>
  <c r="AR221" i="4"/>
  <c r="AR223" i="4"/>
  <c r="AR225" i="4"/>
  <c r="AR219" i="4"/>
  <c r="AR227" i="4"/>
  <c r="AN275" i="4"/>
  <c r="AN232" i="4"/>
  <c r="AN221" i="4"/>
  <c r="AN225" i="4"/>
  <c r="AN219" i="4"/>
  <c r="AN223" i="4"/>
  <c r="AN227" i="4"/>
  <c r="AI232" i="4"/>
  <c r="AI275" i="4"/>
  <c r="AI225" i="4"/>
  <c r="AI219" i="4"/>
  <c r="AI221" i="4"/>
  <c r="AI223" i="4"/>
  <c r="AI227" i="4"/>
  <c r="AE232" i="4"/>
  <c r="AE275" i="4"/>
  <c r="AE219" i="4"/>
  <c r="AE223" i="4"/>
  <c r="AE221" i="4"/>
  <c r="AE225" i="4"/>
  <c r="AE227" i="4"/>
  <c r="AA275" i="4"/>
  <c r="AA232" i="4"/>
  <c r="AA223" i="4"/>
  <c r="AA219" i="4"/>
  <c r="AA225" i="4"/>
  <c r="AA221" i="4"/>
  <c r="AA227" i="4"/>
  <c r="V275" i="4"/>
  <c r="V232" i="4"/>
  <c r="V219" i="4"/>
  <c r="V225" i="4"/>
  <c r="V223" i="4"/>
  <c r="V221" i="4"/>
  <c r="V227" i="4"/>
  <c r="CI79" i="4"/>
  <c r="CI127" i="4"/>
  <c r="CE79" i="4"/>
  <c r="CE127" i="4"/>
  <c r="AX79" i="4"/>
  <c r="AX127" i="4"/>
  <c r="AO79" i="4"/>
  <c r="AO127" i="4"/>
  <c r="AI79" i="4"/>
  <c r="AI127" i="4"/>
  <c r="CQ79" i="4"/>
  <c r="CQ127" i="4"/>
  <c r="CL79" i="4"/>
  <c r="CL127" i="4"/>
  <c r="CH79" i="4"/>
  <c r="CH127" i="4"/>
  <c r="CD79" i="4"/>
  <c r="CD127" i="4"/>
  <c r="BZ79" i="4"/>
  <c r="BZ127" i="4"/>
  <c r="BU79" i="4"/>
  <c r="BU127" i="4"/>
  <c r="BO79" i="4"/>
  <c r="BI79" i="4"/>
  <c r="BI127" i="4"/>
  <c r="BE79" i="4"/>
  <c r="BE127" i="4"/>
  <c r="BA79" i="4"/>
  <c r="BA127" i="4"/>
  <c r="AV79" i="4"/>
  <c r="AV127" i="4"/>
  <c r="AR79" i="4"/>
  <c r="AR127" i="4"/>
  <c r="AN79" i="4"/>
  <c r="AN127" i="4"/>
  <c r="AH79" i="4"/>
  <c r="AH127" i="4"/>
  <c r="AD79" i="4"/>
  <c r="AD127" i="4"/>
  <c r="Z79" i="4"/>
  <c r="Z127" i="4"/>
  <c r="T79" i="4"/>
  <c r="T127" i="4"/>
  <c r="CV79" i="4"/>
  <c r="CV127" i="4"/>
  <c r="CK79" i="4"/>
  <c r="CK127" i="4"/>
  <c r="CG79" i="4"/>
  <c r="CG127" i="4"/>
  <c r="CC79" i="4"/>
  <c r="CC127" i="4"/>
  <c r="BT79" i="4"/>
  <c r="BT127" i="4"/>
  <c r="BN79" i="4"/>
  <c r="BN127" i="4"/>
  <c r="BD79" i="4"/>
  <c r="BD127" i="4"/>
  <c r="AZ79" i="4"/>
  <c r="AZ127" i="4"/>
  <c r="AQ79" i="4"/>
  <c r="AQ127" i="4"/>
  <c r="AG79" i="4"/>
  <c r="AG127" i="4"/>
  <c r="Y79" i="4"/>
  <c r="Y127" i="4"/>
  <c r="CT79" i="4"/>
  <c r="CT127" i="4"/>
  <c r="CJ79" i="4"/>
  <c r="CJ127" i="4"/>
  <c r="CF79" i="4"/>
  <c r="CF127" i="4"/>
  <c r="BS79" i="4"/>
  <c r="BS127" i="4"/>
  <c r="BC79" i="4"/>
  <c r="BC127" i="4"/>
  <c r="AY79" i="4"/>
  <c r="AY127" i="4"/>
  <c r="AT79" i="4"/>
  <c r="AT127" i="4"/>
  <c r="AJ79" i="4"/>
  <c r="AJ127" i="4"/>
  <c r="X79" i="4"/>
  <c r="X127" i="4"/>
  <c r="R79" i="4"/>
  <c r="R127" i="4"/>
  <c r="CM6" i="4"/>
  <c r="CM22" i="4" s="1"/>
  <c r="CO7" i="4"/>
  <c r="BW6" i="4"/>
  <c r="BW22" i="4" s="1"/>
  <c r="BY7" i="4"/>
  <c r="BG6" i="4"/>
  <c r="BG22" i="4" s="1"/>
  <c r="BI7" i="4"/>
  <c r="AM6" i="4"/>
  <c r="AM22" i="4" s="1"/>
  <c r="AO7" i="4"/>
  <c r="W6" i="4"/>
  <c r="W22" i="4" s="1"/>
  <c r="Y7" i="4"/>
  <c r="CQ6" i="4"/>
  <c r="CQ22" i="4" s="1"/>
  <c r="CS7" i="4"/>
  <c r="CA6" i="4"/>
  <c r="CC7" i="4"/>
  <c r="BK6" i="4"/>
  <c r="BK22" i="4" s="1"/>
  <c r="BM7" i="4"/>
  <c r="AU6" i="4"/>
  <c r="AU22" i="4" s="1"/>
  <c r="AW7" i="4"/>
  <c r="CP6" i="4"/>
  <c r="CP22" i="4" s="1"/>
  <c r="CR7" i="4"/>
  <c r="CL6" i="4"/>
  <c r="CL22" i="4" s="1"/>
  <c r="CN7" i="4"/>
  <c r="CH6" i="4"/>
  <c r="CH22" i="4" s="1"/>
  <c r="CJ7" i="4"/>
  <c r="CD6" i="4"/>
  <c r="CD22" i="4" s="1"/>
  <c r="CF7" i="4"/>
  <c r="BZ6" i="4"/>
  <c r="BZ22" i="4" s="1"/>
  <c r="CB7" i="4"/>
  <c r="BV6" i="4"/>
  <c r="BV22" i="4" s="1"/>
  <c r="BX7" i="4"/>
  <c r="BR6" i="4"/>
  <c r="BR22" i="4" s="1"/>
  <c r="BT7" i="4"/>
  <c r="BN6" i="4"/>
  <c r="BN22" i="4" s="1"/>
  <c r="BP7" i="4"/>
  <c r="BJ6" i="4"/>
  <c r="BJ22" i="4" s="1"/>
  <c r="BL7" i="4"/>
  <c r="BF6" i="4"/>
  <c r="BF22" i="4" s="1"/>
  <c r="BH7" i="4"/>
  <c r="BB6" i="4"/>
  <c r="BD7" i="4"/>
  <c r="AX6" i="4"/>
  <c r="AX22" i="4" s="1"/>
  <c r="AZ7" i="4"/>
  <c r="AT6" i="4"/>
  <c r="AT22" i="4" s="1"/>
  <c r="AV7" i="4"/>
  <c r="AP6" i="4"/>
  <c r="AP22" i="4" s="1"/>
  <c r="AR7" i="4"/>
  <c r="AL6" i="4"/>
  <c r="AL22" i="4" s="1"/>
  <c r="AN7" i="4"/>
  <c r="AH6" i="4"/>
  <c r="AJ7" i="4"/>
  <c r="AD6" i="4"/>
  <c r="AF7" i="4"/>
  <c r="Z6" i="4"/>
  <c r="Z22" i="4" s="1"/>
  <c r="AB7" i="4"/>
  <c r="V6" i="4"/>
  <c r="X7" i="4"/>
  <c r="R6" i="4"/>
  <c r="T7" i="4"/>
  <c r="CI6" i="4"/>
  <c r="CI22" i="4" s="1"/>
  <c r="CK7" i="4"/>
  <c r="BS6" i="4"/>
  <c r="BS22" i="4" s="1"/>
  <c r="BU7" i="4"/>
  <c r="BC6" i="4"/>
  <c r="BC22" i="4" s="1"/>
  <c r="BE7" i="4"/>
  <c r="AQ6" i="4"/>
  <c r="AQ22" i="4" s="1"/>
  <c r="AS7" i="4"/>
  <c r="AA6" i="4"/>
  <c r="AA22" i="4" s="1"/>
  <c r="AC7" i="4"/>
  <c r="CT6" i="4"/>
  <c r="CT22" i="4" s="1"/>
  <c r="CV7" i="4"/>
  <c r="CG6" i="4"/>
  <c r="CG22" i="4" s="1"/>
  <c r="CI7" i="4"/>
  <c r="CC6" i="4"/>
  <c r="CC22" i="4" s="1"/>
  <c r="CE7" i="4"/>
  <c r="BY6" i="4"/>
  <c r="BY22" i="4" s="1"/>
  <c r="CA7" i="4"/>
  <c r="BU6" i="4"/>
  <c r="BU22" i="4" s="1"/>
  <c r="BW7" i="4"/>
  <c r="BQ6" i="4"/>
  <c r="BS7" i="4"/>
  <c r="BI6" i="4"/>
  <c r="BI22" i="4" s="1"/>
  <c r="BK7" i="4"/>
  <c r="BE6" i="4"/>
  <c r="BG7" i="4"/>
  <c r="BA6" i="4"/>
  <c r="BA22" i="4" s="1"/>
  <c r="BC7" i="4"/>
  <c r="AW6" i="4"/>
  <c r="AW22" i="4" s="1"/>
  <c r="AY7" i="4"/>
  <c r="AS6" i="4"/>
  <c r="AS22" i="4" s="1"/>
  <c r="AU7" i="4"/>
  <c r="AO6" i="4"/>
  <c r="AQ7" i="4"/>
  <c r="AK6" i="4"/>
  <c r="AK22" i="4" s="1"/>
  <c r="AM7" i="4"/>
  <c r="AG6" i="4"/>
  <c r="AI7" i="4"/>
  <c r="AC6" i="4"/>
  <c r="AC22" i="4" s="1"/>
  <c r="AE7" i="4"/>
  <c r="Y6" i="4"/>
  <c r="Y22" i="4" s="1"/>
  <c r="AA7" i="4"/>
  <c r="U6" i="4"/>
  <c r="W7" i="4"/>
  <c r="O9" i="4"/>
  <c r="CE6" i="4"/>
  <c r="CE22" i="4" s="1"/>
  <c r="CG7" i="4"/>
  <c r="BO6" i="4"/>
  <c r="BO22" i="4" s="1"/>
  <c r="BQ7" i="4"/>
  <c r="AY6" i="4"/>
  <c r="BA7" i="4"/>
  <c r="AI6" i="4"/>
  <c r="AI22" i="4" s="1"/>
  <c r="AK7" i="4"/>
  <c r="S6" i="4"/>
  <c r="U7" i="4"/>
  <c r="CS6" i="4"/>
  <c r="CS22" i="4" s="1"/>
  <c r="CU7" i="4"/>
  <c r="CK6" i="4"/>
  <c r="CK22" i="4" s="1"/>
  <c r="CM7" i="4"/>
  <c r="CR6" i="4"/>
  <c r="CT7" i="4"/>
  <c r="CN6" i="4"/>
  <c r="CN22" i="4" s="1"/>
  <c r="CP7" i="4"/>
  <c r="CJ6" i="4"/>
  <c r="CL7" i="4"/>
  <c r="CB6" i="4"/>
  <c r="CD7" i="4"/>
  <c r="BX6" i="4"/>
  <c r="BX22" i="4" s="1"/>
  <c r="BZ7" i="4"/>
  <c r="BT6" i="4"/>
  <c r="BT22" i="4" s="1"/>
  <c r="BV7" i="4"/>
  <c r="BP6" i="4"/>
  <c r="BP22" i="4" s="1"/>
  <c r="BR7" i="4"/>
  <c r="BL6" i="4"/>
  <c r="BL22" i="4" s="1"/>
  <c r="BN7" i="4"/>
  <c r="BH6" i="4"/>
  <c r="BH22" i="4" s="1"/>
  <c r="BJ7" i="4"/>
  <c r="BD6" i="4"/>
  <c r="BF7" i="4"/>
  <c r="AZ6" i="4"/>
  <c r="AZ22" i="4" s="1"/>
  <c r="BB7" i="4"/>
  <c r="AR6" i="4"/>
  <c r="AR22" i="4" s="1"/>
  <c r="AT7" i="4"/>
  <c r="AN6" i="4"/>
  <c r="AP7" i="4"/>
  <c r="AF6" i="4"/>
  <c r="AF22" i="4" s="1"/>
  <c r="AH7" i="4"/>
  <c r="AB6" i="4"/>
  <c r="AB22" i="4" s="1"/>
  <c r="AD7" i="4"/>
  <c r="X6" i="4"/>
  <c r="X22" i="4" s="1"/>
  <c r="Z7" i="4"/>
  <c r="T6" i="4"/>
  <c r="V7" i="4"/>
  <c r="CO6" i="4"/>
  <c r="AE6" i="4"/>
  <c r="CV13" i="4"/>
  <c r="CV15" i="4"/>
  <c r="CR13" i="4"/>
  <c r="CR15" i="4"/>
  <c r="CN13" i="4"/>
  <c r="CN15" i="4"/>
  <c r="CJ13" i="4"/>
  <c r="CJ15" i="4"/>
  <c r="CF13" i="4"/>
  <c r="CF15" i="4"/>
  <c r="CB13" i="4"/>
  <c r="CB15" i="4"/>
  <c r="BX13" i="4"/>
  <c r="BX15" i="4"/>
  <c r="BT13" i="4"/>
  <c r="BT15" i="4"/>
  <c r="BP13" i="4"/>
  <c r="BP15" i="4"/>
  <c r="BL13" i="4"/>
  <c r="BL15" i="4"/>
  <c r="BH13" i="4"/>
  <c r="BH15" i="4"/>
  <c r="BD13" i="4"/>
  <c r="BD15" i="4"/>
  <c r="AZ13" i="4"/>
  <c r="AZ15" i="4"/>
  <c r="AV13" i="4"/>
  <c r="AV15" i="4"/>
  <c r="AR13" i="4"/>
  <c r="AR15" i="4"/>
  <c r="AN13" i="4"/>
  <c r="AN15" i="4"/>
  <c r="AJ13" i="4"/>
  <c r="AJ15" i="4"/>
  <c r="AF13" i="4"/>
  <c r="AF15" i="4"/>
  <c r="AB13" i="4"/>
  <c r="AB15" i="4"/>
  <c r="X13" i="4"/>
  <c r="X15" i="4"/>
  <c r="T13" i="4"/>
  <c r="T15" i="4"/>
  <c r="CU13" i="4"/>
  <c r="CU15" i="4"/>
  <c r="CQ15" i="4"/>
  <c r="CQ13" i="4"/>
  <c r="CM13" i="4"/>
  <c r="CM15" i="4"/>
  <c r="CI15" i="4"/>
  <c r="CI13" i="4"/>
  <c r="CE15" i="4"/>
  <c r="CE13" i="4"/>
  <c r="CA15" i="4"/>
  <c r="CA13" i="4"/>
  <c r="BW15" i="4"/>
  <c r="BW13" i="4"/>
  <c r="BS15" i="4"/>
  <c r="BS13" i="4"/>
  <c r="BO15" i="4"/>
  <c r="BO13" i="4"/>
  <c r="BK15" i="4"/>
  <c r="BK13" i="4"/>
  <c r="BG15" i="4"/>
  <c r="BG13" i="4"/>
  <c r="BC15" i="4"/>
  <c r="BC13" i="4"/>
  <c r="AY15" i="4"/>
  <c r="AY13" i="4"/>
  <c r="AU15" i="4"/>
  <c r="AU13" i="4"/>
  <c r="AQ15" i="4"/>
  <c r="AQ13" i="4"/>
  <c r="AM15" i="4"/>
  <c r="AM13" i="4"/>
  <c r="AI15" i="4"/>
  <c r="AI13" i="4"/>
  <c r="AE15" i="4"/>
  <c r="AE13" i="4"/>
  <c r="AA15" i="4"/>
  <c r="AA13" i="4"/>
  <c r="W15" i="4"/>
  <c r="W13" i="4"/>
  <c r="S15" i="4"/>
  <c r="S13" i="4"/>
  <c r="CT15" i="4"/>
  <c r="CT13" i="4"/>
  <c r="CP15" i="4"/>
  <c r="CP13" i="4"/>
  <c r="CL15" i="4"/>
  <c r="CL13" i="4"/>
  <c r="CH15" i="4"/>
  <c r="CH13" i="4"/>
  <c r="CD15" i="4"/>
  <c r="CD13" i="4"/>
  <c r="BZ15" i="4"/>
  <c r="BZ13" i="4"/>
  <c r="BV15" i="4"/>
  <c r="BV13" i="4"/>
  <c r="BR15" i="4"/>
  <c r="BR13" i="4"/>
  <c r="BN15" i="4"/>
  <c r="BN13" i="4"/>
  <c r="BJ15" i="4"/>
  <c r="BJ13" i="4"/>
  <c r="BF15" i="4"/>
  <c r="BF13" i="4"/>
  <c r="BB15" i="4"/>
  <c r="BB13" i="4"/>
  <c r="AX15" i="4"/>
  <c r="AX13" i="4"/>
  <c r="AT15" i="4"/>
  <c r="AT13" i="4"/>
  <c r="AP15" i="4"/>
  <c r="AP13" i="4"/>
  <c r="AL15" i="4"/>
  <c r="AL13" i="4"/>
  <c r="AH15" i="4"/>
  <c r="AH13" i="4"/>
  <c r="AD15" i="4"/>
  <c r="AD13" i="4"/>
  <c r="Z15" i="4"/>
  <c r="Z13" i="4"/>
  <c r="V15" i="4"/>
  <c r="V13" i="4"/>
  <c r="R15" i="4"/>
  <c r="R13" i="4"/>
  <c r="Q6" i="4"/>
  <c r="O8" i="4"/>
  <c r="O10" i="4"/>
  <c r="CS15" i="4"/>
  <c r="CS13" i="4"/>
  <c r="CO15" i="4"/>
  <c r="CO13" i="4"/>
  <c r="CK15" i="4"/>
  <c r="CK13" i="4"/>
  <c r="CG15" i="4"/>
  <c r="CG13" i="4"/>
  <c r="CC15" i="4"/>
  <c r="CC13" i="4"/>
  <c r="BY15" i="4"/>
  <c r="BY13" i="4"/>
  <c r="BU15" i="4"/>
  <c r="BU13" i="4"/>
  <c r="BQ15" i="4"/>
  <c r="BQ13" i="4"/>
  <c r="BM15" i="4"/>
  <c r="BM13" i="4"/>
  <c r="BI15" i="4"/>
  <c r="BI13" i="4"/>
  <c r="BE15" i="4"/>
  <c r="BE13" i="4"/>
  <c r="BA15" i="4"/>
  <c r="BA13" i="4"/>
  <c r="AW15" i="4"/>
  <c r="AW13" i="4"/>
  <c r="AS15" i="4"/>
  <c r="AS13" i="4"/>
  <c r="AO15" i="4"/>
  <c r="AO13" i="4"/>
  <c r="AK15" i="4"/>
  <c r="AK13" i="4"/>
  <c r="AG15" i="4"/>
  <c r="AG13" i="4"/>
  <c r="AC15" i="4"/>
  <c r="AC13" i="4"/>
  <c r="Y15" i="4"/>
  <c r="Y13" i="4"/>
  <c r="U15" i="4"/>
  <c r="U13" i="4"/>
  <c r="Q15" i="4"/>
  <c r="Q13" i="4"/>
  <c r="O11" i="4"/>
  <c r="J101" i="6" s="1"/>
  <c r="Q14" i="4"/>
  <c r="O14" i="4" s="1"/>
  <c r="O12" i="4"/>
  <c r="J102" i="6" s="1"/>
  <c r="BM6" i="4"/>
  <c r="BM22" i="4" s="1"/>
  <c r="AJ6" i="4"/>
  <c r="AJ22" i="4" s="1"/>
  <c r="CO74" i="4"/>
  <c r="CO79" i="4"/>
  <c r="BY74" i="4"/>
  <c r="BY79" i="4"/>
  <c r="BH74" i="4"/>
  <c r="BH79" i="4"/>
  <c r="AU74" i="4"/>
  <c r="AU79" i="4"/>
  <c r="AL74" i="4"/>
  <c r="AL79" i="4"/>
  <c r="AC74" i="4"/>
  <c r="AC79" i="4"/>
  <c r="S74" i="4"/>
  <c r="S79" i="4"/>
  <c r="CN74" i="4"/>
  <c r="CN79" i="4"/>
  <c r="CB74" i="4"/>
  <c r="CB79" i="4"/>
  <c r="BX74" i="4"/>
  <c r="BX79" i="4"/>
  <c r="BL74" i="4"/>
  <c r="BL79" i="4"/>
  <c r="BG74" i="4"/>
  <c r="BG79" i="4"/>
  <c r="AP74" i="4"/>
  <c r="AP79" i="4"/>
  <c r="AF74" i="4"/>
  <c r="AF79" i="4"/>
  <c r="AB74" i="4"/>
  <c r="AB79" i="4"/>
  <c r="CM74" i="4"/>
  <c r="CM79" i="4"/>
  <c r="CA74" i="4"/>
  <c r="CA79" i="4"/>
  <c r="BW74" i="4"/>
  <c r="BW79" i="4"/>
  <c r="BQ74" i="4"/>
  <c r="BQ79" i="4"/>
  <c r="BK74" i="4"/>
  <c r="BK79" i="4"/>
  <c r="BF74" i="4"/>
  <c r="BF79" i="4"/>
  <c r="BB74" i="4"/>
  <c r="BB79" i="4"/>
  <c r="AS74" i="4"/>
  <c r="AS79" i="4"/>
  <c r="AE74" i="4"/>
  <c r="AE79" i="4"/>
  <c r="AA74" i="4"/>
  <c r="AA79" i="4"/>
  <c r="U74" i="4"/>
  <c r="U79" i="4"/>
  <c r="CR74" i="4"/>
  <c r="CR79" i="4"/>
  <c r="J9" i="6"/>
  <c r="J40" i="6"/>
  <c r="CQ77" i="4"/>
  <c r="CQ72" i="4"/>
  <c r="CL72" i="4"/>
  <c r="CL77" i="4"/>
  <c r="CH72" i="4"/>
  <c r="CH77" i="4"/>
  <c r="CD77" i="4"/>
  <c r="CD72" i="4"/>
  <c r="BZ72" i="4"/>
  <c r="BZ77" i="4"/>
  <c r="BU72" i="4"/>
  <c r="BU77" i="4"/>
  <c r="BO77" i="4"/>
  <c r="BO72" i="4"/>
  <c r="BI77" i="4"/>
  <c r="BI72" i="4"/>
  <c r="BE72" i="4"/>
  <c r="BE77" i="4"/>
  <c r="BA72" i="4"/>
  <c r="BA77" i="4"/>
  <c r="AV72" i="4"/>
  <c r="AV77" i="4"/>
  <c r="AR72" i="4"/>
  <c r="AR77" i="4"/>
  <c r="AN72" i="4"/>
  <c r="AN77" i="4"/>
  <c r="AH72" i="4"/>
  <c r="AH77" i="4"/>
  <c r="AD72" i="4"/>
  <c r="AD77" i="4"/>
  <c r="Z72" i="4"/>
  <c r="Z77" i="4"/>
  <c r="T72" i="4"/>
  <c r="T77" i="4"/>
  <c r="CV72" i="4"/>
  <c r="CV77" i="4"/>
  <c r="AR74" i="4"/>
  <c r="BI74" i="4"/>
  <c r="CH74" i="4"/>
  <c r="CO77" i="4"/>
  <c r="CO72" i="4"/>
  <c r="CK72" i="4"/>
  <c r="CK77" i="4"/>
  <c r="CG72" i="4"/>
  <c r="CG77" i="4"/>
  <c r="CC77" i="4"/>
  <c r="CC72" i="4"/>
  <c r="BY72" i="4"/>
  <c r="BY77" i="4"/>
  <c r="BT72" i="4"/>
  <c r="BT77" i="4"/>
  <c r="BN77" i="4"/>
  <c r="BN72" i="4"/>
  <c r="BH72" i="4"/>
  <c r="BH77" i="4"/>
  <c r="BD72" i="4"/>
  <c r="BD77" i="4"/>
  <c r="AZ72" i="4"/>
  <c r="AZ77" i="4"/>
  <c r="AU77" i="4"/>
  <c r="AU72" i="4"/>
  <c r="AQ77" i="4"/>
  <c r="AQ72" i="4"/>
  <c r="AL72" i="4"/>
  <c r="AL77" i="4"/>
  <c r="AG77" i="4"/>
  <c r="AG72" i="4"/>
  <c r="AC77" i="4"/>
  <c r="AC72" i="4"/>
  <c r="Y77" i="4"/>
  <c r="Y72" i="4"/>
  <c r="S77" i="4"/>
  <c r="S72" i="4"/>
  <c r="CT77" i="4"/>
  <c r="CT72" i="4"/>
  <c r="AV74" i="4"/>
  <c r="AG74" i="4"/>
  <c r="CC74" i="4"/>
  <c r="Z74" i="4"/>
  <c r="CL74" i="4"/>
  <c r="AQ74" i="4"/>
  <c r="CQ74" i="4"/>
  <c r="CN72" i="4"/>
  <c r="CN77" i="4"/>
  <c r="CJ72" i="4"/>
  <c r="CJ77" i="4"/>
  <c r="CF72" i="4"/>
  <c r="CF77" i="4"/>
  <c r="CB72" i="4"/>
  <c r="CB77" i="4"/>
  <c r="BX72" i="4"/>
  <c r="BX77" i="4"/>
  <c r="BS77" i="4"/>
  <c r="BS72" i="4"/>
  <c r="BL72" i="4"/>
  <c r="BL77" i="4"/>
  <c r="BG77" i="4"/>
  <c r="BG72" i="4"/>
  <c r="BC77" i="4"/>
  <c r="BC72" i="4"/>
  <c r="AY77" i="4"/>
  <c r="AY72" i="4"/>
  <c r="AT72" i="4"/>
  <c r="AT77" i="4"/>
  <c r="AP77" i="4"/>
  <c r="AP72" i="4"/>
  <c r="AJ68" i="4"/>
  <c r="AJ72" i="4"/>
  <c r="AJ77" i="4"/>
  <c r="AF72" i="4"/>
  <c r="AF77" i="4"/>
  <c r="AB72" i="4"/>
  <c r="AB77" i="4"/>
  <c r="X72" i="4"/>
  <c r="X77" i="4"/>
  <c r="R72" i="4"/>
  <c r="R77" i="4"/>
  <c r="T74" i="4"/>
  <c r="AJ74" i="4"/>
  <c r="AZ74" i="4"/>
  <c r="CF74" i="4"/>
  <c r="CV74" i="4"/>
  <c r="BA74" i="4"/>
  <c r="CG74" i="4"/>
  <c r="AD74" i="4"/>
  <c r="AT74" i="4"/>
  <c r="BZ74" i="4"/>
  <c r="BC74" i="4"/>
  <c r="BS74" i="4"/>
  <c r="CM77" i="4"/>
  <c r="CM72" i="4"/>
  <c r="CI77" i="4"/>
  <c r="CI72" i="4"/>
  <c r="CE77" i="4"/>
  <c r="CE72" i="4"/>
  <c r="CA77" i="4"/>
  <c r="CA72" i="4"/>
  <c r="BW77" i="4"/>
  <c r="BW72" i="4"/>
  <c r="BQ72" i="4"/>
  <c r="BQ77" i="4"/>
  <c r="BK77" i="4"/>
  <c r="BK72" i="4"/>
  <c r="BF72" i="4"/>
  <c r="BF77" i="4"/>
  <c r="BB72" i="4"/>
  <c r="BB77" i="4"/>
  <c r="AX72" i="4"/>
  <c r="AX77" i="4"/>
  <c r="AS72" i="4"/>
  <c r="AS77" i="4"/>
  <c r="AO72" i="4"/>
  <c r="AO77" i="4"/>
  <c r="AI77" i="4"/>
  <c r="AI72" i="4"/>
  <c r="AE77" i="4"/>
  <c r="AE72" i="4"/>
  <c r="AA77" i="4"/>
  <c r="AA72" i="4"/>
  <c r="U72" i="4"/>
  <c r="U77" i="4"/>
  <c r="CR77" i="4"/>
  <c r="CR72" i="4"/>
  <c r="X74" i="4"/>
  <c r="AN74" i="4"/>
  <c r="BD74" i="4"/>
  <c r="BT74" i="4"/>
  <c r="CJ74" i="4"/>
  <c r="CE74" i="4"/>
  <c r="Y74" i="4"/>
  <c r="AO74" i="4"/>
  <c r="BE74" i="4"/>
  <c r="BU74" i="4"/>
  <c r="CK74" i="4"/>
  <c r="AY74" i="4"/>
  <c r="R74" i="4"/>
  <c r="AH74" i="4"/>
  <c r="AX74" i="4"/>
  <c r="BN74" i="4"/>
  <c r="CD74" i="4"/>
  <c r="CT74" i="4"/>
  <c r="BO74" i="4"/>
  <c r="AI74" i="4"/>
  <c r="CI74" i="4"/>
  <c r="CQ64" i="4"/>
  <c r="CQ70" i="4"/>
  <c r="CL66" i="4"/>
  <c r="CL70" i="4"/>
  <c r="CH64" i="4"/>
  <c r="CH70" i="4"/>
  <c r="CD64" i="4"/>
  <c r="CD70" i="4"/>
  <c r="BZ66" i="4"/>
  <c r="BZ70" i="4"/>
  <c r="BU66" i="4"/>
  <c r="BU70" i="4"/>
  <c r="BO66" i="4"/>
  <c r="BO70" i="4"/>
  <c r="BI66" i="4"/>
  <c r="BI70" i="4"/>
  <c r="BE66" i="4"/>
  <c r="BE70" i="4"/>
  <c r="BA66" i="4"/>
  <c r="BA70" i="4"/>
  <c r="AV64" i="4"/>
  <c r="AV70" i="4"/>
  <c r="AR64" i="4"/>
  <c r="AR70" i="4"/>
  <c r="AN64" i="4"/>
  <c r="AN70" i="4"/>
  <c r="AH64" i="4"/>
  <c r="AH70" i="4"/>
  <c r="AD66" i="4"/>
  <c r="AD70" i="4"/>
  <c r="Z66" i="4"/>
  <c r="Z70" i="4"/>
  <c r="T66" i="4"/>
  <c r="T70" i="4"/>
  <c r="CV64" i="4"/>
  <c r="CV70" i="4"/>
  <c r="BA68" i="4"/>
  <c r="CO64" i="4"/>
  <c r="CO70" i="4"/>
  <c r="CK66" i="4"/>
  <c r="CK70" i="4"/>
  <c r="CG66" i="4"/>
  <c r="CG70" i="4"/>
  <c r="CC66" i="4"/>
  <c r="CC70" i="4"/>
  <c r="BY66" i="4"/>
  <c r="BY70" i="4"/>
  <c r="BT64" i="4"/>
  <c r="BT70" i="4"/>
  <c r="BN64" i="4"/>
  <c r="BN70" i="4"/>
  <c r="BH64" i="4"/>
  <c r="BH70" i="4"/>
  <c r="BD64" i="4"/>
  <c r="BD70" i="4"/>
  <c r="AZ66" i="4"/>
  <c r="AZ70" i="4"/>
  <c r="AU66" i="4"/>
  <c r="AU70" i="4"/>
  <c r="AQ66" i="4"/>
  <c r="AQ70" i="4"/>
  <c r="AL64" i="4"/>
  <c r="AL70" i="4"/>
  <c r="AG66" i="4"/>
  <c r="AG70" i="4"/>
  <c r="AC66" i="4"/>
  <c r="AC70" i="4"/>
  <c r="Y66" i="4"/>
  <c r="Y70" i="4"/>
  <c r="S66" i="4"/>
  <c r="S70" i="4"/>
  <c r="CT66" i="4"/>
  <c r="CT70" i="4"/>
  <c r="CN64" i="4"/>
  <c r="CN70" i="4"/>
  <c r="CJ64" i="4"/>
  <c r="CJ70" i="4"/>
  <c r="CF64" i="4"/>
  <c r="CF70" i="4"/>
  <c r="CB64" i="4"/>
  <c r="CB70" i="4"/>
  <c r="BX64" i="4"/>
  <c r="BX70" i="4"/>
  <c r="BS64" i="4"/>
  <c r="BS70" i="4"/>
  <c r="BL64" i="4"/>
  <c r="BL70" i="4"/>
  <c r="BG64" i="4"/>
  <c r="BG70" i="4"/>
  <c r="BC64" i="4"/>
  <c r="BC70" i="4"/>
  <c r="AY66" i="4"/>
  <c r="AY70" i="4"/>
  <c r="AT66" i="4"/>
  <c r="AT70" i="4"/>
  <c r="AP66" i="4"/>
  <c r="AP70" i="4"/>
  <c r="AJ64" i="4"/>
  <c r="AJ70" i="4"/>
  <c r="AF64" i="4"/>
  <c r="AF70" i="4"/>
  <c r="AB64" i="4"/>
  <c r="AB70" i="4"/>
  <c r="X66" i="4"/>
  <c r="X70" i="4"/>
  <c r="R66" i="4"/>
  <c r="R70" i="4"/>
  <c r="AY68" i="4"/>
  <c r="CM64" i="4"/>
  <c r="CM70" i="4"/>
  <c r="CI64" i="4"/>
  <c r="CI70" i="4"/>
  <c r="CE66" i="4"/>
  <c r="CE70" i="4"/>
  <c r="CA66" i="4"/>
  <c r="CA70" i="4"/>
  <c r="BW64" i="4"/>
  <c r="BW70" i="4"/>
  <c r="BQ66" i="4"/>
  <c r="BQ70" i="4"/>
  <c r="BK66" i="4"/>
  <c r="BK70" i="4"/>
  <c r="BF66" i="4"/>
  <c r="BF70" i="4"/>
  <c r="BB64" i="4"/>
  <c r="BB70" i="4"/>
  <c r="AX64" i="4"/>
  <c r="AX70" i="4"/>
  <c r="AS66" i="4"/>
  <c r="AS70" i="4"/>
  <c r="AO66" i="4"/>
  <c r="AO70" i="4"/>
  <c r="AI66" i="4"/>
  <c r="AI70" i="4"/>
  <c r="AE66" i="4"/>
  <c r="AE70" i="4"/>
  <c r="AA66" i="4"/>
  <c r="AA70" i="4"/>
  <c r="U66" i="4"/>
  <c r="U70" i="4"/>
  <c r="CR64" i="4"/>
  <c r="CR70" i="4"/>
  <c r="BQ68" i="4"/>
  <c r="CF68" i="4"/>
  <c r="BW68" i="4"/>
  <c r="BB68" i="4"/>
  <c r="T68" i="4"/>
  <c r="U68" i="4"/>
  <c r="CM68" i="4"/>
  <c r="CH68" i="4"/>
  <c r="BX68" i="4"/>
  <c r="CG68" i="4"/>
  <c r="AU68" i="4"/>
  <c r="AL68" i="4"/>
  <c r="S68" i="4"/>
  <c r="BD68" i="4"/>
  <c r="Y68" i="4"/>
  <c r="AO68" i="4"/>
  <c r="BE68" i="4"/>
  <c r="BU68" i="4"/>
  <c r="CK68" i="4"/>
  <c r="BG68" i="4"/>
  <c r="AR68" i="4"/>
  <c r="CN68" i="4"/>
  <c r="Z68" i="4"/>
  <c r="AP68" i="4"/>
  <c r="BF68" i="4"/>
  <c r="CL68" i="4"/>
  <c r="AA68" i="4"/>
  <c r="BC68" i="4"/>
  <c r="CE68" i="4"/>
  <c r="AF68" i="4"/>
  <c r="BH68" i="4"/>
  <c r="CB68" i="4"/>
  <c r="AC68" i="4"/>
  <c r="AS68" i="4"/>
  <c r="BI68" i="4"/>
  <c r="BY68" i="4"/>
  <c r="CO68" i="4"/>
  <c r="AE68" i="4"/>
  <c r="BS68" i="4"/>
  <c r="X68" i="4"/>
  <c r="AZ68" i="4"/>
  <c r="CR68" i="4"/>
  <c r="AD68" i="4"/>
  <c r="AT68" i="4"/>
  <c r="BZ68" i="4"/>
  <c r="AI68" i="4"/>
  <c r="BK68" i="4"/>
  <c r="CI68" i="4"/>
  <c r="AN68" i="4"/>
  <c r="BL68" i="4"/>
  <c r="CJ68" i="4"/>
  <c r="AG68" i="4"/>
  <c r="CC68" i="4"/>
  <c r="CA68" i="4"/>
  <c r="AB68" i="4"/>
  <c r="R68" i="4"/>
  <c r="AH68" i="4"/>
  <c r="AX68" i="4"/>
  <c r="BN68" i="4"/>
  <c r="CD68" i="4"/>
  <c r="CT68" i="4"/>
  <c r="AQ68" i="4"/>
  <c r="BO68" i="4"/>
  <c r="CQ68" i="4"/>
  <c r="AV68" i="4"/>
  <c r="BT68" i="4"/>
  <c r="CV68" i="4"/>
  <c r="CN66" i="4"/>
  <c r="AR66" i="4"/>
  <c r="BH66" i="4"/>
  <c r="AN66" i="4"/>
  <c r="BG66" i="4"/>
  <c r="BX66" i="4"/>
  <c r="BW66" i="4"/>
  <c r="CM66" i="4"/>
  <c r="CQ66" i="4"/>
  <c r="BN66" i="4"/>
  <c r="AV66" i="4"/>
  <c r="BL66" i="4"/>
  <c r="CB66" i="4"/>
  <c r="CR66" i="4"/>
  <c r="AB66" i="4"/>
  <c r="CF66" i="4"/>
  <c r="CV66" i="4"/>
  <c r="AF66" i="4"/>
  <c r="BB66" i="4"/>
  <c r="CH66" i="4"/>
  <c r="BC66" i="4"/>
  <c r="BS66" i="4"/>
  <c r="CI66" i="4"/>
  <c r="CO66" i="4"/>
  <c r="AX66" i="4"/>
  <c r="CD66" i="4"/>
  <c r="AH66" i="4"/>
  <c r="BD66" i="4"/>
  <c r="BT66" i="4"/>
  <c r="CJ66" i="4"/>
  <c r="AJ66" i="4"/>
  <c r="AL66" i="4"/>
  <c r="AU64" i="4"/>
  <c r="U64" i="4"/>
  <c r="CE64" i="4"/>
  <c r="CA64" i="4"/>
  <c r="AY64" i="4"/>
  <c r="AP64" i="4"/>
  <c r="AG64" i="4"/>
  <c r="AC64" i="4"/>
  <c r="Y64" i="4"/>
  <c r="T64" i="4"/>
  <c r="AQ64" i="4"/>
  <c r="AD64" i="4"/>
  <c r="CL64" i="4"/>
  <c r="BZ64" i="4"/>
  <c r="BQ64" i="4"/>
  <c r="BK64" i="4"/>
  <c r="BF64" i="4"/>
  <c r="AS64" i="4"/>
  <c r="AO64" i="4"/>
  <c r="X64" i="4"/>
  <c r="S64" i="4"/>
  <c r="CT64" i="4"/>
  <c r="AZ64" i="4"/>
  <c r="Z64" i="4"/>
  <c r="CG64" i="4"/>
  <c r="CC64" i="4"/>
  <c r="BY64" i="4"/>
  <c r="BU64" i="4"/>
  <c r="BO64" i="4"/>
  <c r="BI64" i="4"/>
  <c r="BE64" i="4"/>
  <c r="BA64" i="4"/>
  <c r="AI64" i="4"/>
  <c r="AE64" i="4"/>
  <c r="AA64" i="4"/>
  <c r="R64" i="4"/>
  <c r="AT64" i="4"/>
  <c r="AV6" i="4"/>
  <c r="AV22" i="4" s="1"/>
  <c r="CF6" i="4"/>
  <c r="CF22" i="4" s="1"/>
  <c r="AI82" i="3"/>
  <c r="AJ82" i="3" s="1"/>
  <c r="CT82" i="3"/>
  <c r="CU82" i="3" s="1"/>
  <c r="BP82" i="3"/>
  <c r="BQ82" i="3" s="1"/>
  <c r="BL82" i="3"/>
  <c r="BM82" i="3" s="1"/>
  <c r="BE82" i="3"/>
  <c r="BF82" i="3" s="1"/>
  <c r="BA82" i="3"/>
  <c r="BB82" i="3" s="1"/>
  <c r="AW82" i="3"/>
  <c r="AX82" i="3" s="1"/>
  <c r="AS82" i="3"/>
  <c r="AT82" i="3" s="1"/>
  <c r="AN82" i="3"/>
  <c r="AO82" i="3" s="1"/>
  <c r="AW14" i="3"/>
  <c r="AX14" i="3" s="1"/>
  <c r="CT14" i="3"/>
  <c r="CU14" i="3" s="1"/>
  <c r="BP14" i="3"/>
  <c r="BQ14" i="3" s="1"/>
  <c r="BE14" i="3"/>
  <c r="BF14" i="3" s="1"/>
  <c r="BL14" i="3"/>
  <c r="BM14" i="3" s="1"/>
  <c r="BA14" i="3"/>
  <c r="BB14" i="3" s="1"/>
  <c r="AS14" i="3"/>
  <c r="AT14" i="3" s="1"/>
  <c r="AN14" i="3"/>
  <c r="AO14" i="3" s="1"/>
  <c r="AI14" i="3"/>
  <c r="AJ14" i="3" s="1"/>
  <c r="R14" i="3"/>
  <c r="CT102" i="3"/>
  <c r="CU102" i="3" s="1"/>
  <c r="BP102" i="3"/>
  <c r="BQ102" i="3" s="1"/>
  <c r="BL102" i="3"/>
  <c r="BM102" i="3" s="1"/>
  <c r="BE102" i="3"/>
  <c r="BF102" i="3" s="1"/>
  <c r="BA102" i="3"/>
  <c r="BB102" i="3" s="1"/>
  <c r="AW102" i="3"/>
  <c r="AX102" i="3" s="1"/>
  <c r="AS102" i="3"/>
  <c r="AT102" i="3" s="1"/>
  <c r="AN102" i="3"/>
  <c r="AO102" i="3" s="1"/>
  <c r="AI102" i="3"/>
  <c r="AJ102" i="3" s="1"/>
  <c r="Q7" i="4" l="1"/>
  <c r="J18" i="13"/>
  <c r="O7" i="4"/>
  <c r="H47" i="11"/>
  <c r="H19" i="11"/>
  <c r="O13" i="4"/>
  <c r="O6" i="4"/>
  <c r="J100" i="6" s="1"/>
  <c r="O15" i="4"/>
  <c r="CT252" i="3"/>
  <c r="CT253" i="3"/>
  <c r="CT254" i="3"/>
  <c r="CT255" i="3"/>
  <c r="CT256" i="3"/>
  <c r="CT257" i="3"/>
  <c r="CT258" i="3"/>
  <c r="CT259" i="3"/>
  <c r="CT260" i="3"/>
  <c r="CT261" i="3"/>
  <c r="CT262" i="3"/>
  <c r="CT263" i="3"/>
  <c r="CT264" i="3"/>
  <c r="CT265" i="3"/>
  <c r="CT266" i="3"/>
  <c r="CT267" i="3"/>
  <c r="CT268" i="3"/>
  <c r="CT269" i="3"/>
  <c r="CU269" i="3" s="1"/>
  <c r="CT270" i="3"/>
  <c r="CT271" i="3"/>
  <c r="CT272" i="3"/>
  <c r="CT273" i="3"/>
  <c r="CT274" i="3"/>
  <c r="CT275" i="3"/>
  <c r="CT276" i="3"/>
  <c r="CT277" i="3"/>
  <c r="CT7" i="3"/>
  <c r="CT8" i="3"/>
  <c r="CT9" i="3"/>
  <c r="CT10" i="3"/>
  <c r="CT11" i="3"/>
  <c r="CU11" i="3" s="1"/>
  <c r="CT12" i="3"/>
  <c r="CT13" i="3"/>
  <c r="CT15" i="3"/>
  <c r="CT16" i="3"/>
  <c r="CT17" i="3"/>
  <c r="CT18" i="3"/>
  <c r="CT19" i="3"/>
  <c r="CT20" i="3"/>
  <c r="CU20" i="3" s="1"/>
  <c r="CT21" i="3"/>
  <c r="CU21" i="3" s="1"/>
  <c r="CT22" i="3"/>
  <c r="CU22" i="3" s="1"/>
  <c r="CT23" i="3"/>
  <c r="CU23" i="3" s="1"/>
  <c r="CT24" i="3"/>
  <c r="CU24" i="3" s="1"/>
  <c r="CT25" i="3"/>
  <c r="CU25" i="3" s="1"/>
  <c r="CT26" i="3"/>
  <c r="CT27" i="3"/>
  <c r="CT29" i="3"/>
  <c r="CT30" i="3"/>
  <c r="CT31" i="3"/>
  <c r="CT32" i="3"/>
  <c r="CT33" i="3"/>
  <c r="CT34" i="3"/>
  <c r="CT35" i="3"/>
  <c r="CT36" i="3"/>
  <c r="CT39" i="3"/>
  <c r="CT40" i="3"/>
  <c r="CT41" i="3"/>
  <c r="CT42" i="3"/>
  <c r="CU42" i="3" s="1"/>
  <c r="CT43" i="3"/>
  <c r="CU43" i="3" s="1"/>
  <c r="CT44" i="3"/>
  <c r="CT45" i="3"/>
  <c r="CU45" i="3" s="1"/>
  <c r="CT46" i="3"/>
  <c r="CU46" i="3" s="1"/>
  <c r="CT47" i="3"/>
  <c r="CT48" i="3"/>
  <c r="CU48" i="3" s="1"/>
  <c r="CT49" i="3"/>
  <c r="CT50" i="3"/>
  <c r="CT51" i="3"/>
  <c r="CT52" i="3"/>
  <c r="CT53" i="3"/>
  <c r="CT54" i="3"/>
  <c r="CT55" i="3"/>
  <c r="CT56" i="3"/>
  <c r="CT57" i="3"/>
  <c r="CU57" i="3" s="1"/>
  <c r="CT58" i="3"/>
  <c r="CU58" i="3" s="1"/>
  <c r="CT59" i="3"/>
  <c r="CT60" i="3"/>
  <c r="CT61" i="3"/>
  <c r="CU61" i="3" s="1"/>
  <c r="CT62" i="3"/>
  <c r="CT63" i="3"/>
  <c r="CU63" i="3" s="1"/>
  <c r="CT64" i="3"/>
  <c r="CU64" i="3" s="1"/>
  <c r="CT65" i="3"/>
  <c r="CT66" i="3"/>
  <c r="CT67" i="3"/>
  <c r="CT68" i="3"/>
  <c r="CT69" i="3"/>
  <c r="CU69" i="3" s="1"/>
  <c r="CT70" i="3"/>
  <c r="CT71" i="3"/>
  <c r="CT72" i="3"/>
  <c r="CT73" i="3"/>
  <c r="CT74" i="3"/>
  <c r="CT75" i="3"/>
  <c r="CT76" i="3"/>
  <c r="CT77" i="3"/>
  <c r="CT78" i="3"/>
  <c r="CT79" i="3"/>
  <c r="CU79" i="3" s="1"/>
  <c r="CT80" i="3"/>
  <c r="CT81" i="3"/>
  <c r="CT83" i="3"/>
  <c r="CT84" i="3"/>
  <c r="CU84" i="3" s="1"/>
  <c r="CT85" i="3"/>
  <c r="CU85" i="3" s="1"/>
  <c r="CT86" i="3"/>
  <c r="CT87" i="3"/>
  <c r="CU87" i="3" s="1"/>
  <c r="CT88" i="3"/>
  <c r="CU88" i="3" s="1"/>
  <c r="CT89" i="3"/>
  <c r="CU89" i="3" s="1"/>
  <c r="CT90" i="3"/>
  <c r="CT91" i="3"/>
  <c r="CT92" i="3"/>
  <c r="CT93" i="3"/>
  <c r="CT94" i="3"/>
  <c r="CT95" i="3"/>
  <c r="CT96" i="3"/>
  <c r="CT97" i="3"/>
  <c r="CT98" i="3"/>
  <c r="CT99" i="3"/>
  <c r="CT100" i="3"/>
  <c r="CT101" i="3"/>
  <c r="CU101" i="3" s="1"/>
  <c r="CT103" i="3"/>
  <c r="CT104" i="3"/>
  <c r="CT105" i="3"/>
  <c r="CT106" i="3"/>
  <c r="CT107" i="3"/>
  <c r="CU107" i="3" s="1"/>
  <c r="CT108" i="3"/>
  <c r="CT109" i="3"/>
  <c r="CT110" i="3"/>
  <c r="CT111" i="3"/>
  <c r="CT112" i="3"/>
  <c r="CT113" i="3"/>
  <c r="CT114" i="3"/>
  <c r="CT115" i="3"/>
  <c r="CT116" i="3"/>
  <c r="CT117" i="3"/>
  <c r="CT118" i="3"/>
  <c r="CT119" i="3"/>
  <c r="CT120" i="3"/>
  <c r="CT122" i="3"/>
  <c r="CT123" i="3"/>
  <c r="CU123" i="3" s="1"/>
  <c r="CT124" i="3"/>
  <c r="CT125" i="3"/>
  <c r="CU125" i="3" s="1"/>
  <c r="CT126" i="3"/>
  <c r="CT127" i="3"/>
  <c r="CT129" i="3"/>
  <c r="CT130" i="3"/>
  <c r="CT131" i="3"/>
  <c r="CT132" i="3"/>
  <c r="CT133" i="3"/>
  <c r="CT134" i="3"/>
  <c r="CT135" i="3"/>
  <c r="CT136" i="3"/>
  <c r="CT137" i="3"/>
  <c r="CT138" i="3"/>
  <c r="CT139" i="3"/>
  <c r="CT140" i="3"/>
  <c r="CT141" i="3"/>
  <c r="CT142" i="3"/>
  <c r="CT143" i="3"/>
  <c r="CT144" i="3"/>
  <c r="CT146" i="3"/>
  <c r="CT147" i="3"/>
  <c r="CT148" i="3"/>
  <c r="CT149" i="3"/>
  <c r="CT150" i="3"/>
  <c r="CT151" i="3"/>
  <c r="CT152" i="3"/>
  <c r="CT153" i="3"/>
  <c r="CT154" i="3"/>
  <c r="CT155" i="3"/>
  <c r="CT156" i="3"/>
  <c r="CT157" i="3"/>
  <c r="CU157" i="3" s="1"/>
  <c r="CT158" i="3"/>
  <c r="CU158" i="3" s="1"/>
  <c r="CT159" i="3"/>
  <c r="CT160" i="3"/>
  <c r="CT161" i="3"/>
  <c r="CT162" i="3"/>
  <c r="CT163" i="3"/>
  <c r="CT164" i="3"/>
  <c r="CT165" i="3"/>
  <c r="CT166" i="3"/>
  <c r="CU166" i="3" s="1"/>
  <c r="CT167" i="3"/>
  <c r="CT168" i="3"/>
  <c r="CT169" i="3"/>
  <c r="CT170" i="3"/>
  <c r="CT171" i="3"/>
  <c r="CU171" i="3" s="1"/>
  <c r="CT172" i="3"/>
  <c r="CT173" i="3"/>
  <c r="CT174" i="3"/>
  <c r="CT175" i="3"/>
  <c r="CT176" i="3"/>
  <c r="CT177" i="3"/>
  <c r="CT178" i="3"/>
  <c r="CT179" i="3"/>
  <c r="CT180" i="3"/>
  <c r="CT181" i="3"/>
  <c r="CT182" i="3"/>
  <c r="CT183" i="3"/>
  <c r="CT184" i="3"/>
  <c r="CT185" i="3"/>
  <c r="CT186" i="3"/>
  <c r="CT187" i="3"/>
  <c r="CT188" i="3"/>
  <c r="CT189" i="3"/>
  <c r="CT190" i="3"/>
  <c r="CT191" i="3"/>
  <c r="CT192" i="3"/>
  <c r="CT193" i="3"/>
  <c r="CT194" i="3"/>
  <c r="CT195" i="3"/>
  <c r="CT196" i="3"/>
  <c r="CT197" i="3"/>
  <c r="CT198" i="3"/>
  <c r="CT199" i="3"/>
  <c r="CT200" i="3"/>
  <c r="CT201" i="3"/>
  <c r="CT202" i="3"/>
  <c r="CT203" i="3"/>
  <c r="CT204" i="3"/>
  <c r="CT205" i="3"/>
  <c r="CT206" i="3"/>
  <c r="CT207" i="3"/>
  <c r="CT208" i="3"/>
  <c r="CT209" i="3"/>
  <c r="CT210" i="3"/>
  <c r="CU210" i="3" s="1"/>
  <c r="CT211" i="3"/>
  <c r="CT212" i="3"/>
  <c r="CT213" i="3"/>
  <c r="CT214" i="3"/>
  <c r="CT215" i="3"/>
  <c r="CT216" i="3"/>
  <c r="CT217" i="3"/>
  <c r="CT219" i="3"/>
  <c r="CT220" i="3"/>
  <c r="CU220" i="3" s="1"/>
  <c r="CT221" i="3"/>
  <c r="CT222" i="3"/>
  <c r="CT223" i="3"/>
  <c r="CT224" i="3"/>
  <c r="CT225" i="3"/>
  <c r="CT226" i="3"/>
  <c r="CT227" i="3"/>
  <c r="CT228" i="3"/>
  <c r="CT229" i="3"/>
  <c r="CT230" i="3"/>
  <c r="CT231" i="3"/>
  <c r="CT232" i="3"/>
  <c r="CT233" i="3"/>
  <c r="CT234" i="3"/>
  <c r="CT235" i="3"/>
  <c r="CT236" i="3"/>
  <c r="CT237" i="3"/>
  <c r="CT238" i="3"/>
  <c r="CT239" i="3"/>
  <c r="CT240" i="3"/>
  <c r="CT241" i="3"/>
  <c r="CT242" i="3"/>
  <c r="CT243" i="3"/>
  <c r="CT244" i="3"/>
  <c r="CU244" i="3" s="1"/>
  <c r="CT245" i="3"/>
  <c r="CT246" i="3"/>
  <c r="CT247" i="3"/>
  <c r="CU247" i="3" s="1"/>
  <c r="CT249" i="3"/>
  <c r="CT250" i="3"/>
  <c r="CT6" i="3"/>
  <c r="BP10" i="3"/>
  <c r="BQ10" i="3" s="1"/>
  <c r="BP11" i="3"/>
  <c r="BQ11" i="3" s="1"/>
  <c r="BP12" i="3"/>
  <c r="BQ12" i="3" s="1"/>
  <c r="BP13" i="3"/>
  <c r="BQ13" i="3" s="1"/>
  <c r="BP15" i="3"/>
  <c r="BQ15" i="3" s="1"/>
  <c r="BP17" i="3"/>
  <c r="BQ17" i="3" s="1"/>
  <c r="BP18" i="3"/>
  <c r="BQ18" i="3" s="1"/>
  <c r="BP19" i="3"/>
  <c r="BQ19" i="3" s="1"/>
  <c r="BP20" i="3"/>
  <c r="BQ20" i="3" s="1"/>
  <c r="BP21" i="3"/>
  <c r="BQ21" i="3" s="1"/>
  <c r="BP22" i="3"/>
  <c r="BQ22" i="3" s="1"/>
  <c r="BP23" i="3"/>
  <c r="BQ23" i="3" s="1"/>
  <c r="BP24" i="3"/>
  <c r="BQ24" i="3" s="1"/>
  <c r="BP25" i="3"/>
  <c r="BQ25" i="3" s="1"/>
  <c r="BP26" i="3"/>
  <c r="BQ26" i="3" s="1"/>
  <c r="BP27" i="3"/>
  <c r="BQ27" i="3" s="1"/>
  <c r="BP29" i="3"/>
  <c r="BQ29" i="3" s="1"/>
  <c r="BP30" i="3"/>
  <c r="BQ30" i="3" s="1"/>
  <c r="BP31" i="3"/>
  <c r="BQ31" i="3" s="1"/>
  <c r="BP32" i="3"/>
  <c r="BQ32" i="3" s="1"/>
  <c r="BP33" i="3"/>
  <c r="BQ33" i="3" s="1"/>
  <c r="BP34" i="3"/>
  <c r="BQ34" i="3" s="1"/>
  <c r="BP35" i="3"/>
  <c r="BQ35" i="3" s="1"/>
  <c r="BP36" i="3"/>
  <c r="BQ36" i="3" s="1"/>
  <c r="BP39" i="3"/>
  <c r="BP40" i="3"/>
  <c r="BQ40" i="3" s="1"/>
  <c r="BP41" i="3"/>
  <c r="BQ41" i="3" s="1"/>
  <c r="BP42" i="3"/>
  <c r="BQ42" i="3" s="1"/>
  <c r="BP43" i="3"/>
  <c r="BQ43" i="3" s="1"/>
  <c r="BP44" i="3"/>
  <c r="BQ44" i="3" s="1"/>
  <c r="BP45" i="3"/>
  <c r="BQ45" i="3" s="1"/>
  <c r="BP46" i="3"/>
  <c r="BQ46" i="3" s="1"/>
  <c r="BP47" i="3"/>
  <c r="BQ47" i="3" s="1"/>
  <c r="BP48" i="3"/>
  <c r="BQ48" i="3" s="1"/>
  <c r="BP49" i="3"/>
  <c r="BQ49" i="3" s="1"/>
  <c r="BP52" i="3"/>
  <c r="BQ52" i="3" s="1"/>
  <c r="BP53" i="3"/>
  <c r="BQ53" i="3" s="1"/>
  <c r="BP54" i="3"/>
  <c r="BQ54" i="3" s="1"/>
  <c r="BP55" i="3"/>
  <c r="BQ55" i="3" s="1"/>
  <c r="BP57" i="3"/>
  <c r="BQ57" i="3" s="1"/>
  <c r="BP58" i="3"/>
  <c r="BQ58" i="3" s="1"/>
  <c r="BP59" i="3"/>
  <c r="BQ59" i="3" s="1"/>
  <c r="BP60" i="3"/>
  <c r="BQ60" i="3" s="1"/>
  <c r="BP61" i="3"/>
  <c r="BQ61" i="3" s="1"/>
  <c r="BP62" i="3"/>
  <c r="BQ62" i="3" s="1"/>
  <c r="BP63" i="3"/>
  <c r="BQ63" i="3" s="1"/>
  <c r="BP64" i="3"/>
  <c r="BQ64" i="3" s="1"/>
  <c r="BP65" i="3"/>
  <c r="BQ65" i="3" s="1"/>
  <c r="BP66" i="3"/>
  <c r="BQ66" i="3" s="1"/>
  <c r="BP67" i="3"/>
  <c r="BQ67" i="3" s="1"/>
  <c r="BP68" i="3"/>
  <c r="BQ68" i="3" s="1"/>
  <c r="BP69" i="3"/>
  <c r="BQ69" i="3" s="1"/>
  <c r="BP70" i="3"/>
  <c r="BQ70" i="3" s="1"/>
  <c r="BP71" i="3"/>
  <c r="BQ71" i="3" s="1"/>
  <c r="BP72" i="3"/>
  <c r="BQ72" i="3" s="1"/>
  <c r="BP75" i="3"/>
  <c r="BQ75" i="3" s="1"/>
  <c r="BP76" i="3"/>
  <c r="BQ76" i="3" s="1"/>
  <c r="BP77" i="3"/>
  <c r="BQ77" i="3" s="1"/>
  <c r="BP78" i="3"/>
  <c r="BQ78" i="3" s="1"/>
  <c r="BP79" i="3"/>
  <c r="BQ79" i="3" s="1"/>
  <c r="BP80" i="3"/>
  <c r="BQ80" i="3" s="1"/>
  <c r="BP81" i="3"/>
  <c r="BQ81" i="3" s="1"/>
  <c r="BP83" i="3"/>
  <c r="BQ83" i="3" s="1"/>
  <c r="BP84" i="3"/>
  <c r="BQ84" i="3" s="1"/>
  <c r="BP85" i="3"/>
  <c r="BQ85" i="3" s="1"/>
  <c r="BP86" i="3"/>
  <c r="BQ86" i="3" s="1"/>
  <c r="BP87" i="3"/>
  <c r="BQ87" i="3" s="1"/>
  <c r="BP88" i="3"/>
  <c r="BQ88" i="3" s="1"/>
  <c r="BP89" i="3"/>
  <c r="BQ89" i="3" s="1"/>
  <c r="BP90" i="3"/>
  <c r="BQ90" i="3" s="1"/>
  <c r="BP91" i="3"/>
  <c r="BQ91" i="3" s="1"/>
  <c r="BP92" i="3"/>
  <c r="BQ92" i="3" s="1"/>
  <c r="BP93" i="3"/>
  <c r="BQ93" i="3" s="1"/>
  <c r="BP94" i="3"/>
  <c r="BQ94" i="3" s="1"/>
  <c r="BP96" i="3"/>
  <c r="BQ96" i="3" s="1"/>
  <c r="BP97" i="3"/>
  <c r="BQ97" i="3" s="1"/>
  <c r="BP98" i="3"/>
  <c r="BQ98" i="3" s="1"/>
  <c r="BP99" i="3"/>
  <c r="BQ99" i="3" s="1"/>
  <c r="BP100" i="3"/>
  <c r="BQ100" i="3" s="1"/>
  <c r="BP101" i="3"/>
  <c r="BQ101" i="3" s="1"/>
  <c r="BP104" i="3"/>
  <c r="BQ104" i="3" s="1"/>
  <c r="BP105" i="3"/>
  <c r="BQ105" i="3" s="1"/>
  <c r="BP106" i="3"/>
  <c r="BQ106" i="3" s="1"/>
  <c r="BP107" i="3"/>
  <c r="BQ107" i="3" s="1"/>
  <c r="BP108" i="3"/>
  <c r="BQ108" i="3" s="1"/>
  <c r="BP109" i="3"/>
  <c r="BQ109" i="3" s="1"/>
  <c r="BP110" i="3"/>
  <c r="BQ110" i="3" s="1"/>
  <c r="BP111" i="3"/>
  <c r="BQ111" i="3" s="1"/>
  <c r="BP112" i="3"/>
  <c r="BQ112" i="3" s="1"/>
  <c r="BP113" i="3"/>
  <c r="BQ113" i="3" s="1"/>
  <c r="BP114" i="3"/>
  <c r="BQ114" i="3" s="1"/>
  <c r="BP115" i="3"/>
  <c r="BQ115" i="3" s="1"/>
  <c r="BP116" i="3"/>
  <c r="BQ116" i="3" s="1"/>
  <c r="BP117" i="3"/>
  <c r="BQ117" i="3" s="1"/>
  <c r="BP118" i="3"/>
  <c r="BQ118" i="3" s="1"/>
  <c r="BP119" i="3"/>
  <c r="BQ119" i="3" s="1"/>
  <c r="BP120" i="3"/>
  <c r="BQ120" i="3" s="1"/>
  <c r="BP121" i="3"/>
  <c r="BQ121" i="3" s="1"/>
  <c r="BP123" i="3"/>
  <c r="BQ123" i="3" s="1"/>
  <c r="BP125" i="3"/>
  <c r="BQ125" i="3" s="1"/>
  <c r="BP126" i="3"/>
  <c r="BP127" i="3"/>
  <c r="BQ127" i="3" s="1"/>
  <c r="BP129" i="3"/>
  <c r="BQ129" i="3" s="1"/>
  <c r="BP130" i="3"/>
  <c r="BQ130" i="3" s="1"/>
  <c r="BP131" i="3"/>
  <c r="BQ131" i="3" s="1"/>
  <c r="BP132" i="3"/>
  <c r="BQ132" i="3" s="1"/>
  <c r="BP133" i="3"/>
  <c r="BQ133" i="3" s="1"/>
  <c r="BP134" i="3"/>
  <c r="BQ134" i="3" s="1"/>
  <c r="BP135" i="3"/>
  <c r="BQ135" i="3" s="1"/>
  <c r="BP136" i="3"/>
  <c r="BQ136" i="3" s="1"/>
  <c r="BP137" i="3"/>
  <c r="BQ137" i="3" s="1"/>
  <c r="BP138" i="3"/>
  <c r="BQ138" i="3" s="1"/>
  <c r="BP139" i="3"/>
  <c r="BQ139" i="3" s="1"/>
  <c r="BP140" i="3"/>
  <c r="BQ140" i="3" s="1"/>
  <c r="BP141" i="3"/>
  <c r="BQ141" i="3" s="1"/>
  <c r="BP142" i="3"/>
  <c r="BQ142" i="3" s="1"/>
  <c r="BP143" i="3"/>
  <c r="BQ143" i="3" s="1"/>
  <c r="BP144" i="3"/>
  <c r="BQ144" i="3" s="1"/>
  <c r="BP146" i="3"/>
  <c r="BQ146" i="3" s="1"/>
  <c r="BP147" i="3"/>
  <c r="BP148" i="3"/>
  <c r="BP149" i="3"/>
  <c r="BQ149" i="3" s="1"/>
  <c r="BP150" i="3"/>
  <c r="BQ150" i="3" s="1"/>
  <c r="BP151" i="3"/>
  <c r="BQ151" i="3" s="1"/>
  <c r="BP152" i="3"/>
  <c r="BQ152" i="3" s="1"/>
  <c r="BP153" i="3"/>
  <c r="BQ153" i="3" s="1"/>
  <c r="BP154" i="3"/>
  <c r="BQ154" i="3" s="1"/>
  <c r="BP155" i="3"/>
  <c r="BQ155" i="3" s="1"/>
  <c r="BP156" i="3"/>
  <c r="BQ156" i="3" s="1"/>
  <c r="BP157" i="3"/>
  <c r="BQ157" i="3" s="1"/>
  <c r="BP158" i="3"/>
  <c r="BQ158" i="3" s="1"/>
  <c r="BP159" i="3"/>
  <c r="BQ159" i="3" s="1"/>
  <c r="BP160" i="3"/>
  <c r="BQ160" i="3" s="1"/>
  <c r="BP161" i="3"/>
  <c r="BQ161" i="3" s="1"/>
  <c r="BP162" i="3"/>
  <c r="BQ162" i="3" s="1"/>
  <c r="BP163" i="3"/>
  <c r="BQ163" i="3" s="1"/>
  <c r="BP164" i="3"/>
  <c r="BQ164" i="3" s="1"/>
  <c r="BP165" i="3"/>
  <c r="BQ165" i="3" s="1"/>
  <c r="BP166" i="3"/>
  <c r="BQ166" i="3" s="1"/>
  <c r="BP167" i="3"/>
  <c r="BQ167" i="3" s="1"/>
  <c r="BP168" i="3"/>
  <c r="BQ168" i="3" s="1"/>
  <c r="BP169" i="3"/>
  <c r="BQ169" i="3" s="1"/>
  <c r="BP170" i="3"/>
  <c r="BQ170" i="3" s="1"/>
  <c r="BP171" i="3"/>
  <c r="BQ171" i="3" s="1"/>
  <c r="BP172" i="3"/>
  <c r="BQ172" i="3" s="1"/>
  <c r="BP173" i="3"/>
  <c r="BQ173" i="3" s="1"/>
  <c r="BP174" i="3"/>
  <c r="BQ174" i="3" s="1"/>
  <c r="BP175" i="3"/>
  <c r="BQ175" i="3" s="1"/>
  <c r="BP176" i="3"/>
  <c r="BQ176" i="3" s="1"/>
  <c r="BP177" i="3"/>
  <c r="BQ177" i="3" s="1"/>
  <c r="BP178" i="3"/>
  <c r="BQ178" i="3" s="1"/>
  <c r="BP179" i="3"/>
  <c r="BQ179" i="3" s="1"/>
  <c r="BP180" i="3"/>
  <c r="BQ180" i="3" s="1"/>
  <c r="BP181" i="3"/>
  <c r="BQ181" i="3" s="1"/>
  <c r="BP182" i="3"/>
  <c r="BQ182" i="3" s="1"/>
  <c r="BP183" i="3"/>
  <c r="BQ183" i="3" s="1"/>
  <c r="BP184" i="3"/>
  <c r="BQ184" i="3" s="1"/>
  <c r="BP185" i="3"/>
  <c r="BQ185" i="3" s="1"/>
  <c r="BP186" i="3"/>
  <c r="BQ186" i="3" s="1"/>
  <c r="BP187" i="3"/>
  <c r="BQ187" i="3" s="1"/>
  <c r="BP188" i="3"/>
  <c r="BQ188" i="3" s="1"/>
  <c r="BP189" i="3"/>
  <c r="BQ189" i="3" s="1"/>
  <c r="BP190" i="3"/>
  <c r="BQ190" i="3" s="1"/>
  <c r="BP191" i="3"/>
  <c r="BQ191" i="3" s="1"/>
  <c r="BP192" i="3"/>
  <c r="BQ192" i="3" s="1"/>
  <c r="BP193" i="3"/>
  <c r="BQ193" i="3" s="1"/>
  <c r="BP194" i="3"/>
  <c r="BQ194" i="3" s="1"/>
  <c r="BP195" i="3"/>
  <c r="BQ195" i="3" s="1"/>
  <c r="BP196" i="3"/>
  <c r="BQ196" i="3" s="1"/>
  <c r="BP197" i="3"/>
  <c r="BQ197" i="3" s="1"/>
  <c r="BP198" i="3"/>
  <c r="BQ198" i="3" s="1"/>
  <c r="BP199" i="3"/>
  <c r="BQ199" i="3" s="1"/>
  <c r="BP200" i="3"/>
  <c r="BQ200" i="3" s="1"/>
  <c r="BP201" i="3"/>
  <c r="BQ201" i="3" s="1"/>
  <c r="BP202" i="3"/>
  <c r="BQ202" i="3" s="1"/>
  <c r="BP203" i="3"/>
  <c r="BQ203" i="3" s="1"/>
  <c r="BP204" i="3"/>
  <c r="BQ204" i="3" s="1"/>
  <c r="BP205" i="3"/>
  <c r="BQ205" i="3" s="1"/>
  <c r="BP206" i="3"/>
  <c r="BQ206" i="3" s="1"/>
  <c r="BP207" i="3"/>
  <c r="BQ207" i="3" s="1"/>
  <c r="BP208" i="3"/>
  <c r="BQ208" i="3" s="1"/>
  <c r="BP209" i="3"/>
  <c r="BQ209" i="3" s="1"/>
  <c r="BP210" i="3"/>
  <c r="BQ210" i="3" s="1"/>
  <c r="BP211" i="3"/>
  <c r="BQ211" i="3" s="1"/>
  <c r="BP212" i="3"/>
  <c r="BQ212" i="3" s="1"/>
  <c r="BP213" i="3"/>
  <c r="BQ213" i="3" s="1"/>
  <c r="BP214" i="3"/>
  <c r="BQ214" i="3" s="1"/>
  <c r="BP215" i="3"/>
  <c r="BQ215" i="3" s="1"/>
  <c r="BP217" i="3"/>
  <c r="BQ217" i="3" s="1"/>
  <c r="BP218" i="3"/>
  <c r="BQ218" i="3" s="1"/>
  <c r="BP219" i="3"/>
  <c r="BQ219" i="3" s="1"/>
  <c r="BP220" i="3"/>
  <c r="BQ220" i="3" s="1"/>
  <c r="BP221" i="3"/>
  <c r="BQ221" i="3" s="1"/>
  <c r="BP222" i="3"/>
  <c r="BQ222" i="3" s="1"/>
  <c r="BP223" i="3"/>
  <c r="BQ223" i="3" s="1"/>
  <c r="BP224" i="3"/>
  <c r="BP225" i="3"/>
  <c r="BQ225" i="3" s="1"/>
  <c r="BP226" i="3"/>
  <c r="BQ226" i="3" s="1"/>
  <c r="BP227" i="3"/>
  <c r="BQ227" i="3" s="1"/>
  <c r="BP228" i="3"/>
  <c r="BQ228" i="3" s="1"/>
  <c r="BP229" i="3"/>
  <c r="BQ229" i="3" s="1"/>
  <c r="BP230" i="3"/>
  <c r="BQ230" i="3" s="1"/>
  <c r="BP232" i="3"/>
  <c r="BQ232" i="3" s="1"/>
  <c r="BP233" i="3"/>
  <c r="BQ233" i="3" s="1"/>
  <c r="BP234" i="3"/>
  <c r="BQ234" i="3" s="1"/>
  <c r="BP235" i="3"/>
  <c r="BQ235" i="3" s="1"/>
  <c r="BP236" i="3"/>
  <c r="BQ236" i="3" s="1"/>
  <c r="BP239" i="3"/>
  <c r="BQ239" i="3" s="1"/>
  <c r="BP240" i="3"/>
  <c r="BQ240" i="3" s="1"/>
  <c r="BP241" i="3"/>
  <c r="BQ241" i="3" s="1"/>
  <c r="BP242" i="3"/>
  <c r="BQ242" i="3" s="1"/>
  <c r="BP243" i="3"/>
  <c r="BQ243" i="3" s="1"/>
  <c r="BP244" i="3"/>
  <c r="BQ244" i="3" s="1"/>
  <c r="BP245" i="3"/>
  <c r="BQ245" i="3" s="1"/>
  <c r="BP246" i="3"/>
  <c r="BQ246" i="3" s="1"/>
  <c r="BP247" i="3"/>
  <c r="BQ247" i="3" s="1"/>
  <c r="BP249" i="3"/>
  <c r="BQ249" i="3" s="1"/>
  <c r="BP250" i="3"/>
  <c r="BQ250" i="3" s="1"/>
  <c r="BP252" i="3"/>
  <c r="BQ252" i="3" s="1"/>
  <c r="BP254" i="3"/>
  <c r="BQ254" i="3" s="1"/>
  <c r="BP255" i="3"/>
  <c r="BP256" i="3"/>
  <c r="BQ256" i="3" s="1"/>
  <c r="BP257" i="3"/>
  <c r="BQ257" i="3" s="1"/>
  <c r="BP258" i="3"/>
  <c r="BQ258" i="3" s="1"/>
  <c r="BP259" i="3"/>
  <c r="BQ259" i="3" s="1"/>
  <c r="BP260" i="3"/>
  <c r="BQ260" i="3" s="1"/>
  <c r="BP261" i="3"/>
  <c r="BQ261" i="3" s="1"/>
  <c r="BP262" i="3"/>
  <c r="BQ262" i="3" s="1"/>
  <c r="BP263" i="3"/>
  <c r="BQ263" i="3" s="1"/>
  <c r="BP264" i="3"/>
  <c r="BQ264" i="3" s="1"/>
  <c r="BP265" i="3"/>
  <c r="BQ265" i="3" s="1"/>
  <c r="BP266" i="3"/>
  <c r="BQ266" i="3" s="1"/>
  <c r="BP267" i="3"/>
  <c r="BQ267" i="3" s="1"/>
  <c r="BP268" i="3"/>
  <c r="BQ268" i="3" s="1"/>
  <c r="BP271" i="3"/>
  <c r="BQ271" i="3" s="1"/>
  <c r="BP272" i="3"/>
  <c r="BP273" i="3"/>
  <c r="BQ273" i="3" s="1"/>
  <c r="BP274" i="3"/>
  <c r="BQ274" i="3" s="1"/>
  <c r="BP275" i="3"/>
  <c r="BQ275" i="3" s="1"/>
  <c r="BP277" i="3"/>
  <c r="BQ277" i="3" s="1"/>
  <c r="BP6" i="3"/>
  <c r="BQ6" i="3" s="1"/>
  <c r="BL10" i="3"/>
  <c r="BM10" i="3" s="1"/>
  <c r="BL11" i="3"/>
  <c r="BM11" i="3" s="1"/>
  <c r="BL12" i="3"/>
  <c r="BM12" i="3" s="1"/>
  <c r="BL13" i="3"/>
  <c r="BM13" i="3" s="1"/>
  <c r="BL15" i="3"/>
  <c r="BM15" i="3" s="1"/>
  <c r="BL17" i="3"/>
  <c r="BM17" i="3" s="1"/>
  <c r="BL18" i="3"/>
  <c r="BM18" i="3" s="1"/>
  <c r="BL19" i="3"/>
  <c r="BM19" i="3" s="1"/>
  <c r="BL20" i="3"/>
  <c r="BM20" i="3" s="1"/>
  <c r="BL21" i="3"/>
  <c r="BM21" i="3" s="1"/>
  <c r="BL22" i="3"/>
  <c r="BM22" i="3" s="1"/>
  <c r="BL23" i="3"/>
  <c r="BM23" i="3" s="1"/>
  <c r="BL24" i="3"/>
  <c r="BM24" i="3" s="1"/>
  <c r="BL25" i="3"/>
  <c r="BM25" i="3" s="1"/>
  <c r="BL26" i="3"/>
  <c r="BM26" i="3" s="1"/>
  <c r="BL27" i="3"/>
  <c r="BM27" i="3" s="1"/>
  <c r="BL29" i="3"/>
  <c r="BM29" i="3" s="1"/>
  <c r="BL30" i="3"/>
  <c r="BM30" i="3" s="1"/>
  <c r="BL31" i="3"/>
  <c r="BM31" i="3" s="1"/>
  <c r="BL32" i="3"/>
  <c r="BL33" i="3"/>
  <c r="BM33" i="3" s="1"/>
  <c r="BL34" i="3"/>
  <c r="BL35" i="3"/>
  <c r="BM35" i="3" s="1"/>
  <c r="BL36" i="3"/>
  <c r="BM36" i="3" s="1"/>
  <c r="BL39" i="3"/>
  <c r="BM39" i="3" s="1"/>
  <c r="BL40" i="3"/>
  <c r="BM40" i="3" s="1"/>
  <c r="BL41" i="3"/>
  <c r="BM41" i="3" s="1"/>
  <c r="BL42" i="3"/>
  <c r="BM42" i="3" s="1"/>
  <c r="BL43" i="3"/>
  <c r="BM43" i="3" s="1"/>
  <c r="BL44" i="3"/>
  <c r="BM44" i="3" s="1"/>
  <c r="BL45" i="3"/>
  <c r="BM45" i="3" s="1"/>
  <c r="BL46" i="3"/>
  <c r="BM46" i="3" s="1"/>
  <c r="BL47" i="3"/>
  <c r="BM47" i="3" s="1"/>
  <c r="BL48" i="3"/>
  <c r="BM48" i="3" s="1"/>
  <c r="BL49" i="3"/>
  <c r="BM49" i="3" s="1"/>
  <c r="BL52" i="3"/>
  <c r="BM52" i="3" s="1"/>
  <c r="BL53" i="3"/>
  <c r="BM53" i="3" s="1"/>
  <c r="BL54" i="3"/>
  <c r="BM54" i="3" s="1"/>
  <c r="BL55" i="3"/>
  <c r="BM55" i="3" s="1"/>
  <c r="BL57" i="3"/>
  <c r="BM57" i="3" s="1"/>
  <c r="BL58" i="3"/>
  <c r="BM58" i="3" s="1"/>
  <c r="BL59" i="3"/>
  <c r="BM59" i="3" s="1"/>
  <c r="BL60" i="3"/>
  <c r="BM60" i="3" s="1"/>
  <c r="BL61" i="3"/>
  <c r="BM61" i="3" s="1"/>
  <c r="BL62" i="3"/>
  <c r="BM62" i="3" s="1"/>
  <c r="BL63" i="3"/>
  <c r="BM63" i="3" s="1"/>
  <c r="BL64" i="3"/>
  <c r="BM64" i="3" s="1"/>
  <c r="BL65" i="3"/>
  <c r="BM65" i="3" s="1"/>
  <c r="BL66" i="3"/>
  <c r="BM66" i="3" s="1"/>
  <c r="BL67" i="3"/>
  <c r="BM67" i="3" s="1"/>
  <c r="BL68" i="3"/>
  <c r="BM68" i="3" s="1"/>
  <c r="BL69" i="3"/>
  <c r="BM69" i="3" s="1"/>
  <c r="BL70" i="3"/>
  <c r="BM70" i="3" s="1"/>
  <c r="BL71" i="3"/>
  <c r="BM71" i="3" s="1"/>
  <c r="BL72" i="3"/>
  <c r="BM72" i="3" s="1"/>
  <c r="BL75" i="3"/>
  <c r="BM75" i="3" s="1"/>
  <c r="BL76" i="3"/>
  <c r="BM76" i="3" s="1"/>
  <c r="BL77" i="3"/>
  <c r="BM77" i="3" s="1"/>
  <c r="BL78" i="3"/>
  <c r="BM78" i="3" s="1"/>
  <c r="BL79" i="3"/>
  <c r="BM79" i="3" s="1"/>
  <c r="BL80" i="3"/>
  <c r="BM80" i="3" s="1"/>
  <c r="BL81" i="3"/>
  <c r="BM81" i="3" s="1"/>
  <c r="BL83" i="3"/>
  <c r="BM83" i="3" s="1"/>
  <c r="BL84" i="3"/>
  <c r="BM84" i="3" s="1"/>
  <c r="BL85" i="3"/>
  <c r="BM85" i="3" s="1"/>
  <c r="BL86" i="3"/>
  <c r="BM86" i="3" s="1"/>
  <c r="BL87" i="3"/>
  <c r="BM87" i="3" s="1"/>
  <c r="BL88" i="3"/>
  <c r="BM88" i="3" s="1"/>
  <c r="BL89" i="3"/>
  <c r="BM89" i="3" s="1"/>
  <c r="BL90" i="3"/>
  <c r="BM90" i="3" s="1"/>
  <c r="BL91" i="3"/>
  <c r="BM91" i="3" s="1"/>
  <c r="BL92" i="3"/>
  <c r="BM92" i="3" s="1"/>
  <c r="BL93" i="3"/>
  <c r="BM93" i="3" s="1"/>
  <c r="BL94" i="3"/>
  <c r="BM94" i="3" s="1"/>
  <c r="BL96" i="3"/>
  <c r="BM96" i="3" s="1"/>
  <c r="BL97" i="3"/>
  <c r="BM97" i="3" s="1"/>
  <c r="BL98" i="3"/>
  <c r="BM98" i="3" s="1"/>
  <c r="BL99" i="3"/>
  <c r="BM99" i="3" s="1"/>
  <c r="BL100" i="3"/>
  <c r="BM100" i="3" s="1"/>
  <c r="BL101" i="3"/>
  <c r="BM101" i="3" s="1"/>
  <c r="BL104" i="3"/>
  <c r="BM104" i="3" s="1"/>
  <c r="BL105" i="3"/>
  <c r="BM105" i="3" s="1"/>
  <c r="BL106" i="3"/>
  <c r="BM106" i="3" s="1"/>
  <c r="BL107" i="3"/>
  <c r="BM107" i="3" s="1"/>
  <c r="BL108" i="3"/>
  <c r="BM108" i="3" s="1"/>
  <c r="BL109" i="3"/>
  <c r="BM109" i="3" s="1"/>
  <c r="BL110" i="3"/>
  <c r="BM110" i="3" s="1"/>
  <c r="BL111" i="3"/>
  <c r="BM111" i="3" s="1"/>
  <c r="BL112" i="3"/>
  <c r="BM112" i="3" s="1"/>
  <c r="BL113" i="3"/>
  <c r="BM113" i="3" s="1"/>
  <c r="BL114" i="3"/>
  <c r="BM114" i="3" s="1"/>
  <c r="BL115" i="3"/>
  <c r="BM115" i="3" s="1"/>
  <c r="BL116" i="3"/>
  <c r="BM116" i="3" s="1"/>
  <c r="BL117" i="3"/>
  <c r="BM117" i="3" s="1"/>
  <c r="BL118" i="3"/>
  <c r="BM118" i="3" s="1"/>
  <c r="BL119" i="3"/>
  <c r="BL120" i="3"/>
  <c r="BM120" i="3" s="1"/>
  <c r="BL121" i="3"/>
  <c r="BM121" i="3" s="1"/>
  <c r="BL123" i="3"/>
  <c r="BM123" i="3" s="1"/>
  <c r="BL125" i="3"/>
  <c r="BM125" i="3" s="1"/>
  <c r="BL126" i="3"/>
  <c r="BM126" i="3" s="1"/>
  <c r="BL127" i="3"/>
  <c r="BM127" i="3" s="1"/>
  <c r="BL129" i="3"/>
  <c r="BM129" i="3" s="1"/>
  <c r="BL130" i="3"/>
  <c r="BL131" i="3"/>
  <c r="BM131" i="3" s="1"/>
  <c r="BL132" i="3"/>
  <c r="BM132" i="3" s="1"/>
  <c r="BL133" i="3"/>
  <c r="BM133" i="3" s="1"/>
  <c r="BL134" i="3"/>
  <c r="BM134" i="3" s="1"/>
  <c r="BL135" i="3"/>
  <c r="BM135" i="3" s="1"/>
  <c r="BL136" i="3"/>
  <c r="BM136" i="3" s="1"/>
  <c r="BL137" i="3"/>
  <c r="BM137" i="3" s="1"/>
  <c r="BL138" i="3"/>
  <c r="BM138" i="3" s="1"/>
  <c r="BL139" i="3"/>
  <c r="BM139" i="3" s="1"/>
  <c r="BL140" i="3"/>
  <c r="BM140" i="3" s="1"/>
  <c r="BL141" i="3"/>
  <c r="BM141" i="3" s="1"/>
  <c r="BL142" i="3"/>
  <c r="BM142" i="3" s="1"/>
  <c r="BL143" i="3"/>
  <c r="BM143" i="3" s="1"/>
  <c r="BL144" i="3"/>
  <c r="BM144" i="3" s="1"/>
  <c r="BL146" i="3"/>
  <c r="BM146" i="3" s="1"/>
  <c r="BL147" i="3"/>
  <c r="BM147" i="3" s="1"/>
  <c r="BL148" i="3"/>
  <c r="BM148" i="3" s="1"/>
  <c r="BL149" i="3"/>
  <c r="BM149" i="3" s="1"/>
  <c r="BL150" i="3"/>
  <c r="BM150" i="3" s="1"/>
  <c r="BL151" i="3"/>
  <c r="BL152" i="3"/>
  <c r="BM152" i="3" s="1"/>
  <c r="BL153" i="3"/>
  <c r="BM153" i="3" s="1"/>
  <c r="BL154" i="3"/>
  <c r="BM154" i="3" s="1"/>
  <c r="BL155" i="3"/>
  <c r="BM155" i="3" s="1"/>
  <c r="BL156" i="3"/>
  <c r="BM156" i="3" s="1"/>
  <c r="BL157" i="3"/>
  <c r="BM157" i="3" s="1"/>
  <c r="BL158" i="3"/>
  <c r="BM158" i="3" s="1"/>
  <c r="BL159" i="3"/>
  <c r="BM159" i="3" s="1"/>
  <c r="BL160" i="3"/>
  <c r="BM160" i="3" s="1"/>
  <c r="BL161" i="3"/>
  <c r="BM161" i="3" s="1"/>
  <c r="BL162" i="3"/>
  <c r="BM162" i="3" s="1"/>
  <c r="BL163" i="3"/>
  <c r="BM163" i="3" s="1"/>
  <c r="BL164" i="3"/>
  <c r="BM164" i="3" s="1"/>
  <c r="BL165" i="3"/>
  <c r="BM165" i="3" s="1"/>
  <c r="BL166" i="3"/>
  <c r="BM166" i="3" s="1"/>
  <c r="BL167" i="3"/>
  <c r="BM167" i="3" s="1"/>
  <c r="BL168" i="3"/>
  <c r="BM168" i="3" s="1"/>
  <c r="BL169" i="3"/>
  <c r="BM169" i="3" s="1"/>
  <c r="BL170" i="3"/>
  <c r="BM170" i="3" s="1"/>
  <c r="BL171" i="3"/>
  <c r="BM171" i="3" s="1"/>
  <c r="BL172" i="3"/>
  <c r="BL173" i="3"/>
  <c r="BM173" i="3" s="1"/>
  <c r="BL174" i="3"/>
  <c r="BM174" i="3" s="1"/>
  <c r="BL175" i="3"/>
  <c r="BM175" i="3" s="1"/>
  <c r="BL176" i="3"/>
  <c r="BM176" i="3" s="1"/>
  <c r="BL177" i="3"/>
  <c r="BM177" i="3" s="1"/>
  <c r="BL178" i="3"/>
  <c r="BM178" i="3" s="1"/>
  <c r="BL179" i="3"/>
  <c r="BM179" i="3" s="1"/>
  <c r="BL180" i="3"/>
  <c r="BM180" i="3" s="1"/>
  <c r="BL181" i="3"/>
  <c r="BM181" i="3" s="1"/>
  <c r="BL182" i="3"/>
  <c r="BM182" i="3" s="1"/>
  <c r="BL183" i="3"/>
  <c r="BM183" i="3" s="1"/>
  <c r="BL184" i="3"/>
  <c r="BM184" i="3" s="1"/>
  <c r="BL185" i="3"/>
  <c r="BM185" i="3" s="1"/>
  <c r="BL186" i="3"/>
  <c r="BM186" i="3" s="1"/>
  <c r="BL187" i="3"/>
  <c r="BM187" i="3" s="1"/>
  <c r="BL188" i="3"/>
  <c r="BM188" i="3" s="1"/>
  <c r="BL189" i="3"/>
  <c r="BM189" i="3" s="1"/>
  <c r="BL190" i="3"/>
  <c r="BM190" i="3" s="1"/>
  <c r="BL191" i="3"/>
  <c r="BM191" i="3" s="1"/>
  <c r="BL192" i="3"/>
  <c r="BM192" i="3" s="1"/>
  <c r="BL193" i="3"/>
  <c r="BM193" i="3" s="1"/>
  <c r="BL194" i="3"/>
  <c r="BM194" i="3" s="1"/>
  <c r="BL195" i="3"/>
  <c r="BM195" i="3" s="1"/>
  <c r="BL196" i="3"/>
  <c r="BM196" i="3" s="1"/>
  <c r="BL197" i="3"/>
  <c r="BM197" i="3" s="1"/>
  <c r="BL198" i="3"/>
  <c r="BM198" i="3" s="1"/>
  <c r="BL199" i="3"/>
  <c r="BM199" i="3" s="1"/>
  <c r="BL200" i="3"/>
  <c r="BM200" i="3" s="1"/>
  <c r="BL201" i="3"/>
  <c r="BM201" i="3" s="1"/>
  <c r="BL202" i="3"/>
  <c r="BM202" i="3" s="1"/>
  <c r="BL203" i="3"/>
  <c r="BM203" i="3" s="1"/>
  <c r="BL204" i="3"/>
  <c r="BM204" i="3" s="1"/>
  <c r="BL205" i="3"/>
  <c r="BM205" i="3" s="1"/>
  <c r="BL206" i="3"/>
  <c r="BM206" i="3" s="1"/>
  <c r="BL207" i="3"/>
  <c r="BM207" i="3" s="1"/>
  <c r="BL208" i="3"/>
  <c r="BM208" i="3" s="1"/>
  <c r="BL209" i="3"/>
  <c r="BL210" i="3"/>
  <c r="BM210" i="3" s="1"/>
  <c r="BL211" i="3"/>
  <c r="BL212" i="3"/>
  <c r="BM212" i="3" s="1"/>
  <c r="BL213" i="3"/>
  <c r="BM213" i="3" s="1"/>
  <c r="BL214" i="3"/>
  <c r="BM214" i="3" s="1"/>
  <c r="BL215" i="3"/>
  <c r="BM215" i="3" s="1"/>
  <c r="BL217" i="3"/>
  <c r="BM217" i="3" s="1"/>
  <c r="BL218" i="3"/>
  <c r="BM218" i="3" s="1"/>
  <c r="BL219" i="3"/>
  <c r="BM219" i="3" s="1"/>
  <c r="BL220" i="3"/>
  <c r="BM220" i="3" s="1"/>
  <c r="BL221" i="3"/>
  <c r="BM221" i="3" s="1"/>
  <c r="BL222" i="3"/>
  <c r="BM222" i="3" s="1"/>
  <c r="BL223" i="3"/>
  <c r="BM223" i="3" s="1"/>
  <c r="BL224" i="3"/>
  <c r="BM224" i="3" s="1"/>
  <c r="BL225" i="3"/>
  <c r="BM225" i="3" s="1"/>
  <c r="BL226" i="3"/>
  <c r="BM226" i="3" s="1"/>
  <c r="BL227" i="3"/>
  <c r="BM227" i="3" s="1"/>
  <c r="BL228" i="3"/>
  <c r="BM228" i="3" s="1"/>
  <c r="BL229" i="3"/>
  <c r="BM229" i="3" s="1"/>
  <c r="BL230" i="3"/>
  <c r="BM230" i="3" s="1"/>
  <c r="BL232" i="3"/>
  <c r="BM232" i="3" s="1"/>
  <c r="BL233" i="3"/>
  <c r="BM233" i="3" s="1"/>
  <c r="BL234" i="3"/>
  <c r="BM234" i="3" s="1"/>
  <c r="BL235" i="3"/>
  <c r="BM235" i="3" s="1"/>
  <c r="BL236" i="3"/>
  <c r="BM236" i="3" s="1"/>
  <c r="BL239" i="3"/>
  <c r="BM239" i="3" s="1"/>
  <c r="BL240" i="3"/>
  <c r="BM240" i="3" s="1"/>
  <c r="BL241" i="3"/>
  <c r="BM241" i="3" s="1"/>
  <c r="BL242" i="3"/>
  <c r="BM242" i="3" s="1"/>
  <c r="BL243" i="3"/>
  <c r="BM243" i="3" s="1"/>
  <c r="BL244" i="3"/>
  <c r="BM244" i="3" s="1"/>
  <c r="BL245" i="3"/>
  <c r="BM245" i="3" s="1"/>
  <c r="BL246" i="3"/>
  <c r="BM246" i="3" s="1"/>
  <c r="BL247" i="3"/>
  <c r="BM247" i="3" s="1"/>
  <c r="BL249" i="3"/>
  <c r="BM249" i="3" s="1"/>
  <c r="BL250" i="3"/>
  <c r="BM250" i="3" s="1"/>
  <c r="BL252" i="3"/>
  <c r="BM252" i="3" s="1"/>
  <c r="BL254" i="3"/>
  <c r="BM254" i="3" s="1"/>
  <c r="BL255" i="3"/>
  <c r="BM255" i="3" s="1"/>
  <c r="BL256" i="3"/>
  <c r="BM256" i="3" s="1"/>
  <c r="BL257" i="3"/>
  <c r="BM257" i="3" s="1"/>
  <c r="BL258" i="3"/>
  <c r="BM258" i="3" s="1"/>
  <c r="BL259" i="3"/>
  <c r="BM259" i="3" s="1"/>
  <c r="BL260" i="3"/>
  <c r="BM260" i="3" s="1"/>
  <c r="BL261" i="3"/>
  <c r="BM261" i="3" s="1"/>
  <c r="BL262" i="3"/>
  <c r="BM262" i="3" s="1"/>
  <c r="BL263" i="3"/>
  <c r="BM263" i="3" s="1"/>
  <c r="BL264" i="3"/>
  <c r="BM264" i="3" s="1"/>
  <c r="BL265" i="3"/>
  <c r="BM265" i="3" s="1"/>
  <c r="BL266" i="3"/>
  <c r="BM266" i="3" s="1"/>
  <c r="BL267" i="3"/>
  <c r="BM267" i="3" s="1"/>
  <c r="BL268" i="3"/>
  <c r="BM268" i="3" s="1"/>
  <c r="BL271" i="3"/>
  <c r="BM271" i="3" s="1"/>
  <c r="BL272" i="3"/>
  <c r="BM272" i="3" s="1"/>
  <c r="BL273" i="3"/>
  <c r="BM273" i="3" s="1"/>
  <c r="BL274" i="3"/>
  <c r="BM274" i="3" s="1"/>
  <c r="BL275" i="3"/>
  <c r="BM275" i="3" s="1"/>
  <c r="BL277" i="3"/>
  <c r="BM277" i="3" s="1"/>
  <c r="BL6" i="3"/>
  <c r="BM6" i="3" s="1"/>
  <c r="BE10" i="3"/>
  <c r="BF10" i="3" s="1"/>
  <c r="BE11" i="3"/>
  <c r="BF11" i="3" s="1"/>
  <c r="BE12" i="3"/>
  <c r="BF12" i="3" s="1"/>
  <c r="BE13" i="3"/>
  <c r="BF13" i="3" s="1"/>
  <c r="BE15" i="3"/>
  <c r="BF15" i="3" s="1"/>
  <c r="BE17" i="3"/>
  <c r="BF17" i="3" s="1"/>
  <c r="BE18" i="3"/>
  <c r="BF18" i="3" s="1"/>
  <c r="BE19" i="3"/>
  <c r="BF19" i="3" s="1"/>
  <c r="BE20" i="3"/>
  <c r="BF20" i="3" s="1"/>
  <c r="BE21" i="3"/>
  <c r="BF21" i="3" s="1"/>
  <c r="BE22" i="3"/>
  <c r="BF22" i="3" s="1"/>
  <c r="BE23" i="3"/>
  <c r="BF23" i="3" s="1"/>
  <c r="BE24" i="3"/>
  <c r="BF24" i="3" s="1"/>
  <c r="BE25" i="3"/>
  <c r="BF25" i="3" s="1"/>
  <c r="BE26" i="3"/>
  <c r="BF26" i="3" s="1"/>
  <c r="BE27" i="3"/>
  <c r="BF27" i="3" s="1"/>
  <c r="BE29" i="3"/>
  <c r="BF29" i="3" s="1"/>
  <c r="BE30" i="3"/>
  <c r="BF30" i="3" s="1"/>
  <c r="BE31" i="3"/>
  <c r="BF31" i="3" s="1"/>
  <c r="BE32" i="3"/>
  <c r="BF32" i="3" s="1"/>
  <c r="BE33" i="3"/>
  <c r="BF33" i="3" s="1"/>
  <c r="BE34" i="3"/>
  <c r="BE35" i="3"/>
  <c r="BE36" i="3"/>
  <c r="BE39" i="3"/>
  <c r="BE40" i="3"/>
  <c r="BE41" i="3"/>
  <c r="BF41" i="3" s="1"/>
  <c r="BE42" i="3"/>
  <c r="BF42" i="3" s="1"/>
  <c r="BE43" i="3"/>
  <c r="BF43" i="3" s="1"/>
  <c r="BE44" i="3"/>
  <c r="BF44" i="3" s="1"/>
  <c r="BE45" i="3"/>
  <c r="BF45" i="3" s="1"/>
  <c r="BE46" i="3"/>
  <c r="BF46" i="3" s="1"/>
  <c r="BE47" i="3"/>
  <c r="BF47" i="3" s="1"/>
  <c r="BE48" i="3"/>
  <c r="BF48" i="3" s="1"/>
  <c r="BE49" i="3"/>
  <c r="BF49" i="3" s="1"/>
  <c r="BE52" i="3"/>
  <c r="BF52" i="3" s="1"/>
  <c r="BE53" i="3"/>
  <c r="BE54" i="3"/>
  <c r="BE55" i="3"/>
  <c r="BF55" i="3" s="1"/>
  <c r="BE57" i="3"/>
  <c r="BF57" i="3" s="1"/>
  <c r="BE58" i="3"/>
  <c r="BF58" i="3" s="1"/>
  <c r="BE59" i="3"/>
  <c r="BF59" i="3" s="1"/>
  <c r="BE60" i="3"/>
  <c r="BF60" i="3" s="1"/>
  <c r="BE61" i="3"/>
  <c r="BF61" i="3" s="1"/>
  <c r="BE62" i="3"/>
  <c r="BF62" i="3" s="1"/>
  <c r="BE63" i="3"/>
  <c r="BF63" i="3" s="1"/>
  <c r="BE64" i="3"/>
  <c r="BF64" i="3" s="1"/>
  <c r="BE65" i="3"/>
  <c r="BF65" i="3" s="1"/>
  <c r="BE66" i="3"/>
  <c r="BF66" i="3" s="1"/>
  <c r="BE67" i="3"/>
  <c r="BF67" i="3" s="1"/>
  <c r="BE68" i="3"/>
  <c r="BF68" i="3" s="1"/>
  <c r="BE69" i="3"/>
  <c r="BF69" i="3" s="1"/>
  <c r="BE70" i="3"/>
  <c r="BF70" i="3" s="1"/>
  <c r="BE71" i="3"/>
  <c r="BF71" i="3" s="1"/>
  <c r="BE72" i="3"/>
  <c r="BF72" i="3" s="1"/>
  <c r="BE75" i="3"/>
  <c r="BF75" i="3" s="1"/>
  <c r="BE76" i="3"/>
  <c r="BF76" i="3" s="1"/>
  <c r="BE77" i="3"/>
  <c r="BF77" i="3" s="1"/>
  <c r="BE78" i="3"/>
  <c r="BF78" i="3" s="1"/>
  <c r="BE79" i="3"/>
  <c r="BF79" i="3" s="1"/>
  <c r="BE80" i="3"/>
  <c r="BF80" i="3" s="1"/>
  <c r="BE81" i="3"/>
  <c r="BF81" i="3" s="1"/>
  <c r="BE83" i="3"/>
  <c r="BF83" i="3" s="1"/>
  <c r="BE84" i="3"/>
  <c r="BF84" i="3" s="1"/>
  <c r="BE85" i="3"/>
  <c r="BF85" i="3" s="1"/>
  <c r="BE86" i="3"/>
  <c r="BF86" i="3" s="1"/>
  <c r="BE87" i="3"/>
  <c r="BF87" i="3" s="1"/>
  <c r="BE88" i="3"/>
  <c r="BF88" i="3" s="1"/>
  <c r="BE89" i="3"/>
  <c r="BF89" i="3" s="1"/>
  <c r="BE90" i="3"/>
  <c r="BF90" i="3" s="1"/>
  <c r="BE91" i="3"/>
  <c r="BF91" i="3" s="1"/>
  <c r="BE92" i="3"/>
  <c r="BF92" i="3" s="1"/>
  <c r="BE93" i="3"/>
  <c r="BF93" i="3" s="1"/>
  <c r="BE94" i="3"/>
  <c r="BF94" i="3" s="1"/>
  <c r="BE96" i="3"/>
  <c r="BF96" i="3" s="1"/>
  <c r="BE97" i="3"/>
  <c r="BF97" i="3" s="1"/>
  <c r="BE98" i="3"/>
  <c r="BF98" i="3" s="1"/>
  <c r="BE99" i="3"/>
  <c r="BF99" i="3" s="1"/>
  <c r="BE100" i="3"/>
  <c r="BF100" i="3" s="1"/>
  <c r="BE101" i="3"/>
  <c r="BF101" i="3" s="1"/>
  <c r="BE104" i="3"/>
  <c r="BE105" i="3"/>
  <c r="BE106" i="3"/>
  <c r="BE107" i="3"/>
  <c r="BF107" i="3" s="1"/>
  <c r="BE108" i="3"/>
  <c r="BF108" i="3" s="1"/>
  <c r="BE109" i="3"/>
  <c r="BF109" i="3" s="1"/>
  <c r="BE110" i="3"/>
  <c r="BE111" i="3"/>
  <c r="BF111" i="3" s="1"/>
  <c r="BE112" i="3"/>
  <c r="BF112" i="3" s="1"/>
  <c r="BE113" i="3"/>
  <c r="BF113" i="3" s="1"/>
  <c r="BE114" i="3"/>
  <c r="BE115" i="3"/>
  <c r="BE116" i="3"/>
  <c r="BE117" i="3"/>
  <c r="BE118" i="3"/>
  <c r="BE119" i="3"/>
  <c r="BF119" i="3" s="1"/>
  <c r="BE120" i="3"/>
  <c r="BF120" i="3" s="1"/>
  <c r="BE121" i="3"/>
  <c r="BF121" i="3" s="1"/>
  <c r="BE123" i="3"/>
  <c r="BF123" i="3" s="1"/>
  <c r="BE125" i="3"/>
  <c r="BF125" i="3" s="1"/>
  <c r="BE126" i="3"/>
  <c r="BE127" i="3"/>
  <c r="BF127" i="3" s="1"/>
  <c r="BE129" i="3"/>
  <c r="BF129" i="3" s="1"/>
  <c r="BE130" i="3"/>
  <c r="BF130" i="3" s="1"/>
  <c r="BE131" i="3"/>
  <c r="BF131" i="3" s="1"/>
  <c r="BE132" i="3"/>
  <c r="BF132" i="3" s="1"/>
  <c r="BE133" i="3"/>
  <c r="BF133" i="3" s="1"/>
  <c r="BE134" i="3"/>
  <c r="BF134" i="3" s="1"/>
  <c r="BE135" i="3"/>
  <c r="BF135" i="3" s="1"/>
  <c r="BE136" i="3"/>
  <c r="BF136" i="3" s="1"/>
  <c r="BE137" i="3"/>
  <c r="BF137" i="3" s="1"/>
  <c r="BE138" i="3"/>
  <c r="BF138" i="3" s="1"/>
  <c r="BE139" i="3"/>
  <c r="BF139" i="3" s="1"/>
  <c r="BE140" i="3"/>
  <c r="BF140" i="3" s="1"/>
  <c r="BE141" i="3"/>
  <c r="BF141" i="3" s="1"/>
  <c r="BE142" i="3"/>
  <c r="BF142" i="3" s="1"/>
  <c r="BE143" i="3"/>
  <c r="BF143" i="3" s="1"/>
  <c r="BE144" i="3"/>
  <c r="BF144" i="3" s="1"/>
  <c r="BE146" i="3"/>
  <c r="BF146" i="3" s="1"/>
  <c r="BE147" i="3"/>
  <c r="BF147" i="3" s="1"/>
  <c r="BE148" i="3"/>
  <c r="BF148" i="3" s="1"/>
  <c r="BE149" i="3"/>
  <c r="BF149" i="3" s="1"/>
  <c r="BE150" i="3"/>
  <c r="BF150" i="3" s="1"/>
  <c r="BE151" i="3"/>
  <c r="BE152" i="3"/>
  <c r="BF152" i="3" s="1"/>
  <c r="BE153" i="3"/>
  <c r="BE154" i="3"/>
  <c r="BF154" i="3" s="1"/>
  <c r="BE155" i="3"/>
  <c r="BF155" i="3" s="1"/>
  <c r="BE156" i="3"/>
  <c r="BF156" i="3" s="1"/>
  <c r="BE157" i="3"/>
  <c r="BF157" i="3" s="1"/>
  <c r="BE158" i="3"/>
  <c r="BF158" i="3" s="1"/>
  <c r="BE159" i="3"/>
  <c r="BF159" i="3" s="1"/>
  <c r="BE160" i="3"/>
  <c r="BF160" i="3" s="1"/>
  <c r="BE161" i="3"/>
  <c r="BF161" i="3" s="1"/>
  <c r="BE162" i="3"/>
  <c r="BF162" i="3" s="1"/>
  <c r="BE163" i="3"/>
  <c r="BF163" i="3" s="1"/>
  <c r="BE164" i="3"/>
  <c r="BF164" i="3" s="1"/>
  <c r="BE165" i="3"/>
  <c r="BF165" i="3" s="1"/>
  <c r="BE166" i="3"/>
  <c r="BF166" i="3" s="1"/>
  <c r="BE167" i="3"/>
  <c r="BF167" i="3" s="1"/>
  <c r="BE168" i="3"/>
  <c r="BE169" i="3"/>
  <c r="BE170" i="3"/>
  <c r="BF170" i="3" s="1"/>
  <c r="BE171" i="3"/>
  <c r="BF171" i="3" s="1"/>
  <c r="BE172" i="3"/>
  <c r="BE173" i="3"/>
  <c r="BF173" i="3" s="1"/>
  <c r="BE174" i="3"/>
  <c r="BF174" i="3" s="1"/>
  <c r="BE175" i="3"/>
  <c r="BF175" i="3" s="1"/>
  <c r="BE176" i="3"/>
  <c r="BF176" i="3" s="1"/>
  <c r="BE177" i="3"/>
  <c r="BF177" i="3" s="1"/>
  <c r="BE178" i="3"/>
  <c r="BF178" i="3" s="1"/>
  <c r="BE179" i="3"/>
  <c r="BF179" i="3" s="1"/>
  <c r="BE180" i="3"/>
  <c r="BF180" i="3" s="1"/>
  <c r="BE181" i="3"/>
  <c r="BF181" i="3" s="1"/>
  <c r="BE182" i="3"/>
  <c r="BF182" i="3" s="1"/>
  <c r="BE183" i="3"/>
  <c r="BF183" i="3" s="1"/>
  <c r="BE184" i="3"/>
  <c r="BF184" i="3" s="1"/>
  <c r="BE185" i="3"/>
  <c r="BF185" i="3" s="1"/>
  <c r="BE186" i="3"/>
  <c r="BF186" i="3" s="1"/>
  <c r="BE187" i="3"/>
  <c r="BF187" i="3" s="1"/>
  <c r="BE188" i="3"/>
  <c r="BF188" i="3" s="1"/>
  <c r="BE189" i="3"/>
  <c r="BF189" i="3" s="1"/>
  <c r="BE190" i="3"/>
  <c r="BF190" i="3" s="1"/>
  <c r="BE191" i="3"/>
  <c r="BF191" i="3" s="1"/>
  <c r="BE192" i="3"/>
  <c r="BF192" i="3" s="1"/>
  <c r="BE193" i="3"/>
  <c r="BF193" i="3" s="1"/>
  <c r="BE194" i="3"/>
  <c r="BF194" i="3" s="1"/>
  <c r="BE195" i="3"/>
  <c r="BF195" i="3" s="1"/>
  <c r="BE196" i="3"/>
  <c r="BF196" i="3" s="1"/>
  <c r="BE197" i="3"/>
  <c r="BF197" i="3" s="1"/>
  <c r="BE198" i="3"/>
  <c r="BF198" i="3" s="1"/>
  <c r="BE199" i="3"/>
  <c r="BF199" i="3" s="1"/>
  <c r="BE200" i="3"/>
  <c r="BF200" i="3" s="1"/>
  <c r="BE201" i="3"/>
  <c r="BF201" i="3" s="1"/>
  <c r="BE202" i="3"/>
  <c r="BF202" i="3" s="1"/>
  <c r="BE203" i="3"/>
  <c r="BF203" i="3" s="1"/>
  <c r="BE204" i="3"/>
  <c r="BF204" i="3" s="1"/>
  <c r="BE205" i="3"/>
  <c r="BF205" i="3" s="1"/>
  <c r="BE206" i="3"/>
  <c r="BF206" i="3" s="1"/>
  <c r="BE207" i="3"/>
  <c r="BF207" i="3" s="1"/>
  <c r="BE208" i="3"/>
  <c r="BF208" i="3" s="1"/>
  <c r="BE209" i="3"/>
  <c r="BE210" i="3"/>
  <c r="BF210" i="3" s="1"/>
  <c r="BE211" i="3"/>
  <c r="BE212" i="3"/>
  <c r="BF212" i="3" s="1"/>
  <c r="BE213" i="3"/>
  <c r="BF213" i="3" s="1"/>
  <c r="BE214" i="3"/>
  <c r="BF214" i="3" s="1"/>
  <c r="BE215" i="3"/>
  <c r="BF215" i="3" s="1"/>
  <c r="BE217" i="3"/>
  <c r="BF217" i="3" s="1"/>
  <c r="BE218" i="3"/>
  <c r="BF218" i="3" s="1"/>
  <c r="BE219" i="3"/>
  <c r="BF219" i="3" s="1"/>
  <c r="BE220" i="3"/>
  <c r="BF220" i="3" s="1"/>
  <c r="BE221" i="3"/>
  <c r="BF221" i="3" s="1"/>
  <c r="BE222" i="3"/>
  <c r="BF222" i="3" s="1"/>
  <c r="BE223" i="3"/>
  <c r="BF223" i="3" s="1"/>
  <c r="BE224" i="3"/>
  <c r="BF224" i="3" s="1"/>
  <c r="BE225" i="3"/>
  <c r="BF225" i="3" s="1"/>
  <c r="BE226" i="3"/>
  <c r="BF226" i="3" s="1"/>
  <c r="BE227" i="3"/>
  <c r="BF227" i="3" s="1"/>
  <c r="BE228" i="3"/>
  <c r="BF228" i="3" s="1"/>
  <c r="BE229" i="3"/>
  <c r="BF229" i="3" s="1"/>
  <c r="BE230" i="3"/>
  <c r="BF230" i="3" s="1"/>
  <c r="BE232" i="3"/>
  <c r="BF232" i="3" s="1"/>
  <c r="BE233" i="3"/>
  <c r="BF233" i="3" s="1"/>
  <c r="BE234" i="3"/>
  <c r="BF234" i="3" s="1"/>
  <c r="BE235" i="3"/>
  <c r="BF235" i="3" s="1"/>
  <c r="BE236" i="3"/>
  <c r="BF236" i="3" s="1"/>
  <c r="BE239" i="3"/>
  <c r="BF239" i="3" s="1"/>
  <c r="BE240" i="3"/>
  <c r="BF240" i="3" s="1"/>
  <c r="BE241" i="3"/>
  <c r="BF241" i="3" s="1"/>
  <c r="BE242" i="3"/>
  <c r="BF242" i="3" s="1"/>
  <c r="BE243" i="3"/>
  <c r="BF243" i="3" s="1"/>
  <c r="BE244" i="3"/>
  <c r="BF244" i="3" s="1"/>
  <c r="BE245" i="3"/>
  <c r="BF245" i="3" s="1"/>
  <c r="BE246" i="3"/>
  <c r="BF246" i="3" s="1"/>
  <c r="BE247" i="3"/>
  <c r="BF247" i="3" s="1"/>
  <c r="BE249" i="3"/>
  <c r="BF249" i="3" s="1"/>
  <c r="BE250" i="3"/>
  <c r="BF250" i="3" s="1"/>
  <c r="BE252" i="3"/>
  <c r="BF252" i="3" s="1"/>
  <c r="BE254" i="3"/>
  <c r="BF254" i="3" s="1"/>
  <c r="BE255" i="3"/>
  <c r="BE256" i="3"/>
  <c r="BF256" i="3" s="1"/>
  <c r="BE257" i="3"/>
  <c r="BF257" i="3" s="1"/>
  <c r="BE258" i="3"/>
  <c r="BF258" i="3" s="1"/>
  <c r="BE259" i="3"/>
  <c r="BF259" i="3" s="1"/>
  <c r="BE260" i="3"/>
  <c r="BF260" i="3" s="1"/>
  <c r="BE261" i="3"/>
  <c r="BF261" i="3" s="1"/>
  <c r="BE262" i="3"/>
  <c r="BF262" i="3" s="1"/>
  <c r="BE263" i="3"/>
  <c r="BF263" i="3" s="1"/>
  <c r="BE264" i="3"/>
  <c r="BF264" i="3" s="1"/>
  <c r="BE265" i="3"/>
  <c r="BF265" i="3" s="1"/>
  <c r="BE266" i="3"/>
  <c r="BF266" i="3" s="1"/>
  <c r="BE267" i="3"/>
  <c r="BF267" i="3" s="1"/>
  <c r="BE268" i="3"/>
  <c r="BF268" i="3" s="1"/>
  <c r="BE271" i="3"/>
  <c r="BF271" i="3" s="1"/>
  <c r="BE272" i="3"/>
  <c r="BF272" i="3" s="1"/>
  <c r="BE273" i="3"/>
  <c r="BF273" i="3" s="1"/>
  <c r="BE274" i="3"/>
  <c r="BF274" i="3" s="1"/>
  <c r="BE275" i="3"/>
  <c r="BF275" i="3" s="1"/>
  <c r="BE277" i="3"/>
  <c r="BF277" i="3" s="1"/>
  <c r="BE6" i="3"/>
  <c r="BF6" i="3" s="1"/>
  <c r="BA10" i="3"/>
  <c r="BB10" i="3" s="1"/>
  <c r="BA11" i="3"/>
  <c r="BB11" i="3" s="1"/>
  <c r="BA12" i="3"/>
  <c r="BB12" i="3" s="1"/>
  <c r="BA13" i="3"/>
  <c r="BB13" i="3" s="1"/>
  <c r="BA15" i="3"/>
  <c r="BB15" i="3" s="1"/>
  <c r="BA17" i="3"/>
  <c r="BA18" i="3"/>
  <c r="BB18" i="3" s="1"/>
  <c r="BA19" i="3"/>
  <c r="BB19" i="3" s="1"/>
  <c r="BA20" i="3"/>
  <c r="BB20" i="3" s="1"/>
  <c r="BA21" i="3"/>
  <c r="BB21" i="3" s="1"/>
  <c r="BA22" i="3"/>
  <c r="BB22" i="3" s="1"/>
  <c r="BA23" i="3"/>
  <c r="BB23" i="3" s="1"/>
  <c r="BA24" i="3"/>
  <c r="BB24" i="3" s="1"/>
  <c r="BA25" i="3"/>
  <c r="BB25" i="3" s="1"/>
  <c r="BA26" i="3"/>
  <c r="BB26" i="3" s="1"/>
  <c r="BA27" i="3"/>
  <c r="BB27" i="3" s="1"/>
  <c r="BA29" i="3"/>
  <c r="BB29" i="3" s="1"/>
  <c r="BA30" i="3"/>
  <c r="BB30" i="3" s="1"/>
  <c r="BA31" i="3"/>
  <c r="BB31" i="3" s="1"/>
  <c r="BA32" i="3"/>
  <c r="BA33" i="3"/>
  <c r="BB33" i="3" s="1"/>
  <c r="BA34" i="3"/>
  <c r="BB34" i="3" s="1"/>
  <c r="BA35" i="3"/>
  <c r="BA36" i="3"/>
  <c r="BA39" i="3"/>
  <c r="BA40" i="3"/>
  <c r="BA41" i="3"/>
  <c r="BB41" i="3" s="1"/>
  <c r="BA42" i="3"/>
  <c r="BB42" i="3" s="1"/>
  <c r="BA43" i="3"/>
  <c r="BB43" i="3" s="1"/>
  <c r="BA44" i="3"/>
  <c r="BB44" i="3" s="1"/>
  <c r="BA45" i="3"/>
  <c r="BB45" i="3" s="1"/>
  <c r="BA46" i="3"/>
  <c r="BB46" i="3" s="1"/>
  <c r="BA47" i="3"/>
  <c r="BB47" i="3" s="1"/>
  <c r="BA48" i="3"/>
  <c r="BB48" i="3" s="1"/>
  <c r="BA49" i="3"/>
  <c r="BA52" i="3"/>
  <c r="BB52" i="3" s="1"/>
  <c r="BA53" i="3"/>
  <c r="BA54" i="3"/>
  <c r="BA55" i="3"/>
  <c r="BB55" i="3" s="1"/>
  <c r="BA57" i="3"/>
  <c r="BB57" i="3" s="1"/>
  <c r="BA58" i="3"/>
  <c r="BB58" i="3" s="1"/>
  <c r="BA59" i="3"/>
  <c r="BB59" i="3" s="1"/>
  <c r="BA60" i="3"/>
  <c r="BB60" i="3" s="1"/>
  <c r="BA61" i="3"/>
  <c r="BB61" i="3" s="1"/>
  <c r="BA62" i="3"/>
  <c r="BB62" i="3" s="1"/>
  <c r="BA63" i="3"/>
  <c r="BB63" i="3" s="1"/>
  <c r="BA64" i="3"/>
  <c r="BB64" i="3" s="1"/>
  <c r="BA65" i="3"/>
  <c r="BB65" i="3" s="1"/>
  <c r="BA66" i="3"/>
  <c r="BB66" i="3" s="1"/>
  <c r="BA67" i="3"/>
  <c r="BB67" i="3" s="1"/>
  <c r="BA68" i="3"/>
  <c r="BB68" i="3" s="1"/>
  <c r="BA69" i="3"/>
  <c r="BB69" i="3" s="1"/>
  <c r="BA70" i="3"/>
  <c r="BB70" i="3" s="1"/>
  <c r="BA71" i="3"/>
  <c r="BB71" i="3" s="1"/>
  <c r="BA72" i="3"/>
  <c r="BB72" i="3" s="1"/>
  <c r="BA75" i="3"/>
  <c r="BB75" i="3" s="1"/>
  <c r="BA76" i="3"/>
  <c r="BB76" i="3" s="1"/>
  <c r="BA77" i="3"/>
  <c r="BB77" i="3" s="1"/>
  <c r="BA78" i="3"/>
  <c r="BB78" i="3" s="1"/>
  <c r="BA79" i="3"/>
  <c r="BB79" i="3" s="1"/>
  <c r="BA80" i="3"/>
  <c r="BB80" i="3" s="1"/>
  <c r="BA81" i="3"/>
  <c r="BB81" i="3" s="1"/>
  <c r="BA83" i="3"/>
  <c r="BB83" i="3" s="1"/>
  <c r="BA84" i="3"/>
  <c r="BB84" i="3" s="1"/>
  <c r="BA85" i="3"/>
  <c r="BB85" i="3" s="1"/>
  <c r="BA86" i="3"/>
  <c r="BB86" i="3" s="1"/>
  <c r="BA87" i="3"/>
  <c r="BB87" i="3" s="1"/>
  <c r="BA88" i="3"/>
  <c r="BB88" i="3" s="1"/>
  <c r="BA89" i="3"/>
  <c r="BB89" i="3" s="1"/>
  <c r="BA90" i="3"/>
  <c r="BB90" i="3" s="1"/>
  <c r="BA91" i="3"/>
  <c r="BB91" i="3" s="1"/>
  <c r="BA92" i="3"/>
  <c r="BB92" i="3" s="1"/>
  <c r="BA93" i="3"/>
  <c r="BA94" i="3"/>
  <c r="BB94" i="3" s="1"/>
  <c r="BA96" i="3"/>
  <c r="BB96" i="3" s="1"/>
  <c r="BA97" i="3"/>
  <c r="BB97" i="3" s="1"/>
  <c r="BA98" i="3"/>
  <c r="BB98" i="3" s="1"/>
  <c r="BA99" i="3"/>
  <c r="BB99" i="3" s="1"/>
  <c r="BA100" i="3"/>
  <c r="BB100" i="3" s="1"/>
  <c r="BA101" i="3"/>
  <c r="BB101" i="3" s="1"/>
  <c r="BA104" i="3"/>
  <c r="BA105" i="3"/>
  <c r="BA106" i="3"/>
  <c r="BA107" i="3"/>
  <c r="BB107" i="3" s="1"/>
  <c r="BA108" i="3"/>
  <c r="BA109" i="3"/>
  <c r="BB109" i="3" s="1"/>
  <c r="BA110" i="3"/>
  <c r="BA111" i="3"/>
  <c r="BB111" i="3" s="1"/>
  <c r="BA112" i="3"/>
  <c r="BB112" i="3" s="1"/>
  <c r="BA113" i="3"/>
  <c r="BA114" i="3"/>
  <c r="BA115" i="3"/>
  <c r="BA116" i="3"/>
  <c r="BA117" i="3"/>
  <c r="BA118" i="3"/>
  <c r="BA119" i="3"/>
  <c r="BA120" i="3"/>
  <c r="BB120" i="3" s="1"/>
  <c r="BA121" i="3"/>
  <c r="BB121" i="3" s="1"/>
  <c r="BA123" i="3"/>
  <c r="BB123" i="3" s="1"/>
  <c r="BA125" i="3"/>
  <c r="BB125" i="3" s="1"/>
  <c r="BA126" i="3"/>
  <c r="BA127" i="3"/>
  <c r="BB127" i="3" s="1"/>
  <c r="BA129" i="3"/>
  <c r="BB129" i="3" s="1"/>
  <c r="BA130" i="3"/>
  <c r="BB130" i="3" s="1"/>
  <c r="BA131" i="3"/>
  <c r="BB131" i="3" s="1"/>
  <c r="BA132" i="3"/>
  <c r="BB132" i="3" s="1"/>
  <c r="BA133" i="3"/>
  <c r="BB133" i="3" s="1"/>
  <c r="BA134" i="3"/>
  <c r="BB134" i="3" s="1"/>
  <c r="BA135" i="3"/>
  <c r="BB135" i="3" s="1"/>
  <c r="BA136" i="3"/>
  <c r="BB136" i="3" s="1"/>
  <c r="BA137" i="3"/>
  <c r="BB137" i="3" s="1"/>
  <c r="BA138" i="3"/>
  <c r="BB138" i="3" s="1"/>
  <c r="BA139" i="3"/>
  <c r="BB139" i="3" s="1"/>
  <c r="BA140" i="3"/>
  <c r="BB140" i="3" s="1"/>
  <c r="BA141" i="3"/>
  <c r="BB141" i="3" s="1"/>
  <c r="BA142" i="3"/>
  <c r="BB142" i="3" s="1"/>
  <c r="BA143" i="3"/>
  <c r="BB143" i="3" s="1"/>
  <c r="BA144" i="3"/>
  <c r="BB144" i="3" s="1"/>
  <c r="BA146" i="3"/>
  <c r="BB146" i="3" s="1"/>
  <c r="BA147" i="3"/>
  <c r="BB147" i="3" s="1"/>
  <c r="BA148" i="3"/>
  <c r="BB148" i="3" s="1"/>
  <c r="BA149" i="3"/>
  <c r="BB149" i="3" s="1"/>
  <c r="BA150" i="3"/>
  <c r="BB150" i="3" s="1"/>
  <c r="BA151" i="3"/>
  <c r="BA152" i="3"/>
  <c r="BB152" i="3" s="1"/>
  <c r="BA153" i="3"/>
  <c r="BA154" i="3"/>
  <c r="BB154" i="3" s="1"/>
  <c r="BA155" i="3"/>
  <c r="BB155" i="3" s="1"/>
  <c r="BA156" i="3"/>
  <c r="BB156" i="3" s="1"/>
  <c r="BA157" i="3"/>
  <c r="BB157" i="3" s="1"/>
  <c r="BA158" i="3"/>
  <c r="BB158" i="3" s="1"/>
  <c r="BA159" i="3"/>
  <c r="BB159" i="3" s="1"/>
  <c r="BA160" i="3"/>
  <c r="BB160" i="3" s="1"/>
  <c r="BA161" i="3"/>
  <c r="BB161" i="3" s="1"/>
  <c r="BA162" i="3"/>
  <c r="BB162" i="3" s="1"/>
  <c r="BA163" i="3"/>
  <c r="BB163" i="3" s="1"/>
  <c r="BA164" i="3"/>
  <c r="BB164" i="3" s="1"/>
  <c r="BA165" i="3"/>
  <c r="BB165" i="3" s="1"/>
  <c r="BA166" i="3"/>
  <c r="BB166" i="3" s="1"/>
  <c r="BA167" i="3"/>
  <c r="BB167" i="3" s="1"/>
  <c r="BA168" i="3"/>
  <c r="BA169" i="3"/>
  <c r="BA170" i="3"/>
  <c r="BB170" i="3" s="1"/>
  <c r="BA171" i="3"/>
  <c r="BB171" i="3" s="1"/>
  <c r="BA172" i="3"/>
  <c r="BA173" i="3"/>
  <c r="BB173" i="3" s="1"/>
  <c r="BA174" i="3"/>
  <c r="BB174" i="3" s="1"/>
  <c r="BA175" i="3"/>
  <c r="BB175" i="3" s="1"/>
  <c r="BA176" i="3"/>
  <c r="BB176" i="3" s="1"/>
  <c r="BA177" i="3"/>
  <c r="BB177" i="3" s="1"/>
  <c r="BA178" i="3"/>
  <c r="BB178" i="3" s="1"/>
  <c r="BA179" i="3"/>
  <c r="BB179" i="3" s="1"/>
  <c r="BA180" i="3"/>
  <c r="BB180" i="3" s="1"/>
  <c r="BA181" i="3"/>
  <c r="BB181" i="3" s="1"/>
  <c r="BA182" i="3"/>
  <c r="BB182" i="3" s="1"/>
  <c r="BA183" i="3"/>
  <c r="BB183" i="3" s="1"/>
  <c r="BA184" i="3"/>
  <c r="BB184" i="3" s="1"/>
  <c r="BA185" i="3"/>
  <c r="BB185" i="3" s="1"/>
  <c r="BA186" i="3"/>
  <c r="BB186" i="3" s="1"/>
  <c r="BA187" i="3"/>
  <c r="BB187" i="3" s="1"/>
  <c r="BA188" i="3"/>
  <c r="BB188" i="3" s="1"/>
  <c r="BA189" i="3"/>
  <c r="BB189" i="3" s="1"/>
  <c r="BA190" i="3"/>
  <c r="BB190" i="3" s="1"/>
  <c r="BA191" i="3"/>
  <c r="BB191" i="3" s="1"/>
  <c r="BA192" i="3"/>
  <c r="BB192" i="3" s="1"/>
  <c r="BA193" i="3"/>
  <c r="BB193" i="3" s="1"/>
  <c r="BA194" i="3"/>
  <c r="BB194" i="3" s="1"/>
  <c r="BA195" i="3"/>
  <c r="BB195" i="3" s="1"/>
  <c r="BA196" i="3"/>
  <c r="BB196" i="3" s="1"/>
  <c r="BA197" i="3"/>
  <c r="BB197" i="3" s="1"/>
  <c r="BA198" i="3"/>
  <c r="BB198" i="3" s="1"/>
  <c r="BA199" i="3"/>
  <c r="BB199" i="3" s="1"/>
  <c r="BA200" i="3"/>
  <c r="BB200" i="3" s="1"/>
  <c r="BA201" i="3"/>
  <c r="BB201" i="3" s="1"/>
  <c r="BA202" i="3"/>
  <c r="BB202" i="3" s="1"/>
  <c r="BA203" i="3"/>
  <c r="BB203" i="3" s="1"/>
  <c r="BA204" i="3"/>
  <c r="BB204" i="3" s="1"/>
  <c r="BA205" i="3"/>
  <c r="BB205" i="3" s="1"/>
  <c r="BA206" i="3"/>
  <c r="BB206" i="3" s="1"/>
  <c r="BA207" i="3"/>
  <c r="BB207" i="3" s="1"/>
  <c r="BA208" i="3"/>
  <c r="BB208" i="3" s="1"/>
  <c r="BA209" i="3"/>
  <c r="BA210" i="3"/>
  <c r="BB210" i="3" s="1"/>
  <c r="BA211" i="3"/>
  <c r="BB211" i="3" s="1"/>
  <c r="BA212" i="3"/>
  <c r="BB212" i="3" s="1"/>
  <c r="BA213" i="3"/>
  <c r="BB213" i="3" s="1"/>
  <c r="BA214" i="3"/>
  <c r="BB214" i="3" s="1"/>
  <c r="BA215" i="3"/>
  <c r="BB215" i="3" s="1"/>
  <c r="BA217" i="3"/>
  <c r="BA219" i="3"/>
  <c r="BB219" i="3" s="1"/>
  <c r="BA220" i="3"/>
  <c r="BB220" i="3" s="1"/>
  <c r="BA221" i="3"/>
  <c r="BB221" i="3" s="1"/>
  <c r="BA222" i="3"/>
  <c r="BB222" i="3" s="1"/>
  <c r="BA223" i="3"/>
  <c r="BB223" i="3" s="1"/>
  <c r="BA224" i="3"/>
  <c r="BA225" i="3"/>
  <c r="BB225" i="3" s="1"/>
  <c r="BA226" i="3"/>
  <c r="BB226" i="3" s="1"/>
  <c r="BA227" i="3"/>
  <c r="BB227" i="3" s="1"/>
  <c r="BA228" i="3"/>
  <c r="BB228" i="3" s="1"/>
  <c r="BA229" i="3"/>
  <c r="BB229" i="3" s="1"/>
  <c r="BA230" i="3"/>
  <c r="BA232" i="3"/>
  <c r="BB232" i="3" s="1"/>
  <c r="BA233" i="3"/>
  <c r="BB233" i="3" s="1"/>
  <c r="BA234" i="3"/>
  <c r="BB234" i="3" s="1"/>
  <c r="BA235" i="3"/>
  <c r="BB235" i="3" s="1"/>
  <c r="BA236" i="3"/>
  <c r="BB236" i="3" s="1"/>
  <c r="BA239" i="3"/>
  <c r="BB239" i="3" s="1"/>
  <c r="BA240" i="3"/>
  <c r="BB240" i="3" s="1"/>
  <c r="BA241" i="3"/>
  <c r="BB241" i="3" s="1"/>
  <c r="BA242" i="3"/>
  <c r="BB242" i="3" s="1"/>
  <c r="BA243" i="3"/>
  <c r="BB243" i="3" s="1"/>
  <c r="BA244" i="3"/>
  <c r="BB244" i="3" s="1"/>
  <c r="BA245" i="3"/>
  <c r="BB245" i="3" s="1"/>
  <c r="BA246" i="3"/>
  <c r="BB246" i="3" s="1"/>
  <c r="BA247" i="3"/>
  <c r="BB247" i="3" s="1"/>
  <c r="BA249" i="3"/>
  <c r="BB249" i="3" s="1"/>
  <c r="BA250" i="3"/>
  <c r="BB250" i="3" s="1"/>
  <c r="BA252" i="3"/>
  <c r="BB252" i="3" s="1"/>
  <c r="BA254" i="3"/>
  <c r="BB254" i="3" s="1"/>
  <c r="BA255" i="3"/>
  <c r="BA256" i="3"/>
  <c r="BB256" i="3" s="1"/>
  <c r="BA257" i="3"/>
  <c r="BB257" i="3" s="1"/>
  <c r="BA258" i="3"/>
  <c r="BB258" i="3" s="1"/>
  <c r="BA259" i="3"/>
  <c r="BB259" i="3" s="1"/>
  <c r="BA260" i="3"/>
  <c r="BB260" i="3" s="1"/>
  <c r="BA261" i="3"/>
  <c r="BB261" i="3" s="1"/>
  <c r="BA262" i="3"/>
  <c r="BB262" i="3" s="1"/>
  <c r="BA263" i="3"/>
  <c r="BB263" i="3" s="1"/>
  <c r="BA264" i="3"/>
  <c r="BB264" i="3" s="1"/>
  <c r="BA265" i="3"/>
  <c r="BB265" i="3" s="1"/>
  <c r="BA266" i="3"/>
  <c r="BB266" i="3" s="1"/>
  <c r="BA267" i="3"/>
  <c r="BB267" i="3" s="1"/>
  <c r="BA268" i="3"/>
  <c r="BB268" i="3" s="1"/>
  <c r="BA271" i="3"/>
  <c r="BB271" i="3" s="1"/>
  <c r="BA272" i="3"/>
  <c r="BB272" i="3" s="1"/>
  <c r="BA274" i="3"/>
  <c r="BB274" i="3" s="1"/>
  <c r="BA275" i="3"/>
  <c r="BB275" i="3" s="1"/>
  <c r="BA277" i="3"/>
  <c r="BB277" i="3" s="1"/>
  <c r="BA6" i="3"/>
  <c r="BB6" i="3" s="1"/>
  <c r="AW10" i="3"/>
  <c r="AX10" i="3" s="1"/>
  <c r="AW11" i="3"/>
  <c r="AX11" i="3" s="1"/>
  <c r="AW12" i="3"/>
  <c r="AX12" i="3" s="1"/>
  <c r="AW13" i="3"/>
  <c r="AX13" i="3" s="1"/>
  <c r="AW15" i="3"/>
  <c r="AX15" i="3" s="1"/>
  <c r="AW17" i="3"/>
  <c r="AW18" i="3"/>
  <c r="AX18" i="3" s="1"/>
  <c r="AW19" i="3"/>
  <c r="AX19" i="3" s="1"/>
  <c r="AW20" i="3"/>
  <c r="AX20" i="3" s="1"/>
  <c r="AW21" i="3"/>
  <c r="AX21" i="3" s="1"/>
  <c r="AW22" i="3"/>
  <c r="AX22" i="3" s="1"/>
  <c r="AW23" i="3"/>
  <c r="AX23" i="3" s="1"/>
  <c r="AW24" i="3"/>
  <c r="AX24" i="3" s="1"/>
  <c r="AW25" i="3"/>
  <c r="AX25" i="3" s="1"/>
  <c r="AW26" i="3"/>
  <c r="AX26" i="3" s="1"/>
  <c r="AW27" i="3"/>
  <c r="AX27" i="3" s="1"/>
  <c r="AW29" i="3"/>
  <c r="AX29" i="3" s="1"/>
  <c r="AW30" i="3"/>
  <c r="AX30" i="3" s="1"/>
  <c r="AW31" i="3"/>
  <c r="AX31" i="3" s="1"/>
  <c r="AW32" i="3"/>
  <c r="AW33" i="3"/>
  <c r="AX33" i="3" s="1"/>
  <c r="AW34" i="3"/>
  <c r="AW36" i="3"/>
  <c r="AW39" i="3"/>
  <c r="AW40" i="3"/>
  <c r="AW41" i="3"/>
  <c r="AX41" i="3" s="1"/>
  <c r="AW42" i="3"/>
  <c r="AX42" i="3" s="1"/>
  <c r="AW43" i="3"/>
  <c r="AX43" i="3" s="1"/>
  <c r="AW44" i="3"/>
  <c r="AX44" i="3" s="1"/>
  <c r="AW45" i="3"/>
  <c r="AX45" i="3" s="1"/>
  <c r="AW46" i="3"/>
  <c r="AX46" i="3" s="1"/>
  <c r="AW47" i="3"/>
  <c r="AX47" i="3" s="1"/>
  <c r="AW48" i="3"/>
  <c r="AX48" i="3" s="1"/>
  <c r="AW49" i="3"/>
  <c r="AX49" i="3" s="1"/>
  <c r="AW52" i="3"/>
  <c r="AX52" i="3" s="1"/>
  <c r="AW53" i="3"/>
  <c r="AW54" i="3"/>
  <c r="AX54" i="3" s="1"/>
  <c r="AW55" i="3"/>
  <c r="AX55" i="3" s="1"/>
  <c r="AW57" i="3"/>
  <c r="AX57" i="3" s="1"/>
  <c r="AW58" i="3"/>
  <c r="AX58" i="3" s="1"/>
  <c r="AW59" i="3"/>
  <c r="AX59" i="3" s="1"/>
  <c r="AW60" i="3"/>
  <c r="AX60" i="3" s="1"/>
  <c r="AW61" i="3"/>
  <c r="AX61" i="3" s="1"/>
  <c r="AW62" i="3"/>
  <c r="AX62" i="3" s="1"/>
  <c r="AW63" i="3"/>
  <c r="AX63" i="3" s="1"/>
  <c r="AW64" i="3"/>
  <c r="AX64" i="3" s="1"/>
  <c r="AW65" i="3"/>
  <c r="AX65" i="3" s="1"/>
  <c r="AW66" i="3"/>
  <c r="AX66" i="3" s="1"/>
  <c r="AW67" i="3"/>
  <c r="AX67" i="3" s="1"/>
  <c r="AW68" i="3"/>
  <c r="AX68" i="3" s="1"/>
  <c r="AW69" i="3"/>
  <c r="AX69" i="3" s="1"/>
  <c r="AW70" i="3"/>
  <c r="AX70" i="3" s="1"/>
  <c r="AW71" i="3"/>
  <c r="AX71" i="3" s="1"/>
  <c r="AW72" i="3"/>
  <c r="AX72" i="3" s="1"/>
  <c r="AW75" i="3"/>
  <c r="AX75" i="3" s="1"/>
  <c r="AW76" i="3"/>
  <c r="AX76" i="3" s="1"/>
  <c r="AW77" i="3"/>
  <c r="AX77" i="3" s="1"/>
  <c r="AW78" i="3"/>
  <c r="AX78" i="3" s="1"/>
  <c r="AW79" i="3"/>
  <c r="AX79" i="3" s="1"/>
  <c r="AW80" i="3"/>
  <c r="AX80" i="3" s="1"/>
  <c r="AW81" i="3"/>
  <c r="AX81" i="3" s="1"/>
  <c r="AW83" i="3"/>
  <c r="AX83" i="3" s="1"/>
  <c r="AW84" i="3"/>
  <c r="AX84" i="3" s="1"/>
  <c r="AW85" i="3"/>
  <c r="AX85" i="3" s="1"/>
  <c r="AW86" i="3"/>
  <c r="AX86" i="3" s="1"/>
  <c r="AW87" i="3"/>
  <c r="AX87" i="3" s="1"/>
  <c r="AW88" i="3"/>
  <c r="AX88" i="3" s="1"/>
  <c r="AW89" i="3"/>
  <c r="AX89" i="3" s="1"/>
  <c r="AW90" i="3"/>
  <c r="AW91" i="3"/>
  <c r="AX91" i="3" s="1"/>
  <c r="AW92" i="3"/>
  <c r="AX92" i="3" s="1"/>
  <c r="AW93" i="3"/>
  <c r="AX93" i="3" s="1"/>
  <c r="AW94" i="3"/>
  <c r="AX94" i="3" s="1"/>
  <c r="AW96" i="3"/>
  <c r="AX96" i="3" s="1"/>
  <c r="AW97" i="3"/>
  <c r="AX97" i="3" s="1"/>
  <c r="AW98" i="3"/>
  <c r="AX98" i="3" s="1"/>
  <c r="AW99" i="3"/>
  <c r="AX99" i="3" s="1"/>
  <c r="AW100" i="3"/>
  <c r="AX100" i="3" s="1"/>
  <c r="AW101" i="3"/>
  <c r="AX101" i="3" s="1"/>
  <c r="AW104" i="3"/>
  <c r="AX104" i="3" s="1"/>
  <c r="AW105" i="3"/>
  <c r="AX105" i="3" s="1"/>
  <c r="AW106" i="3"/>
  <c r="AX106" i="3" s="1"/>
  <c r="AW107" i="3"/>
  <c r="AX107" i="3" s="1"/>
  <c r="AW108" i="3"/>
  <c r="AX108" i="3" s="1"/>
  <c r="AW109" i="3"/>
  <c r="AX109" i="3" s="1"/>
  <c r="AW110" i="3"/>
  <c r="AX110" i="3" s="1"/>
  <c r="AW111" i="3"/>
  <c r="AX111" i="3" s="1"/>
  <c r="AW112" i="3"/>
  <c r="AX112" i="3" s="1"/>
  <c r="AW113" i="3"/>
  <c r="AX113" i="3" s="1"/>
  <c r="AW114" i="3"/>
  <c r="AX114" i="3" s="1"/>
  <c r="AW115" i="3"/>
  <c r="AX115" i="3" s="1"/>
  <c r="AW116" i="3"/>
  <c r="AX116" i="3" s="1"/>
  <c r="AW117" i="3"/>
  <c r="AX117" i="3" s="1"/>
  <c r="AW118" i="3"/>
  <c r="AW119" i="3"/>
  <c r="AW120" i="3"/>
  <c r="AX120" i="3" s="1"/>
  <c r="AW121" i="3"/>
  <c r="AX121" i="3" s="1"/>
  <c r="AW123" i="3"/>
  <c r="AX123" i="3" s="1"/>
  <c r="AW125" i="3"/>
  <c r="AX125" i="3" s="1"/>
  <c r="AW126" i="3"/>
  <c r="AX126" i="3" s="1"/>
  <c r="AW127" i="3"/>
  <c r="AX127" i="3" s="1"/>
  <c r="AW129" i="3"/>
  <c r="AX129" i="3" s="1"/>
  <c r="AW130" i="3"/>
  <c r="AX130" i="3" s="1"/>
  <c r="AW131" i="3"/>
  <c r="AX131" i="3" s="1"/>
  <c r="AW132" i="3"/>
  <c r="AX132" i="3" s="1"/>
  <c r="AW133" i="3"/>
  <c r="AX133" i="3" s="1"/>
  <c r="AW134" i="3"/>
  <c r="AX134" i="3" s="1"/>
  <c r="AW135" i="3"/>
  <c r="AX135" i="3" s="1"/>
  <c r="AW136" i="3"/>
  <c r="AX136" i="3" s="1"/>
  <c r="AW137" i="3"/>
  <c r="AX137" i="3" s="1"/>
  <c r="AW138" i="3"/>
  <c r="AX138" i="3" s="1"/>
  <c r="AW139" i="3"/>
  <c r="AX139" i="3" s="1"/>
  <c r="AW140" i="3"/>
  <c r="AX140" i="3" s="1"/>
  <c r="AW141" i="3"/>
  <c r="AX141" i="3" s="1"/>
  <c r="AW142" i="3"/>
  <c r="AX142" i="3" s="1"/>
  <c r="AW143" i="3"/>
  <c r="AX143" i="3" s="1"/>
  <c r="AW144" i="3"/>
  <c r="AX144" i="3" s="1"/>
  <c r="AW146" i="3"/>
  <c r="AX146" i="3" s="1"/>
  <c r="AW147" i="3"/>
  <c r="AX147" i="3" s="1"/>
  <c r="AW148" i="3"/>
  <c r="AX148" i="3" s="1"/>
  <c r="AW149" i="3"/>
  <c r="AX149" i="3" s="1"/>
  <c r="AW150" i="3"/>
  <c r="AX150" i="3" s="1"/>
  <c r="AW151" i="3"/>
  <c r="AW152" i="3"/>
  <c r="AX152" i="3" s="1"/>
  <c r="AW153" i="3"/>
  <c r="AW154" i="3"/>
  <c r="AX154" i="3" s="1"/>
  <c r="AW155" i="3"/>
  <c r="AX155" i="3" s="1"/>
  <c r="AW156" i="3"/>
  <c r="AX156" i="3" s="1"/>
  <c r="AW157" i="3"/>
  <c r="AX157" i="3" s="1"/>
  <c r="AW158" i="3"/>
  <c r="AX158" i="3" s="1"/>
  <c r="AW159" i="3"/>
  <c r="AX159" i="3" s="1"/>
  <c r="AW160" i="3"/>
  <c r="AX160" i="3" s="1"/>
  <c r="AW161" i="3"/>
  <c r="AX161" i="3" s="1"/>
  <c r="AW162" i="3"/>
  <c r="AX162" i="3" s="1"/>
  <c r="AW163" i="3"/>
  <c r="AX163" i="3" s="1"/>
  <c r="AW164" i="3"/>
  <c r="AX164" i="3" s="1"/>
  <c r="AW165" i="3"/>
  <c r="AX165" i="3" s="1"/>
  <c r="AW166" i="3"/>
  <c r="AX166" i="3" s="1"/>
  <c r="AW167" i="3"/>
  <c r="AX167" i="3" s="1"/>
  <c r="AW168" i="3"/>
  <c r="AW169" i="3"/>
  <c r="AW170" i="3"/>
  <c r="AX170" i="3" s="1"/>
  <c r="AW171" i="3"/>
  <c r="AX171" i="3" s="1"/>
  <c r="AW172" i="3"/>
  <c r="AW173" i="3"/>
  <c r="AX173" i="3" s="1"/>
  <c r="AW174" i="3"/>
  <c r="AX174" i="3" s="1"/>
  <c r="AW175" i="3"/>
  <c r="AX175" i="3" s="1"/>
  <c r="AW176" i="3"/>
  <c r="AX176" i="3" s="1"/>
  <c r="AW177" i="3"/>
  <c r="AX177" i="3" s="1"/>
  <c r="AW178" i="3"/>
  <c r="AX178" i="3" s="1"/>
  <c r="AW179" i="3"/>
  <c r="AX179" i="3" s="1"/>
  <c r="AW180" i="3"/>
  <c r="AX180" i="3" s="1"/>
  <c r="AW181" i="3"/>
  <c r="AX181" i="3" s="1"/>
  <c r="AW182" i="3"/>
  <c r="AX182" i="3" s="1"/>
  <c r="AW183" i="3"/>
  <c r="AX183" i="3" s="1"/>
  <c r="AW184" i="3"/>
  <c r="AX184" i="3" s="1"/>
  <c r="AW185" i="3"/>
  <c r="AX185" i="3" s="1"/>
  <c r="AW186" i="3"/>
  <c r="AX186" i="3" s="1"/>
  <c r="AW187" i="3"/>
  <c r="AX187" i="3" s="1"/>
  <c r="AW188" i="3"/>
  <c r="AX188" i="3" s="1"/>
  <c r="AW189" i="3"/>
  <c r="AX189" i="3" s="1"/>
  <c r="AW190" i="3"/>
  <c r="AX190" i="3" s="1"/>
  <c r="AW191" i="3"/>
  <c r="AX191" i="3" s="1"/>
  <c r="AW192" i="3"/>
  <c r="AX192" i="3" s="1"/>
  <c r="AW193" i="3"/>
  <c r="AX193" i="3" s="1"/>
  <c r="AW194" i="3"/>
  <c r="AX194" i="3" s="1"/>
  <c r="AW195" i="3"/>
  <c r="AX195" i="3" s="1"/>
  <c r="AW196" i="3"/>
  <c r="AX196" i="3" s="1"/>
  <c r="AW197" i="3"/>
  <c r="AX197" i="3" s="1"/>
  <c r="AW198" i="3"/>
  <c r="AX198" i="3" s="1"/>
  <c r="AW199" i="3"/>
  <c r="AX199" i="3" s="1"/>
  <c r="AW200" i="3"/>
  <c r="AX200" i="3" s="1"/>
  <c r="AW201" i="3"/>
  <c r="AX201" i="3" s="1"/>
  <c r="AW202" i="3"/>
  <c r="AX202" i="3" s="1"/>
  <c r="AW203" i="3"/>
  <c r="AX203" i="3" s="1"/>
  <c r="AW204" i="3"/>
  <c r="AX204" i="3" s="1"/>
  <c r="AW205" i="3"/>
  <c r="AX205" i="3" s="1"/>
  <c r="AW206" i="3"/>
  <c r="AX206" i="3" s="1"/>
  <c r="AW207" i="3"/>
  <c r="AX207" i="3" s="1"/>
  <c r="AW208" i="3"/>
  <c r="AX208" i="3" s="1"/>
  <c r="AW209" i="3"/>
  <c r="AW210" i="3"/>
  <c r="AX210" i="3" s="1"/>
  <c r="AW211" i="3"/>
  <c r="AW212" i="3"/>
  <c r="AX212" i="3" s="1"/>
  <c r="AW213" i="3"/>
  <c r="AX213" i="3" s="1"/>
  <c r="AW214" i="3"/>
  <c r="AX214" i="3" s="1"/>
  <c r="AW215" i="3"/>
  <c r="AX215" i="3" s="1"/>
  <c r="AW217" i="3"/>
  <c r="AX217" i="3" s="1"/>
  <c r="AW218" i="3"/>
  <c r="AX218" i="3" s="1"/>
  <c r="AW219" i="3"/>
  <c r="AX219" i="3" s="1"/>
  <c r="AW220" i="3"/>
  <c r="AX220" i="3" s="1"/>
  <c r="AW221" i="3"/>
  <c r="AX221" i="3" s="1"/>
  <c r="AW222" i="3"/>
  <c r="AX222" i="3" s="1"/>
  <c r="AW223" i="3"/>
  <c r="AX223" i="3" s="1"/>
  <c r="AW224" i="3"/>
  <c r="AX224" i="3" s="1"/>
  <c r="AW225" i="3"/>
  <c r="AX225" i="3" s="1"/>
  <c r="AW226" i="3"/>
  <c r="AX226" i="3" s="1"/>
  <c r="AW227" i="3"/>
  <c r="AX227" i="3" s="1"/>
  <c r="AW228" i="3"/>
  <c r="AX228" i="3" s="1"/>
  <c r="AW229" i="3"/>
  <c r="AX229" i="3" s="1"/>
  <c r="AW230" i="3"/>
  <c r="AX230" i="3" s="1"/>
  <c r="AW232" i="3"/>
  <c r="AX232" i="3" s="1"/>
  <c r="AW233" i="3"/>
  <c r="AX233" i="3" s="1"/>
  <c r="AW234" i="3"/>
  <c r="AX234" i="3" s="1"/>
  <c r="AW235" i="3"/>
  <c r="AX235" i="3" s="1"/>
  <c r="AW236" i="3"/>
  <c r="AX236" i="3" s="1"/>
  <c r="AW239" i="3"/>
  <c r="AX239" i="3" s="1"/>
  <c r="AW240" i="3"/>
  <c r="AX240" i="3" s="1"/>
  <c r="AW241" i="3"/>
  <c r="AX241" i="3" s="1"/>
  <c r="AW242" i="3"/>
  <c r="AX242" i="3" s="1"/>
  <c r="AW243" i="3"/>
  <c r="AX243" i="3" s="1"/>
  <c r="AW244" i="3"/>
  <c r="AX244" i="3" s="1"/>
  <c r="AW245" i="3"/>
  <c r="AX245" i="3" s="1"/>
  <c r="AW246" i="3"/>
  <c r="AX246" i="3" s="1"/>
  <c r="AW247" i="3"/>
  <c r="AX247" i="3" s="1"/>
  <c r="AW249" i="3"/>
  <c r="AX249" i="3" s="1"/>
  <c r="AW250" i="3"/>
  <c r="AX250" i="3" s="1"/>
  <c r="AW252" i="3"/>
  <c r="AX252" i="3" s="1"/>
  <c r="AW254" i="3"/>
  <c r="AX254" i="3" s="1"/>
  <c r="AW255" i="3"/>
  <c r="AX255" i="3" s="1"/>
  <c r="AW256" i="3"/>
  <c r="AX256" i="3" s="1"/>
  <c r="AW257" i="3"/>
  <c r="AX257" i="3" s="1"/>
  <c r="AW258" i="3"/>
  <c r="AX258" i="3" s="1"/>
  <c r="AW259" i="3"/>
  <c r="AX259" i="3" s="1"/>
  <c r="AW260" i="3"/>
  <c r="AX260" i="3" s="1"/>
  <c r="AW261" i="3"/>
  <c r="AX261" i="3" s="1"/>
  <c r="AW262" i="3"/>
  <c r="AX262" i="3" s="1"/>
  <c r="AW263" i="3"/>
  <c r="AX263" i="3" s="1"/>
  <c r="AW264" i="3"/>
  <c r="AX264" i="3" s="1"/>
  <c r="AW265" i="3"/>
  <c r="AX265" i="3" s="1"/>
  <c r="AW266" i="3"/>
  <c r="AX266" i="3" s="1"/>
  <c r="AW267" i="3"/>
  <c r="AX267" i="3" s="1"/>
  <c r="AW268" i="3"/>
  <c r="AX268" i="3" s="1"/>
  <c r="AW271" i="3"/>
  <c r="AX271" i="3" s="1"/>
  <c r="AW272" i="3"/>
  <c r="AX272" i="3" s="1"/>
  <c r="AW273" i="3"/>
  <c r="AX273" i="3" s="1"/>
  <c r="AW274" i="3"/>
  <c r="AX274" i="3" s="1"/>
  <c r="AW275" i="3"/>
  <c r="AX275" i="3" s="1"/>
  <c r="AW277" i="3"/>
  <c r="AX277" i="3" s="1"/>
  <c r="AW6" i="3"/>
  <c r="AX6" i="3" s="1"/>
  <c r="AS10" i="3"/>
  <c r="AT10" i="3" s="1"/>
  <c r="AS11" i="3"/>
  <c r="AT11" i="3" s="1"/>
  <c r="AS12" i="3"/>
  <c r="AT12" i="3" s="1"/>
  <c r="AS13" i="3"/>
  <c r="AT13" i="3" s="1"/>
  <c r="AS15" i="3"/>
  <c r="AT15" i="3" s="1"/>
  <c r="AS17" i="3"/>
  <c r="AT17" i="3" s="1"/>
  <c r="AS18" i="3"/>
  <c r="AT18" i="3" s="1"/>
  <c r="AS19" i="3"/>
  <c r="AT19" i="3" s="1"/>
  <c r="AS20" i="3"/>
  <c r="AT20" i="3" s="1"/>
  <c r="AS21" i="3"/>
  <c r="AT21" i="3" s="1"/>
  <c r="AS22" i="3"/>
  <c r="AT22" i="3" s="1"/>
  <c r="AS23" i="3"/>
  <c r="AT23" i="3" s="1"/>
  <c r="AS24" i="3"/>
  <c r="AT24" i="3" s="1"/>
  <c r="AS25" i="3"/>
  <c r="AT25" i="3" s="1"/>
  <c r="AS26" i="3"/>
  <c r="AT26" i="3" s="1"/>
  <c r="AS27" i="3"/>
  <c r="AT27" i="3" s="1"/>
  <c r="AS29" i="3"/>
  <c r="AT29" i="3" s="1"/>
  <c r="AS30" i="3"/>
  <c r="AT30" i="3" s="1"/>
  <c r="AS31" i="3"/>
  <c r="AT31" i="3" s="1"/>
  <c r="AS32" i="3"/>
  <c r="AT32" i="3" s="1"/>
  <c r="AS33" i="3"/>
  <c r="AT33" i="3" s="1"/>
  <c r="AS34" i="3"/>
  <c r="AT34" i="3" s="1"/>
  <c r="AS35" i="3"/>
  <c r="AT35" i="3" s="1"/>
  <c r="AS36" i="3"/>
  <c r="AT36" i="3" s="1"/>
  <c r="AS39" i="3"/>
  <c r="AT39" i="3" s="1"/>
  <c r="AS40" i="3"/>
  <c r="AT40" i="3" s="1"/>
  <c r="AS41" i="3"/>
  <c r="AT41" i="3" s="1"/>
  <c r="AS42" i="3"/>
  <c r="AT42" i="3" s="1"/>
  <c r="AS43" i="3"/>
  <c r="AT43" i="3" s="1"/>
  <c r="AS44" i="3"/>
  <c r="AT44" i="3" s="1"/>
  <c r="AS45" i="3"/>
  <c r="AT45" i="3" s="1"/>
  <c r="AS46" i="3"/>
  <c r="AT46" i="3" s="1"/>
  <c r="AS47" i="3"/>
  <c r="AT47" i="3" s="1"/>
  <c r="AS48" i="3"/>
  <c r="AT48" i="3" s="1"/>
  <c r="AS49" i="3"/>
  <c r="AS52" i="3"/>
  <c r="AT52" i="3" s="1"/>
  <c r="AS53" i="3"/>
  <c r="AT53" i="3" s="1"/>
  <c r="AS54" i="3"/>
  <c r="AS55" i="3"/>
  <c r="AT55" i="3" s="1"/>
  <c r="AS57" i="3"/>
  <c r="AT57" i="3" s="1"/>
  <c r="AS58" i="3"/>
  <c r="AT58" i="3" s="1"/>
  <c r="AS59" i="3"/>
  <c r="AT59" i="3" s="1"/>
  <c r="AS60" i="3"/>
  <c r="AT60" i="3" s="1"/>
  <c r="AS61" i="3"/>
  <c r="AT61" i="3" s="1"/>
  <c r="AS62" i="3"/>
  <c r="AT62" i="3" s="1"/>
  <c r="AS63" i="3"/>
  <c r="AT63" i="3" s="1"/>
  <c r="AS64" i="3"/>
  <c r="AT64" i="3" s="1"/>
  <c r="AS65" i="3"/>
  <c r="AT65" i="3" s="1"/>
  <c r="AS66" i="3"/>
  <c r="AT66" i="3" s="1"/>
  <c r="AS67" i="3"/>
  <c r="AT67" i="3" s="1"/>
  <c r="AS68" i="3"/>
  <c r="AT68" i="3" s="1"/>
  <c r="AS69" i="3"/>
  <c r="AT69" i="3" s="1"/>
  <c r="AS70" i="3"/>
  <c r="AT70" i="3" s="1"/>
  <c r="AS71" i="3"/>
  <c r="AT71" i="3" s="1"/>
  <c r="AS72" i="3"/>
  <c r="AT72" i="3" s="1"/>
  <c r="AS75" i="3"/>
  <c r="AT75" i="3" s="1"/>
  <c r="AS76" i="3"/>
  <c r="AT76" i="3" s="1"/>
  <c r="AS77" i="3"/>
  <c r="AT77" i="3" s="1"/>
  <c r="AS78" i="3"/>
  <c r="AT78" i="3" s="1"/>
  <c r="AS79" i="3"/>
  <c r="AT79" i="3" s="1"/>
  <c r="AS80" i="3"/>
  <c r="AT80" i="3" s="1"/>
  <c r="AS81" i="3"/>
  <c r="AT81" i="3" s="1"/>
  <c r="AS83" i="3"/>
  <c r="AT83" i="3" s="1"/>
  <c r="AS84" i="3"/>
  <c r="AT84" i="3" s="1"/>
  <c r="AS85" i="3"/>
  <c r="AT85" i="3" s="1"/>
  <c r="AS86" i="3"/>
  <c r="AT86" i="3" s="1"/>
  <c r="AS87" i="3"/>
  <c r="AT87" i="3" s="1"/>
  <c r="AS88" i="3"/>
  <c r="AT88" i="3" s="1"/>
  <c r="AS89" i="3"/>
  <c r="AT89" i="3" s="1"/>
  <c r="AS90" i="3"/>
  <c r="AT90" i="3" s="1"/>
  <c r="AS91" i="3"/>
  <c r="AT91" i="3" s="1"/>
  <c r="AS92" i="3"/>
  <c r="AT92" i="3" s="1"/>
  <c r="AS93" i="3"/>
  <c r="AT93" i="3" s="1"/>
  <c r="AS94" i="3"/>
  <c r="AT94" i="3" s="1"/>
  <c r="AS96" i="3"/>
  <c r="AT96" i="3" s="1"/>
  <c r="AS97" i="3"/>
  <c r="AT97" i="3" s="1"/>
  <c r="AS98" i="3"/>
  <c r="AT98" i="3" s="1"/>
  <c r="AS99" i="3"/>
  <c r="AT99" i="3" s="1"/>
  <c r="AS100" i="3"/>
  <c r="AT100" i="3" s="1"/>
  <c r="AS101" i="3"/>
  <c r="AT101" i="3" s="1"/>
  <c r="AS104" i="3"/>
  <c r="AS105" i="3"/>
  <c r="AS106" i="3"/>
  <c r="AS107" i="3"/>
  <c r="AS108" i="3"/>
  <c r="AS109" i="3"/>
  <c r="AT109" i="3" s="1"/>
  <c r="AS110" i="3"/>
  <c r="AS111" i="3"/>
  <c r="AT111" i="3" s="1"/>
  <c r="AS112" i="3"/>
  <c r="AT112" i="3" s="1"/>
  <c r="AS113" i="3"/>
  <c r="AS114" i="3"/>
  <c r="AS115" i="3"/>
  <c r="AS116" i="3"/>
  <c r="AS117" i="3"/>
  <c r="AS118" i="3"/>
  <c r="AT118" i="3" s="1"/>
  <c r="AS119" i="3"/>
  <c r="AT119" i="3" s="1"/>
  <c r="AS120" i="3"/>
  <c r="AT120" i="3" s="1"/>
  <c r="AS121" i="3"/>
  <c r="AT121" i="3" s="1"/>
  <c r="AS123" i="3"/>
  <c r="AT123" i="3" s="1"/>
  <c r="AS125" i="3"/>
  <c r="AT125" i="3" s="1"/>
  <c r="AS126" i="3"/>
  <c r="AS127" i="3"/>
  <c r="AT127" i="3" s="1"/>
  <c r="AS129" i="3"/>
  <c r="AT129" i="3" s="1"/>
  <c r="AS130" i="3"/>
  <c r="AT130" i="3" s="1"/>
  <c r="AS131" i="3"/>
  <c r="AT131" i="3" s="1"/>
  <c r="AS132" i="3"/>
  <c r="AT132" i="3" s="1"/>
  <c r="AS133" i="3"/>
  <c r="AT133" i="3" s="1"/>
  <c r="AS134" i="3"/>
  <c r="AT134" i="3" s="1"/>
  <c r="AS135" i="3"/>
  <c r="AT135" i="3" s="1"/>
  <c r="AS136" i="3"/>
  <c r="AT136" i="3" s="1"/>
  <c r="AS137" i="3"/>
  <c r="AT137" i="3" s="1"/>
  <c r="AS138" i="3"/>
  <c r="AT138" i="3" s="1"/>
  <c r="AS139" i="3"/>
  <c r="AT139" i="3" s="1"/>
  <c r="AS140" i="3"/>
  <c r="AT140" i="3" s="1"/>
  <c r="AS141" i="3"/>
  <c r="AT141" i="3" s="1"/>
  <c r="AS142" i="3"/>
  <c r="AT142" i="3" s="1"/>
  <c r="AS143" i="3"/>
  <c r="AT143" i="3" s="1"/>
  <c r="AS144" i="3"/>
  <c r="AT144" i="3" s="1"/>
  <c r="AS146" i="3"/>
  <c r="AT146" i="3" s="1"/>
  <c r="AS147" i="3"/>
  <c r="AT147" i="3" s="1"/>
  <c r="AS148" i="3"/>
  <c r="AT148" i="3" s="1"/>
  <c r="AS149" i="3"/>
  <c r="AT149" i="3" s="1"/>
  <c r="AS150" i="3"/>
  <c r="AT150" i="3" s="1"/>
  <c r="AS151" i="3"/>
  <c r="AT151" i="3" s="1"/>
  <c r="AS152" i="3"/>
  <c r="AT152" i="3" s="1"/>
  <c r="AS153" i="3"/>
  <c r="AT153" i="3" s="1"/>
  <c r="AS154" i="3"/>
  <c r="AT154" i="3" s="1"/>
  <c r="AS155" i="3"/>
  <c r="AT155" i="3" s="1"/>
  <c r="AS156" i="3"/>
  <c r="AT156" i="3" s="1"/>
  <c r="AS157" i="3"/>
  <c r="AT157" i="3" s="1"/>
  <c r="AS158" i="3"/>
  <c r="AT158" i="3" s="1"/>
  <c r="AS159" i="3"/>
  <c r="AT159" i="3" s="1"/>
  <c r="AS160" i="3"/>
  <c r="AT160" i="3" s="1"/>
  <c r="AS161" i="3"/>
  <c r="AT161" i="3" s="1"/>
  <c r="AS162" i="3"/>
  <c r="AT162" i="3" s="1"/>
  <c r="AS163" i="3"/>
  <c r="AT163" i="3" s="1"/>
  <c r="AS164" i="3"/>
  <c r="AT164" i="3" s="1"/>
  <c r="AS165" i="3"/>
  <c r="AT165" i="3" s="1"/>
  <c r="AS166" i="3"/>
  <c r="AT166" i="3" s="1"/>
  <c r="AS167" i="3"/>
  <c r="AT167" i="3" s="1"/>
  <c r="AS168" i="3"/>
  <c r="AT168" i="3" s="1"/>
  <c r="AS169" i="3"/>
  <c r="AT169" i="3" s="1"/>
  <c r="AS170" i="3"/>
  <c r="AT170" i="3" s="1"/>
  <c r="AS171" i="3"/>
  <c r="AT171" i="3" s="1"/>
  <c r="AS172" i="3"/>
  <c r="AT172" i="3" s="1"/>
  <c r="AS173" i="3"/>
  <c r="AT173" i="3" s="1"/>
  <c r="AS174" i="3"/>
  <c r="AT174" i="3" s="1"/>
  <c r="AS175" i="3"/>
  <c r="AT175" i="3" s="1"/>
  <c r="AS176" i="3"/>
  <c r="AT176" i="3" s="1"/>
  <c r="AS177" i="3"/>
  <c r="AT177" i="3" s="1"/>
  <c r="AS178" i="3"/>
  <c r="AT178" i="3" s="1"/>
  <c r="AS179" i="3"/>
  <c r="AT179" i="3" s="1"/>
  <c r="AS180" i="3"/>
  <c r="AT180" i="3" s="1"/>
  <c r="AS181" i="3"/>
  <c r="AT181" i="3" s="1"/>
  <c r="AS182" i="3"/>
  <c r="AT182" i="3" s="1"/>
  <c r="AS183" i="3"/>
  <c r="AT183" i="3" s="1"/>
  <c r="AS184" i="3"/>
  <c r="AT184" i="3" s="1"/>
  <c r="AS185" i="3"/>
  <c r="AT185" i="3" s="1"/>
  <c r="AS186" i="3"/>
  <c r="AT186" i="3" s="1"/>
  <c r="AS187" i="3"/>
  <c r="AT187" i="3" s="1"/>
  <c r="AS188" i="3"/>
  <c r="AT188" i="3" s="1"/>
  <c r="AS189" i="3"/>
  <c r="AT189" i="3" s="1"/>
  <c r="AS190" i="3"/>
  <c r="AT190" i="3" s="1"/>
  <c r="AS191" i="3"/>
  <c r="AT191" i="3" s="1"/>
  <c r="AS192" i="3"/>
  <c r="AT192" i="3" s="1"/>
  <c r="AS193" i="3"/>
  <c r="AT193" i="3" s="1"/>
  <c r="AS194" i="3"/>
  <c r="AT194" i="3" s="1"/>
  <c r="AS195" i="3"/>
  <c r="AT195" i="3" s="1"/>
  <c r="AS196" i="3"/>
  <c r="AT196" i="3" s="1"/>
  <c r="AS197" i="3"/>
  <c r="AT197" i="3" s="1"/>
  <c r="AS198" i="3"/>
  <c r="AT198" i="3" s="1"/>
  <c r="AS199" i="3"/>
  <c r="AT199" i="3" s="1"/>
  <c r="AS200" i="3"/>
  <c r="AT200" i="3" s="1"/>
  <c r="AS201" i="3"/>
  <c r="AT201" i="3" s="1"/>
  <c r="AS202" i="3"/>
  <c r="AT202" i="3" s="1"/>
  <c r="AS203" i="3"/>
  <c r="AT203" i="3" s="1"/>
  <c r="AS204" i="3"/>
  <c r="AT204" i="3" s="1"/>
  <c r="AS205" i="3"/>
  <c r="AT205" i="3" s="1"/>
  <c r="AS206" i="3"/>
  <c r="AT206" i="3" s="1"/>
  <c r="AS207" i="3"/>
  <c r="AT207" i="3" s="1"/>
  <c r="AS208" i="3"/>
  <c r="AT208" i="3" s="1"/>
  <c r="AS209" i="3"/>
  <c r="AT209" i="3" s="1"/>
  <c r="AS210" i="3"/>
  <c r="AT210" i="3" s="1"/>
  <c r="AS211" i="3"/>
  <c r="AT211" i="3" s="1"/>
  <c r="AS212" i="3"/>
  <c r="AT212" i="3" s="1"/>
  <c r="AS213" i="3"/>
  <c r="AT213" i="3" s="1"/>
  <c r="AS214" i="3"/>
  <c r="AT214" i="3" s="1"/>
  <c r="AS215" i="3"/>
  <c r="AT215" i="3" s="1"/>
  <c r="AS217" i="3"/>
  <c r="AS218" i="3"/>
  <c r="AS219" i="3"/>
  <c r="AT219" i="3" s="1"/>
  <c r="AS220" i="3"/>
  <c r="AT220" i="3" s="1"/>
  <c r="AS221" i="3"/>
  <c r="AT221" i="3" s="1"/>
  <c r="AS222" i="3"/>
  <c r="AT222" i="3" s="1"/>
  <c r="AS223" i="3"/>
  <c r="AT223" i="3" s="1"/>
  <c r="AS224" i="3"/>
  <c r="AS225" i="3"/>
  <c r="AS226" i="3"/>
  <c r="AT226" i="3" s="1"/>
  <c r="AS227" i="3"/>
  <c r="AT227" i="3" s="1"/>
  <c r="AS228" i="3"/>
  <c r="AS229" i="3"/>
  <c r="AT229" i="3" s="1"/>
  <c r="AS230" i="3"/>
  <c r="AS232" i="3"/>
  <c r="AT232" i="3" s="1"/>
  <c r="AS233" i="3"/>
  <c r="AT233" i="3" s="1"/>
  <c r="AS234" i="3"/>
  <c r="AT234" i="3" s="1"/>
  <c r="AS235" i="3"/>
  <c r="AT235" i="3" s="1"/>
  <c r="AS236" i="3"/>
  <c r="AT236" i="3" s="1"/>
  <c r="AS239" i="3"/>
  <c r="AT239" i="3" s="1"/>
  <c r="AS240" i="3"/>
  <c r="AT240" i="3" s="1"/>
  <c r="AS241" i="3"/>
  <c r="AT241" i="3" s="1"/>
  <c r="AS242" i="3"/>
  <c r="AT242" i="3" s="1"/>
  <c r="AS243" i="3"/>
  <c r="AT243" i="3" s="1"/>
  <c r="AS244" i="3"/>
  <c r="AT244" i="3" s="1"/>
  <c r="AS245" i="3"/>
  <c r="AT245" i="3" s="1"/>
  <c r="AS246" i="3"/>
  <c r="AT246" i="3" s="1"/>
  <c r="AS247" i="3"/>
  <c r="AT247" i="3" s="1"/>
  <c r="AS249" i="3"/>
  <c r="AT249" i="3" s="1"/>
  <c r="AS250" i="3"/>
  <c r="AT250" i="3" s="1"/>
  <c r="AS252" i="3"/>
  <c r="AT252" i="3" s="1"/>
  <c r="AS254" i="3"/>
  <c r="AT254" i="3" s="1"/>
  <c r="AS255" i="3"/>
  <c r="AS256" i="3"/>
  <c r="AT256" i="3" s="1"/>
  <c r="AS257" i="3"/>
  <c r="AT257" i="3" s="1"/>
  <c r="AS258" i="3"/>
  <c r="AT258" i="3" s="1"/>
  <c r="AS259" i="3"/>
  <c r="AT259" i="3" s="1"/>
  <c r="AS260" i="3"/>
  <c r="AT260" i="3" s="1"/>
  <c r="AS261" i="3"/>
  <c r="AT261" i="3" s="1"/>
  <c r="AS262" i="3"/>
  <c r="AT262" i="3" s="1"/>
  <c r="AS263" i="3"/>
  <c r="AT263" i="3" s="1"/>
  <c r="AS264" i="3"/>
  <c r="AT264" i="3" s="1"/>
  <c r="AS265" i="3"/>
  <c r="AT265" i="3" s="1"/>
  <c r="AS266" i="3"/>
  <c r="AT266" i="3" s="1"/>
  <c r="AS267" i="3"/>
  <c r="AT267" i="3" s="1"/>
  <c r="AS268" i="3"/>
  <c r="AT268" i="3" s="1"/>
  <c r="AS271" i="3"/>
  <c r="AT271" i="3" s="1"/>
  <c r="AS272" i="3"/>
  <c r="AS273" i="3"/>
  <c r="AS274" i="3"/>
  <c r="AS275" i="3"/>
  <c r="AS277" i="3"/>
  <c r="AT277" i="3" s="1"/>
  <c r="AS6" i="3"/>
  <c r="AT6" i="3" s="1"/>
  <c r="R22" i="3"/>
  <c r="R21" i="3"/>
  <c r="R20" i="3"/>
  <c r="R19" i="3"/>
  <c r="R17" i="3"/>
  <c r="R18" i="3"/>
  <c r="BM130" i="3" l="1"/>
  <c r="BQ148" i="3"/>
  <c r="BB93" i="3"/>
  <c r="BQ147" i="3"/>
  <c r="AX90" i="3"/>
  <c r="AN10" i="3"/>
  <c r="AO10" i="3" s="1"/>
  <c r="AN11" i="3"/>
  <c r="AO11" i="3" s="1"/>
  <c r="AN12" i="3"/>
  <c r="AO12" i="3" s="1"/>
  <c r="AN13" i="3"/>
  <c r="AO13" i="3" s="1"/>
  <c r="AN15" i="3"/>
  <c r="AO15" i="3" s="1"/>
  <c r="AN17" i="3"/>
  <c r="AN18" i="3"/>
  <c r="AO18" i="3" s="1"/>
  <c r="AN19" i="3"/>
  <c r="AO19" i="3" s="1"/>
  <c r="AN20" i="3"/>
  <c r="AO20" i="3" s="1"/>
  <c r="AN21" i="3"/>
  <c r="AO21" i="3" s="1"/>
  <c r="AN22" i="3"/>
  <c r="AO22" i="3" s="1"/>
  <c r="AN23" i="3"/>
  <c r="AO23" i="3" s="1"/>
  <c r="AN24" i="3"/>
  <c r="AO24" i="3" s="1"/>
  <c r="AN25" i="3"/>
  <c r="AO25" i="3" s="1"/>
  <c r="AN26" i="3"/>
  <c r="AO26" i="3" s="1"/>
  <c r="AN27" i="3"/>
  <c r="AO27" i="3" s="1"/>
  <c r="AN29" i="3"/>
  <c r="AO29" i="3" s="1"/>
  <c r="AN30" i="3"/>
  <c r="AO30" i="3" s="1"/>
  <c r="AN31" i="3"/>
  <c r="AO31" i="3" s="1"/>
  <c r="AN32" i="3"/>
  <c r="AN33" i="3"/>
  <c r="AO33" i="3" s="1"/>
  <c r="AN34" i="3"/>
  <c r="AN35" i="3"/>
  <c r="AN36" i="3"/>
  <c r="AN39" i="3"/>
  <c r="AN40" i="3"/>
  <c r="AN41" i="3"/>
  <c r="AO41" i="3" s="1"/>
  <c r="AN42" i="3"/>
  <c r="AO42" i="3" s="1"/>
  <c r="AN43" i="3"/>
  <c r="AO43" i="3" s="1"/>
  <c r="AN44" i="3"/>
  <c r="AO44" i="3" s="1"/>
  <c r="AN45" i="3"/>
  <c r="AO45" i="3" s="1"/>
  <c r="AN46" i="3"/>
  <c r="AO46" i="3" s="1"/>
  <c r="AN47" i="3"/>
  <c r="AO47" i="3" s="1"/>
  <c r="AN48" i="3"/>
  <c r="AO48" i="3" s="1"/>
  <c r="AN49" i="3"/>
  <c r="AO49" i="3" s="1"/>
  <c r="AN52" i="3"/>
  <c r="AO52" i="3" s="1"/>
  <c r="AN53" i="3"/>
  <c r="AN54" i="3"/>
  <c r="AO54" i="3" s="1"/>
  <c r="AN55" i="3"/>
  <c r="AO55" i="3" s="1"/>
  <c r="AN57" i="3"/>
  <c r="AO57" i="3" s="1"/>
  <c r="AN58" i="3"/>
  <c r="AO58" i="3" s="1"/>
  <c r="AN59" i="3"/>
  <c r="AO59" i="3" s="1"/>
  <c r="AN60" i="3"/>
  <c r="AO60" i="3" s="1"/>
  <c r="AN61" i="3"/>
  <c r="AO61" i="3" s="1"/>
  <c r="AN62" i="3"/>
  <c r="AO62" i="3" s="1"/>
  <c r="AN63" i="3"/>
  <c r="AO63" i="3" s="1"/>
  <c r="AN64" i="3"/>
  <c r="AO64" i="3" s="1"/>
  <c r="AN65" i="3"/>
  <c r="AO65" i="3" s="1"/>
  <c r="AN66" i="3"/>
  <c r="AO66" i="3" s="1"/>
  <c r="AN67" i="3"/>
  <c r="AO67" i="3" s="1"/>
  <c r="AN68" i="3"/>
  <c r="AO68" i="3" s="1"/>
  <c r="AN69" i="3"/>
  <c r="AO69" i="3" s="1"/>
  <c r="AN70" i="3"/>
  <c r="AO70" i="3" s="1"/>
  <c r="AN71" i="3"/>
  <c r="AN72" i="3"/>
  <c r="AO72" i="3" s="1"/>
  <c r="AN75" i="3"/>
  <c r="AO75" i="3" s="1"/>
  <c r="AN76" i="3"/>
  <c r="AO76" i="3" s="1"/>
  <c r="AN77" i="3"/>
  <c r="AO77" i="3" s="1"/>
  <c r="AN78" i="3"/>
  <c r="AO78" i="3" s="1"/>
  <c r="AN79" i="3"/>
  <c r="AO79" i="3" s="1"/>
  <c r="AN80" i="3"/>
  <c r="AO80" i="3" s="1"/>
  <c r="AN81" i="3"/>
  <c r="AO81" i="3" s="1"/>
  <c r="AN83" i="3"/>
  <c r="AO83" i="3" s="1"/>
  <c r="AN84" i="3"/>
  <c r="AO84" i="3" s="1"/>
  <c r="AN85" i="3"/>
  <c r="AO85" i="3" s="1"/>
  <c r="AN86" i="3"/>
  <c r="AO86" i="3" s="1"/>
  <c r="AN87" i="3"/>
  <c r="AO87" i="3" s="1"/>
  <c r="AN88" i="3"/>
  <c r="AO88" i="3" s="1"/>
  <c r="AN89" i="3"/>
  <c r="AO89" i="3" s="1"/>
  <c r="AN90" i="3"/>
  <c r="AO90" i="3" s="1"/>
  <c r="AN91" i="3"/>
  <c r="AO91" i="3" s="1"/>
  <c r="AN92" i="3"/>
  <c r="AO92" i="3" s="1"/>
  <c r="AN93" i="3"/>
  <c r="AO93" i="3" s="1"/>
  <c r="AN94" i="3"/>
  <c r="AO94" i="3" s="1"/>
  <c r="AN96" i="3"/>
  <c r="AO96" i="3" s="1"/>
  <c r="AN97" i="3"/>
  <c r="AO97" i="3" s="1"/>
  <c r="AN98" i="3"/>
  <c r="AO98" i="3" s="1"/>
  <c r="AN99" i="3"/>
  <c r="AO99" i="3" s="1"/>
  <c r="AN100" i="3"/>
  <c r="AO100" i="3" s="1"/>
  <c r="AN101" i="3"/>
  <c r="AO101" i="3" s="1"/>
  <c r="AN104" i="3"/>
  <c r="AO104" i="3" s="1"/>
  <c r="AN105" i="3"/>
  <c r="AO105" i="3" s="1"/>
  <c r="AN106" i="3"/>
  <c r="AO106" i="3" s="1"/>
  <c r="AN107" i="3"/>
  <c r="AO107" i="3" s="1"/>
  <c r="AN108" i="3"/>
  <c r="AO108" i="3" s="1"/>
  <c r="AN109" i="3"/>
  <c r="AO109" i="3" s="1"/>
  <c r="AN110" i="3"/>
  <c r="AO110" i="3" s="1"/>
  <c r="AN111" i="3"/>
  <c r="AO111" i="3" s="1"/>
  <c r="AN112" i="3"/>
  <c r="AO112" i="3" s="1"/>
  <c r="AN113" i="3"/>
  <c r="AO113" i="3" s="1"/>
  <c r="AN114" i="3"/>
  <c r="AO114" i="3" s="1"/>
  <c r="AN115" i="3"/>
  <c r="AO115" i="3" s="1"/>
  <c r="AN116" i="3"/>
  <c r="AO116" i="3" s="1"/>
  <c r="AN117" i="3"/>
  <c r="AO117" i="3" s="1"/>
  <c r="AN118" i="3"/>
  <c r="AO118" i="3" s="1"/>
  <c r="AN119" i="3"/>
  <c r="AN120" i="3"/>
  <c r="AO120" i="3" s="1"/>
  <c r="AN121" i="3"/>
  <c r="AO121" i="3" s="1"/>
  <c r="AN123" i="3"/>
  <c r="AO123" i="3" s="1"/>
  <c r="AN125" i="3"/>
  <c r="AO125" i="3" s="1"/>
  <c r="AN126" i="3"/>
  <c r="AO126" i="3" s="1"/>
  <c r="AN127" i="3"/>
  <c r="AO127" i="3" s="1"/>
  <c r="AN129" i="3"/>
  <c r="AO129" i="3" s="1"/>
  <c r="AN130" i="3"/>
  <c r="AO130" i="3" s="1"/>
  <c r="AN131" i="3"/>
  <c r="AO131" i="3" s="1"/>
  <c r="AN132" i="3"/>
  <c r="AO132" i="3" s="1"/>
  <c r="AN133" i="3"/>
  <c r="AO133" i="3" s="1"/>
  <c r="AN134" i="3"/>
  <c r="AO134" i="3" s="1"/>
  <c r="AN135" i="3"/>
  <c r="AO135" i="3" s="1"/>
  <c r="AN136" i="3"/>
  <c r="AO136" i="3" s="1"/>
  <c r="AN137" i="3"/>
  <c r="AO137" i="3" s="1"/>
  <c r="AN138" i="3"/>
  <c r="AO138" i="3" s="1"/>
  <c r="AN139" i="3"/>
  <c r="AO139" i="3" s="1"/>
  <c r="AN140" i="3"/>
  <c r="AO140" i="3" s="1"/>
  <c r="AN141" i="3"/>
  <c r="AO141" i="3" s="1"/>
  <c r="AN142" i="3"/>
  <c r="AO142" i="3" s="1"/>
  <c r="AN143" i="3"/>
  <c r="AO143" i="3" s="1"/>
  <c r="AN144" i="3"/>
  <c r="AO144" i="3" s="1"/>
  <c r="AN146" i="3"/>
  <c r="AO146" i="3" s="1"/>
  <c r="AN147" i="3"/>
  <c r="AO147" i="3" s="1"/>
  <c r="AN148" i="3"/>
  <c r="AO148" i="3" s="1"/>
  <c r="AN149" i="3"/>
  <c r="AO149" i="3" s="1"/>
  <c r="AN150" i="3"/>
  <c r="AO150" i="3" s="1"/>
  <c r="AN151" i="3"/>
  <c r="AN152" i="3"/>
  <c r="AO152" i="3" s="1"/>
  <c r="AN153" i="3"/>
  <c r="AN154" i="3"/>
  <c r="AO154" i="3" s="1"/>
  <c r="AN155" i="3"/>
  <c r="AO155" i="3" s="1"/>
  <c r="AN156" i="3"/>
  <c r="AO156" i="3" s="1"/>
  <c r="AN157" i="3"/>
  <c r="AO157" i="3" s="1"/>
  <c r="AN158" i="3"/>
  <c r="AO158" i="3" s="1"/>
  <c r="AN159" i="3"/>
  <c r="AO159" i="3" s="1"/>
  <c r="AN160" i="3"/>
  <c r="AO160" i="3" s="1"/>
  <c r="AN161" i="3"/>
  <c r="AO161" i="3" s="1"/>
  <c r="AN162" i="3"/>
  <c r="AO162" i="3" s="1"/>
  <c r="AN163" i="3"/>
  <c r="AO163" i="3" s="1"/>
  <c r="AN164" i="3"/>
  <c r="AO164" i="3" s="1"/>
  <c r="AN165" i="3"/>
  <c r="AO165" i="3" s="1"/>
  <c r="AN166" i="3"/>
  <c r="AO166" i="3" s="1"/>
  <c r="AN167" i="3"/>
  <c r="AO167" i="3" s="1"/>
  <c r="AN168" i="3"/>
  <c r="AN169" i="3"/>
  <c r="AN170" i="3"/>
  <c r="AO170" i="3" s="1"/>
  <c r="AN171" i="3"/>
  <c r="AO171" i="3" s="1"/>
  <c r="AN173" i="3"/>
  <c r="AO173" i="3" s="1"/>
  <c r="AN174" i="3"/>
  <c r="AO174" i="3" s="1"/>
  <c r="AN175" i="3"/>
  <c r="AO175" i="3" s="1"/>
  <c r="AN176" i="3"/>
  <c r="AO176" i="3" s="1"/>
  <c r="AN177" i="3"/>
  <c r="AO177" i="3" s="1"/>
  <c r="AN178" i="3"/>
  <c r="AO178" i="3" s="1"/>
  <c r="AN179" i="3"/>
  <c r="AO179" i="3" s="1"/>
  <c r="AN180" i="3"/>
  <c r="AO180" i="3" s="1"/>
  <c r="AN181" i="3"/>
  <c r="AO181" i="3" s="1"/>
  <c r="AN182" i="3"/>
  <c r="AO182" i="3" s="1"/>
  <c r="AN183" i="3"/>
  <c r="AO183" i="3" s="1"/>
  <c r="AN184" i="3"/>
  <c r="AO184" i="3" s="1"/>
  <c r="AN185" i="3"/>
  <c r="AO185" i="3" s="1"/>
  <c r="AN186" i="3"/>
  <c r="AO186" i="3" s="1"/>
  <c r="AN187" i="3"/>
  <c r="AO187" i="3" s="1"/>
  <c r="AN188" i="3"/>
  <c r="AO188" i="3" s="1"/>
  <c r="AN189" i="3"/>
  <c r="AO189" i="3" s="1"/>
  <c r="AN190" i="3"/>
  <c r="AO190" i="3" s="1"/>
  <c r="AN191" i="3"/>
  <c r="AO191" i="3" s="1"/>
  <c r="AN192" i="3"/>
  <c r="AO192" i="3" s="1"/>
  <c r="AN193" i="3"/>
  <c r="AO193" i="3" s="1"/>
  <c r="AN194" i="3"/>
  <c r="AO194" i="3" s="1"/>
  <c r="AN195" i="3"/>
  <c r="AO195" i="3" s="1"/>
  <c r="AN196" i="3"/>
  <c r="AO196" i="3" s="1"/>
  <c r="AN197" i="3"/>
  <c r="AO197" i="3" s="1"/>
  <c r="AN198" i="3"/>
  <c r="AO198" i="3" s="1"/>
  <c r="AN199" i="3"/>
  <c r="AO199" i="3" s="1"/>
  <c r="AN200" i="3"/>
  <c r="AO200" i="3" s="1"/>
  <c r="AN201" i="3"/>
  <c r="AO201" i="3" s="1"/>
  <c r="AN202" i="3"/>
  <c r="AO202" i="3" s="1"/>
  <c r="AN203" i="3"/>
  <c r="AO203" i="3" s="1"/>
  <c r="AN204" i="3"/>
  <c r="AO204" i="3" s="1"/>
  <c r="AN205" i="3"/>
  <c r="AO205" i="3" s="1"/>
  <c r="AN206" i="3"/>
  <c r="AO206" i="3" s="1"/>
  <c r="AN207" i="3"/>
  <c r="AO207" i="3" s="1"/>
  <c r="AN208" i="3"/>
  <c r="AO208" i="3" s="1"/>
  <c r="AN209" i="3"/>
  <c r="AN210" i="3"/>
  <c r="AO210" i="3" s="1"/>
  <c r="AN211" i="3"/>
  <c r="AN212" i="3"/>
  <c r="AO212" i="3" s="1"/>
  <c r="AN213" i="3"/>
  <c r="AO213" i="3" s="1"/>
  <c r="AN214" i="3"/>
  <c r="AO214" i="3" s="1"/>
  <c r="AN215" i="3"/>
  <c r="AO215" i="3" s="1"/>
  <c r="AN217" i="3"/>
  <c r="AO217" i="3" s="1"/>
  <c r="AN218" i="3"/>
  <c r="AO218" i="3" s="1"/>
  <c r="AN219" i="3"/>
  <c r="AO219" i="3" s="1"/>
  <c r="AN220" i="3"/>
  <c r="AO220" i="3" s="1"/>
  <c r="AN221" i="3"/>
  <c r="AO221" i="3" s="1"/>
  <c r="AN222" i="3"/>
  <c r="AO222" i="3" s="1"/>
  <c r="AN223" i="3"/>
  <c r="AO223" i="3" s="1"/>
  <c r="AN224" i="3"/>
  <c r="AO224" i="3" s="1"/>
  <c r="AN225" i="3"/>
  <c r="AO225" i="3" s="1"/>
  <c r="AN226" i="3"/>
  <c r="AO226" i="3" s="1"/>
  <c r="AN227" i="3"/>
  <c r="AO227" i="3" s="1"/>
  <c r="AN228" i="3"/>
  <c r="AO228" i="3" s="1"/>
  <c r="AN229" i="3"/>
  <c r="AO229" i="3" s="1"/>
  <c r="AN230" i="3"/>
  <c r="AO230" i="3" s="1"/>
  <c r="AN232" i="3"/>
  <c r="AO232" i="3" s="1"/>
  <c r="AN233" i="3"/>
  <c r="AO233" i="3" s="1"/>
  <c r="AN234" i="3"/>
  <c r="AO234" i="3" s="1"/>
  <c r="AN235" i="3"/>
  <c r="AO235" i="3" s="1"/>
  <c r="AN236" i="3"/>
  <c r="AO236" i="3" s="1"/>
  <c r="AN239" i="3"/>
  <c r="AO239" i="3" s="1"/>
  <c r="AN240" i="3"/>
  <c r="AO240" i="3" s="1"/>
  <c r="AN241" i="3"/>
  <c r="AO241" i="3" s="1"/>
  <c r="AN242" i="3"/>
  <c r="AO242" i="3" s="1"/>
  <c r="AN243" i="3"/>
  <c r="AO243" i="3" s="1"/>
  <c r="AN244" i="3"/>
  <c r="AO244" i="3" s="1"/>
  <c r="AN245" i="3"/>
  <c r="AO245" i="3" s="1"/>
  <c r="AN246" i="3"/>
  <c r="AO246" i="3" s="1"/>
  <c r="AN247" i="3"/>
  <c r="AO247" i="3" s="1"/>
  <c r="AN249" i="3"/>
  <c r="AO249" i="3" s="1"/>
  <c r="AN250" i="3"/>
  <c r="AO250" i="3" s="1"/>
  <c r="AN252" i="3"/>
  <c r="AO252" i="3" s="1"/>
  <c r="AN254" i="3"/>
  <c r="AO254" i="3" s="1"/>
  <c r="AN255" i="3"/>
  <c r="AO255" i="3" s="1"/>
  <c r="AN256" i="3"/>
  <c r="AO256" i="3" s="1"/>
  <c r="AN257" i="3"/>
  <c r="AO257" i="3" s="1"/>
  <c r="AN258" i="3"/>
  <c r="AO258" i="3" s="1"/>
  <c r="AN259" i="3"/>
  <c r="AO259" i="3" s="1"/>
  <c r="AN260" i="3"/>
  <c r="AO260" i="3" s="1"/>
  <c r="AN261" i="3"/>
  <c r="AO261" i="3" s="1"/>
  <c r="AN262" i="3"/>
  <c r="AO262" i="3" s="1"/>
  <c r="AN263" i="3"/>
  <c r="AO263" i="3" s="1"/>
  <c r="AN264" i="3"/>
  <c r="AO264" i="3" s="1"/>
  <c r="AN265" i="3"/>
  <c r="AO265" i="3" s="1"/>
  <c r="AN266" i="3"/>
  <c r="AO266" i="3" s="1"/>
  <c r="AN267" i="3"/>
  <c r="AO267" i="3" s="1"/>
  <c r="AN268" i="3"/>
  <c r="AO268" i="3" s="1"/>
  <c r="AN271" i="3"/>
  <c r="AO271" i="3" s="1"/>
  <c r="AN272" i="3"/>
  <c r="AO272" i="3" s="1"/>
  <c r="AN273" i="3"/>
  <c r="AO273" i="3" s="1"/>
  <c r="AN274" i="3"/>
  <c r="AO274" i="3" s="1"/>
  <c r="AN275" i="3"/>
  <c r="AO275" i="3" s="1"/>
  <c r="AN277" i="3"/>
  <c r="AO277" i="3" s="1"/>
  <c r="AN6" i="3"/>
  <c r="AO6" i="3" s="1"/>
  <c r="AI208" i="3"/>
  <c r="AJ208" i="3" s="1"/>
  <c r="AI164" i="3"/>
  <c r="AJ164" i="3" s="1"/>
  <c r="AI161" i="3"/>
  <c r="AJ161" i="3" s="1"/>
  <c r="AI153" i="3"/>
  <c r="AJ153" i="3" s="1"/>
  <c r="AI129" i="3"/>
  <c r="AJ129" i="3" s="1"/>
  <c r="AI94" i="3"/>
  <c r="AJ94" i="3" s="1"/>
  <c r="AI9" i="3"/>
  <c r="AI10" i="3"/>
  <c r="AJ10" i="3" s="1"/>
  <c r="AJ11" i="3"/>
  <c r="AI12" i="3"/>
  <c r="AJ12" i="3" s="1"/>
  <c r="AI13" i="3"/>
  <c r="AJ13" i="3" s="1"/>
  <c r="AI15" i="3"/>
  <c r="AJ15" i="3" s="1"/>
  <c r="AI16" i="3"/>
  <c r="AI17" i="3"/>
  <c r="AJ17" i="3" s="1"/>
  <c r="AI18" i="3"/>
  <c r="AJ18" i="3" s="1"/>
  <c r="AI19" i="3"/>
  <c r="AJ19" i="3" s="1"/>
  <c r="AJ20" i="3"/>
  <c r="AI21" i="3"/>
  <c r="AJ21" i="3" s="1"/>
  <c r="AI22" i="3"/>
  <c r="AJ22" i="3" s="1"/>
  <c r="AI23" i="3"/>
  <c r="AJ23" i="3" s="1"/>
  <c r="AI24" i="3"/>
  <c r="AJ24" i="3" s="1"/>
  <c r="AI25" i="3"/>
  <c r="AJ25" i="3" s="1"/>
  <c r="AI26" i="3"/>
  <c r="AJ26" i="3" s="1"/>
  <c r="AI27" i="3"/>
  <c r="AJ27" i="3" s="1"/>
  <c r="AI28" i="3"/>
  <c r="AI29" i="3"/>
  <c r="AJ29" i="3" s="1"/>
  <c r="AI30" i="3"/>
  <c r="AJ30" i="3" s="1"/>
  <c r="AI31" i="3"/>
  <c r="AJ31" i="3" s="1"/>
  <c r="AI32" i="3"/>
  <c r="AJ32" i="3" s="1"/>
  <c r="AI33" i="3"/>
  <c r="AJ33" i="3" s="1"/>
  <c r="AI34" i="3"/>
  <c r="AJ34" i="3" s="1"/>
  <c r="AI36" i="3"/>
  <c r="AJ36" i="3" s="1"/>
  <c r="AI39" i="3"/>
  <c r="AJ39" i="3" s="1"/>
  <c r="AI40" i="3"/>
  <c r="AJ40" i="3" s="1"/>
  <c r="AI41" i="3"/>
  <c r="AJ41" i="3" s="1"/>
  <c r="AI42" i="3"/>
  <c r="AJ42" i="3" s="1"/>
  <c r="AI43" i="3"/>
  <c r="AJ43" i="3" s="1"/>
  <c r="AI44" i="3"/>
  <c r="AJ44" i="3" s="1"/>
  <c r="AI45" i="3"/>
  <c r="AJ45" i="3" s="1"/>
  <c r="AI46" i="3"/>
  <c r="AJ46" i="3" s="1"/>
  <c r="AI47" i="3"/>
  <c r="AJ47" i="3" s="1"/>
  <c r="AI48" i="3"/>
  <c r="AJ48" i="3" s="1"/>
  <c r="AI49" i="3"/>
  <c r="AJ49" i="3" s="1"/>
  <c r="AI51" i="3"/>
  <c r="AI52" i="3"/>
  <c r="AJ52" i="3" s="1"/>
  <c r="AI53" i="3"/>
  <c r="AJ53" i="3" s="1"/>
  <c r="AI54" i="3"/>
  <c r="AJ54" i="3" s="1"/>
  <c r="AI55" i="3"/>
  <c r="AJ55" i="3" s="1"/>
  <c r="AI56" i="3"/>
  <c r="AI57" i="3"/>
  <c r="AJ57" i="3" s="1"/>
  <c r="AI58" i="3"/>
  <c r="AJ58" i="3" s="1"/>
  <c r="AI59" i="3"/>
  <c r="AJ59" i="3" s="1"/>
  <c r="AI60" i="3"/>
  <c r="AJ60" i="3" s="1"/>
  <c r="AI61" i="3"/>
  <c r="AI62" i="3"/>
  <c r="AI63" i="3"/>
  <c r="AJ63" i="3" s="1"/>
  <c r="AI64" i="3"/>
  <c r="AJ64" i="3" s="1"/>
  <c r="AI65" i="3"/>
  <c r="AJ65" i="3" s="1"/>
  <c r="AI66" i="3"/>
  <c r="AJ66" i="3" s="1"/>
  <c r="AI67" i="3"/>
  <c r="AJ67" i="3" s="1"/>
  <c r="AI68" i="3"/>
  <c r="AJ68" i="3" s="1"/>
  <c r="AI69" i="3"/>
  <c r="AJ69" i="3" s="1"/>
  <c r="AI70" i="3"/>
  <c r="AJ70" i="3" s="1"/>
  <c r="AI71" i="3"/>
  <c r="AJ71" i="3" s="1"/>
  <c r="AI72" i="3"/>
  <c r="AJ72" i="3" s="1"/>
  <c r="AI73" i="3"/>
  <c r="AI74" i="3"/>
  <c r="AI75" i="3"/>
  <c r="AJ75" i="3" s="1"/>
  <c r="AI76" i="3"/>
  <c r="AJ76" i="3" s="1"/>
  <c r="AI77" i="3"/>
  <c r="AJ77" i="3" s="1"/>
  <c r="AI78" i="3"/>
  <c r="AJ78" i="3" s="1"/>
  <c r="AI79" i="3"/>
  <c r="AJ79" i="3" s="1"/>
  <c r="AI80" i="3"/>
  <c r="AJ80" i="3" s="1"/>
  <c r="AI81" i="3"/>
  <c r="AJ81" i="3" s="1"/>
  <c r="AI83" i="3"/>
  <c r="AJ83" i="3" s="1"/>
  <c r="AI84" i="3"/>
  <c r="AJ84" i="3" s="1"/>
  <c r="AI85" i="3"/>
  <c r="AJ85" i="3" s="1"/>
  <c r="AI86" i="3"/>
  <c r="AJ86" i="3" s="1"/>
  <c r="AI87" i="3"/>
  <c r="AJ87" i="3" s="1"/>
  <c r="AI88" i="3"/>
  <c r="AJ88" i="3" s="1"/>
  <c r="AI89" i="3"/>
  <c r="AJ89" i="3" s="1"/>
  <c r="AI90" i="3"/>
  <c r="AJ90" i="3" s="1"/>
  <c r="AI91" i="3"/>
  <c r="AJ91" i="3" s="1"/>
  <c r="AI92" i="3"/>
  <c r="AJ92" i="3" s="1"/>
  <c r="AI93" i="3"/>
  <c r="AJ93" i="3" s="1"/>
  <c r="AI95" i="3"/>
  <c r="AI96" i="3"/>
  <c r="AJ96" i="3" s="1"/>
  <c r="AI97" i="3"/>
  <c r="AJ97" i="3" s="1"/>
  <c r="AI98" i="3"/>
  <c r="AJ98" i="3" s="1"/>
  <c r="AI99" i="3"/>
  <c r="AJ99" i="3" s="1"/>
  <c r="AI100" i="3"/>
  <c r="AJ100" i="3" s="1"/>
  <c r="AI101" i="3"/>
  <c r="AJ101" i="3" s="1"/>
  <c r="AI103" i="3"/>
  <c r="AI104" i="3"/>
  <c r="AJ104" i="3" s="1"/>
  <c r="AI105" i="3"/>
  <c r="AJ105" i="3" s="1"/>
  <c r="AI106" i="3"/>
  <c r="AJ106" i="3" s="1"/>
  <c r="AI107" i="3"/>
  <c r="AJ107" i="3" s="1"/>
  <c r="AI108" i="3"/>
  <c r="AJ108" i="3" s="1"/>
  <c r="AI109" i="3"/>
  <c r="AJ109" i="3" s="1"/>
  <c r="AI110" i="3"/>
  <c r="AJ110" i="3" s="1"/>
  <c r="AI111" i="3"/>
  <c r="AJ111" i="3" s="1"/>
  <c r="AI112" i="3"/>
  <c r="AJ112" i="3" s="1"/>
  <c r="AI113" i="3"/>
  <c r="AJ113" i="3" s="1"/>
  <c r="AI114" i="3"/>
  <c r="AJ114" i="3" s="1"/>
  <c r="AI115" i="3"/>
  <c r="AJ115" i="3" s="1"/>
  <c r="AI116" i="3"/>
  <c r="AJ116" i="3" s="1"/>
  <c r="AI117" i="3"/>
  <c r="AJ117" i="3" s="1"/>
  <c r="AI118" i="3"/>
  <c r="AJ118" i="3" s="1"/>
  <c r="AI119" i="3"/>
  <c r="AJ119" i="3" s="1"/>
  <c r="AI120" i="3"/>
  <c r="AJ120" i="3" s="1"/>
  <c r="AI121" i="3"/>
  <c r="AJ121" i="3" s="1"/>
  <c r="AI122" i="3"/>
  <c r="AI123" i="3"/>
  <c r="AJ123" i="3" s="1"/>
  <c r="AI124" i="3"/>
  <c r="AI125" i="3"/>
  <c r="AJ125" i="3" s="1"/>
  <c r="AI126" i="3"/>
  <c r="AJ126" i="3" s="1"/>
  <c r="AI127" i="3"/>
  <c r="AJ127" i="3" s="1"/>
  <c r="AI130" i="3"/>
  <c r="AJ130" i="3" s="1"/>
  <c r="AI131" i="3"/>
  <c r="AJ131" i="3" s="1"/>
  <c r="AI132" i="3"/>
  <c r="AJ132" i="3" s="1"/>
  <c r="AI133" i="3"/>
  <c r="AJ133" i="3" s="1"/>
  <c r="AI134" i="3"/>
  <c r="AJ134" i="3" s="1"/>
  <c r="AI135" i="3"/>
  <c r="AJ135" i="3" s="1"/>
  <c r="AI136" i="3"/>
  <c r="AJ136" i="3" s="1"/>
  <c r="AI137" i="3"/>
  <c r="AJ137" i="3" s="1"/>
  <c r="AI138" i="3"/>
  <c r="AJ138" i="3" s="1"/>
  <c r="AI139" i="3"/>
  <c r="AJ139" i="3" s="1"/>
  <c r="AI140" i="3"/>
  <c r="AJ140" i="3" s="1"/>
  <c r="AI141" i="3"/>
  <c r="AJ141" i="3" s="1"/>
  <c r="AI142" i="3"/>
  <c r="AJ142" i="3" s="1"/>
  <c r="AI143" i="3"/>
  <c r="AJ143" i="3" s="1"/>
  <c r="AI144" i="3"/>
  <c r="AJ144" i="3" s="1"/>
  <c r="AI146" i="3"/>
  <c r="AJ146" i="3" s="1"/>
  <c r="AI147" i="3"/>
  <c r="AJ147" i="3" s="1"/>
  <c r="AI148" i="3"/>
  <c r="AJ148" i="3" s="1"/>
  <c r="AI149" i="3"/>
  <c r="AJ149" i="3" s="1"/>
  <c r="AI150" i="3"/>
  <c r="AJ150" i="3" s="1"/>
  <c r="AI151" i="3"/>
  <c r="AJ151" i="3" s="1"/>
  <c r="AI152" i="3"/>
  <c r="AJ152" i="3" s="1"/>
  <c r="AI154" i="3"/>
  <c r="AJ154" i="3" s="1"/>
  <c r="AI155" i="3"/>
  <c r="AJ155" i="3" s="1"/>
  <c r="AI156" i="3"/>
  <c r="AJ156" i="3" s="1"/>
  <c r="AI157" i="3"/>
  <c r="AJ157" i="3" s="1"/>
  <c r="AI158" i="3"/>
  <c r="AJ158" i="3" s="1"/>
  <c r="AI159" i="3"/>
  <c r="AJ159" i="3" s="1"/>
  <c r="AI160" i="3"/>
  <c r="AJ160" i="3" s="1"/>
  <c r="AI162" i="3"/>
  <c r="AJ162" i="3" s="1"/>
  <c r="AI163" i="3"/>
  <c r="AJ163" i="3" s="1"/>
  <c r="AI165" i="3"/>
  <c r="AJ165" i="3" s="1"/>
  <c r="AI166" i="3"/>
  <c r="AJ166" i="3" s="1"/>
  <c r="AI167" i="3"/>
  <c r="AJ167" i="3" s="1"/>
  <c r="AI168" i="3"/>
  <c r="AJ168" i="3" s="1"/>
  <c r="AI169" i="3"/>
  <c r="AJ169" i="3" s="1"/>
  <c r="AI170" i="3"/>
  <c r="AJ170" i="3" s="1"/>
  <c r="AI171" i="3"/>
  <c r="AJ171" i="3" s="1"/>
  <c r="AI173" i="3"/>
  <c r="AJ173" i="3" s="1"/>
  <c r="AI174" i="3"/>
  <c r="AJ174" i="3" s="1"/>
  <c r="AI175" i="3"/>
  <c r="AJ175" i="3" s="1"/>
  <c r="AI176" i="3"/>
  <c r="AJ176" i="3" s="1"/>
  <c r="AI177" i="3"/>
  <c r="AJ177" i="3" s="1"/>
  <c r="AI178" i="3"/>
  <c r="AJ178" i="3" s="1"/>
  <c r="AI179" i="3"/>
  <c r="AJ179" i="3" s="1"/>
  <c r="AI180" i="3"/>
  <c r="AJ180" i="3" s="1"/>
  <c r="AI181" i="3"/>
  <c r="AJ181" i="3" s="1"/>
  <c r="AI182" i="3"/>
  <c r="AJ182" i="3" s="1"/>
  <c r="AI183" i="3"/>
  <c r="AJ183" i="3" s="1"/>
  <c r="AI184" i="3"/>
  <c r="AJ184" i="3" s="1"/>
  <c r="AI185" i="3"/>
  <c r="AJ185" i="3" s="1"/>
  <c r="AI186" i="3"/>
  <c r="AJ186" i="3" s="1"/>
  <c r="AI187" i="3"/>
  <c r="AJ187" i="3" s="1"/>
  <c r="AI188" i="3"/>
  <c r="AJ188" i="3" s="1"/>
  <c r="AI189" i="3"/>
  <c r="AJ189" i="3" s="1"/>
  <c r="AI190" i="3"/>
  <c r="AJ190" i="3" s="1"/>
  <c r="AI191" i="3"/>
  <c r="AJ191" i="3" s="1"/>
  <c r="AI192" i="3"/>
  <c r="AJ192" i="3" s="1"/>
  <c r="AI193" i="3"/>
  <c r="AJ193" i="3" s="1"/>
  <c r="AI194" i="3"/>
  <c r="AJ194" i="3" s="1"/>
  <c r="AI195" i="3"/>
  <c r="AJ195" i="3" s="1"/>
  <c r="AI196" i="3"/>
  <c r="AJ196" i="3" s="1"/>
  <c r="AI197" i="3"/>
  <c r="AJ197" i="3" s="1"/>
  <c r="AI198" i="3"/>
  <c r="AJ198" i="3" s="1"/>
  <c r="AI199" i="3"/>
  <c r="AJ199" i="3" s="1"/>
  <c r="AI200" i="3"/>
  <c r="AJ200" i="3" s="1"/>
  <c r="AI201" i="3"/>
  <c r="AJ201" i="3" s="1"/>
  <c r="AI202" i="3"/>
  <c r="AJ202" i="3" s="1"/>
  <c r="AI203" i="3"/>
  <c r="AJ203" i="3" s="1"/>
  <c r="AI204" i="3"/>
  <c r="AJ204" i="3" s="1"/>
  <c r="AI205" i="3"/>
  <c r="AJ205" i="3" s="1"/>
  <c r="AI206" i="3"/>
  <c r="AJ206" i="3" s="1"/>
  <c r="AI207" i="3"/>
  <c r="AJ207" i="3" s="1"/>
  <c r="AI209" i="3"/>
  <c r="AJ209" i="3" s="1"/>
  <c r="AI210" i="3"/>
  <c r="AJ210" i="3" s="1"/>
  <c r="AI211" i="3"/>
  <c r="AJ211" i="3" s="1"/>
  <c r="AI212" i="3"/>
  <c r="AJ212" i="3" s="1"/>
  <c r="AI213" i="3"/>
  <c r="AJ213" i="3" s="1"/>
  <c r="AI214" i="3"/>
  <c r="AJ214" i="3" s="1"/>
  <c r="AI215" i="3"/>
  <c r="AJ215" i="3" s="1"/>
  <c r="AI217" i="3"/>
  <c r="AJ217" i="3" s="1"/>
  <c r="AI219" i="3"/>
  <c r="AJ219" i="3" s="1"/>
  <c r="AI220" i="3"/>
  <c r="AJ220" i="3" s="1"/>
  <c r="AI221" i="3"/>
  <c r="AJ221" i="3" s="1"/>
  <c r="AI222" i="3"/>
  <c r="AJ222" i="3" s="1"/>
  <c r="AI223" i="3"/>
  <c r="AJ223" i="3" s="1"/>
  <c r="AI224" i="3"/>
  <c r="AJ224" i="3" s="1"/>
  <c r="AI225" i="3"/>
  <c r="AJ225" i="3" s="1"/>
  <c r="AI226" i="3"/>
  <c r="AJ226" i="3" s="1"/>
  <c r="AI227" i="3"/>
  <c r="AJ227" i="3" s="1"/>
  <c r="AI228" i="3"/>
  <c r="AJ228" i="3" s="1"/>
  <c r="AI229" i="3"/>
  <c r="AJ229" i="3" s="1"/>
  <c r="AI230" i="3"/>
  <c r="AJ230" i="3" s="1"/>
  <c r="AI231" i="3"/>
  <c r="AI232" i="3"/>
  <c r="AJ232" i="3" s="1"/>
  <c r="AI233" i="3"/>
  <c r="AJ233" i="3" s="1"/>
  <c r="AI234" i="3"/>
  <c r="AJ234" i="3" s="1"/>
  <c r="AI235" i="3"/>
  <c r="AJ235" i="3" s="1"/>
  <c r="AI236" i="3"/>
  <c r="AJ236" i="3" s="1"/>
  <c r="AI237" i="3"/>
  <c r="AI238" i="3"/>
  <c r="AI239" i="3"/>
  <c r="AJ239" i="3" s="1"/>
  <c r="AI240" i="3"/>
  <c r="AJ240" i="3" s="1"/>
  <c r="AI241" i="3"/>
  <c r="AJ241" i="3" s="1"/>
  <c r="AI242" i="3"/>
  <c r="AJ242" i="3" s="1"/>
  <c r="AI243" i="3"/>
  <c r="AJ243" i="3" s="1"/>
  <c r="AI244" i="3"/>
  <c r="AJ244" i="3" s="1"/>
  <c r="AI245" i="3"/>
  <c r="AJ245" i="3" s="1"/>
  <c r="AI246" i="3"/>
  <c r="AJ246" i="3" s="1"/>
  <c r="AI247" i="3"/>
  <c r="AJ247" i="3" s="1"/>
  <c r="AI248" i="3"/>
  <c r="AI249" i="3"/>
  <c r="AJ249" i="3" s="1"/>
  <c r="AI250" i="3"/>
  <c r="AJ250" i="3" s="1"/>
  <c r="AI252" i="3"/>
  <c r="AJ252" i="3" s="1"/>
  <c r="AI253" i="3"/>
  <c r="AI254" i="3"/>
  <c r="AJ254" i="3" s="1"/>
  <c r="AI255" i="3"/>
  <c r="AJ255" i="3" s="1"/>
  <c r="AI256" i="3"/>
  <c r="AJ256" i="3" s="1"/>
  <c r="AI257" i="3"/>
  <c r="AJ257" i="3" s="1"/>
  <c r="AI258" i="3"/>
  <c r="AJ258" i="3" s="1"/>
  <c r="AI259" i="3"/>
  <c r="AJ259" i="3" s="1"/>
  <c r="AI260" i="3"/>
  <c r="AJ260" i="3" s="1"/>
  <c r="AI261" i="3"/>
  <c r="AJ261" i="3" s="1"/>
  <c r="AI262" i="3"/>
  <c r="AJ262" i="3" s="1"/>
  <c r="AI263" i="3"/>
  <c r="AJ263" i="3" s="1"/>
  <c r="AI264" i="3"/>
  <c r="AJ264" i="3" s="1"/>
  <c r="AI265" i="3"/>
  <c r="AJ265" i="3" s="1"/>
  <c r="AI266" i="3"/>
  <c r="AJ266" i="3" s="1"/>
  <c r="AI267" i="3"/>
  <c r="AJ267" i="3" s="1"/>
  <c r="AI268" i="3"/>
  <c r="AJ268" i="3" s="1"/>
  <c r="AI269" i="3"/>
  <c r="AI271" i="3"/>
  <c r="AJ271" i="3" s="1"/>
  <c r="AI272" i="3"/>
  <c r="AJ272" i="3" s="1"/>
  <c r="AI274" i="3"/>
  <c r="AJ274" i="3" s="1"/>
  <c r="AI275" i="3"/>
  <c r="AJ275" i="3" s="1"/>
  <c r="AI277" i="3"/>
  <c r="AJ277" i="3" s="1"/>
  <c r="AI6" i="3"/>
  <c r="AJ6" i="3" s="1"/>
  <c r="R16" i="3"/>
  <c r="V22" i="4" s="1"/>
  <c r="R15" i="3"/>
  <c r="U22" i="4" s="1"/>
  <c r="R13" i="3"/>
  <c r="R10" i="3"/>
  <c r="R22" i="4" s="1"/>
  <c r="R11" i="3"/>
  <c r="S22" i="4" s="1"/>
  <c r="R12" i="3"/>
  <c r="R9" i="3"/>
  <c r="R8" i="3"/>
  <c r="R7" i="3"/>
  <c r="R6" i="3"/>
  <c r="P22" i="4" s="1"/>
  <c r="AJ61" i="3" l="1"/>
  <c r="AO71" i="3"/>
  <c r="AJ62" i="3"/>
  <c r="Q22" i="4"/>
  <c r="T22" i="4"/>
  <c r="CS277" i="3"/>
  <c r="CU277" i="3" s="1"/>
  <c r="EC276" i="3"/>
  <c r="CU52" i="4" s="1"/>
  <c r="O52" i="4" s="1"/>
  <c r="DA276" i="3"/>
  <c r="CS276" i="3"/>
  <c r="CU276" i="3" s="1"/>
  <c r="BX276" i="3"/>
  <c r="BW276" i="3"/>
  <c r="BV276" i="3"/>
  <c r="BT276" i="3"/>
  <c r="BU276" i="3" s="1"/>
  <c r="AY276" i="3"/>
  <c r="AH276" i="3"/>
  <c r="DA275" i="3"/>
  <c r="CS275" i="3"/>
  <c r="CU275" i="3" s="1"/>
  <c r="BW275" i="3"/>
  <c r="BV275" i="3"/>
  <c r="AR275" i="3"/>
  <c r="AT275" i="3"/>
  <c r="DA274" i="3"/>
  <c r="CS274" i="3"/>
  <c r="CU274" i="3" s="1"/>
  <c r="BW274" i="3"/>
  <c r="BV274" i="3"/>
  <c r="BU274" i="3"/>
  <c r="AR274" i="3"/>
  <c r="AT274" i="3"/>
  <c r="DA273" i="3"/>
  <c r="CS273" i="3"/>
  <c r="CU273" i="3" s="1"/>
  <c r="BW273" i="3"/>
  <c r="BV273" i="3"/>
  <c r="BU273" i="3"/>
  <c r="AY273" i="3"/>
  <c r="AR273" i="3"/>
  <c r="AT273" i="3"/>
  <c r="CS272" i="3"/>
  <c r="CU272" i="3" s="1"/>
  <c r="BO272" i="3"/>
  <c r="BQ272" i="3" s="1"/>
  <c r="AT272" i="3"/>
  <c r="CS271" i="3"/>
  <c r="CU271" i="3" s="1"/>
  <c r="CS270" i="3"/>
  <c r="CU270" i="3" s="1"/>
  <c r="BO270" i="3"/>
  <c r="AZ270" i="3"/>
  <c r="AR270" i="3"/>
  <c r="DA269" i="3"/>
  <c r="AR269" i="3"/>
  <c r="CS268" i="3"/>
  <c r="CU268" i="3" s="1"/>
  <c r="CS267" i="3"/>
  <c r="CU267" i="3" s="1"/>
  <c r="CS266" i="3"/>
  <c r="CU266" i="3" s="1"/>
  <c r="CS265" i="3"/>
  <c r="CU265" i="3" s="1"/>
  <c r="CS264" i="3"/>
  <c r="CU264" i="3" s="1"/>
  <c r="CS263" i="3"/>
  <c r="CU263" i="3" s="1"/>
  <c r="CS262" i="3"/>
  <c r="CU262" i="3" s="1"/>
  <c r="CS261" i="3"/>
  <c r="CU261" i="3" s="1"/>
  <c r="CS260" i="3"/>
  <c r="CU260" i="3" s="1"/>
  <c r="CS259" i="3"/>
  <c r="CU259" i="3" s="1"/>
  <c r="CS258" i="3"/>
  <c r="CU258" i="3" s="1"/>
  <c r="CS257" i="3"/>
  <c r="CU257" i="3" s="1"/>
  <c r="BW257" i="3"/>
  <c r="BV257" i="3"/>
  <c r="BT257" i="3"/>
  <c r="CS256" i="3"/>
  <c r="CU256" i="3" s="1"/>
  <c r="CS255" i="3"/>
  <c r="CU255" i="3" s="1"/>
  <c r="BU255" i="3"/>
  <c r="BO255" i="3"/>
  <c r="BQ255" i="3" s="1"/>
  <c r="BD255" i="3"/>
  <c r="BF255" i="3" s="1"/>
  <c r="AZ255" i="3"/>
  <c r="BB255" i="3" s="1"/>
  <c r="AR255" i="3"/>
  <c r="AT255" i="3"/>
  <c r="CS254" i="3"/>
  <c r="CU254" i="3" s="1"/>
  <c r="CS253" i="3"/>
  <c r="CU253" i="3" s="1"/>
  <c r="CS252" i="3"/>
  <c r="CU252" i="3" s="1"/>
  <c r="CS250" i="3"/>
  <c r="CU250" i="3" s="1"/>
  <c r="CS249" i="3"/>
  <c r="CU249" i="3" s="1"/>
  <c r="EO248" i="3"/>
  <c r="CS56" i="4" s="1"/>
  <c r="O56" i="4" s="1"/>
  <c r="DN248" i="3"/>
  <c r="CS38" i="4" s="1"/>
  <c r="CS139" i="4"/>
  <c r="CS140" i="4" s="1"/>
  <c r="CJ248" i="3"/>
  <c r="CI248" i="3"/>
  <c r="BS248" i="3"/>
  <c r="AM248" i="3"/>
  <c r="AH248" i="3"/>
  <c r="CS246" i="3"/>
  <c r="CU246" i="3" s="1"/>
  <c r="CS245" i="3"/>
  <c r="CU245" i="3" s="1"/>
  <c r="CS243" i="3"/>
  <c r="CU243" i="3" s="1"/>
  <c r="CS242" i="3"/>
  <c r="CU242" i="3" s="1"/>
  <c r="CS241" i="3"/>
  <c r="CU241" i="3" s="1"/>
  <c r="CS240" i="3"/>
  <c r="CU240" i="3" s="1"/>
  <c r="CS239" i="3"/>
  <c r="CU239" i="3" s="1"/>
  <c r="DA238" i="3"/>
  <c r="CS238" i="3"/>
  <c r="CU238" i="3" s="1"/>
  <c r="CS237" i="3"/>
  <c r="CU237" i="3" s="1"/>
  <c r="CS236" i="3"/>
  <c r="CU236" i="3" s="1"/>
  <c r="CS235" i="3"/>
  <c r="CU235" i="3" s="1"/>
  <c r="CS234" i="3"/>
  <c r="CU234" i="3" s="1"/>
  <c r="CS233" i="3"/>
  <c r="CU233" i="3" s="1"/>
  <c r="CS232" i="3"/>
  <c r="CU232" i="3" s="1"/>
  <c r="DK231" i="3"/>
  <c r="CP37" i="4" s="1"/>
  <c r="O37" i="4" s="1"/>
  <c r="DA231" i="3"/>
  <c r="CS231" i="3"/>
  <c r="CU231" i="3" s="1"/>
  <c r="BU231" i="3"/>
  <c r="AR231" i="3"/>
  <c r="CS230" i="3"/>
  <c r="CU230" i="3" s="1"/>
  <c r="AZ230" i="3"/>
  <c r="BB230" i="3" s="1"/>
  <c r="AR230" i="3"/>
  <c r="AT230" i="3"/>
  <c r="CS229" i="3"/>
  <c r="CU229" i="3" s="1"/>
  <c r="CS228" i="3"/>
  <c r="CU228" i="3" s="1"/>
  <c r="AT228" i="3"/>
  <c r="CS227" i="3"/>
  <c r="CU227" i="3" s="1"/>
  <c r="CS226" i="3"/>
  <c r="CU226" i="3" s="1"/>
  <c r="CS225" i="3"/>
  <c r="CU225" i="3" s="1"/>
  <c r="AT225" i="3"/>
  <c r="CS224" i="3"/>
  <c r="CU224" i="3" s="1"/>
  <c r="BO224" i="3"/>
  <c r="BQ224" i="3" s="1"/>
  <c r="AZ224" i="3"/>
  <c r="BB224" i="3" s="1"/>
  <c r="AT224" i="3"/>
  <c r="CS223" i="3"/>
  <c r="CU223" i="3" s="1"/>
  <c r="CS222" i="3"/>
  <c r="CU222" i="3" s="1"/>
  <c r="CS221" i="3"/>
  <c r="CU221" i="3" s="1"/>
  <c r="CS219" i="3"/>
  <c r="CU219" i="3" s="1"/>
  <c r="CJ218" i="3"/>
  <c r="CD218" i="3"/>
  <c r="BX218" i="3"/>
  <c r="BU218" i="3"/>
  <c r="AY218" i="3"/>
  <c r="BA218" i="3" s="1"/>
  <c r="AR218" i="3"/>
  <c r="AT218" i="3"/>
  <c r="DA217" i="3"/>
  <c r="CS217" i="3"/>
  <c r="CU217" i="3" s="1"/>
  <c r="BU217" i="3"/>
  <c r="AZ217" i="3"/>
  <c r="BB217" i="3" s="1"/>
  <c r="AR217" i="3"/>
  <c r="AT217" i="3"/>
  <c r="DN216" i="3"/>
  <c r="DH216" i="3"/>
  <c r="CP26" i="4" s="1"/>
  <c r="DA216" i="3"/>
  <c r="CS216" i="3"/>
  <c r="CU216" i="3" s="1"/>
  <c r="BT216" i="3"/>
  <c r="BU216" i="3" s="1"/>
  <c r="AY216" i="3"/>
  <c r="AH216" i="3"/>
  <c r="CS215" i="3"/>
  <c r="CU215" i="3" s="1"/>
  <c r="CS214" i="3"/>
  <c r="CU214" i="3" s="1"/>
  <c r="CS213" i="3"/>
  <c r="CU213" i="3" s="1"/>
  <c r="CS212" i="3"/>
  <c r="CU212" i="3" s="1"/>
  <c r="DN211" i="3"/>
  <c r="CS211" i="3"/>
  <c r="CU211" i="3" s="1"/>
  <c r="BH211" i="3"/>
  <c r="BM211" i="3" s="1"/>
  <c r="BD211" i="3"/>
  <c r="BF211" i="3" s="1"/>
  <c r="AV211" i="3"/>
  <c r="AX211" i="3" s="1"/>
  <c r="AL211" i="3"/>
  <c r="AO211" i="3" s="1"/>
  <c r="CY209" i="3"/>
  <c r="CS209" i="3"/>
  <c r="CU209" i="3" s="1"/>
  <c r="BH209" i="3"/>
  <c r="BM209" i="3" s="1"/>
  <c r="BD209" i="3"/>
  <c r="BF209" i="3" s="1"/>
  <c r="AZ209" i="3"/>
  <c r="BB209" i="3" s="1"/>
  <c r="AV209" i="3"/>
  <c r="AX209" i="3" s="1"/>
  <c r="AL209" i="3"/>
  <c r="AO209" i="3" s="1"/>
  <c r="CS208" i="3"/>
  <c r="CU208" i="3" s="1"/>
  <c r="CS207" i="3"/>
  <c r="CU207" i="3" s="1"/>
  <c r="CS206" i="3"/>
  <c r="CU206" i="3" s="1"/>
  <c r="CS205" i="3"/>
  <c r="CU205" i="3" s="1"/>
  <c r="CS204" i="3"/>
  <c r="CU204" i="3" s="1"/>
  <c r="CS203" i="3"/>
  <c r="CU203" i="3" s="1"/>
  <c r="DN202" i="3"/>
  <c r="CM38" i="4" s="1"/>
  <c r="DH202" i="3"/>
  <c r="CM26" i="4" s="1"/>
  <c r="CM139" i="4"/>
  <c r="CS202" i="3"/>
  <c r="CU202" i="3" s="1"/>
  <c r="CS201" i="3"/>
  <c r="CU201" i="3" s="1"/>
  <c r="CS200" i="3"/>
  <c r="CU200" i="3" s="1"/>
  <c r="CS199" i="3"/>
  <c r="CU199" i="3" s="1"/>
  <c r="CS198" i="3"/>
  <c r="CU198" i="3" s="1"/>
  <c r="CS197" i="3"/>
  <c r="CU197" i="3" s="1"/>
  <c r="CS196" i="3"/>
  <c r="CU196" i="3" s="1"/>
  <c r="CS195" i="3"/>
  <c r="CU195" i="3" s="1"/>
  <c r="CS194" i="3"/>
  <c r="CU194" i="3" s="1"/>
  <c r="CS193" i="3"/>
  <c r="CU193" i="3" s="1"/>
  <c r="CS192" i="3"/>
  <c r="CU192" i="3" s="1"/>
  <c r="CS191" i="3"/>
  <c r="CU191" i="3" s="1"/>
  <c r="CS190" i="3"/>
  <c r="CU190" i="3" s="1"/>
  <c r="CS189" i="3"/>
  <c r="CU189" i="3" s="1"/>
  <c r="CS188" i="3"/>
  <c r="CU188" i="3" s="1"/>
  <c r="CS187" i="3"/>
  <c r="CU187" i="3" s="1"/>
  <c r="CS186" i="3"/>
  <c r="CU186" i="3" s="1"/>
  <c r="CS185" i="3"/>
  <c r="CU185" i="3" s="1"/>
  <c r="CS184" i="3"/>
  <c r="CU184" i="3" s="1"/>
  <c r="CS183" i="3"/>
  <c r="CU183" i="3" s="1"/>
  <c r="CS182" i="3"/>
  <c r="CU182" i="3" s="1"/>
  <c r="CS181" i="3"/>
  <c r="CU181" i="3" s="1"/>
  <c r="CS180" i="3"/>
  <c r="CU180" i="3" s="1"/>
  <c r="CS179" i="3"/>
  <c r="CU179" i="3" s="1"/>
  <c r="CS178" i="3"/>
  <c r="CU178" i="3" s="1"/>
  <c r="CS177" i="3"/>
  <c r="CU177" i="3" s="1"/>
  <c r="CS176" i="3"/>
  <c r="CU176" i="3" s="1"/>
  <c r="CS175" i="3"/>
  <c r="CU175" i="3" s="1"/>
  <c r="CY174" i="3"/>
  <c r="CS174" i="3"/>
  <c r="CU174" i="3" s="1"/>
  <c r="CY173" i="3"/>
  <c r="CS173" i="3"/>
  <c r="CU173" i="3" s="1"/>
  <c r="BS173" i="3"/>
  <c r="CK83" i="4" s="1"/>
  <c r="AM173" i="3"/>
  <c r="CS172" i="3"/>
  <c r="CU172" i="3" s="1"/>
  <c r="BH172" i="3"/>
  <c r="BM172" i="3" s="1"/>
  <c r="BD172" i="3"/>
  <c r="BF172" i="3" s="1"/>
  <c r="AZ172" i="3"/>
  <c r="BB172" i="3" s="1"/>
  <c r="AV172" i="3"/>
  <c r="AX172" i="3" s="1"/>
  <c r="AK172" i="3"/>
  <c r="CK149" i="4" s="1"/>
  <c r="CS170" i="3"/>
  <c r="CU170" i="3" s="1"/>
  <c r="CY169" i="3"/>
  <c r="CS169" i="3"/>
  <c r="CU169" i="3" s="1"/>
  <c r="BD169" i="3"/>
  <c r="BF169" i="3" s="1"/>
  <c r="AZ169" i="3"/>
  <c r="BB169" i="3" s="1"/>
  <c r="AV169" i="3"/>
  <c r="AX169" i="3" s="1"/>
  <c r="AL169" i="3"/>
  <c r="AO169" i="3" s="1"/>
  <c r="CS168" i="3"/>
  <c r="CU168" i="3" s="1"/>
  <c r="BD168" i="3"/>
  <c r="BF168" i="3" s="1"/>
  <c r="AZ168" i="3"/>
  <c r="BB168" i="3" s="1"/>
  <c r="AV168" i="3"/>
  <c r="AX168" i="3" s="1"/>
  <c r="AL168" i="3"/>
  <c r="AO168" i="3" s="1"/>
  <c r="CS167" i="3"/>
  <c r="CU167" i="3" s="1"/>
  <c r="CY165" i="3"/>
  <c r="CS165" i="3"/>
  <c r="CU165" i="3" s="1"/>
  <c r="CS164" i="3"/>
  <c r="CU164" i="3" s="1"/>
  <c r="CS163" i="3"/>
  <c r="CU163" i="3" s="1"/>
  <c r="CS162" i="3"/>
  <c r="CU162" i="3" s="1"/>
  <c r="CS161" i="3"/>
  <c r="CU161" i="3" s="1"/>
  <c r="CS160" i="3"/>
  <c r="CU160" i="3" s="1"/>
  <c r="CS159" i="3"/>
  <c r="CU159" i="3" s="1"/>
  <c r="CS156" i="3"/>
  <c r="CU156" i="3" s="1"/>
  <c r="AC156" i="3"/>
  <c r="CS155" i="3"/>
  <c r="CU155" i="3" s="1"/>
  <c r="CS154" i="3"/>
  <c r="CU154" i="3" s="1"/>
  <c r="CY153" i="3"/>
  <c r="CS153" i="3"/>
  <c r="CU153" i="3" s="1"/>
  <c r="BS153" i="3"/>
  <c r="BD153" i="3"/>
  <c r="BF153" i="3" s="1"/>
  <c r="AZ153" i="3"/>
  <c r="BB153" i="3" s="1"/>
  <c r="AV153" i="3"/>
  <c r="AX153" i="3" s="1"/>
  <c r="AM153" i="3"/>
  <c r="BY62" i="9" s="1"/>
  <c r="AL153" i="3"/>
  <c r="AO153" i="3" s="1"/>
  <c r="CS152" i="3"/>
  <c r="CU152" i="3" s="1"/>
  <c r="EU151" i="3"/>
  <c r="BZ58" i="4" s="1"/>
  <c r="O58" i="4" s="1"/>
  <c r="DZ151" i="3"/>
  <c r="BZ42" i="4" s="1"/>
  <c r="O42" i="4" s="1"/>
  <c r="DN151" i="3"/>
  <c r="BZ38" i="4" s="1"/>
  <c r="CY151" i="3"/>
  <c r="CS151" i="3"/>
  <c r="CU151" i="3" s="1"/>
  <c r="BX151" i="3"/>
  <c r="BZ135" i="4" s="1"/>
  <c r="BS151" i="3"/>
  <c r="BH151" i="3"/>
  <c r="BM151" i="3" s="1"/>
  <c r="BD151" i="3"/>
  <c r="BF151" i="3" s="1"/>
  <c r="AZ151" i="3"/>
  <c r="BB151" i="3" s="1"/>
  <c r="AV151" i="3"/>
  <c r="AX151" i="3" s="1"/>
  <c r="AM151" i="3"/>
  <c r="AL151" i="3"/>
  <c r="AO151" i="3" s="1"/>
  <c r="CS150" i="3"/>
  <c r="CU150" i="3" s="1"/>
  <c r="CS149" i="3"/>
  <c r="CU149" i="3" s="1"/>
  <c r="CS148" i="3"/>
  <c r="CU148" i="3" s="1"/>
  <c r="CS147" i="3"/>
  <c r="CU147" i="3" s="1"/>
  <c r="CS146" i="3"/>
  <c r="CU146" i="3" s="1"/>
  <c r="FI145" i="3"/>
  <c r="CY145" i="3"/>
  <c r="CR145" i="3"/>
  <c r="CQ145" i="3"/>
  <c r="CJ145" i="3"/>
  <c r="CG145" i="3"/>
  <c r="BZ145" i="3"/>
  <c r="BR145" i="3"/>
  <c r="AK145" i="3"/>
  <c r="AH145" i="3"/>
  <c r="CS144" i="3"/>
  <c r="CU144" i="3" s="1"/>
  <c r="CS143" i="3"/>
  <c r="CU143" i="3" s="1"/>
  <c r="CS142" i="3"/>
  <c r="CU142" i="3" s="1"/>
  <c r="CS141" i="3"/>
  <c r="CU141" i="3" s="1"/>
  <c r="CS140" i="3"/>
  <c r="CU140" i="3" s="1"/>
  <c r="CS139" i="3"/>
  <c r="CU139" i="3" s="1"/>
  <c r="CS138" i="3"/>
  <c r="CU138" i="3" s="1"/>
  <c r="CS137" i="3"/>
  <c r="CU137" i="3" s="1"/>
  <c r="CS136" i="3"/>
  <c r="CU136" i="3" s="1"/>
  <c r="CS135" i="3"/>
  <c r="CU135" i="3" s="1"/>
  <c r="CS134" i="3"/>
  <c r="CU134" i="3" s="1"/>
  <c r="CS133" i="3"/>
  <c r="CU133" i="3" s="1"/>
  <c r="CS132" i="3"/>
  <c r="CU132" i="3" s="1"/>
  <c r="CS131" i="3"/>
  <c r="CU131" i="3" s="1"/>
  <c r="CY130" i="3"/>
  <c r="CS130" i="3"/>
  <c r="CU130" i="3" s="1"/>
  <c r="CS129" i="3"/>
  <c r="CU129" i="3" s="1"/>
  <c r="BS129" i="3"/>
  <c r="BT83" i="4" s="1"/>
  <c r="AM129" i="3"/>
  <c r="CS127" i="3"/>
  <c r="CU127" i="3" s="1"/>
  <c r="DA126" i="3"/>
  <c r="CS126" i="3"/>
  <c r="CU126" i="3" s="1"/>
  <c r="BU126" i="3"/>
  <c r="BO126" i="3"/>
  <c r="BQ126" i="3" s="1"/>
  <c r="BD126" i="3"/>
  <c r="BF126" i="3" s="1"/>
  <c r="AZ126" i="3"/>
  <c r="BB126" i="3" s="1"/>
  <c r="AR126" i="3"/>
  <c r="BS231" i="4" s="1"/>
  <c r="AT126" i="3"/>
  <c r="CY124" i="3"/>
  <c r="CS124" i="3"/>
  <c r="CU124" i="3" s="1"/>
  <c r="BS124" i="3"/>
  <c r="BR83" i="4" s="1"/>
  <c r="AM124" i="3"/>
  <c r="AH124" i="3"/>
  <c r="CS122" i="3"/>
  <c r="CU122" i="3" s="1"/>
  <c r="BS122" i="3"/>
  <c r="AM122" i="3"/>
  <c r="BO62" i="9" s="1"/>
  <c r="AH122" i="3"/>
  <c r="CJ121" i="3"/>
  <c r="CH121" i="3"/>
  <c r="CS120" i="3"/>
  <c r="CU120" i="3" s="1"/>
  <c r="CY119" i="3"/>
  <c r="CS119" i="3"/>
  <c r="CU119" i="3" s="1"/>
  <c r="BS119" i="3"/>
  <c r="BH119" i="3"/>
  <c r="BM119" i="3" s="1"/>
  <c r="AZ119" i="3"/>
  <c r="BB119" i="3" s="1"/>
  <c r="AV119" i="3"/>
  <c r="AX119" i="3" s="1"/>
  <c r="AM119" i="3"/>
  <c r="AL119" i="3"/>
  <c r="AO119" i="3" s="1"/>
  <c r="CY118" i="3"/>
  <c r="CS118" i="3"/>
  <c r="CU118" i="3" s="1"/>
  <c r="BS118" i="3"/>
  <c r="BD118" i="3"/>
  <c r="BF118" i="3" s="1"/>
  <c r="AZ118" i="3"/>
  <c r="BB118" i="3" s="1"/>
  <c r="AV118" i="3"/>
  <c r="AX118" i="3" s="1"/>
  <c r="AM118" i="3"/>
  <c r="BM62" i="9" s="1"/>
  <c r="CS117" i="3"/>
  <c r="CU117" i="3" s="1"/>
  <c r="BD117" i="3"/>
  <c r="BF117" i="3" s="1"/>
  <c r="AZ117" i="3"/>
  <c r="BB117" i="3" s="1"/>
  <c r="AT117" i="3"/>
  <c r="CS116" i="3"/>
  <c r="CU116" i="3" s="1"/>
  <c r="BD116" i="3"/>
  <c r="BF116" i="3" s="1"/>
  <c r="AZ116" i="3"/>
  <c r="BB116" i="3" s="1"/>
  <c r="AT116" i="3"/>
  <c r="CS115" i="3"/>
  <c r="CU115" i="3" s="1"/>
  <c r="BD115" i="3"/>
  <c r="BF115" i="3" s="1"/>
  <c r="AZ115" i="3"/>
  <c r="BB115" i="3" s="1"/>
  <c r="AT115" i="3"/>
  <c r="CS114" i="3"/>
  <c r="CU114" i="3" s="1"/>
  <c r="BD114" i="3"/>
  <c r="BF114" i="3" s="1"/>
  <c r="AZ114" i="3"/>
  <c r="BB114" i="3" s="1"/>
  <c r="AT114" i="3"/>
  <c r="CS113" i="3"/>
  <c r="CU113" i="3" s="1"/>
  <c r="AZ113" i="3"/>
  <c r="BB113" i="3" s="1"/>
  <c r="AT113" i="3"/>
  <c r="CS112" i="3"/>
  <c r="CU112" i="3" s="1"/>
  <c r="CS111" i="3"/>
  <c r="CU111" i="3" s="1"/>
  <c r="CS110" i="3"/>
  <c r="CU110" i="3" s="1"/>
  <c r="BD110" i="3"/>
  <c r="BF110" i="3" s="1"/>
  <c r="AZ110" i="3"/>
  <c r="BB110" i="3" s="1"/>
  <c r="AT110" i="3"/>
  <c r="CS109" i="3"/>
  <c r="CU109" i="3" s="1"/>
  <c r="CS108" i="3"/>
  <c r="CU108" i="3" s="1"/>
  <c r="AZ108" i="3"/>
  <c r="BB108" i="3" s="1"/>
  <c r="AT108" i="3"/>
  <c r="AT107" i="3"/>
  <c r="CS106" i="3"/>
  <c r="CU106" i="3" s="1"/>
  <c r="BD106" i="3"/>
  <c r="BF106" i="3" s="1"/>
  <c r="AZ106" i="3"/>
  <c r="BB106" i="3" s="1"/>
  <c r="AT106" i="3"/>
  <c r="CS105" i="3"/>
  <c r="CU105" i="3" s="1"/>
  <c r="BD105" i="3"/>
  <c r="BF105" i="3" s="1"/>
  <c r="AZ105" i="3"/>
  <c r="BB105" i="3" s="1"/>
  <c r="AT105" i="3"/>
  <c r="CS104" i="3"/>
  <c r="CU104" i="3" s="1"/>
  <c r="BD104" i="3"/>
  <c r="BF104" i="3" s="1"/>
  <c r="AZ104" i="3"/>
  <c r="BB104" i="3" s="1"/>
  <c r="AT104" i="3"/>
  <c r="CS103" i="3"/>
  <c r="CU103" i="3" s="1"/>
  <c r="AH103" i="3"/>
  <c r="CS100" i="3"/>
  <c r="CU100" i="3" s="1"/>
  <c r="CS99" i="3"/>
  <c r="CU99" i="3" s="1"/>
  <c r="CS98" i="3"/>
  <c r="CU98" i="3" s="1"/>
  <c r="CS97" i="3"/>
  <c r="CU97" i="3" s="1"/>
  <c r="CS96" i="3"/>
  <c r="CU96" i="3" s="1"/>
  <c r="CS95" i="3"/>
  <c r="CU95" i="3" s="1"/>
  <c r="AH95" i="3"/>
  <c r="CS94" i="3"/>
  <c r="CU94" i="3" s="1"/>
  <c r="CY93" i="3"/>
  <c r="CS93" i="3"/>
  <c r="CU93" i="3" s="1"/>
  <c r="BS93" i="3"/>
  <c r="AM93" i="3"/>
  <c r="BH62" i="9" s="1"/>
  <c r="CS92" i="3"/>
  <c r="CU92" i="3" s="1"/>
  <c r="CS91" i="3"/>
  <c r="CU91" i="3" s="1"/>
  <c r="CS90" i="3"/>
  <c r="CU90" i="3" s="1"/>
  <c r="CS86" i="3"/>
  <c r="CU86" i="3" s="1"/>
  <c r="CS83" i="3"/>
  <c r="CU83" i="3" s="1"/>
  <c r="CS81" i="3"/>
  <c r="CU81" i="3" s="1"/>
  <c r="CS80" i="3"/>
  <c r="CU80" i="3" s="1"/>
  <c r="CS78" i="3"/>
  <c r="CU78" i="3" s="1"/>
  <c r="CS77" i="3"/>
  <c r="CU77" i="3" s="1"/>
  <c r="CS76" i="3"/>
  <c r="CU76" i="3" s="1"/>
  <c r="CS75" i="3"/>
  <c r="CU75" i="3" s="1"/>
  <c r="CS74" i="3"/>
  <c r="CU74" i="3" s="1"/>
  <c r="AH74" i="3"/>
  <c r="CS73" i="3"/>
  <c r="CU73" i="3" s="1"/>
  <c r="AH73" i="3"/>
  <c r="CS72" i="3"/>
  <c r="CU72" i="3" s="1"/>
  <c r="CS71" i="3"/>
  <c r="CU71" i="3" s="1"/>
  <c r="CS70" i="3"/>
  <c r="CU70" i="3" s="1"/>
  <c r="CS68" i="3"/>
  <c r="CU68" i="3" s="1"/>
  <c r="CS67" i="3"/>
  <c r="CU67" i="3" s="1"/>
  <c r="CS66" i="3"/>
  <c r="CU66" i="3" s="1"/>
  <c r="CS65" i="3"/>
  <c r="CU65" i="3" s="1"/>
  <c r="CS62" i="3"/>
  <c r="CU62" i="3" s="1"/>
  <c r="CS60" i="3"/>
  <c r="CU60" i="3" s="1"/>
  <c r="BS60" i="3"/>
  <c r="AO66" i="9" s="1"/>
  <c r="AM60" i="3"/>
  <c r="AO62" i="9" s="1"/>
  <c r="CS59" i="3"/>
  <c r="CU59" i="3" s="1"/>
  <c r="BS59" i="3"/>
  <c r="AM59" i="3"/>
  <c r="CS56" i="3"/>
  <c r="CU56" i="3" s="1"/>
  <c r="BT56" i="3"/>
  <c r="AH56" i="3"/>
  <c r="CS55" i="3"/>
  <c r="CU55" i="3" s="1"/>
  <c r="CS54" i="3"/>
  <c r="CU54" i="3" s="1"/>
  <c r="BD54" i="3"/>
  <c r="BF54" i="3" s="1"/>
  <c r="AZ54" i="3"/>
  <c r="BB54" i="3" s="1"/>
  <c r="AT54" i="3"/>
  <c r="CS53" i="3"/>
  <c r="CU53" i="3" s="1"/>
  <c r="BD53" i="3"/>
  <c r="BF53" i="3" s="1"/>
  <c r="AZ53" i="3"/>
  <c r="BB53" i="3" s="1"/>
  <c r="AV53" i="3"/>
  <c r="AX53" i="3" s="1"/>
  <c r="AL53" i="3"/>
  <c r="AO53" i="3" s="1"/>
  <c r="AP164" i="4" l="1"/>
  <c r="BU44" i="9"/>
  <c r="BU45" i="9"/>
  <c r="BV102" i="4"/>
  <c r="O102" i="4" s="1"/>
  <c r="L73" i="6" s="1"/>
  <c r="BU83" i="9"/>
  <c r="BV183" i="4"/>
  <c r="O183" i="4" s="1"/>
  <c r="CO44" i="9"/>
  <c r="CO46" i="9"/>
  <c r="CS78" i="4"/>
  <c r="CR62" i="9"/>
  <c r="CS164" i="4"/>
  <c r="BN83" i="4"/>
  <c r="BM66" i="9"/>
  <c r="BO104" i="4"/>
  <c r="BO252" i="4"/>
  <c r="BP83" i="4"/>
  <c r="BO66" i="9"/>
  <c r="BV63" i="4"/>
  <c r="BV80" i="4" s="1"/>
  <c r="BU47" i="9"/>
  <c r="BV149" i="4"/>
  <c r="BV108" i="4"/>
  <c r="BU89" i="9"/>
  <c r="BV189" i="4"/>
  <c r="CO51" i="9"/>
  <c r="CO220" i="4"/>
  <c r="CP135" i="4"/>
  <c r="CP138" i="4" s="1"/>
  <c r="CO116" i="9"/>
  <c r="CS83" i="4"/>
  <c r="CR66" i="9"/>
  <c r="CU133" i="4"/>
  <c r="CT114" i="9"/>
  <c r="AL44" i="9"/>
  <c r="AL46" i="9"/>
  <c r="BS145" i="3"/>
  <c r="BU65" i="9"/>
  <c r="N65" i="9" s="1"/>
  <c r="BV82" i="4"/>
  <c r="BV122" i="4"/>
  <c r="O122" i="4" s="1"/>
  <c r="L83" i="6" s="1"/>
  <c r="BU103" i="9"/>
  <c r="BV203" i="4"/>
  <c r="O203" i="4" s="1"/>
  <c r="CK209" i="4"/>
  <c r="CK161" i="4"/>
  <c r="CK150" i="4"/>
  <c r="CO77" i="9"/>
  <c r="CP244" i="4"/>
  <c r="CS106" i="4"/>
  <c r="CR87" i="9"/>
  <c r="CS187" i="4"/>
  <c r="CU134" i="4"/>
  <c r="O134" i="4" s="1"/>
  <c r="CT115" i="9"/>
  <c r="O59" i="4"/>
  <c r="BL45" i="9"/>
  <c r="BL44" i="9"/>
  <c r="BI83" i="4"/>
  <c r="BH66" i="9"/>
  <c r="BI44" i="9"/>
  <c r="BI45" i="9"/>
  <c r="BO108" i="4"/>
  <c r="BO256" i="4"/>
  <c r="BZ83" i="4"/>
  <c r="BY66" i="9"/>
  <c r="BO45" i="9"/>
  <c r="BO44" i="9"/>
  <c r="BV88" i="4"/>
  <c r="BU69" i="9"/>
  <c r="BV169" i="4"/>
  <c r="BV124" i="4"/>
  <c r="BU105" i="9"/>
  <c r="BV205" i="4"/>
  <c r="O205" i="4" s="1"/>
  <c r="O27" i="4"/>
  <c r="O26" i="4"/>
  <c r="CP38" i="4"/>
  <c r="O38" i="4" s="1"/>
  <c r="O43" i="4" s="1"/>
  <c r="CP108" i="4"/>
  <c r="CO89" i="9"/>
  <c r="CP256" i="4"/>
  <c r="CR45" i="9"/>
  <c r="CR44" i="9"/>
  <c r="CS108" i="4"/>
  <c r="CS126" i="4" s="1"/>
  <c r="CR89" i="9"/>
  <c r="CS189" i="4"/>
  <c r="CT51" i="9"/>
  <c r="CT220" i="4"/>
  <c r="CU135" i="4"/>
  <c r="CT116" i="9"/>
  <c r="AP83" i="4"/>
  <c r="BP78" i="4"/>
  <c r="BP164" i="4"/>
  <c r="BR78" i="4"/>
  <c r="BR164" i="4"/>
  <c r="BZ164" i="4"/>
  <c r="BT78" i="4"/>
  <c r="BT164" i="4"/>
  <c r="BZ138" i="4"/>
  <c r="BZ137" i="4"/>
  <c r="BI78" i="4"/>
  <c r="BI164" i="4"/>
  <c r="BN78" i="4"/>
  <c r="BN164" i="4"/>
  <c r="AP78" i="4"/>
  <c r="O22" i="4"/>
  <c r="J116" i="6" s="1"/>
  <c r="CM140" i="4"/>
  <c r="O140" i="4" s="1"/>
  <c r="J121" i="6" s="1"/>
  <c r="CP67" i="4"/>
  <c r="CP96" i="4"/>
  <c r="BZ78" i="4"/>
  <c r="BA273" i="3"/>
  <c r="CU67" i="4"/>
  <c r="CU73" i="4" s="1"/>
  <c r="CP62" i="4"/>
  <c r="AN172" i="3"/>
  <c r="CK63" i="4"/>
  <c r="CK128" i="4" s="1"/>
  <c r="AM60" i="4"/>
  <c r="AM62" i="4"/>
  <c r="BV60" i="4"/>
  <c r="BV61" i="4"/>
  <c r="BM60" i="4"/>
  <c r="BM61" i="4"/>
  <c r="CS60" i="4"/>
  <c r="CS61" i="4"/>
  <c r="AW61" i="4"/>
  <c r="BJ60" i="4"/>
  <c r="BJ61" i="4"/>
  <c r="BP60" i="4"/>
  <c r="BP61" i="4"/>
  <c r="BR60" i="4"/>
  <c r="BR61" i="4"/>
  <c r="AW60" i="4"/>
  <c r="CP60" i="4"/>
  <c r="CT121" i="3"/>
  <c r="CT218" i="3"/>
  <c r="CT145" i="3"/>
  <c r="CT248" i="3"/>
  <c r="BA276" i="3"/>
  <c r="BA95" i="3"/>
  <c r="BP95" i="3"/>
  <c r="BQ95" i="3" s="1"/>
  <c r="BL95" i="3"/>
  <c r="BM95" i="3" s="1"/>
  <c r="BE95" i="3"/>
  <c r="BF95" i="3" s="1"/>
  <c r="AR216" i="3"/>
  <c r="CP231" i="4" s="1"/>
  <c r="BP216" i="3"/>
  <c r="BQ216" i="3" s="1"/>
  <c r="AS216" i="3"/>
  <c r="BL216" i="3"/>
  <c r="BM216" i="3" s="1"/>
  <c r="BE216" i="3"/>
  <c r="BF216" i="3" s="1"/>
  <c r="AW216" i="3"/>
  <c r="AX216" i="3" s="1"/>
  <c r="AN216" i="3"/>
  <c r="AO216" i="3" s="1"/>
  <c r="BA253" i="3"/>
  <c r="BB253" i="3" s="1"/>
  <c r="BP253" i="3"/>
  <c r="BQ253" i="3" s="1"/>
  <c r="BL253" i="3"/>
  <c r="BM253" i="3" s="1"/>
  <c r="BE253" i="3"/>
  <c r="BF253" i="3" s="1"/>
  <c r="AN145" i="3"/>
  <c r="AI216" i="3"/>
  <c r="AJ216" i="3" s="1"/>
  <c r="BA216" i="3"/>
  <c r="BA231" i="3"/>
  <c r="BL231" i="3"/>
  <c r="BM231" i="3" s="1"/>
  <c r="BP231" i="3"/>
  <c r="BE231" i="3"/>
  <c r="AR276" i="3"/>
  <c r="CU231" i="4" s="1"/>
  <c r="BP276" i="3"/>
  <c r="BQ276" i="3" s="1"/>
  <c r="BE276" i="3"/>
  <c r="BF276" i="3" s="1"/>
  <c r="AW276" i="3"/>
  <c r="AX276" i="3" s="1"/>
  <c r="BL276" i="3"/>
  <c r="BM276" i="3" s="1"/>
  <c r="AN276" i="3"/>
  <c r="AO276" i="3" s="1"/>
  <c r="BP145" i="3"/>
  <c r="BQ145" i="3" s="1"/>
  <c r="BL145" i="3"/>
  <c r="BM145" i="3" s="1"/>
  <c r="BE145" i="3"/>
  <c r="BF145" i="3" s="1"/>
  <c r="AS145" i="3"/>
  <c r="AT145" i="3" s="1"/>
  <c r="AW145" i="3"/>
  <c r="AX145" i="3" s="1"/>
  <c r="BA145" i="3"/>
  <c r="BB145" i="3" s="1"/>
  <c r="BA237" i="3"/>
  <c r="BB237" i="3" s="1"/>
  <c r="BP237" i="3"/>
  <c r="BQ237" i="3" s="1"/>
  <c r="BL237" i="3"/>
  <c r="BM237" i="3" s="1"/>
  <c r="BE237" i="3"/>
  <c r="BF237" i="3" s="1"/>
  <c r="BA248" i="3"/>
  <c r="BL248" i="3"/>
  <c r="BM248" i="3" s="1"/>
  <c r="BE248" i="3"/>
  <c r="BP248" i="3"/>
  <c r="BQ248" i="3" s="1"/>
  <c r="BA74" i="3"/>
  <c r="BP74" i="3"/>
  <c r="BQ74" i="3" s="1"/>
  <c r="BL74" i="3"/>
  <c r="BE74" i="3"/>
  <c r="BA122" i="3"/>
  <c r="BP122" i="3"/>
  <c r="BQ122" i="3" s="1"/>
  <c r="BL122" i="3"/>
  <c r="BM122" i="3" s="1"/>
  <c r="BE122" i="3"/>
  <c r="BA124" i="3"/>
  <c r="BP124" i="3"/>
  <c r="BQ124" i="3" s="1"/>
  <c r="BL124" i="3"/>
  <c r="BM124" i="3" s="1"/>
  <c r="BE124" i="3"/>
  <c r="BF124" i="3" s="1"/>
  <c r="BA238" i="3"/>
  <c r="BB238" i="3" s="1"/>
  <c r="BP238" i="3"/>
  <c r="BQ238" i="3" s="1"/>
  <c r="BL238" i="3"/>
  <c r="BM238" i="3" s="1"/>
  <c r="BE238" i="3"/>
  <c r="BA269" i="3"/>
  <c r="BP269" i="3"/>
  <c r="BL269" i="3"/>
  <c r="BM269" i="3" s="1"/>
  <c r="BE269" i="3"/>
  <c r="AS276" i="3"/>
  <c r="BA73" i="3"/>
  <c r="BB73" i="3" s="1"/>
  <c r="BP73" i="3"/>
  <c r="BQ73" i="3" s="1"/>
  <c r="BL73" i="3"/>
  <c r="BE73" i="3"/>
  <c r="BF73" i="3" s="1"/>
  <c r="BA103" i="3"/>
  <c r="BP103" i="3"/>
  <c r="BQ103" i="3" s="1"/>
  <c r="BL103" i="3"/>
  <c r="BM103" i="3" s="1"/>
  <c r="BE103" i="3"/>
  <c r="AJ56" i="3"/>
  <c r="BP56" i="3"/>
  <c r="BQ56" i="3" s="1"/>
  <c r="BE56" i="3"/>
  <c r="BF56" i="3" s="1"/>
  <c r="AW56" i="3"/>
  <c r="AX56" i="3" s="1"/>
  <c r="AS56" i="3"/>
  <c r="AT56" i="3" s="1"/>
  <c r="BL56" i="3"/>
  <c r="BM56" i="3" s="1"/>
  <c r="BA56" i="3"/>
  <c r="BB56" i="3" s="1"/>
  <c r="AN56" i="3"/>
  <c r="AO56" i="3" s="1"/>
  <c r="AS103" i="3"/>
  <c r="AT103" i="3" s="1"/>
  <c r="AW103" i="3"/>
  <c r="AS237" i="3"/>
  <c r="AT237" i="3" s="1"/>
  <c r="AW237" i="3"/>
  <c r="AX237" i="3" s="1"/>
  <c r="AS248" i="3"/>
  <c r="AT248" i="3" s="1"/>
  <c r="AW248" i="3"/>
  <c r="AS231" i="3"/>
  <c r="AW231" i="3"/>
  <c r="AX231" i="3" s="1"/>
  <c r="AS73" i="3"/>
  <c r="AT73" i="3" s="1"/>
  <c r="AW73" i="3"/>
  <c r="AS95" i="3"/>
  <c r="AT95" i="3" s="1"/>
  <c r="AW95" i="3"/>
  <c r="AX95" i="3" s="1"/>
  <c r="AS74" i="3"/>
  <c r="AT74" i="3" s="1"/>
  <c r="AW74" i="3"/>
  <c r="AS122" i="3"/>
  <c r="AT122" i="3" s="1"/>
  <c r="AW122" i="3"/>
  <c r="AS124" i="3"/>
  <c r="AT124" i="3" s="1"/>
  <c r="AW124" i="3"/>
  <c r="AS238" i="3"/>
  <c r="AW238" i="3"/>
  <c r="AX238" i="3" s="1"/>
  <c r="AS269" i="3"/>
  <c r="AT269" i="3" s="1"/>
  <c r="AW269" i="3"/>
  <c r="AX269" i="3" s="1"/>
  <c r="AS253" i="3"/>
  <c r="AT253" i="3" s="1"/>
  <c r="AW253" i="3"/>
  <c r="AX253" i="3" s="1"/>
  <c r="BD231" i="3"/>
  <c r="AN231" i="3"/>
  <c r="AO231" i="3" s="1"/>
  <c r="AZ74" i="3"/>
  <c r="AN74" i="3"/>
  <c r="BD122" i="3"/>
  <c r="AN122" i="3"/>
  <c r="AL124" i="3"/>
  <c r="AN124" i="3"/>
  <c r="BD238" i="3"/>
  <c r="AN238" i="3"/>
  <c r="AO238" i="3" s="1"/>
  <c r="BO269" i="3"/>
  <c r="AN269" i="3"/>
  <c r="AO269" i="3" s="1"/>
  <c r="BH73" i="3"/>
  <c r="AN73" i="3"/>
  <c r="AJ95" i="3"/>
  <c r="AN95" i="3"/>
  <c r="AO95" i="3" s="1"/>
  <c r="BD103" i="3"/>
  <c r="AN103" i="3"/>
  <c r="AJ237" i="3"/>
  <c r="AN237" i="3"/>
  <c r="AO237" i="3" s="1"/>
  <c r="AZ248" i="3"/>
  <c r="AN248" i="3"/>
  <c r="AJ253" i="3"/>
  <c r="AN253" i="3"/>
  <c r="AO253" i="3" s="1"/>
  <c r="AM145" i="3"/>
  <c r="BU62" i="9" s="1"/>
  <c r="AI145" i="3"/>
  <c r="AJ145" i="3" s="1"/>
  <c r="AM172" i="3"/>
  <c r="AI172" i="3"/>
  <c r="AJ172" i="3" s="1"/>
  <c r="AH270" i="3"/>
  <c r="AI270" i="3"/>
  <c r="AZ273" i="3"/>
  <c r="BB273" i="3" s="1"/>
  <c r="AI273" i="3"/>
  <c r="AJ273" i="3" s="1"/>
  <c r="AZ218" i="3"/>
  <c r="BB218" i="3" s="1"/>
  <c r="AI218" i="3"/>
  <c r="AJ218" i="3" s="1"/>
  <c r="CS248" i="3"/>
  <c r="AI276" i="3"/>
  <c r="AJ276" i="3" s="1"/>
  <c r="AJ103" i="3"/>
  <c r="AJ248" i="3"/>
  <c r="AJ238" i="3"/>
  <c r="AJ269" i="3"/>
  <c r="AJ74" i="3"/>
  <c r="AJ73" i="3"/>
  <c r="AJ124" i="3"/>
  <c r="AJ122" i="3"/>
  <c r="AJ231" i="3"/>
  <c r="CS121" i="3"/>
  <c r="AZ216" i="3"/>
  <c r="AZ276" i="3"/>
  <c r="CS218" i="3"/>
  <c r="CP139" i="4" s="1"/>
  <c r="AZ231" i="3"/>
  <c r="AV248" i="3"/>
  <c r="AZ269" i="3"/>
  <c r="AL248" i="3"/>
  <c r="BD248" i="3"/>
  <c r="BD269" i="3"/>
  <c r="AL172" i="3"/>
  <c r="BO231" i="3"/>
  <c r="AL73" i="3"/>
  <c r="AL103" i="3"/>
  <c r="CS145" i="3"/>
  <c r="AV73" i="3"/>
  <c r="AL74" i="3"/>
  <c r="BH74" i="3"/>
  <c r="AV103" i="3"/>
  <c r="AV122" i="3"/>
  <c r="AV124" i="3"/>
  <c r="AL145" i="3"/>
  <c r="BD74" i="3"/>
  <c r="AV74" i="3"/>
  <c r="AZ103" i="3"/>
  <c r="AZ122" i="3"/>
  <c r="AZ124" i="3"/>
  <c r="AL122" i="3"/>
  <c r="BO126" i="4" l="1"/>
  <c r="BV75" i="4"/>
  <c r="CP137" i="4"/>
  <c r="CU138" i="4"/>
  <c r="O135" i="4"/>
  <c r="J92" i="6" s="1"/>
  <c r="BV126" i="4"/>
  <c r="BV91" i="4" s="1"/>
  <c r="CU136" i="4"/>
  <c r="CP126" i="4"/>
  <c r="CP93" i="4" s="1"/>
  <c r="CU137" i="4"/>
  <c r="BL63" i="9"/>
  <c r="BL52" i="9"/>
  <c r="BL54" i="9"/>
  <c r="BL56" i="9"/>
  <c r="BL61" i="9"/>
  <c r="BL48" i="9"/>
  <c r="BL50" i="9"/>
  <c r="BL108" i="9"/>
  <c r="BL58" i="9"/>
  <c r="AL48" i="9"/>
  <c r="AL52" i="9"/>
  <c r="AL58" i="9"/>
  <c r="AL63" i="9"/>
  <c r="AL56" i="9"/>
  <c r="AL50" i="9"/>
  <c r="AL54" i="9"/>
  <c r="AL61" i="9"/>
  <c r="AL108" i="9"/>
  <c r="CO52" i="9"/>
  <c r="N51" i="9"/>
  <c r="CO57" i="9"/>
  <c r="N83" i="9"/>
  <c r="CU60" i="4"/>
  <c r="CU79" i="4" s="1"/>
  <c r="CT46" i="9"/>
  <c r="CT44" i="9"/>
  <c r="CT52" i="9" s="1"/>
  <c r="CT226" i="4"/>
  <c r="CT221" i="4"/>
  <c r="BU107" i="9"/>
  <c r="BU84" i="9" s="1"/>
  <c r="BI63" i="9"/>
  <c r="BI50" i="9"/>
  <c r="BI52" i="9"/>
  <c r="BI54" i="9"/>
  <c r="BI56" i="9"/>
  <c r="BI61" i="9"/>
  <c r="BI48" i="9"/>
  <c r="BI108" i="9"/>
  <c r="BI58" i="9"/>
  <c r="CS207" i="4"/>
  <c r="CS208" i="4" s="1"/>
  <c r="O187" i="4"/>
  <c r="CO107" i="9"/>
  <c r="CO78" i="9" s="1"/>
  <c r="CO119" i="9"/>
  <c r="N116" i="9"/>
  <c r="CO118" i="9"/>
  <c r="BV161" i="4"/>
  <c r="CT57" i="9"/>
  <c r="BO48" i="9"/>
  <c r="BO58" i="9"/>
  <c r="BO54" i="9"/>
  <c r="BO63" i="9"/>
  <c r="BO50" i="9"/>
  <c r="BO52" i="9"/>
  <c r="BO56" i="9"/>
  <c r="BO61" i="9"/>
  <c r="BO108" i="9"/>
  <c r="CR107" i="9"/>
  <c r="CR88" i="9" s="1"/>
  <c r="N103" i="9"/>
  <c r="BV83" i="4"/>
  <c r="BU66" i="9"/>
  <c r="O189" i="4"/>
  <c r="BU48" i="9"/>
  <c r="N47" i="9"/>
  <c r="BU59" i="9"/>
  <c r="CO50" i="9"/>
  <c r="CO56" i="9"/>
  <c r="CO54" i="9"/>
  <c r="CO61" i="9"/>
  <c r="CO63" i="9"/>
  <c r="CO48" i="9"/>
  <c r="CT118" i="9"/>
  <c r="CT119" i="9"/>
  <c r="CR63" i="9"/>
  <c r="CR52" i="9"/>
  <c r="CR54" i="9"/>
  <c r="CR56" i="9"/>
  <c r="CR61" i="9"/>
  <c r="CR48" i="9"/>
  <c r="CR50" i="9"/>
  <c r="CR58" i="9"/>
  <c r="O169" i="4"/>
  <c r="BV207" i="4"/>
  <c r="BV210" i="4" s="1"/>
  <c r="CT117" i="9"/>
  <c r="N115" i="9"/>
  <c r="CO226" i="4"/>
  <c r="O220" i="4"/>
  <c r="CO221" i="4"/>
  <c r="BU63" i="9"/>
  <c r="BU50" i="9"/>
  <c r="BU54" i="9"/>
  <c r="BU52" i="9"/>
  <c r="BU56" i="9"/>
  <c r="BU61" i="9"/>
  <c r="BU58" i="9"/>
  <c r="BJ165" i="4"/>
  <c r="BJ208" i="4"/>
  <c r="BJ163" i="4"/>
  <c r="BJ156" i="4"/>
  <c r="BJ154" i="4"/>
  <c r="BJ150" i="4"/>
  <c r="BJ152" i="4"/>
  <c r="BJ158" i="4"/>
  <c r="BJ160" i="4"/>
  <c r="BV78" i="4"/>
  <c r="BV164" i="4"/>
  <c r="BM165" i="4"/>
  <c r="BM208" i="4"/>
  <c r="BM163" i="4"/>
  <c r="BM158" i="4"/>
  <c r="BM152" i="4"/>
  <c r="BM150" i="4"/>
  <c r="BM154" i="4"/>
  <c r="BM156" i="4"/>
  <c r="BM160" i="4"/>
  <c r="AM275" i="4"/>
  <c r="AM232" i="4"/>
  <c r="AM219" i="4"/>
  <c r="AM221" i="4"/>
  <c r="AM223" i="4"/>
  <c r="AM225" i="4"/>
  <c r="AM227" i="4"/>
  <c r="CP232" i="4"/>
  <c r="CP275" i="4"/>
  <c r="CP219" i="4"/>
  <c r="CP223" i="4"/>
  <c r="CP225" i="4"/>
  <c r="CP221" i="4"/>
  <c r="CP227" i="4"/>
  <c r="BR208" i="4"/>
  <c r="BR165" i="4"/>
  <c r="BR152" i="4"/>
  <c r="BR154" i="4"/>
  <c r="BR150" i="4"/>
  <c r="BR163" i="4"/>
  <c r="BR156" i="4"/>
  <c r="BR158" i="4"/>
  <c r="BR160" i="4"/>
  <c r="BP208" i="4"/>
  <c r="BP165" i="4"/>
  <c r="BP154" i="4"/>
  <c r="BP158" i="4"/>
  <c r="BP150" i="4"/>
  <c r="BP156" i="4"/>
  <c r="BP163" i="4"/>
  <c r="BP152" i="4"/>
  <c r="BP160" i="4"/>
  <c r="AW165" i="4"/>
  <c r="AW208" i="4"/>
  <c r="AW163" i="4"/>
  <c r="AW152" i="4"/>
  <c r="AW158" i="4"/>
  <c r="AW150" i="4"/>
  <c r="AW154" i="4"/>
  <c r="AW156" i="4"/>
  <c r="AW160" i="4"/>
  <c r="J91" i="6"/>
  <c r="BB95" i="3"/>
  <c r="N12" i="9" s="1"/>
  <c r="J22" i="13" s="1"/>
  <c r="N11" i="9"/>
  <c r="J19" i="13" s="1"/>
  <c r="CK78" i="4"/>
  <c r="CK164" i="4"/>
  <c r="CS165" i="4"/>
  <c r="CS150" i="4"/>
  <c r="CS163" i="4"/>
  <c r="CS158" i="4"/>
  <c r="CS152" i="4"/>
  <c r="CS154" i="4"/>
  <c r="CS156" i="4"/>
  <c r="CS160" i="4"/>
  <c r="BV208" i="4"/>
  <c r="BV165" i="4"/>
  <c r="BV152" i="4"/>
  <c r="BV158" i="4"/>
  <c r="BV156" i="4"/>
  <c r="BV150" i="4"/>
  <c r="BV163" i="4"/>
  <c r="BV154" i="4"/>
  <c r="BV160" i="4"/>
  <c r="CP79" i="4"/>
  <c r="BM79" i="4"/>
  <c r="BM127" i="4"/>
  <c r="AM79" i="4"/>
  <c r="AM127" i="4"/>
  <c r="CU75" i="4"/>
  <c r="CU129" i="4"/>
  <c r="CS129" i="4"/>
  <c r="CS128" i="4"/>
  <c r="BR79" i="4"/>
  <c r="BR127" i="4"/>
  <c r="AW79" i="4"/>
  <c r="AW127" i="4"/>
  <c r="BP79" i="4"/>
  <c r="BP127" i="4"/>
  <c r="BV89" i="4"/>
  <c r="CS79" i="4"/>
  <c r="CS127" i="4"/>
  <c r="BV79" i="4"/>
  <c r="BJ79" i="4"/>
  <c r="BJ127" i="4"/>
  <c r="BO105" i="4"/>
  <c r="BO128" i="4"/>
  <c r="BO129" i="4"/>
  <c r="BO127" i="4"/>
  <c r="CK80" i="4"/>
  <c r="CK75" i="4"/>
  <c r="CP73" i="4"/>
  <c r="CP129" i="4" s="1"/>
  <c r="O67" i="4"/>
  <c r="BV103" i="4"/>
  <c r="CK64" i="4"/>
  <c r="AO172" i="3"/>
  <c r="CS123" i="4"/>
  <c r="CS99" i="4"/>
  <c r="CS97" i="4"/>
  <c r="CS105" i="4"/>
  <c r="CS119" i="4"/>
  <c r="CS117" i="4"/>
  <c r="CS113" i="4"/>
  <c r="CS125" i="4"/>
  <c r="CS87" i="4"/>
  <c r="CS91" i="4"/>
  <c r="CS115" i="4"/>
  <c r="CS95" i="4"/>
  <c r="CS93" i="4"/>
  <c r="CS89" i="4"/>
  <c r="CS103" i="4"/>
  <c r="CS101" i="4"/>
  <c r="CS121" i="4"/>
  <c r="CS111" i="4"/>
  <c r="BO109" i="4"/>
  <c r="CS109" i="4"/>
  <c r="BO117" i="4"/>
  <c r="BO91" i="4"/>
  <c r="BO87" i="4"/>
  <c r="BO97" i="4"/>
  <c r="BO123" i="4"/>
  <c r="BO119" i="4"/>
  <c r="BO95" i="4"/>
  <c r="BO125" i="4"/>
  <c r="BO99" i="4"/>
  <c r="BO107" i="4"/>
  <c r="BO101" i="4"/>
  <c r="BO113" i="4"/>
  <c r="BO89" i="4"/>
  <c r="BO93" i="4"/>
  <c r="BO115" i="4"/>
  <c r="BO103" i="4"/>
  <c r="BO111" i="4"/>
  <c r="BO121" i="4"/>
  <c r="CS107" i="4"/>
  <c r="BR70" i="4"/>
  <c r="BR72" i="4"/>
  <c r="BR77" i="4"/>
  <c r="BR74" i="4"/>
  <c r="BJ70" i="4"/>
  <c r="BJ72" i="4"/>
  <c r="BJ77" i="4"/>
  <c r="BJ74" i="4"/>
  <c r="CP70" i="4"/>
  <c r="CP72" i="4"/>
  <c r="CP77" i="4"/>
  <c r="BM70" i="4"/>
  <c r="BM77" i="4"/>
  <c r="BM72" i="4"/>
  <c r="BM74" i="4"/>
  <c r="AM70" i="4"/>
  <c r="AM77" i="4"/>
  <c r="AM72" i="4"/>
  <c r="AM74" i="4"/>
  <c r="AW70" i="4"/>
  <c r="AW72" i="4"/>
  <c r="AW77" i="4"/>
  <c r="AW74" i="4"/>
  <c r="BP70" i="4"/>
  <c r="BP72" i="4"/>
  <c r="BP77" i="4"/>
  <c r="BP74" i="4"/>
  <c r="CS70" i="4"/>
  <c r="CS72" i="4"/>
  <c r="CS77" i="4"/>
  <c r="CS74" i="4"/>
  <c r="BV70" i="4"/>
  <c r="BV72" i="4"/>
  <c r="BV77" i="4"/>
  <c r="BV74" i="4"/>
  <c r="BR66" i="4"/>
  <c r="BR68" i="4"/>
  <c r="BJ66" i="4"/>
  <c r="BJ68" i="4"/>
  <c r="CP66" i="4"/>
  <c r="CP68" i="4"/>
  <c r="BM66" i="4"/>
  <c r="BM68" i="4"/>
  <c r="AM66" i="4"/>
  <c r="AM68" i="4"/>
  <c r="AW66" i="4"/>
  <c r="AW68" i="4"/>
  <c r="BP66" i="4"/>
  <c r="BP68" i="4"/>
  <c r="CS66" i="4"/>
  <c r="CS68" i="4"/>
  <c r="BV66" i="4"/>
  <c r="BV68" i="4"/>
  <c r="AM64" i="4"/>
  <c r="BV64" i="4"/>
  <c r="AW64" i="4"/>
  <c r="CS64" i="4"/>
  <c r="BP64" i="4"/>
  <c r="BR64" i="4"/>
  <c r="BJ64" i="4"/>
  <c r="CP64" i="4"/>
  <c r="BM64" i="4"/>
  <c r="BB122" i="3"/>
  <c r="AT216" i="3"/>
  <c r="BB231" i="3"/>
  <c r="CU248" i="3"/>
  <c r="AT238" i="3"/>
  <c r="CU62" i="4"/>
  <c r="AO122" i="3"/>
  <c r="BQ231" i="3"/>
  <c r="AX124" i="3"/>
  <c r="AO73" i="3"/>
  <c r="CU218" i="3"/>
  <c r="BM74" i="3"/>
  <c r="CU121" i="3"/>
  <c r="AX103" i="3"/>
  <c r="BF248" i="3"/>
  <c r="AX248" i="3"/>
  <c r="BF269" i="3"/>
  <c r="CU145" i="3"/>
  <c r="AT276" i="3"/>
  <c r="BB74" i="3"/>
  <c r="BB276" i="3"/>
  <c r="AX74" i="3"/>
  <c r="AX73" i="3"/>
  <c r="BF74" i="3"/>
  <c r="BB216" i="3"/>
  <c r="BM73" i="3"/>
  <c r="BF238" i="3"/>
  <c r="BF122" i="3"/>
  <c r="BF231" i="3"/>
  <c r="BB103" i="3"/>
  <c r="BQ269" i="3"/>
  <c r="BB269" i="3"/>
  <c r="BB124" i="3"/>
  <c r="BB248" i="3"/>
  <c r="BL270" i="3"/>
  <c r="BM270" i="3" s="1"/>
  <c r="BP270" i="3"/>
  <c r="BQ270" i="3" s="1"/>
  <c r="BE270" i="3"/>
  <c r="BF270" i="3" s="1"/>
  <c r="BF103" i="3"/>
  <c r="AO145" i="3"/>
  <c r="AW270" i="3"/>
  <c r="AX270" i="3" s="1"/>
  <c r="BA270" i="3"/>
  <c r="BB270" i="3" s="1"/>
  <c r="AT231" i="3"/>
  <c r="AO103" i="3"/>
  <c r="AO248" i="3"/>
  <c r="AX122" i="3"/>
  <c r="AN270" i="3"/>
  <c r="AO270" i="3" s="1"/>
  <c r="AS270" i="3"/>
  <c r="AT270" i="3" s="1"/>
  <c r="AO74" i="3"/>
  <c r="AO124" i="3"/>
  <c r="AJ270" i="3"/>
  <c r="CS52" i="3"/>
  <c r="CU52" i="3" s="1"/>
  <c r="CY51" i="3"/>
  <c r="CU51" i="3"/>
  <c r="BS51" i="3"/>
  <c r="AM51" i="3"/>
  <c r="AH51" i="3"/>
  <c r="CY50" i="3"/>
  <c r="CU50" i="3"/>
  <c r="BS50" i="3"/>
  <c r="AK50" i="3"/>
  <c r="DA49" i="3"/>
  <c r="CS49" i="3"/>
  <c r="CU49" i="3" s="1"/>
  <c r="BU49" i="3"/>
  <c r="AZ49" i="3"/>
  <c r="BB49" i="3" s="1"/>
  <c r="AR49" i="3"/>
  <c r="AJ231" i="4" s="1"/>
  <c r="AT49" i="3"/>
  <c r="CS47" i="3"/>
  <c r="CU47" i="3" s="1"/>
  <c r="CS44" i="3"/>
  <c r="CU44" i="3" s="1"/>
  <c r="CY41" i="3"/>
  <c r="CS41" i="3"/>
  <c r="CU41" i="3" s="1"/>
  <c r="AM41" i="3"/>
  <c r="CY40" i="3"/>
  <c r="CS40" i="3"/>
  <c r="CU40" i="3" s="1"/>
  <c r="BS40" i="3"/>
  <c r="BD40" i="3"/>
  <c r="BF40" i="3" s="1"/>
  <c r="AZ40" i="3"/>
  <c r="BB40" i="3" s="1"/>
  <c r="AV40" i="3"/>
  <c r="AX40" i="3" s="1"/>
  <c r="AM40" i="3"/>
  <c r="AL40" i="3"/>
  <c r="AO40" i="3" s="1"/>
  <c r="CY39" i="3"/>
  <c r="CS39" i="3"/>
  <c r="CU39" i="3" s="1"/>
  <c r="BS39" i="3"/>
  <c r="BO39" i="3"/>
  <c r="BQ39" i="3" s="1"/>
  <c r="BD39" i="3"/>
  <c r="BF39" i="3" s="1"/>
  <c r="AZ39" i="3"/>
  <c r="BB39" i="3" s="1"/>
  <c r="AV39" i="3"/>
  <c r="AX39" i="3" s="1"/>
  <c r="AM39" i="3"/>
  <c r="AB62" i="9" s="1"/>
  <c r="AL39" i="3"/>
  <c r="AO39" i="3" s="1"/>
  <c r="CY36" i="3"/>
  <c r="CS36" i="3"/>
  <c r="CU36" i="3" s="1"/>
  <c r="BS36" i="3"/>
  <c r="BD36" i="3"/>
  <c r="BF36" i="3" s="1"/>
  <c r="AZ36" i="3"/>
  <c r="BB36" i="3" s="1"/>
  <c r="AV36" i="3"/>
  <c r="AX36" i="3" s="1"/>
  <c r="AM36" i="3"/>
  <c r="AL36" i="3"/>
  <c r="AO36" i="3" s="1"/>
  <c r="CY35" i="3"/>
  <c r="CS35" i="3"/>
  <c r="CU35" i="3" s="1"/>
  <c r="BS35" i="3"/>
  <c r="BD35" i="3"/>
  <c r="BF35" i="3" s="1"/>
  <c r="AZ35" i="3"/>
  <c r="BB35" i="3" s="1"/>
  <c r="AW35" i="3"/>
  <c r="AM35" i="3"/>
  <c r="Z62" i="9" s="1"/>
  <c r="AL35" i="3"/>
  <c r="AO35" i="3" s="1"/>
  <c r="CS34" i="3"/>
  <c r="CU34" i="3" s="1"/>
  <c r="BH34" i="3"/>
  <c r="BM34" i="3" s="1"/>
  <c r="BD34" i="3"/>
  <c r="BF34" i="3" s="1"/>
  <c r="AV34" i="3"/>
  <c r="AX34" i="3" s="1"/>
  <c r="AL34" i="3"/>
  <c r="AO34" i="3" s="1"/>
  <c r="CS33" i="3"/>
  <c r="CU33" i="3" s="1"/>
  <c r="CS32" i="3"/>
  <c r="CU32" i="3" s="1"/>
  <c r="BH32" i="3"/>
  <c r="BM32" i="3" s="1"/>
  <c r="AZ32" i="3"/>
  <c r="BB32" i="3" s="1"/>
  <c r="AV32" i="3"/>
  <c r="AX32" i="3" s="1"/>
  <c r="AL32" i="3"/>
  <c r="AO32" i="3" s="1"/>
  <c r="CS31" i="3"/>
  <c r="CU31" i="3" s="1"/>
  <c r="CS30" i="3"/>
  <c r="CU30" i="3" s="1"/>
  <c r="CS29" i="3"/>
  <c r="CU29" i="3" s="1"/>
  <c r="CR28" i="3"/>
  <c r="CP28" i="3"/>
  <c r="CJ28" i="3"/>
  <c r="CI28" i="3"/>
  <c r="CH28" i="3"/>
  <c r="CF28" i="3"/>
  <c r="CD28" i="3"/>
  <c r="CA28" i="3"/>
  <c r="BZ28" i="3"/>
  <c r="BY28" i="3"/>
  <c r="BV28" i="3"/>
  <c r="BT28" i="3"/>
  <c r="AH28" i="3"/>
  <c r="CS27" i="3"/>
  <c r="CU27" i="3" s="1"/>
  <c r="CS26" i="3"/>
  <c r="CU26" i="3" s="1"/>
  <c r="CS19" i="3"/>
  <c r="CU19" i="3" s="1"/>
  <c r="CS18" i="3"/>
  <c r="CU18" i="3" s="1"/>
  <c r="CY17" i="3"/>
  <c r="CS17" i="3"/>
  <c r="CU17" i="3" s="1"/>
  <c r="AZ17" i="3"/>
  <c r="BB17" i="3" s="1"/>
  <c r="AV17" i="3"/>
  <c r="AX17" i="3" s="1"/>
  <c r="AL17" i="3"/>
  <c r="AO17" i="3" s="1"/>
  <c r="CS16" i="3"/>
  <c r="CU16" i="3" s="1"/>
  <c r="AH16" i="3"/>
  <c r="CS15" i="3"/>
  <c r="CU15" i="3" s="1"/>
  <c r="DA13" i="3"/>
  <c r="CS13" i="3"/>
  <c r="CU13" i="3" s="1"/>
  <c r="BU13" i="3"/>
  <c r="AR13" i="3"/>
  <c r="T231" i="4" s="1"/>
  <c r="CS12" i="3"/>
  <c r="CU12" i="3" s="1"/>
  <c r="CS10" i="3"/>
  <c r="CU10" i="3" s="1"/>
  <c r="CY9" i="3"/>
  <c r="CS9" i="3"/>
  <c r="CU9" i="3" s="1"/>
  <c r="AH9" i="3"/>
  <c r="CS8" i="3"/>
  <c r="CU8" i="3" s="1"/>
  <c r="BG8" i="3"/>
  <c r="AM8" i="3"/>
  <c r="AK8" i="3"/>
  <c r="CY7" i="3"/>
  <c r="CS7" i="3"/>
  <c r="CU7" i="3" s="1"/>
  <c r="BV7" i="3"/>
  <c r="Q133" i="4" s="1"/>
  <c r="BR7" i="3"/>
  <c r="Q82" i="4" s="1"/>
  <c r="O82" i="4" s="1"/>
  <c r="BG7" i="3"/>
  <c r="AK7" i="3"/>
  <c r="CP119" i="4" l="1"/>
  <c r="CP103" i="4"/>
  <c r="CP123" i="4"/>
  <c r="CP111" i="4"/>
  <c r="CP121" i="4"/>
  <c r="CP107" i="4"/>
  <c r="CP95" i="4"/>
  <c r="CP125" i="4"/>
  <c r="CP113" i="4"/>
  <c r="CP97" i="4"/>
  <c r="CP128" i="4"/>
  <c r="CP127" i="4"/>
  <c r="CP89" i="4"/>
  <c r="CP99" i="4"/>
  <c r="CP105" i="4"/>
  <c r="CP87" i="4"/>
  <c r="CP91" i="4"/>
  <c r="CP109" i="4"/>
  <c r="CP117" i="4"/>
  <c r="CP101" i="4"/>
  <c r="CP115" i="4"/>
  <c r="BV99" i="4"/>
  <c r="BV105" i="4"/>
  <c r="BV111" i="4"/>
  <c r="BV117" i="4"/>
  <c r="Q149" i="4"/>
  <c r="Q209" i="4" s="1"/>
  <c r="BV95" i="4"/>
  <c r="BV119" i="4"/>
  <c r="BV93" i="4"/>
  <c r="BV125" i="4"/>
  <c r="BV128" i="4"/>
  <c r="BV121" i="4"/>
  <c r="BV113" i="4"/>
  <c r="BV107" i="4"/>
  <c r="BV115" i="4"/>
  <c r="BV109" i="4"/>
  <c r="BV123" i="4"/>
  <c r="BV127" i="4"/>
  <c r="BV129" i="4"/>
  <c r="BV97" i="4"/>
  <c r="BV87" i="4"/>
  <c r="BV101" i="4"/>
  <c r="O137" i="4"/>
  <c r="J118" i="6" s="1"/>
  <c r="CU64" i="4"/>
  <c r="CU68" i="4"/>
  <c r="CU72" i="4"/>
  <c r="BU108" i="9"/>
  <c r="CO108" i="9"/>
  <c r="BU109" i="9"/>
  <c r="CU74" i="4"/>
  <c r="CU66" i="4"/>
  <c r="CU77" i="4"/>
  <c r="CU127" i="4"/>
  <c r="CU70" i="4"/>
  <c r="BU90" i="9"/>
  <c r="CO90" i="9"/>
  <c r="U44" i="9"/>
  <c r="U45" i="9"/>
  <c r="W90" i="4"/>
  <c r="O90" i="4" s="1"/>
  <c r="L67" i="6" s="1"/>
  <c r="V71" i="9"/>
  <c r="W238" i="4"/>
  <c r="O238" i="4" s="1"/>
  <c r="W106" i="4"/>
  <c r="O106" i="4" s="1"/>
  <c r="L75" i="6" s="1"/>
  <c r="V87" i="9"/>
  <c r="W254" i="4"/>
  <c r="O254" i="4" s="1"/>
  <c r="AC83" i="4"/>
  <c r="AB66" i="9"/>
  <c r="P44" i="9"/>
  <c r="P45" i="9"/>
  <c r="W86" i="4"/>
  <c r="O86" i="4" s="1"/>
  <c r="L65" i="6" s="1"/>
  <c r="V67" i="9"/>
  <c r="W234" i="4"/>
  <c r="O234" i="4" s="1"/>
  <c r="W100" i="4"/>
  <c r="O100" i="4" s="1"/>
  <c r="L72" i="6" s="1"/>
  <c r="V81" i="9"/>
  <c r="W248" i="4"/>
  <c r="O248" i="4" s="1"/>
  <c r="W120" i="4"/>
  <c r="O120" i="4" s="1"/>
  <c r="L82" i="6" s="1"/>
  <c r="V101" i="9"/>
  <c r="W268" i="4"/>
  <c r="O268" i="4" s="1"/>
  <c r="CO277" i="4"/>
  <c r="CO228" i="4"/>
  <c r="CO227" i="4"/>
  <c r="O207" i="4"/>
  <c r="J92" i="11"/>
  <c r="CO104" i="9"/>
  <c r="CO106" i="9"/>
  <c r="CO92" i="9"/>
  <c r="CO76" i="9"/>
  <c r="CO88" i="9"/>
  <c r="CO102" i="9"/>
  <c r="CO84" i="9"/>
  <c r="CO86" i="9"/>
  <c r="CO96" i="9"/>
  <c r="CO68" i="9"/>
  <c r="CO100" i="9"/>
  <c r="CO94" i="9"/>
  <c r="CO72" i="9"/>
  <c r="CO74" i="9"/>
  <c r="CO98" i="9"/>
  <c r="CO109" i="9"/>
  <c r="CO70" i="9"/>
  <c r="CO80" i="9"/>
  <c r="CO82" i="9"/>
  <c r="BU106" i="9"/>
  <c r="CT228" i="4"/>
  <c r="CT277" i="4"/>
  <c r="CT227" i="4"/>
  <c r="H5" i="11"/>
  <c r="CT59" i="9"/>
  <c r="CT58" i="9"/>
  <c r="CT110" i="9"/>
  <c r="H6" i="11"/>
  <c r="N118" i="9"/>
  <c r="BU96" i="9"/>
  <c r="BU74" i="9"/>
  <c r="BU76" i="9"/>
  <c r="BU86" i="9"/>
  <c r="BU80" i="9"/>
  <c r="BU92" i="9"/>
  <c r="BU102" i="9"/>
  <c r="BU100" i="9"/>
  <c r="BU82" i="9"/>
  <c r="BU88" i="9"/>
  <c r="BU68" i="9"/>
  <c r="BU110" i="9"/>
  <c r="BU98" i="9"/>
  <c r="BU94" i="9"/>
  <c r="BU78" i="9"/>
  <c r="BU72" i="9"/>
  <c r="CT50" i="9"/>
  <c r="CT56" i="9"/>
  <c r="CT61" i="9"/>
  <c r="CT48" i="9"/>
  <c r="CT54" i="9"/>
  <c r="CT63" i="9"/>
  <c r="CT108" i="9"/>
  <c r="J82" i="11"/>
  <c r="V44" i="9"/>
  <c r="V46" i="9"/>
  <c r="N46" i="9" s="1"/>
  <c r="W88" i="4"/>
  <c r="O88" i="4" s="1"/>
  <c r="L66" i="6" s="1"/>
  <c r="V69" i="9"/>
  <c r="W236" i="4"/>
  <c r="O236" i="4" s="1"/>
  <c r="W104" i="4"/>
  <c r="O104" i="4" s="1"/>
  <c r="L74" i="6" s="1"/>
  <c r="V85" i="9"/>
  <c r="W252" i="4"/>
  <c r="O252" i="4" s="1"/>
  <c r="W124" i="4"/>
  <c r="O124" i="4" s="1"/>
  <c r="L84" i="6" s="1"/>
  <c r="V105" i="9"/>
  <c r="W272" i="4"/>
  <c r="O272" i="4" s="1"/>
  <c r="H46" i="11"/>
  <c r="H44" i="11" s="1"/>
  <c r="H16" i="11"/>
  <c r="CR74" i="9"/>
  <c r="CR102" i="9"/>
  <c r="CR110" i="9"/>
  <c r="CR94" i="9"/>
  <c r="CR104" i="9"/>
  <c r="CR70" i="9"/>
  <c r="CR80" i="9"/>
  <c r="CR96" i="9"/>
  <c r="CR68" i="9"/>
  <c r="CR78" i="9"/>
  <c r="CR100" i="9"/>
  <c r="CR92" i="9"/>
  <c r="CR106" i="9"/>
  <c r="CR76" i="9"/>
  <c r="CR86" i="9"/>
  <c r="CR98" i="9"/>
  <c r="CR82" i="9"/>
  <c r="CR109" i="9"/>
  <c r="CR84" i="9"/>
  <c r="CR72" i="9"/>
  <c r="CS209" i="4"/>
  <c r="CS210" i="4"/>
  <c r="CR90" i="9"/>
  <c r="CO110" i="9"/>
  <c r="CO58" i="9"/>
  <c r="CO59" i="9"/>
  <c r="AA83" i="4"/>
  <c r="Z66" i="9"/>
  <c r="AB78" i="4"/>
  <c r="AA62" i="9"/>
  <c r="AB164" i="4"/>
  <c r="AB83" i="4"/>
  <c r="AA66" i="9"/>
  <c r="Q162" i="4"/>
  <c r="O162" i="4" s="1"/>
  <c r="F129" i="6" s="1"/>
  <c r="W133" i="4"/>
  <c r="W136" i="4" s="1"/>
  <c r="V114" i="9"/>
  <c r="W96" i="4"/>
  <c r="O96" i="4" s="1"/>
  <c r="L70" i="6" s="1"/>
  <c r="V77" i="9"/>
  <c r="W244" i="4"/>
  <c r="O244" i="4" s="1"/>
  <c r="W108" i="4"/>
  <c r="O108" i="4" s="1"/>
  <c r="L76" i="6" s="1"/>
  <c r="V89" i="9"/>
  <c r="W256" i="4"/>
  <c r="O256" i="4" s="1"/>
  <c r="O226" i="4"/>
  <c r="G133" i="6"/>
  <c r="G132" i="6" s="1"/>
  <c r="CR108" i="9"/>
  <c r="BU104" i="9"/>
  <c r="BV209" i="4"/>
  <c r="H20" i="11"/>
  <c r="H17" i="11" s="1"/>
  <c r="N57" i="9"/>
  <c r="H49" i="11"/>
  <c r="H48" i="11" s="1"/>
  <c r="BU70" i="9"/>
  <c r="AC164" i="4"/>
  <c r="AA78" i="4"/>
  <c r="AA164" i="4"/>
  <c r="Q136" i="4"/>
  <c r="Q138" i="4"/>
  <c r="CU232" i="4"/>
  <c r="CU275" i="4"/>
  <c r="CU225" i="4"/>
  <c r="CU219" i="4"/>
  <c r="CU221" i="4"/>
  <c r="CU223" i="4"/>
  <c r="CU227" i="4"/>
  <c r="AK83" i="4"/>
  <c r="CP74" i="4"/>
  <c r="CP75" i="4"/>
  <c r="AK63" i="4"/>
  <c r="AK128" i="4" s="1"/>
  <c r="AK149" i="4"/>
  <c r="O73" i="4"/>
  <c r="Q63" i="4"/>
  <c r="Q76" i="4"/>
  <c r="O76" i="4" s="1"/>
  <c r="AC78" i="4"/>
  <c r="J42" i="6"/>
  <c r="J41" i="6" s="1"/>
  <c r="J10" i="6"/>
  <c r="W62" i="4"/>
  <c r="W60" i="4"/>
  <c r="V60" i="4"/>
  <c r="V61" i="4"/>
  <c r="CT28" i="3"/>
  <c r="BA16" i="3"/>
  <c r="BB16" i="3" s="1"/>
  <c r="BL16" i="3"/>
  <c r="BM16" i="3" s="1"/>
  <c r="BP16" i="3"/>
  <c r="BQ16" i="3" s="1"/>
  <c r="BE16" i="3"/>
  <c r="BF16" i="3" s="1"/>
  <c r="AI8" i="3"/>
  <c r="BP9" i="3"/>
  <c r="BQ9" i="3" s="1"/>
  <c r="BL9" i="3"/>
  <c r="BE9" i="3"/>
  <c r="BP51" i="3"/>
  <c r="BQ51" i="3" s="1"/>
  <c r="BL51" i="3"/>
  <c r="BM51" i="3" s="1"/>
  <c r="BE51" i="3"/>
  <c r="BF51" i="3" s="1"/>
  <c r="AJ28" i="3"/>
  <c r="BL28" i="3"/>
  <c r="BM28" i="3" s="1"/>
  <c r="BP28" i="3"/>
  <c r="BQ28" i="3" s="1"/>
  <c r="AW28" i="3"/>
  <c r="AX28" i="3" s="1"/>
  <c r="AS28" i="3"/>
  <c r="AT28" i="3" s="1"/>
  <c r="BE28" i="3"/>
  <c r="BF28" i="3" s="1"/>
  <c r="BA28" i="3"/>
  <c r="BB28" i="3" s="1"/>
  <c r="AN28" i="3"/>
  <c r="AO28" i="3" s="1"/>
  <c r="AW9" i="3"/>
  <c r="AX9" i="3" s="1"/>
  <c r="BA9" i="3"/>
  <c r="AW51" i="3"/>
  <c r="BA51" i="3"/>
  <c r="BB51" i="3" s="1"/>
  <c r="AS16" i="3"/>
  <c r="AT16" i="3" s="1"/>
  <c r="AW16" i="3"/>
  <c r="AX16" i="3" s="1"/>
  <c r="AN9" i="3"/>
  <c r="AS9" i="3"/>
  <c r="AT9" i="3" s="1"/>
  <c r="AN51" i="3"/>
  <c r="AS51" i="3"/>
  <c r="AT51" i="3" s="1"/>
  <c r="AJ16" i="3"/>
  <c r="AN16" i="3"/>
  <c r="AO16" i="3" s="1"/>
  <c r="AM7" i="3"/>
  <c r="AI7" i="3"/>
  <c r="CS28" i="3"/>
  <c r="AV35" i="3"/>
  <c r="AX35" i="3" s="1"/>
  <c r="AI35" i="3"/>
  <c r="AJ35" i="3" s="1"/>
  <c r="AV51" i="3"/>
  <c r="AJ51" i="3"/>
  <c r="BH9" i="3"/>
  <c r="AJ9" i="3"/>
  <c r="AH50" i="3"/>
  <c r="AI50" i="3"/>
  <c r="AZ9" i="3"/>
  <c r="AH8" i="3"/>
  <c r="BD9" i="3"/>
  <c r="AM50" i="3"/>
  <c r="AL9" i="3"/>
  <c r="AL51" i="3"/>
  <c r="AO51" i="3" s="1"/>
  <c r="AH7" i="3"/>
  <c r="O133" i="4" l="1"/>
  <c r="J90" i="6" s="1"/>
  <c r="W138" i="4"/>
  <c r="N45" i="9"/>
  <c r="Q161" i="4"/>
  <c r="W126" i="4"/>
  <c r="W101" i="4" s="1"/>
  <c r="O126" i="4"/>
  <c r="L85" i="6" s="1"/>
  <c r="M77" i="6" s="1"/>
  <c r="V117" i="9"/>
  <c r="V119" i="9"/>
  <c r="N114" i="9"/>
  <c r="N85" i="9"/>
  <c r="N67" i="9"/>
  <c r="O228" i="4"/>
  <c r="N105" i="9"/>
  <c r="V107" i="9"/>
  <c r="V106" i="9" s="1"/>
  <c r="F141" i="6"/>
  <c r="O210" i="4"/>
  <c r="N81" i="9"/>
  <c r="U52" i="9"/>
  <c r="U63" i="9"/>
  <c r="U48" i="9"/>
  <c r="U50" i="9"/>
  <c r="U61" i="9"/>
  <c r="U54" i="9"/>
  <c r="U56" i="9"/>
  <c r="U108" i="9"/>
  <c r="U58" i="9"/>
  <c r="N77" i="9"/>
  <c r="V48" i="9"/>
  <c r="V56" i="9"/>
  <c r="V54" i="9"/>
  <c r="V63" i="9"/>
  <c r="V50" i="9"/>
  <c r="V58" i="9"/>
  <c r="V52" i="9"/>
  <c r="V61" i="9"/>
  <c r="N101" i="9"/>
  <c r="N71" i="9"/>
  <c r="N59" i="9"/>
  <c r="N89" i="9"/>
  <c r="N69" i="9"/>
  <c r="O274" i="4"/>
  <c r="P61" i="9"/>
  <c r="N44" i="9"/>
  <c r="P52" i="9"/>
  <c r="P63" i="9"/>
  <c r="P54" i="9"/>
  <c r="P56" i="9"/>
  <c r="P48" i="9"/>
  <c r="P50" i="9"/>
  <c r="P108" i="9"/>
  <c r="P58" i="9"/>
  <c r="N87" i="9"/>
  <c r="V208" i="4"/>
  <c r="V165" i="4"/>
  <c r="V150" i="4"/>
  <c r="V152" i="4"/>
  <c r="V154" i="4"/>
  <c r="V156" i="4"/>
  <c r="V163" i="4"/>
  <c r="V158" i="4"/>
  <c r="V160" i="4"/>
  <c r="Q78" i="4"/>
  <c r="Q164" i="4"/>
  <c r="O62" i="4"/>
  <c r="W275" i="4"/>
  <c r="W232" i="4"/>
  <c r="W219" i="4"/>
  <c r="W221" i="4"/>
  <c r="W223" i="4"/>
  <c r="W225" i="4"/>
  <c r="W227" i="4"/>
  <c r="O149" i="4"/>
  <c r="AK209" i="4"/>
  <c r="AK161" i="4"/>
  <c r="AK78" i="4"/>
  <c r="AK164" i="4"/>
  <c r="O138" i="4"/>
  <c r="O136" i="4"/>
  <c r="V79" i="4"/>
  <c r="V127" i="4"/>
  <c r="Q75" i="4"/>
  <c r="Q128" i="4"/>
  <c r="W79" i="4"/>
  <c r="W127" i="4"/>
  <c r="O129" i="4"/>
  <c r="W129" i="4"/>
  <c r="AK80" i="4"/>
  <c r="AK75" i="4"/>
  <c r="M68" i="6"/>
  <c r="M78" i="6"/>
  <c r="M80" i="6"/>
  <c r="M79" i="6"/>
  <c r="M83" i="6"/>
  <c r="M70" i="6"/>
  <c r="M72" i="6"/>
  <c r="M84" i="6"/>
  <c r="M67" i="6"/>
  <c r="O115" i="4"/>
  <c r="O95" i="4"/>
  <c r="O99" i="4"/>
  <c r="O113" i="4"/>
  <c r="O111" i="4"/>
  <c r="O103" i="4"/>
  <c r="O121" i="4"/>
  <c r="Q80" i="4"/>
  <c r="O63" i="4"/>
  <c r="J39" i="6" s="1"/>
  <c r="O97" i="4"/>
  <c r="O107" i="4"/>
  <c r="O87" i="4"/>
  <c r="M65" i="6" s="1"/>
  <c r="W125" i="4"/>
  <c r="W89" i="4"/>
  <c r="J8" i="6"/>
  <c r="J7" i="6" s="1"/>
  <c r="J38" i="6"/>
  <c r="W95" i="4"/>
  <c r="W103" i="4"/>
  <c r="V70" i="4"/>
  <c r="V72" i="4"/>
  <c r="V77" i="4"/>
  <c r="V74" i="4"/>
  <c r="W70" i="4"/>
  <c r="W77" i="4"/>
  <c r="W72" i="4"/>
  <c r="W74" i="4"/>
  <c r="V66" i="4"/>
  <c r="V68" i="4"/>
  <c r="W66" i="4"/>
  <c r="W68" i="4"/>
  <c r="CU28" i="3"/>
  <c r="W64" i="4"/>
  <c r="V64" i="4"/>
  <c r="Q60" i="4"/>
  <c r="Q127" i="4" s="1"/>
  <c r="Q61" i="4"/>
  <c r="AK60" i="4"/>
  <c r="AK61" i="4"/>
  <c r="AK150" i="4" s="1"/>
  <c r="BF9" i="3"/>
  <c r="BA7" i="3"/>
  <c r="BP7" i="3"/>
  <c r="BQ7" i="3" s="1"/>
  <c r="BE7" i="3"/>
  <c r="BL50" i="3"/>
  <c r="BP50" i="3"/>
  <c r="BQ50" i="3" s="1"/>
  <c r="BE50" i="3"/>
  <c r="BP8" i="3"/>
  <c r="BQ8" i="3" s="1"/>
  <c r="BE8" i="3"/>
  <c r="AO9" i="3"/>
  <c r="BB9" i="3"/>
  <c r="BM9" i="3"/>
  <c r="BL8" i="3"/>
  <c r="BL7" i="3"/>
  <c r="AX51" i="3"/>
  <c r="AW50" i="3"/>
  <c r="BA50" i="3"/>
  <c r="AW8" i="3"/>
  <c r="BA8" i="3"/>
  <c r="AS7" i="3"/>
  <c r="AT7" i="3" s="1"/>
  <c r="AW7" i="3"/>
  <c r="AN8" i="3"/>
  <c r="AS8" i="3"/>
  <c r="AT8" i="3" s="1"/>
  <c r="AN50" i="3"/>
  <c r="AS50" i="3"/>
  <c r="AT50" i="3" s="1"/>
  <c r="AZ50" i="3"/>
  <c r="BH50" i="3"/>
  <c r="AL50" i="3"/>
  <c r="BD50" i="3"/>
  <c r="AV50" i="3"/>
  <c r="AJ50" i="3"/>
  <c r="AJ7" i="3"/>
  <c r="AN7" i="3"/>
  <c r="AZ8" i="3"/>
  <c r="AJ8" i="3"/>
  <c r="AV8" i="3"/>
  <c r="BD8" i="3"/>
  <c r="BF8" i="3" s="1"/>
  <c r="AL8" i="3"/>
  <c r="AO8" i="3" s="1"/>
  <c r="BH8" i="3"/>
  <c r="BD7" i="3"/>
  <c r="BF7" i="3" s="1"/>
  <c r="AZ7" i="3"/>
  <c r="AV7" i="3"/>
  <c r="AL7" i="3"/>
  <c r="BH7" i="3"/>
  <c r="O105" i="4" l="1"/>
  <c r="O89" i="4"/>
  <c r="O93" i="4"/>
  <c r="O91" i="4"/>
  <c r="M82" i="6"/>
  <c r="M81" i="6"/>
  <c r="O125" i="4"/>
  <c r="O101" i="4"/>
  <c r="O109" i="4"/>
  <c r="O123" i="4"/>
  <c r="O119" i="4"/>
  <c r="J93" i="6"/>
  <c r="J108" i="6" s="1"/>
  <c r="J112" i="6" s="1"/>
  <c r="M75" i="6"/>
  <c r="M74" i="6"/>
  <c r="M71" i="6"/>
  <c r="J6" i="6"/>
  <c r="W119" i="4"/>
  <c r="W99" i="4"/>
  <c r="W117" i="4"/>
  <c r="W107" i="4"/>
  <c r="W91" i="4"/>
  <c r="W128" i="4"/>
  <c r="W115" i="4"/>
  <c r="W123" i="4"/>
  <c r="W113" i="4"/>
  <c r="W87" i="4"/>
  <c r="W109" i="4"/>
  <c r="W105" i="4"/>
  <c r="W111" i="4"/>
  <c r="W93" i="4"/>
  <c r="W97" i="4"/>
  <c r="W121" i="4"/>
  <c r="O117" i="4"/>
  <c r="M76" i="6"/>
  <c r="M66" i="6"/>
  <c r="M73" i="6"/>
  <c r="M69" i="6"/>
  <c r="V90" i="9"/>
  <c r="V102" i="9"/>
  <c r="V88" i="9"/>
  <c r="V70" i="9"/>
  <c r="V78" i="9"/>
  <c r="J91" i="11"/>
  <c r="F144" i="6"/>
  <c r="F145" i="6"/>
  <c r="H4" i="11"/>
  <c r="N117" i="9"/>
  <c r="N119" i="9"/>
  <c r="G141" i="6"/>
  <c r="O276" i="4"/>
  <c r="J85" i="11"/>
  <c r="V72" i="9"/>
  <c r="V108" i="9"/>
  <c r="V82" i="9"/>
  <c r="O277" i="4"/>
  <c r="J84" i="11"/>
  <c r="J76" i="11"/>
  <c r="J81" i="11"/>
  <c r="V92" i="9"/>
  <c r="V80" i="9"/>
  <c r="V84" i="9"/>
  <c r="V98" i="9"/>
  <c r="V100" i="9"/>
  <c r="V110" i="9"/>
  <c r="V94" i="9"/>
  <c r="V109" i="9"/>
  <c r="V104" i="9"/>
  <c r="V96" i="9"/>
  <c r="V74" i="9"/>
  <c r="V76" i="9"/>
  <c r="V68" i="9"/>
  <c r="V86" i="9"/>
  <c r="H15" i="11"/>
  <c r="N63" i="9"/>
  <c r="N61" i="9"/>
  <c r="N64" i="9"/>
  <c r="N54" i="9"/>
  <c r="H43" i="11"/>
  <c r="N56" i="9"/>
  <c r="N50" i="9"/>
  <c r="N48" i="9"/>
  <c r="N52" i="9"/>
  <c r="J75" i="11"/>
  <c r="N58" i="9"/>
  <c r="J79" i="11"/>
  <c r="J93" i="11"/>
  <c r="N107" i="9"/>
  <c r="N102" i="9" s="1"/>
  <c r="J74" i="11"/>
  <c r="J83" i="11"/>
  <c r="F130" i="6"/>
  <c r="O209" i="4"/>
  <c r="O161" i="4"/>
  <c r="G127" i="6"/>
  <c r="G142" i="6" s="1"/>
  <c r="O275" i="4"/>
  <c r="O233" i="4"/>
  <c r="O232" i="4"/>
  <c r="O221" i="4"/>
  <c r="O225" i="4"/>
  <c r="O219" i="4"/>
  <c r="O223" i="4"/>
  <c r="O227" i="4"/>
  <c r="Q165" i="4"/>
  <c r="Q208" i="4"/>
  <c r="Q163" i="4"/>
  <c r="Q154" i="4"/>
  <c r="Q152" i="4"/>
  <c r="Q156" i="4"/>
  <c r="Q158" i="4"/>
  <c r="Q150" i="4"/>
  <c r="Q160" i="4"/>
  <c r="AK165" i="4"/>
  <c r="AK208" i="4"/>
  <c r="AK158" i="4"/>
  <c r="AK154" i="4"/>
  <c r="AK156" i="4"/>
  <c r="AK163" i="4"/>
  <c r="AK152" i="4"/>
  <c r="AK160" i="4"/>
  <c r="O75" i="4"/>
  <c r="O128" i="4"/>
  <c r="AK79" i="4"/>
  <c r="AK127" i="4"/>
  <c r="O61" i="4"/>
  <c r="O150" i="4" s="1"/>
  <c r="Q79" i="4"/>
  <c r="O60" i="4"/>
  <c r="J37" i="6"/>
  <c r="AO50" i="3"/>
  <c r="Q70" i="4"/>
  <c r="Q77" i="4"/>
  <c r="Q72" i="4"/>
  <c r="Q74" i="4"/>
  <c r="AK70" i="4"/>
  <c r="AK72" i="4"/>
  <c r="AK77" i="4"/>
  <c r="AK74" i="4"/>
  <c r="Q66" i="4"/>
  <c r="Q68" i="4"/>
  <c r="AK66" i="4"/>
  <c r="AK68" i="4"/>
  <c r="Q64" i="4"/>
  <c r="AK64" i="4"/>
  <c r="BM7" i="3"/>
  <c r="BB7" i="3"/>
  <c r="BF50" i="3"/>
  <c r="BM8" i="3"/>
  <c r="BM50" i="3"/>
  <c r="AX7" i="3"/>
  <c r="BB8" i="3"/>
  <c r="AX50" i="3"/>
  <c r="BB50" i="3"/>
  <c r="AX8" i="3"/>
  <c r="AO7" i="3"/>
  <c r="CS6" i="3"/>
  <c r="CU6" i="3" s="1"/>
  <c r="J113" i="6" l="1"/>
  <c r="J110" i="6"/>
  <c r="J111" i="6"/>
  <c r="N86" i="9"/>
  <c r="N68" i="9"/>
  <c r="N70" i="9"/>
  <c r="H33" i="11"/>
  <c r="H62" i="11"/>
  <c r="H65" i="11"/>
  <c r="H35" i="11"/>
  <c r="G144" i="6"/>
  <c r="G145" i="6"/>
  <c r="J94" i="11"/>
  <c r="K84" i="11" s="1"/>
  <c r="N78" i="9"/>
  <c r="H66" i="11"/>
  <c r="H36" i="11"/>
  <c r="N72" i="9"/>
  <c r="N90" i="9"/>
  <c r="N106" i="9"/>
  <c r="H64" i="11"/>
  <c r="H34" i="11"/>
  <c r="N108" i="9"/>
  <c r="H32" i="11"/>
  <c r="H60" i="11"/>
  <c r="K85" i="11"/>
  <c r="N100" i="9"/>
  <c r="N96" i="9"/>
  <c r="N76" i="9"/>
  <c r="N94" i="9"/>
  <c r="N80" i="9"/>
  <c r="H7" i="11"/>
  <c r="N92" i="9"/>
  <c r="N98" i="9"/>
  <c r="N74" i="9"/>
  <c r="N104" i="9"/>
  <c r="N84" i="9"/>
  <c r="N109" i="9"/>
  <c r="N110" i="9"/>
  <c r="H61" i="11"/>
  <c r="H30" i="11"/>
  <c r="N82" i="9"/>
  <c r="N88" i="9"/>
  <c r="F127" i="6"/>
  <c r="F142" i="6" s="1"/>
  <c r="O208" i="4"/>
  <c r="O165" i="4"/>
  <c r="O163" i="4"/>
  <c r="O156" i="4"/>
  <c r="O158" i="4"/>
  <c r="O154" i="4"/>
  <c r="O152" i="4"/>
  <c r="O160" i="4"/>
  <c r="F128" i="6"/>
  <c r="F143" i="6"/>
  <c r="O81" i="4"/>
  <c r="O127" i="4"/>
  <c r="O64" i="4"/>
  <c r="O79" i="4"/>
  <c r="J114" i="6" s="1"/>
  <c r="O66" i="4"/>
  <c r="O72" i="4"/>
  <c r="O70" i="4"/>
  <c r="O68" i="4"/>
  <c r="O74" i="4"/>
  <c r="O77" i="4"/>
  <c r="J5" i="6"/>
  <c r="J36" i="6"/>
  <c r="K91" i="11" l="1"/>
  <c r="H31" i="11"/>
  <c r="H29" i="11" s="1"/>
  <c r="K83" i="11"/>
  <c r="K79" i="11"/>
  <c r="K74" i="11"/>
  <c r="K93" i="11"/>
  <c r="K87" i="11"/>
  <c r="K89" i="11"/>
  <c r="K86" i="11"/>
  <c r="K88" i="11"/>
  <c r="K78" i="11"/>
  <c r="K90" i="11"/>
  <c r="K80" i="11"/>
  <c r="K77" i="11"/>
  <c r="K82" i="11"/>
  <c r="K92" i="11"/>
  <c r="K81" i="11"/>
  <c r="K76" i="11"/>
  <c r="K75" i="11"/>
  <c r="H59" i="11"/>
  <c r="H63" i="11"/>
  <c r="J109" i="6"/>
  <c r="J23" i="6"/>
  <c r="J53" i="6"/>
  <c r="J57" i="6"/>
  <c r="J28" i="6"/>
  <c r="J27" i="6"/>
  <c r="J56" i="6"/>
  <c r="J25" i="6"/>
  <c r="J52" i="6"/>
  <c r="J26" i="6"/>
  <c r="J54" i="6"/>
  <c r="J58" i="6"/>
  <c r="J29" i="6"/>
  <c r="H58" i="11" l="1"/>
  <c r="J51" i="6"/>
  <c r="J55" i="6"/>
  <c r="J2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Валерия Паксиваткина</author>
    <author>Паксиваткина Валерия Александровна</author>
    <author>Кондаков Владимир Георгиевич</author>
  </authors>
  <commentList>
    <comment ref="AH11" authorId="0" shapeId="0" xr:uid="{00000000-0006-0000-0000-000001000000}">
      <text>
        <r>
          <rPr>
            <b/>
            <sz val="9"/>
            <color indexed="81"/>
            <rFont val="Tahoma"/>
            <family val="2"/>
            <charset val="204"/>
          </rPr>
          <t>Валерия Паксиваткина:</t>
        </r>
        <r>
          <rPr>
            <sz val="9"/>
            <color indexed="81"/>
            <rFont val="Tahoma"/>
            <family val="2"/>
            <charset val="204"/>
          </rPr>
          <t xml:space="preserve">
101, 57 - было</t>
        </r>
      </text>
    </comment>
    <comment ref="AH12" authorId="0" shapeId="0" xr:uid="{00000000-0006-0000-0000-000002000000}">
      <text>
        <r>
          <rPr>
            <b/>
            <sz val="9"/>
            <color indexed="81"/>
            <rFont val="Tahoma"/>
            <family val="2"/>
            <charset val="204"/>
          </rPr>
          <t>Валерия Паксиваткина:</t>
        </r>
        <r>
          <rPr>
            <sz val="9"/>
            <color indexed="81"/>
            <rFont val="Tahoma"/>
            <family val="2"/>
            <charset val="204"/>
          </rPr>
          <t xml:space="preserve">
50,35 было
</t>
        </r>
      </text>
    </comment>
    <comment ref="AH14" authorId="0" shapeId="0" xr:uid="{00000000-0006-0000-0000-000003000000}">
      <text>
        <r>
          <rPr>
            <b/>
            <sz val="9"/>
            <color indexed="81"/>
            <rFont val="Tahoma"/>
            <family val="2"/>
            <charset val="204"/>
          </rPr>
          <t>Валерия Паксиваткина:</t>
        </r>
        <r>
          <rPr>
            <sz val="9"/>
            <color indexed="81"/>
            <rFont val="Tahoma"/>
            <family val="2"/>
            <charset val="204"/>
          </rPr>
          <t xml:space="preserve">
1,263 - было</t>
        </r>
      </text>
    </comment>
    <comment ref="CR18" authorId="0" shapeId="0" xr:uid="{00000000-0006-0000-0000-000004000000}">
      <text>
        <r>
          <rPr>
            <b/>
            <sz val="9"/>
            <color indexed="81"/>
            <rFont val="Tahoma"/>
            <family val="2"/>
            <charset val="204"/>
          </rPr>
          <t>Валерия Паксиваткина:</t>
        </r>
        <r>
          <rPr>
            <sz val="9"/>
            <color indexed="81"/>
            <rFont val="Tahoma"/>
            <family val="2"/>
            <charset val="204"/>
          </rPr>
          <t xml:space="preserve">
создание условий для оказания медицинской помощи</t>
        </r>
      </text>
    </comment>
    <comment ref="EX18" authorId="0" shapeId="0" xr:uid="{00000000-0006-0000-0000-000005000000}">
      <text>
        <r>
          <rPr>
            <b/>
            <sz val="9"/>
            <color indexed="81"/>
            <rFont val="Tahoma"/>
            <family val="2"/>
            <charset val="204"/>
          </rPr>
          <t>Валерия Паксиваткина:</t>
        </r>
        <r>
          <rPr>
            <sz val="9"/>
            <color indexed="81"/>
            <rFont val="Tahoma"/>
            <family val="2"/>
            <charset val="204"/>
          </rPr>
          <t xml:space="preserve">
В 2019 году поступили заявки от 54 муниципальных районов 
и 9 городских округов.
Указанные муниципальные районы и городские округа составляют 100 процентов от общего количества муниципальных районов и городских округов в субъекте Российской Федерации.</t>
        </r>
      </text>
    </comment>
    <comment ref="CR26" authorId="0" shapeId="0" xr:uid="{00000000-0006-0000-0000-000006000000}">
      <text>
        <r>
          <rPr>
            <b/>
            <sz val="9"/>
            <color indexed="81"/>
            <rFont val="Tahoma"/>
            <family val="2"/>
            <charset val="204"/>
          </rPr>
          <t>Валерия Паксиваткина:</t>
        </r>
        <r>
          <rPr>
            <sz val="9"/>
            <color indexed="81"/>
            <rFont val="Tahoma"/>
            <family val="2"/>
            <charset val="204"/>
          </rPr>
          <t xml:space="preserve">
установка поклонного креста 
</t>
        </r>
      </text>
    </comment>
    <comment ref="CR27" authorId="0" shapeId="0" xr:uid="{00000000-0006-0000-0000-000007000000}">
      <text>
        <r>
          <rPr>
            <b/>
            <sz val="9"/>
            <color indexed="81"/>
            <rFont val="Tahoma"/>
            <family val="2"/>
            <charset val="204"/>
          </rPr>
          <t>Валерия Паксиваткина:</t>
        </r>
        <r>
          <rPr>
            <sz val="9"/>
            <color indexed="81"/>
            <rFont val="Tahoma"/>
            <family val="2"/>
            <charset val="204"/>
          </rPr>
          <t xml:space="preserve">
создание летописи села</t>
        </r>
      </text>
    </comment>
    <comment ref="CR33" authorId="0" shapeId="0" xr:uid="{00000000-0006-0000-0000-000008000000}">
      <text>
        <r>
          <rPr>
            <b/>
            <sz val="9"/>
            <color indexed="81"/>
            <rFont val="Tahoma"/>
            <family val="2"/>
            <charset val="204"/>
          </rPr>
          <t>Валерия Паксиваткина:</t>
        </r>
        <r>
          <rPr>
            <sz val="9"/>
            <color indexed="81"/>
            <rFont val="Tahoma"/>
            <family val="2"/>
            <charset val="204"/>
          </rPr>
          <t xml:space="preserve">
газификация населенных пунктов</t>
        </r>
      </text>
    </comment>
    <comment ref="AH36" authorId="0" shapeId="0" xr:uid="{00000000-0006-0000-0000-000009000000}">
      <text>
        <r>
          <rPr>
            <b/>
            <sz val="9"/>
            <color indexed="81"/>
            <rFont val="Tahoma"/>
            <family val="2"/>
            <charset val="204"/>
          </rPr>
          <t>Валерия Паксиваткина:</t>
        </r>
        <r>
          <rPr>
            <sz val="9"/>
            <color indexed="81"/>
            <rFont val="Tahoma"/>
            <family val="2"/>
            <charset val="204"/>
          </rPr>
          <t xml:space="preserve">
171,116 - было
</t>
        </r>
      </text>
    </comment>
    <comment ref="AH39" authorId="0" shapeId="0" xr:uid="{00000000-0006-0000-0000-00000A000000}">
      <text>
        <r>
          <rPr>
            <b/>
            <sz val="9"/>
            <color indexed="81"/>
            <rFont val="Tahoma"/>
            <family val="2"/>
            <charset val="204"/>
          </rPr>
          <t>убрала работу спонсоров из иных источников, см. трудовой вклад</t>
        </r>
      </text>
    </comment>
    <comment ref="BN39" authorId="0" shapeId="0" xr:uid="{00000000-0006-0000-0000-00000B000000}">
      <text>
        <r>
          <rPr>
            <b/>
            <sz val="9"/>
            <color rgb="FF000000"/>
            <rFont val="Tahoma"/>
            <family val="2"/>
            <charset val="204"/>
          </rPr>
          <t>Валерия Паксиваткина:</t>
        </r>
        <r>
          <rPr>
            <sz val="9"/>
            <color rgb="FF000000"/>
            <rFont val="Tahoma"/>
            <family val="2"/>
            <charset val="204"/>
          </rPr>
          <t xml:space="preserve">
</t>
        </r>
        <r>
          <rPr>
            <sz val="9"/>
            <color rgb="FF000000"/>
            <rFont val="Tahoma"/>
            <family val="2"/>
            <charset val="204"/>
          </rPr>
          <t xml:space="preserve">Часть работ (закупка материалов) по реализации проекта были выполнены благотворителями и населением. Работы не были оплачены из бюджетов различных уровней (неденежный вклад), однако на эти работы составлялась сметная документация и о
</t>
        </r>
        <r>
          <rPr>
            <sz val="9"/>
            <color rgb="FF000000"/>
            <rFont val="Tahoma"/>
            <family val="2"/>
            <charset val="204"/>
          </rPr>
          <t>ни входили в конечную стоимость реализации проекта(например: демонтажные работы, работы по озеленению)</t>
        </r>
      </text>
    </comment>
    <comment ref="CR39" authorId="0" shapeId="0" xr:uid="{00000000-0006-0000-0000-00000C000000}">
      <text>
        <r>
          <rPr>
            <b/>
            <sz val="9"/>
            <color indexed="81"/>
            <rFont val="Tahoma"/>
            <family val="2"/>
            <charset val="204"/>
          </rPr>
          <t>Валерия Паксиваткина:</t>
        </r>
        <r>
          <rPr>
            <sz val="9"/>
            <color indexed="81"/>
            <rFont val="Tahoma"/>
            <family val="2"/>
            <charset val="204"/>
          </rPr>
          <t xml:space="preserve">
устройство тротуарных дорожек </t>
        </r>
      </text>
    </comment>
    <comment ref="CR40" authorId="0" shapeId="0" xr:uid="{00000000-0006-0000-0000-00000D000000}">
      <text>
        <r>
          <rPr>
            <b/>
            <sz val="9"/>
            <color indexed="81"/>
            <rFont val="Tahoma"/>
            <family val="2"/>
            <charset val="204"/>
          </rPr>
          <t>Валерия Паксиваткина:</t>
        </r>
        <r>
          <rPr>
            <sz val="9"/>
            <color indexed="81"/>
            <rFont val="Tahoma"/>
            <family val="2"/>
            <charset val="204"/>
          </rPr>
          <t xml:space="preserve">
ремонт колодцев и родников</t>
        </r>
      </text>
    </comment>
    <comment ref="CR41" authorId="0" shapeId="0" xr:uid="{00000000-0006-0000-0000-00000E000000}">
      <text>
        <r>
          <rPr>
            <b/>
            <sz val="9"/>
            <color indexed="81"/>
            <rFont val="Tahoma"/>
            <family val="2"/>
            <charset val="204"/>
          </rPr>
          <t>Валерия Паксиваткина:</t>
        </r>
        <r>
          <rPr>
            <sz val="9"/>
            <color indexed="81"/>
            <rFont val="Tahoma"/>
            <family val="2"/>
            <charset val="204"/>
          </rPr>
          <t xml:space="preserve">
благоустройство территории, прилегающей к источнику "Кипучий ручей Животинный" в селе Староживотинное Айдаровского сельского поселения Рамонского муниципального района Воронежской области</t>
        </r>
      </text>
    </comment>
    <comment ref="CP44" authorId="0" shapeId="0" xr:uid="{00000000-0006-0000-0000-00000F000000}">
      <text>
        <r>
          <rPr>
            <b/>
            <sz val="9"/>
            <color indexed="81"/>
            <rFont val="Tahoma"/>
            <family val="2"/>
            <charset val="204"/>
          </rPr>
          <t>Валерия Паксиваткина:</t>
        </r>
        <r>
          <rPr>
            <sz val="9"/>
            <color indexed="81"/>
            <rFont val="Tahoma"/>
            <family val="2"/>
            <charset val="204"/>
          </rPr>
          <t xml:space="preserve">
Окончательный расчет за поставку катера</t>
        </r>
      </text>
    </comment>
    <comment ref="CR53" authorId="1" shapeId="0" xr:uid="{00000000-0006-0000-0000-000010000000}">
      <text>
        <r>
          <rPr>
            <b/>
            <sz val="9"/>
            <color rgb="FF000000"/>
            <rFont val="Tahoma"/>
            <family val="2"/>
            <charset val="204"/>
          </rPr>
          <t>Паксиваткина Валерия Александровна:</t>
        </r>
        <r>
          <rPr>
            <sz val="9"/>
            <color rgb="FF000000"/>
            <rFont val="Tahoma"/>
            <family val="2"/>
            <charset val="204"/>
          </rPr>
          <t xml:space="preserve">
18 - восстановление, обустройство братских захоронений, мемориалов воинской славы; 1 - объект газоснабжения</t>
        </r>
      </text>
    </comment>
    <comment ref="CR61" authorId="0" shapeId="0" xr:uid="{00000000-0006-0000-0000-000011000000}">
      <text>
        <r>
          <rPr>
            <b/>
            <sz val="9"/>
            <color indexed="81"/>
            <rFont val="Tahoma"/>
            <family val="2"/>
            <charset val="204"/>
          </rPr>
          <t>Валерия Паксиваткина:</t>
        </r>
        <r>
          <rPr>
            <sz val="9"/>
            <color indexed="81"/>
            <rFont val="Tahoma"/>
            <family val="2"/>
            <charset val="204"/>
          </rPr>
          <t xml:space="preserve">
благоустройство территории  мемориального комплекса</t>
        </r>
      </text>
    </comment>
    <comment ref="CS63" authorId="0" shapeId="0" xr:uid="{00000000-0006-0000-0000-000012000000}">
      <text>
        <r>
          <rPr>
            <b/>
            <sz val="9"/>
            <color indexed="81"/>
            <rFont val="Tahoma"/>
            <family val="2"/>
            <charset val="204"/>
          </rPr>
          <t>Валерия Паксиваткина:</t>
        </r>
        <r>
          <rPr>
            <sz val="9"/>
            <color indexed="81"/>
            <rFont val="Tahoma"/>
            <family val="2"/>
            <charset val="204"/>
          </rPr>
          <t xml:space="preserve">
направления расходования средств самообложения граждан устанавливаются в решении референдума (схода граждан)  </t>
        </r>
      </text>
    </comment>
    <comment ref="BV65" authorId="0" shapeId="0" xr:uid="{00000000-0006-0000-0000-000013000000}">
      <text>
        <r>
          <rPr>
            <b/>
            <sz val="9"/>
            <color indexed="81"/>
            <rFont val="Tahoma"/>
            <family val="2"/>
            <charset val="204"/>
          </rPr>
          <t>Валерия Паксиваткина:</t>
        </r>
        <r>
          <rPr>
            <sz val="9"/>
            <color indexed="81"/>
            <rFont val="Tahoma"/>
            <family val="2"/>
            <charset val="204"/>
          </rPr>
          <t xml:space="preserve">
При реализации проекта "Народный бюджет" в 2019 г. в соответствии с редакцией Постановления № 252, действующей в рассматриваемый период (15.03.2018-01.12.2019г.) народным проектом являлся проект, предлагаемый к реализации органами местного самоуправления в Республике Коми, сформированный с учетом предложений населения соответствующего муниципального образования. В связи с этим статистика по определению количества проектных заявок (предложений), предложенных гражданами, не велась. </t>
        </r>
      </text>
    </comment>
    <comment ref="BW65" authorId="0" shapeId="0" xr:uid="{00000000-0006-0000-0000-000014000000}">
      <text>
        <r>
          <rPr>
            <b/>
            <sz val="9"/>
            <color indexed="81"/>
            <rFont val="Tahoma"/>
            <family val="2"/>
            <charset val="204"/>
          </rPr>
          <t>Валерия Паксиваткина:</t>
        </r>
        <r>
          <rPr>
            <sz val="9"/>
            <color indexed="81"/>
            <rFont val="Tahoma"/>
            <family val="2"/>
            <charset val="204"/>
          </rPr>
          <t xml:space="preserve">
проектных заявок.  Органы местного самоуправления городских округов, муниципальных районов (с учетом входящих в их состав поселений) утверждили перечни одобренных народных проектов с учетом приоритетных направлений и/или количества граждан, поддержавших народный проект, и/или количества благополучателей при реализации народного проекта, и/или общественной значимости народного проекта (529 проекта из 633). Затем органы исполнительной власти Республики Коми проверили указанные перечни на предмет возможности реализации, соответствия направлению. В результате для участия в конкурсных процедурах поступили 393 проектных заявок. </t>
        </r>
      </text>
    </comment>
    <comment ref="CR65" authorId="0" shapeId="0" xr:uid="{00000000-0006-0000-0000-000015000000}">
      <text>
        <r>
          <rPr>
            <b/>
            <sz val="9"/>
            <color indexed="81"/>
            <rFont val="Tahoma"/>
            <family val="2"/>
            <charset val="204"/>
          </rPr>
          <t>Валерия Паксиваткина:</t>
        </r>
        <r>
          <rPr>
            <sz val="9"/>
            <color indexed="81"/>
            <rFont val="Tahoma"/>
            <family val="2"/>
            <charset val="204"/>
          </rPr>
          <t xml:space="preserve">
снос аварийного и ветхого жилья, ликвидация свалок</t>
        </r>
      </text>
    </comment>
    <comment ref="CR82" authorId="0" shapeId="0" xr:uid="{00000000-0006-0000-0000-000016000000}">
      <text>
        <r>
          <rPr>
            <b/>
            <sz val="9"/>
            <color indexed="81"/>
            <rFont val="Tahoma"/>
            <family val="2"/>
            <charset val="204"/>
          </rPr>
          <t>Валерия Паксиваткина:</t>
        </r>
        <r>
          <rPr>
            <sz val="9"/>
            <color indexed="81"/>
            <rFont val="Tahoma"/>
            <family val="2"/>
            <charset val="204"/>
          </rPr>
          <t xml:space="preserve">
реконструкция помещения и прилегающей территории молодежного центра</t>
        </r>
      </text>
    </comment>
    <comment ref="DZ82" authorId="0" shapeId="0" xr:uid="{00000000-0006-0000-0000-000017000000}">
      <text>
        <r>
          <rPr>
            <b/>
            <sz val="9"/>
            <color indexed="81"/>
            <rFont val="Tahoma"/>
            <family val="2"/>
            <charset val="204"/>
          </rPr>
          <t>Валерия Паксиваткина:</t>
        </r>
        <r>
          <rPr>
            <sz val="9"/>
            <color indexed="81"/>
            <rFont val="Tahoma"/>
            <family val="2"/>
            <charset val="204"/>
          </rPr>
          <t xml:space="preserve">
оформление проектов на бумажном и электронном носителях, направление через модераторов</t>
        </r>
      </text>
    </comment>
    <comment ref="BV83" authorId="0" shapeId="0" xr:uid="{00000000-0006-0000-0000-000018000000}">
      <text>
        <r>
          <rPr>
            <b/>
            <sz val="9"/>
            <color indexed="81"/>
            <rFont val="Tahoma"/>
            <family val="2"/>
            <charset val="204"/>
          </rPr>
          <t>Валерия Паксиваткина:</t>
        </r>
        <r>
          <rPr>
            <sz val="9"/>
            <color indexed="81"/>
            <rFont val="Tahoma"/>
            <family val="2"/>
            <charset val="204"/>
          </rPr>
          <t xml:space="preserve">
(первичная встреча)</t>
        </r>
      </text>
    </comment>
    <comment ref="DW83" authorId="0" shapeId="0" xr:uid="{00000000-0006-0000-0000-000019000000}">
      <text>
        <r>
          <rPr>
            <b/>
            <sz val="9"/>
            <color indexed="81"/>
            <rFont val="Tahoma"/>
            <family val="2"/>
            <charset val="204"/>
          </rPr>
          <t>Валерия Паксиваткина:</t>
        </r>
        <r>
          <rPr>
            <sz val="9"/>
            <color indexed="81"/>
            <rFont val="Tahoma"/>
            <family val="2"/>
            <charset val="204"/>
          </rPr>
          <t xml:space="preserve">
сбор проектных предложений осуществлялся органами ТОС от граждан по месту их жительства на части территории поселения, городского округа</t>
        </r>
      </text>
    </comment>
    <comment ref="CR86" authorId="0" shapeId="0" xr:uid="{00000000-0006-0000-0000-00001A000000}">
      <text>
        <r>
          <rPr>
            <b/>
            <sz val="9"/>
            <color indexed="81"/>
            <rFont val="Tahoma"/>
            <family val="2"/>
            <charset val="204"/>
          </rPr>
          <t>Валерия Паксиваткина:</t>
        </r>
        <r>
          <rPr>
            <sz val="9"/>
            <color indexed="81"/>
            <rFont val="Tahoma"/>
            <family val="2"/>
            <charset val="204"/>
          </rPr>
          <t xml:space="preserve">
места общего пользования</t>
        </r>
      </text>
    </comment>
    <comment ref="CY92" authorId="0" shapeId="0" xr:uid="{00000000-0006-0000-0000-00001B000000}">
      <text>
        <r>
          <rPr>
            <b/>
            <sz val="9"/>
            <color indexed="81"/>
            <rFont val="Tahoma"/>
            <family val="2"/>
            <charset val="204"/>
          </rPr>
          <t>Валерия Паксиваткина:</t>
        </r>
        <r>
          <rPr>
            <sz val="9"/>
            <color indexed="81"/>
            <rFont val="Tahoma"/>
            <family val="2"/>
            <charset val="204"/>
          </rPr>
          <t xml:space="preserve">
(от 44111 чел.)</t>
        </r>
      </text>
    </comment>
    <comment ref="CR93" authorId="0" shapeId="0" xr:uid="{00000000-0006-0000-0000-00001C000000}">
      <text>
        <r>
          <rPr>
            <b/>
            <sz val="9"/>
            <color indexed="81"/>
            <rFont val="Tahoma"/>
            <family val="2"/>
            <charset val="204"/>
          </rPr>
          <t>Валерия Паксиваткина:</t>
        </r>
        <r>
          <rPr>
            <sz val="9"/>
            <color indexed="81"/>
            <rFont val="Tahoma"/>
            <family val="2"/>
            <charset val="204"/>
          </rPr>
          <t xml:space="preserve">
приют для домашних животных</t>
        </r>
      </text>
    </comment>
    <comment ref="CR95" authorId="0" shapeId="0" xr:uid="{00000000-0006-0000-0000-00001D000000}">
      <text>
        <r>
          <rPr>
            <b/>
            <sz val="9"/>
            <color indexed="81"/>
            <rFont val="Tahoma"/>
            <family val="2"/>
            <charset val="204"/>
          </rPr>
          <t>Валерия Паксиваткина:</t>
        </r>
        <r>
          <rPr>
            <sz val="9"/>
            <color indexed="81"/>
            <rFont val="Tahoma"/>
            <family val="2"/>
            <charset val="204"/>
          </rPr>
          <t xml:space="preserve">
брошюра о борьбе с борщевиком</t>
        </r>
      </text>
    </comment>
    <comment ref="CR97" authorId="0" shapeId="0" xr:uid="{00000000-0006-0000-0000-00001E000000}">
      <text>
        <r>
          <rPr>
            <b/>
            <sz val="9"/>
            <color indexed="81"/>
            <rFont val="Tahoma"/>
            <family val="2"/>
            <charset val="204"/>
          </rPr>
          <t>Валерия Паксиваткина:</t>
        </r>
        <r>
          <rPr>
            <sz val="9"/>
            <color indexed="81"/>
            <rFont val="Tahoma"/>
            <family val="2"/>
            <charset val="204"/>
          </rPr>
          <t xml:space="preserve">
ремонт фасада почты -1, строительство колодцев - 4, борьба с борщевиком Сосновского -3</t>
        </r>
      </text>
    </comment>
    <comment ref="CR102" authorId="1" shapeId="0" xr:uid="{00000000-0006-0000-0000-00001F000000}">
      <text>
        <r>
          <rPr>
            <b/>
            <sz val="9"/>
            <color rgb="FF000000"/>
            <rFont val="Tahoma"/>
            <family val="2"/>
            <charset val="204"/>
          </rPr>
          <t>Паксиваткина Валерия Александровна:</t>
        </r>
        <r>
          <rPr>
            <sz val="9"/>
            <color rgb="FF000000"/>
            <rFont val="Tahoma"/>
            <family val="2"/>
            <charset val="204"/>
          </rPr>
          <t xml:space="preserve">
Другое: 1) Номинация "Красивый и уютный город": 
- благоустройство городского пространства;
- комфортная среда;
- озеленение парков, скверов, дворовых территорий города Омска;
- благоустройство мемориальных объектов;
- благоустройство спортивных объектов;
- охрана окружающей среды;
- экологическое добровольчество;
- восстановление и реконструкция объектов благоустройства, созданных в рамках общественно полезных проектов прошлых лет; 2) Номинация "Активный и социально развитый город":
- спортивные, молодежные мероприятия;
- популяризация здорового образа жизни;
- социальная поддержка людей с ограниченными возможностями здоровья;
- повышение общественной активности ветеранов;  3) Номинация "Культурный город":
- поддержка проектов, посвященных Году театра в Российской Федерации;
- добровольческие проекты в области развития укрепления общероссийского гражданского единства;
- национально-культурные мероприятия; 4) Номинация "Добрый город":
- добровольческие, благотворительные мероприятия;
- защита семьи, материнства, отцовства и детства;
- социально значимые проекты к Десятилетию детства в Российской Федерации</t>
        </r>
      </text>
    </comment>
    <comment ref="AM103" authorId="0" shapeId="0" xr:uid="{00000000-0006-0000-0000-000020000000}">
      <text>
        <r>
          <rPr>
            <b/>
            <sz val="9"/>
            <color indexed="81"/>
            <rFont val="Tahoma"/>
            <family val="2"/>
            <charset val="204"/>
          </rPr>
          <t>Валерия Паксиваткина:</t>
        </r>
        <r>
          <rPr>
            <sz val="9"/>
            <color indexed="81"/>
            <rFont val="Tahoma"/>
            <family val="2"/>
            <charset val="204"/>
          </rPr>
          <t xml:space="preserve">
от 99477,8</t>
        </r>
      </text>
    </comment>
    <comment ref="BS103" authorId="0" shapeId="0" xr:uid="{00000000-0006-0000-0000-000021000000}">
      <text>
        <r>
          <rPr>
            <b/>
            <sz val="9"/>
            <color indexed="81"/>
            <rFont val="Tahoma"/>
            <family val="2"/>
            <charset val="204"/>
          </rPr>
          <t>Валерия Паксиваткина:</t>
        </r>
        <r>
          <rPr>
            <sz val="9"/>
            <color indexed="81"/>
            <rFont val="Tahoma"/>
            <family val="2"/>
            <charset val="204"/>
          </rPr>
          <t xml:space="preserve">
расходы бюджета 106 213,8</t>
        </r>
      </text>
    </comment>
    <comment ref="CR122" authorId="0" shapeId="0" xr:uid="{00000000-0006-0000-0000-000022000000}">
      <text>
        <r>
          <rPr>
            <b/>
            <sz val="9"/>
            <color indexed="81"/>
            <rFont val="Tahoma"/>
            <family val="2"/>
            <charset val="204"/>
          </rPr>
          <t>Валерия Паксиваткина:</t>
        </r>
        <r>
          <rPr>
            <sz val="9"/>
            <color indexed="81"/>
            <rFont val="Tahoma"/>
            <family val="2"/>
            <charset val="204"/>
          </rPr>
          <t xml:space="preserve">
Строительство пешеходного моста через реку</t>
        </r>
      </text>
    </comment>
    <comment ref="CR130" authorId="0" shapeId="0" xr:uid="{00000000-0006-0000-0000-000023000000}">
      <text>
        <r>
          <rPr>
            <b/>
            <sz val="9"/>
            <color indexed="81"/>
            <rFont val="Tahoma"/>
            <family val="2"/>
            <charset val="204"/>
          </rPr>
          <t>Валерия Паксиваткина:</t>
        </r>
        <r>
          <rPr>
            <sz val="9"/>
            <color indexed="81"/>
            <rFont val="Tahoma"/>
            <family val="2"/>
            <charset val="204"/>
          </rPr>
          <t xml:space="preserve">
Создание условий для выгула и дрессировки собак - 1 проект в 2019 году, на 2020 год заявлено еще 3 проекта), экология и озеленение - 3 проекта в 2019 году</t>
        </r>
      </text>
    </comment>
    <comment ref="CR145" authorId="0" shapeId="0" xr:uid="{00000000-0006-0000-0000-000024000000}">
      <text>
        <r>
          <rPr>
            <b/>
            <sz val="9"/>
            <color indexed="81"/>
            <rFont val="Tahoma"/>
            <family val="2"/>
            <charset val="204"/>
          </rPr>
          <t>Валерия Паксиваткина:</t>
        </r>
        <r>
          <rPr>
            <sz val="9"/>
            <color indexed="81"/>
            <rFont val="Tahoma"/>
            <family val="2"/>
            <charset val="204"/>
          </rPr>
          <t xml:space="preserve">
Площадки для выгула и дрессировки собак</t>
        </r>
      </text>
    </comment>
    <comment ref="AH147" authorId="0" shapeId="0" xr:uid="{00000000-0006-0000-0000-000025000000}">
      <text>
        <r>
          <rPr>
            <b/>
            <sz val="9"/>
            <color indexed="81"/>
            <rFont val="Tahoma"/>
            <family val="2"/>
            <charset val="204"/>
          </rPr>
          <t>Валерия Паксиваткина:</t>
        </r>
        <r>
          <rPr>
            <sz val="9"/>
            <color indexed="81"/>
            <rFont val="Tahoma"/>
            <family val="2"/>
            <charset val="204"/>
          </rPr>
          <t xml:space="preserve">
726,074 - было</t>
        </r>
      </text>
    </comment>
    <comment ref="DT147" authorId="0" shapeId="0" xr:uid="{00000000-0006-0000-0000-000026000000}">
      <text>
        <r>
          <rPr>
            <b/>
            <sz val="9"/>
            <color indexed="81"/>
            <rFont val="Tahoma"/>
            <family val="2"/>
            <charset val="204"/>
          </rPr>
          <t>Валерия Паксиваткина:</t>
        </r>
        <r>
          <rPr>
            <sz val="9"/>
            <color indexed="81"/>
            <rFont val="Tahoma"/>
            <family val="2"/>
            <charset val="204"/>
          </rPr>
          <t xml:space="preserve">
муниципальных образований</t>
        </r>
      </text>
    </comment>
    <comment ref="AH160" authorId="0" shapeId="0" xr:uid="{00000000-0006-0000-0000-000027000000}">
      <text>
        <r>
          <rPr>
            <b/>
            <sz val="9"/>
            <color indexed="81"/>
            <rFont val="Tahoma"/>
            <family val="2"/>
            <charset val="204"/>
          </rPr>
          <t>Валерия Паксиваткина:</t>
        </r>
        <r>
          <rPr>
            <sz val="9"/>
            <color indexed="81"/>
            <rFont val="Tahoma"/>
            <family val="2"/>
            <charset val="204"/>
          </rPr>
          <t xml:space="preserve">
688,65 - было</t>
        </r>
      </text>
    </comment>
    <comment ref="CR165" authorId="0" shapeId="0" xr:uid="{00000000-0006-0000-0000-000028000000}">
      <text>
        <r>
          <rPr>
            <b/>
            <sz val="9"/>
            <color indexed="81"/>
            <rFont val="Tahoma"/>
            <family val="2"/>
            <charset val="204"/>
          </rPr>
          <t>Валерия Паксиваткина:</t>
        </r>
        <r>
          <rPr>
            <sz val="9"/>
            <color indexed="81"/>
            <rFont val="Tahoma"/>
            <family val="2"/>
            <charset val="204"/>
          </rPr>
          <t xml:space="preserve">
благоустройство территорий поселений, предупреждение и ликвидация ЧС, охрана общетсвенного порядка</t>
        </r>
      </text>
    </comment>
    <comment ref="AH168" authorId="0" shapeId="0" xr:uid="{00000000-0006-0000-0000-000029000000}">
      <text>
        <r>
          <rPr>
            <b/>
            <sz val="9"/>
            <color indexed="81"/>
            <rFont val="Tahoma"/>
            <family val="2"/>
            <charset val="204"/>
          </rPr>
          <t>Валерия Паксиваткина:</t>
        </r>
        <r>
          <rPr>
            <sz val="9"/>
            <color indexed="81"/>
            <rFont val="Tahoma"/>
            <family val="2"/>
            <charset val="204"/>
          </rPr>
          <t xml:space="preserve">
230,7 - было
</t>
        </r>
      </text>
    </comment>
    <comment ref="BR172" authorId="2" shapeId="0" xr:uid="{00000000-0006-0000-0000-00002A000000}">
      <text>
        <r>
          <rPr>
            <sz val="9"/>
            <color rgb="FF000000"/>
            <rFont val="Tahoma"/>
            <family val="2"/>
            <charset val="204"/>
          </rPr>
          <t>В связи с утверждением постановлением Правительства Российской Федерации от 31.05.2019 № 696 государственной программы Российской Федерации «Комплексное развитие сельских территорий» с 01.01.2020 прекращена реализация мероприятий ведомственной целевой программы «Устойчивое развитие сельских территорий» Государственной программы.
С 01.01.2020 в рамках ведомственного проекта «Благоустройство сельских территорий» направления (подпрограммы) «Создание и развитие инженерной инфраструктуры на сельских территориях» государственной программы Российской Федерации «Комплексное развитие сельских территорий», утвержденной постановлением Правительства Российской Федерации от 31.05.2019 № 696 осуществляется реализация мероприятий по благоустройству сельских территорий.
Государственная программа Тюменской области «Развитие агропромышленного комплекса» на 2013 - 2025 годы», утвержденная постановлением Правительства Тюменской области от 30.12.2014 № 699-п, дополнена подпрограммой «Комплексное развитие сельских территорий» на 2020 — 2025 годы» содержащей аналогичное мероприятие, а также  положением о порядке предоставления субсидий на реализацию мероприятий по благоустройству сельских территорий (приложение № 4 к паспорту государственной программы).
Субсидии предоставляются органам местного самоуправления или органам территориального общественного самоуправления, расположенным на сельской территории в Тюменской области, на реализацию общественно значимых проектов по благоустройству сельских территорий.
Максимальный размер субсидии не превышает 2 млн. рублей и составляет не более 70 процентов общего объема финансового обеспечения реализации Проекта. При этом не менее 30 процентов объема финансирования реализации проекта должно быть обеспечено за счет средств местного бюджета, а также за счет обязательного вклада граждан и (или) юридических лиц (индивидуальных предпринимателей) в реализацию Проекта в различных формах, в том числе в форме денежных средств, трудового участия, предоставления помещений и технических средств.
На реализацию данного мероприятия в 2020 году предусмотрены средства в сумме 45,277 млн. рублей, в том числе средства федерального бюджета - 9,961 млн. рублей. Доля указанных расходов в общем объеме расходов областногоб объеме расходов областного бюджета составляет 0,02%</t>
        </r>
      </text>
    </comment>
    <comment ref="CR180" authorId="0" shapeId="0" xr:uid="{00000000-0006-0000-0000-00002B000000}">
      <text>
        <r>
          <rPr>
            <b/>
            <sz val="9"/>
            <color indexed="81"/>
            <rFont val="Tahoma"/>
            <family val="2"/>
            <charset val="204"/>
          </rPr>
          <t>Валерия Паксиваткина:</t>
        </r>
        <r>
          <rPr>
            <sz val="9"/>
            <color indexed="81"/>
            <rFont val="Tahoma"/>
            <family val="2"/>
            <charset val="204"/>
          </rPr>
          <t xml:space="preserve">
проект «Ремонт автомобильной дороги, ведущей к СНТ «Цементник» снят с реализации проектов-победителей 2019 года в связи с тем, что МО «г.Новоульяновск» не выполнены обязательства условий Соглашения о предоставлении субсидии (средства с населения не собраны, контракт не заключен</t>
        </r>
      </text>
    </comment>
    <comment ref="AH211" authorId="0" shapeId="0" xr:uid="{00000000-0006-0000-0000-00002C000000}">
      <text>
        <r>
          <rPr>
            <b/>
            <sz val="9"/>
            <color indexed="81"/>
            <rFont val="Tahoma"/>
            <family val="2"/>
            <charset val="204"/>
          </rPr>
          <t>Валерия Паксиваткина:</t>
        </r>
        <r>
          <rPr>
            <sz val="9"/>
            <color indexed="81"/>
            <rFont val="Tahoma"/>
            <family val="2"/>
            <charset val="204"/>
          </rPr>
          <t xml:space="preserve">
588,167 - было</t>
        </r>
      </text>
    </comment>
    <comment ref="CR248" authorId="0" shapeId="0" xr:uid="{00000000-0006-0000-0000-00002D000000}">
      <text>
        <r>
          <rPr>
            <b/>
            <sz val="9"/>
            <color indexed="81"/>
            <rFont val="Tahoma"/>
            <family val="2"/>
            <charset val="204"/>
          </rPr>
          <t>Валерия Паксиваткина:</t>
        </r>
        <r>
          <rPr>
            <sz val="9"/>
            <color indexed="81"/>
            <rFont val="Tahoma"/>
            <family val="2"/>
            <charset val="204"/>
          </rPr>
          <t xml:space="preserve">
очистка водоемов, обустройство водных объектов для обеспечения пожарной безопасности)</t>
        </r>
      </text>
    </comment>
  </commentList>
</comments>
</file>

<file path=xl/sharedStrings.xml><?xml version="1.0" encoding="utf-8"?>
<sst xmlns="http://schemas.openxmlformats.org/spreadsheetml/2006/main" count="18009" uniqueCount="5878">
  <si>
    <t>1.</t>
  </si>
  <si>
    <t>2.</t>
  </si>
  <si>
    <t>3.</t>
  </si>
  <si>
    <t>4.</t>
  </si>
  <si>
    <t>В официальных документах (законах, распоряжениях и постановлениях правительства, и иных нормативных правовых актах)</t>
  </si>
  <si>
    <t>Публичное название (бренд, применяемый в рекламных или информационных целях, если отличается)</t>
  </si>
  <si>
    <t>Год начала реализации практики</t>
  </si>
  <si>
    <t>Период реализации практики</t>
  </si>
  <si>
    <t>5.</t>
  </si>
  <si>
    <t>Администрирование практики</t>
  </si>
  <si>
    <t>6.</t>
  </si>
  <si>
    <t>Главный распорядитель / распорядители бюджетных средств на проекты инициативного бюджетирования</t>
  </si>
  <si>
    <t>Форма предоставления бюджетных ассигнований (гранты, субсидии или иные)</t>
  </si>
  <si>
    <t>7.</t>
  </si>
  <si>
    <t>Федеральный орган исполнительной власти – распорядитель указанных бюджетных средств</t>
  </si>
  <si>
    <t>Орган исполнительной власти субъекта РФ – получатель указанных бюджетных средств</t>
  </si>
  <si>
    <t>8.</t>
  </si>
  <si>
    <t>9.</t>
  </si>
  <si>
    <t>10.</t>
  </si>
  <si>
    <t>Водоснабжение, водоотведение</t>
  </si>
  <si>
    <t>Автомобильные дороги, тротуары, пешеходные переходы, остановки</t>
  </si>
  <si>
    <t>Уличное освещение</t>
  </si>
  <si>
    <t>Пожарная безопасность</t>
  </si>
  <si>
    <t>Культурное наследие (памятники, музеи)</t>
  </si>
  <si>
    <t>Проекты в сфере образования</t>
  </si>
  <si>
    <t>Проекты в сфере культуры, библиотечного дела, ремонт домов культуры</t>
  </si>
  <si>
    <t>Физическая культура и массовый спорт</t>
  </si>
  <si>
    <t>11.</t>
  </si>
  <si>
    <t>Детские игровые площадки</t>
  </si>
  <si>
    <t>12.</t>
  </si>
  <si>
    <t>13.</t>
  </si>
  <si>
    <t>14.</t>
  </si>
  <si>
    <t>15.</t>
  </si>
  <si>
    <t>Событийные проекты (праздники, фестивали)</t>
  </si>
  <si>
    <t>16.</t>
  </si>
  <si>
    <t>17.</t>
  </si>
  <si>
    <t>18.</t>
  </si>
  <si>
    <t>Приобретение оборудования, техники, транспорта</t>
  </si>
  <si>
    <t>19.</t>
  </si>
  <si>
    <t>Проекты, направленные на уязвимые социальные группы и граждан с ограниченными возможностями</t>
  </si>
  <si>
    <t>20.</t>
  </si>
  <si>
    <t>Если проектный центр есть, указать:</t>
  </si>
  <si>
    <t>Если проектного центра нет, указать количество администрирующих реализацию практики сотрудников органов власти</t>
  </si>
  <si>
    <t xml:space="preserve">Анкетирование </t>
  </si>
  <si>
    <t>Очные встречи и обсуждения граждан</t>
  </si>
  <si>
    <t>Общественные приемные</t>
  </si>
  <si>
    <t xml:space="preserve">Интернет-голосование </t>
  </si>
  <si>
    <t>Очное голосование на собраниях и встречах</t>
  </si>
  <si>
    <t xml:space="preserve">Референдум </t>
  </si>
  <si>
    <t>Комиссии граждан</t>
  </si>
  <si>
    <t>Комиссии представителей власти</t>
  </si>
  <si>
    <t xml:space="preserve">Автоматическая оценка проектов на основе формальных критериев </t>
  </si>
  <si>
    <t>В случае если была предусмотрена реализация отдельных процедур практики через Интернет, описание этих процедур</t>
  </si>
  <si>
    <t>Нефинансовый вклад со стороны населения, индивидуальных предпринимателей и юридических лиц</t>
  </si>
  <si>
    <t>В случае если такой вклад предусмотрен, описание его формы</t>
  </si>
  <si>
    <t xml:space="preserve">Ссылка на логотип или графическое изображение названия практики </t>
  </si>
  <si>
    <t>текст</t>
  </si>
  <si>
    <t>год</t>
  </si>
  <si>
    <t>ссылка</t>
  </si>
  <si>
    <t>7.1.</t>
  </si>
  <si>
    <t>%</t>
  </si>
  <si>
    <t>число</t>
  </si>
  <si>
    <t>тыс. человек</t>
  </si>
  <si>
    <t>да / нет</t>
  </si>
  <si>
    <t>14.1.</t>
  </si>
  <si>
    <t>14.2.</t>
  </si>
  <si>
    <t>14.3</t>
  </si>
  <si>
    <t>14.4</t>
  </si>
  <si>
    <t>14.5</t>
  </si>
  <si>
    <t>14.6</t>
  </si>
  <si>
    <t>14.7</t>
  </si>
  <si>
    <t>15.1.</t>
  </si>
  <si>
    <t>15.2</t>
  </si>
  <si>
    <t>13.1.</t>
  </si>
  <si>
    <t>13.2.</t>
  </si>
  <si>
    <t>13.3.</t>
  </si>
  <si>
    <t>13.4.</t>
  </si>
  <si>
    <t>13.5.</t>
  </si>
  <si>
    <t>13.6.</t>
  </si>
  <si>
    <t>16.1.</t>
  </si>
  <si>
    <t>17.1.</t>
  </si>
  <si>
    <t>17.2.</t>
  </si>
  <si>
    <t>18.1.</t>
  </si>
  <si>
    <t>18.2.</t>
  </si>
  <si>
    <t>19.1.</t>
  </si>
  <si>
    <t>19.2.</t>
  </si>
  <si>
    <t>19.3.</t>
  </si>
  <si>
    <t>19.4.</t>
  </si>
  <si>
    <t>19.5.</t>
  </si>
  <si>
    <t>1.1.</t>
  </si>
  <si>
    <t>1.2.</t>
  </si>
  <si>
    <t>2.1.</t>
  </si>
  <si>
    <t>3.1.</t>
  </si>
  <si>
    <t>4.1.</t>
  </si>
  <si>
    <t>4.2.</t>
  </si>
  <si>
    <t>4.3.</t>
  </si>
  <si>
    <t>4.4.</t>
  </si>
  <si>
    <t>4.5.</t>
  </si>
  <si>
    <t>6.1.</t>
  </si>
  <si>
    <t>5.1.</t>
  </si>
  <si>
    <t>6.2.</t>
  </si>
  <si>
    <t>6.3.</t>
  </si>
  <si>
    <t>7.A.</t>
  </si>
  <si>
    <t>7.B.</t>
  </si>
  <si>
    <t>7.C.</t>
  </si>
  <si>
    <t>7.D.</t>
  </si>
  <si>
    <t>7.E.</t>
  </si>
  <si>
    <t>7.F.</t>
  </si>
  <si>
    <t>7.A.1.</t>
  </si>
  <si>
    <t>7.A.2.</t>
  </si>
  <si>
    <t>7.A.3.</t>
  </si>
  <si>
    <t>7.B.1.</t>
  </si>
  <si>
    <t>7.B.2.</t>
  </si>
  <si>
    <t>7.C.1.</t>
  </si>
  <si>
    <t>7.C.2.</t>
  </si>
  <si>
    <t>7.D.1.</t>
  </si>
  <si>
    <t>7.D.2.</t>
  </si>
  <si>
    <t>7.E.1.</t>
  </si>
  <si>
    <t>7.E.2.</t>
  </si>
  <si>
    <t>7.F.1.</t>
  </si>
  <si>
    <t>7.F.2.</t>
  </si>
  <si>
    <t>7.E.3.</t>
  </si>
  <si>
    <t>7.E.4.</t>
  </si>
  <si>
    <t>7.E.5.</t>
  </si>
  <si>
    <t>8.1.</t>
  </si>
  <si>
    <t>8.2.</t>
  </si>
  <si>
    <t>9.1.</t>
  </si>
  <si>
    <t>9.2.</t>
  </si>
  <si>
    <t>9.3.</t>
  </si>
  <si>
    <t>10.1.</t>
  </si>
  <si>
    <t>10.2.</t>
  </si>
  <si>
    <t>10.3.</t>
  </si>
  <si>
    <t>10.4.</t>
  </si>
  <si>
    <t>10.5.</t>
  </si>
  <si>
    <t>10.6.</t>
  </si>
  <si>
    <t>10.7.</t>
  </si>
  <si>
    <t>10.8.</t>
  </si>
  <si>
    <t>10.9.</t>
  </si>
  <si>
    <t>10.10.</t>
  </si>
  <si>
    <t>10.11.</t>
  </si>
  <si>
    <t>10.12.</t>
  </si>
  <si>
    <t>10.13.</t>
  </si>
  <si>
    <t>10.14.</t>
  </si>
  <si>
    <t>10.15.</t>
  </si>
  <si>
    <t>10.16.</t>
  </si>
  <si>
    <t>10.17.</t>
  </si>
  <si>
    <t>10.18.</t>
  </si>
  <si>
    <t>10.19.</t>
  </si>
  <si>
    <t>10.20.</t>
  </si>
  <si>
    <t>10.21.</t>
  </si>
  <si>
    <t>11.1.</t>
  </si>
  <si>
    <t>11.2.</t>
  </si>
  <si>
    <t>11.3.</t>
  </si>
  <si>
    <t>12.1.</t>
  </si>
  <si>
    <t>12.2.</t>
  </si>
  <si>
    <t>12.3.</t>
  </si>
  <si>
    <t>12.4.</t>
  </si>
  <si>
    <t>Ответственный исполнитель</t>
  </si>
  <si>
    <t>Адрес электронной почты</t>
  </si>
  <si>
    <t>21.1.</t>
  </si>
  <si>
    <t>21.2.</t>
  </si>
  <si>
    <t>21.3.</t>
  </si>
  <si>
    <t>В случае если такой вклад не предусмотрен НПА, ответ «нет»</t>
  </si>
  <si>
    <t>Иные формы софинансирования, если таковые были использованы (опишите ________________)</t>
  </si>
  <si>
    <t>Иной механизм (опишите __________________)</t>
  </si>
  <si>
    <t>Иной механизм (опишите ____________________)</t>
  </si>
  <si>
    <t>0.</t>
  </si>
  <si>
    <t>Субъект РФ</t>
  </si>
  <si>
    <t>0.1.</t>
  </si>
  <si>
    <t>млн руб.</t>
  </si>
  <si>
    <t>Описание методики подсчета благополучателей или ссылка на неё (если есть)</t>
  </si>
  <si>
    <t>текст (или 100%)</t>
  </si>
  <si>
    <t xml:space="preserve">ссылка </t>
  </si>
  <si>
    <t>тел.</t>
  </si>
  <si>
    <t>e-mail</t>
  </si>
  <si>
    <t>число; сумма ячеек Е44:Е64</t>
  </si>
  <si>
    <t>12.0.</t>
  </si>
  <si>
    <t>20.1.</t>
  </si>
  <si>
    <t>Полное название госпрограммы субъекта РФ и соответствующий раздел (подпрограмма, направление, мероприятие), если есть</t>
  </si>
  <si>
    <t>21.</t>
  </si>
  <si>
    <t>Нормативно-правовое регулирование практики</t>
  </si>
  <si>
    <t>ГРБС, форма предоставления бюджетных ассигнований на реализацию проектов, получатели бюджетных средств</t>
  </si>
  <si>
    <t>бюджетные ассигнования на реализацию проектов ИБ из бюджетов муниципальных образований</t>
  </si>
  <si>
    <t>бюджетные ассигнования на реализацию проектов из бюджета субъекта РФ</t>
  </si>
  <si>
    <t>объемы софинансирования со стороны граждан</t>
  </si>
  <si>
    <t>объемы финансирования с использованием субсидии из федерального бюджета</t>
  </si>
  <si>
    <t>иные формы софинансирования проектов ИБ</t>
  </si>
  <si>
    <t>Год, с которого было начато финансовое обеспечение практики ИБ в субъекте РФ</t>
  </si>
  <si>
    <t xml:space="preserve">Непосредственный получатель / получатели бюджетных средств </t>
  </si>
  <si>
    <t xml:space="preserve">Общий объем средств, направленных из различных источников на финансовое обеспечение проектов ИБ </t>
  </si>
  <si>
    <t>Доля этих средств в общей стоимости проектов ИБ</t>
  </si>
  <si>
    <t>Название госпрограмм / национальных (федеральных) проектов / ФЦП, в рамках которых были получены субсидии из федерального бюджета</t>
  </si>
  <si>
    <t>Адыгея, республика</t>
  </si>
  <si>
    <t>Алтай, республика (1)</t>
  </si>
  <si>
    <t>Алтайский край</t>
  </si>
  <si>
    <t>Амурская область</t>
  </si>
  <si>
    <t>Архангельская область</t>
  </si>
  <si>
    <t>Астраханская область</t>
  </si>
  <si>
    <t>Башкортостан, республика</t>
  </si>
  <si>
    <t>Белгородская область</t>
  </si>
  <si>
    <t>Брянская область</t>
  </si>
  <si>
    <t>Бурятия, республика</t>
  </si>
  <si>
    <t>Владимирская область</t>
  </si>
  <si>
    <t>Волгоградская область</t>
  </si>
  <si>
    <t>Вологодская область</t>
  </si>
  <si>
    <t>Воронежская область</t>
  </si>
  <si>
    <t>Дагестан, республика (1)</t>
  </si>
  <si>
    <t>Еврейская АО</t>
  </si>
  <si>
    <t>Забайкальский край</t>
  </si>
  <si>
    <t>Ивановская область</t>
  </si>
  <si>
    <t>Ингушетия, респ.</t>
  </si>
  <si>
    <t>Иркутская область</t>
  </si>
  <si>
    <t>Кабардино-Балкарская респ.</t>
  </si>
  <si>
    <t>Калининградская область</t>
  </si>
  <si>
    <t>Калмыкия, республика</t>
  </si>
  <si>
    <t>Калужская область</t>
  </si>
  <si>
    <t>Камчатский край</t>
  </si>
  <si>
    <t>Карчаево-Черкесская респ.</t>
  </si>
  <si>
    <t>Карелия, республика</t>
  </si>
  <si>
    <t>Кемеровская область</t>
  </si>
  <si>
    <t>Кировская область</t>
  </si>
  <si>
    <t>Коми, республика</t>
  </si>
  <si>
    <t>Костромская область</t>
  </si>
  <si>
    <t>Краснодарский край</t>
  </si>
  <si>
    <t>Красноярский край</t>
  </si>
  <si>
    <t>Курганская область</t>
  </si>
  <si>
    <t>Курская область</t>
  </si>
  <si>
    <t>Крым, респ.</t>
  </si>
  <si>
    <t>Ленинградская область</t>
  </si>
  <si>
    <t>Липецкая область</t>
  </si>
  <si>
    <t>Магаданская область</t>
  </si>
  <si>
    <t>Мари-Эл республика</t>
  </si>
  <si>
    <t>Мордовия, республика</t>
  </si>
  <si>
    <t>Москва, г.</t>
  </si>
  <si>
    <t>Московская область</t>
  </si>
  <si>
    <t>Мурманская область</t>
  </si>
  <si>
    <t>Ненецкий АО</t>
  </si>
  <si>
    <t>Нижегородская область</t>
  </si>
  <si>
    <t>Новгородская область</t>
  </si>
  <si>
    <t>Новосибирская область</t>
  </si>
  <si>
    <t>Омская область</t>
  </si>
  <si>
    <t>Оренбургская область</t>
  </si>
  <si>
    <t>Орловская область</t>
  </si>
  <si>
    <t>Пензенская область</t>
  </si>
  <si>
    <t>Пермский край</t>
  </si>
  <si>
    <t>Приморский край</t>
  </si>
  <si>
    <t>Псковская область</t>
  </si>
  <si>
    <t>Ростовская область</t>
  </si>
  <si>
    <t>Рязанская область</t>
  </si>
  <si>
    <t>Самарская область</t>
  </si>
  <si>
    <t>Санкт-Петербург</t>
  </si>
  <si>
    <t>Саратовская область</t>
  </si>
  <si>
    <t>Саха (Якутия) республика</t>
  </si>
  <si>
    <t>Сахалинская область</t>
  </si>
  <si>
    <t>Свердловская область</t>
  </si>
  <si>
    <t>Севастополь</t>
  </si>
  <si>
    <t>Северная Осетия-Алания, республика</t>
  </si>
  <si>
    <t>Смоленская область</t>
  </si>
  <si>
    <t>Ставропольский край</t>
  </si>
  <si>
    <t>Тамбовская область</t>
  </si>
  <si>
    <t>Татарстан, респ.</t>
  </si>
  <si>
    <t>Тверская область</t>
  </si>
  <si>
    <t>Томская область</t>
  </si>
  <si>
    <t>Тульская область</t>
  </si>
  <si>
    <t>Тыва, респ.</t>
  </si>
  <si>
    <t>Тюменская область</t>
  </si>
  <si>
    <t>Удмуртия республика</t>
  </si>
  <si>
    <t>Ульяновская область</t>
  </si>
  <si>
    <t>Хабаровский край</t>
  </si>
  <si>
    <t>Хакассия, респ.</t>
  </si>
  <si>
    <t>ХМАО-Югра</t>
  </si>
  <si>
    <t>Челябинская область</t>
  </si>
  <si>
    <t>Чеченская республика</t>
  </si>
  <si>
    <t>Чувашская республика</t>
  </si>
  <si>
    <t>Чукотский АО</t>
  </si>
  <si>
    <t>Ямало-Ненецкий АО</t>
  </si>
  <si>
    <t>Ярославская область</t>
  </si>
  <si>
    <t>Субсидии</t>
  </si>
  <si>
    <t>да</t>
  </si>
  <si>
    <t>нет</t>
  </si>
  <si>
    <t>Даты начала и завершения мероприятий по выбору и реализации проектов ИБ, финансовое обеспечение которых осуществлялось в 2019 году</t>
  </si>
  <si>
    <t>Начало: дд.мм.гг</t>
  </si>
  <si>
    <t>Завершение: дд.мм.гг</t>
  </si>
  <si>
    <t>Дата и реквизиты постановления / распоряжения, на основании которого мероприятия данной практики ИБ впервые были закреплены в составе указанной госпрограммы</t>
  </si>
  <si>
    <t>Непрограммный источник, в котором указаны бюджетные ассигнования, направляемые на реализацию проектов ИБ, если есть</t>
  </si>
  <si>
    <t>Реквизиты и срок действия Программы развития инициативного бюджетирования в субъекте РФ или иного стратегического документа развития ИБ в субъекте РФ, если есть</t>
  </si>
  <si>
    <t>Другие НПА, регулирующие практику ИБ в субъекте РФ, если есть</t>
  </si>
  <si>
    <t>Общая стоимость проектов в 2019 году</t>
  </si>
  <si>
    <t>Объем ассигнований из бюджета субъекта РФ на финансовое обеспечение проектов ИБ в 2019 году</t>
  </si>
  <si>
    <t>Доля указанных бюджетных ассигнований в бюджете субъекта РФ на 2019 год</t>
  </si>
  <si>
    <t xml:space="preserve">Объем ассигнований из бюджетов муниципальных образований на финансовое обеспечение проектов ИБ в 2019 году </t>
  </si>
  <si>
    <t>Объем софинансирования со стороны граждан на финансовое обеспечение проектов ИБ в 2019 году</t>
  </si>
  <si>
    <t>объемы софинансирования со стороны юридических лиц и индивидуальных предпринимателей</t>
  </si>
  <si>
    <t>Объем софинансирования со стороны юридических лиц и индивидуальных предпринимателей на финансовое обеспечение проектов ИБ в 2019 году</t>
  </si>
  <si>
    <t>Объем субсидий из федерального бюджета, направленных на финансовое обеспечение проектов ИБ в 2019 году</t>
  </si>
  <si>
    <t>Планы финансирования практики из бюджета субъекта РФ на 2020 год</t>
  </si>
  <si>
    <t>Объем бюджетных ассигнований из бюджета субъекта РФ, которые запланированы на реализацию проектов ИБ в 2020 году</t>
  </si>
  <si>
    <t>Доля указанных бюджетных средств в общем объеме расходов бюджета субъекта РФ на 2020 год</t>
  </si>
  <si>
    <t>Динамика отбора: выдвинутые, поддержанные и отобранные проектные заявки</t>
  </si>
  <si>
    <t>Количество проектных идей, которые были выдвинуты гражданами в ходе первичных встреч, анкетирования, через интернет или другим способом, если такая статистика велась</t>
  </si>
  <si>
    <t xml:space="preserve">Количество поддержанных гражданами проектных заявок, прошедших технический анализ и зарегистрированных для участия в конкурсных процедурах </t>
  </si>
  <si>
    <t>Количество проектных заявок, отобранных в ходе конкурсных процедур для финансирования</t>
  </si>
  <si>
    <t>Типология проектов ИБ, финансовое обеспечение которых осуществлялось в 2019 году</t>
  </si>
  <si>
    <t>Проекты в сфере бытового обслуживания населения</t>
  </si>
  <si>
    <t>Комплексное благоустройство дворов</t>
  </si>
  <si>
    <t>Места массового отдыха и объекты организации благоустройства</t>
  </si>
  <si>
    <t>Благоустройство мест захоронений</t>
  </si>
  <si>
    <t>Организация сбора твердых коммунальных отходов и мусора</t>
  </si>
  <si>
    <t xml:space="preserve">Проекты ЖКХ, ремонт многоквартирных домов </t>
  </si>
  <si>
    <t>Крупные инфраструктурные проекты (мосты, плотины, водоёмы)</t>
  </si>
  <si>
    <t>Количество благополучателей от реализации проектов, финансовое обеспечение которых осуществлялось в 2019 году</t>
  </si>
  <si>
    <t>Количество благополучателей от реализации проектов</t>
  </si>
  <si>
    <t>Доля благополучателей от общего количества жителей субъекта РФ. Указать источник статистики о количестве жителей</t>
  </si>
  <si>
    <t xml:space="preserve">Организация сопровождения практики ИБ </t>
  </si>
  <si>
    <t>Название и юридический статус проектного центра</t>
  </si>
  <si>
    <t>Источник финансирования деятельности проектного центра</t>
  </si>
  <si>
    <t>Количество вовлеченных в реализацию практики консультантов проектного центра</t>
  </si>
  <si>
    <t>Количество привлекаемых волонтеров</t>
  </si>
  <si>
    <t>12.5.</t>
  </si>
  <si>
    <t>Процедуры сбора проектных идей и количество граждан, принявших в них участие</t>
  </si>
  <si>
    <t>Использовалась ли процедура: да / нет</t>
  </si>
  <si>
    <t>Способ фиксации участия: текст и(или) ссылка</t>
  </si>
  <si>
    <t>Количество участвовавших: число</t>
  </si>
  <si>
    <t xml:space="preserve">Количество участвовавших: число </t>
  </si>
  <si>
    <t>Ящики для сбора проектных идей</t>
  </si>
  <si>
    <t>Подача проектных идей через интернет</t>
  </si>
  <si>
    <t>Процедуры конкурсного отбора проектных заявок и количество граждан, принявших в них участие</t>
  </si>
  <si>
    <t>Административный охват практикой ИБ согласно НПА</t>
  </si>
  <si>
    <t>Предусматривает ли практика возможность участия всех муниципальных образований (административно-территориальных единиц) или только части из них</t>
  </si>
  <si>
    <t>Если возможность участия предусмотрена не для всех муниципальных образований (административно-территориальных единиц), следует указать, по каким критериям осуществлялся выбор участников</t>
  </si>
  <si>
    <t>Количество муниципальных образований (административно-территориальных единиц), принявших участие в практике в 2019 году</t>
  </si>
  <si>
    <t xml:space="preserve">Количество муниципальных образований (административно-территориальных единиц), от которых поступили проектные заявки в 2019 году </t>
  </si>
  <si>
    <t>Наличие интернет-решения, используемоего для управления практикой</t>
  </si>
  <si>
    <t>В случае, если для управления практикой не предусмотрено интернет-решение, ответ «нет»</t>
  </si>
  <si>
    <t>Информационное сопровождение практики</t>
  </si>
  <si>
    <t>Ссылка на официальный интернет-ресурс практики</t>
  </si>
  <si>
    <t>Ссылки на иные официальные и неофициальные информационные ресурсы практики, в том числе в социальных сетях</t>
  </si>
  <si>
    <t>Описание того, каким образом и в каких масштабах проводилась рекламная кампания ИБ в субъекте РФ (ТВ, радио, наружная реклама, социальные сети и др.) Ссылки на примеры, обеспечившие самый большой охват населения</t>
  </si>
  <si>
    <t>Описание использованных видов информационных раздаточных материалов, инфографики. Ссылки на макеты</t>
  </si>
  <si>
    <t>Обучающие мероприятия по инициативному бюджетированию</t>
  </si>
  <si>
    <t>Формат, периодичность и состав участников</t>
  </si>
  <si>
    <t>20.2.</t>
  </si>
  <si>
    <t>Количество мероприятий</t>
  </si>
  <si>
    <t>20.3.</t>
  </si>
  <si>
    <t>Общее количество участников</t>
  </si>
  <si>
    <t>Фамилия, имя отчество полностью, должность, РОИВ</t>
  </si>
  <si>
    <t>Контактный телефон с кодом</t>
  </si>
  <si>
    <t>22.</t>
  </si>
  <si>
    <t>Контактное лицо от финансового органа субъекта РФ (если форма заполнялась специалистами иных РОИВ)</t>
  </si>
  <si>
    <t>22.1.</t>
  </si>
  <si>
    <t>Фамилия, имя отчество полностью, должность</t>
  </si>
  <si>
    <t>22.2.</t>
  </si>
  <si>
    <t>22.3.</t>
  </si>
  <si>
    <t xml:space="preserve"> Проекты инициативного бюджетирования "Твой Кузбасс - твоя инициатива"</t>
  </si>
  <si>
    <t xml:space="preserve"> "Твой Кузбасс - твоя инициатива"</t>
  </si>
  <si>
    <t xml:space="preserve">"Об утверждении государственной программа Кемеровской области Кузбасса "Управление государственными финансами Кузбасса" на 2014-2022 годы, подпрограмма "Создание условий для повышения эффекитивности роасходов бюджета Кемеровской области - Кзбасса, мероприятие "Реализация проетов инициативного бюджетирования "Твой Кузбасс - твоя иницитива" </t>
  </si>
  <si>
    <t>Постановление Коллегии Администрации Кемеровской области от 24.12.2018 № 606 "О внесении изменений в постановление Коллегии Администрации Кемеровской области  от 08.10.2013 № 421"</t>
  </si>
  <si>
    <t>http://publication.pravo.gov.ru/Document/View/4200201908130001</t>
  </si>
  <si>
    <t>Закон Кемеровской области - Кузбасса от 14.11.2018 № 90-ОЗ "О оеализации проетов инициативного бюджетирования в Кемеровской области",</t>
  </si>
  <si>
    <t xml:space="preserve">http://docs.cntd.ru/document/550244134  </t>
  </si>
  <si>
    <t>Постановление коллегии Администрации Кемеровской области от 11.12.2018 № 565 "Об областной конкурсной комиссии и проведении конкурсного отбора проектов инициативного бюджетирования "Твой Кузбасс - твоя инициатива" в Кемеровской области, от 11.12.2018 № 566 " Об утверждении Порядка предоставления субсидии из областного бюджета бюджетам муниципальных образований Кемеровской области на реализацию проектов   инициативного бюджетирования "Твой Кузбасс - твоя инициатива" в Кемеровской области</t>
  </si>
  <si>
    <t>http://docs.cntd.ru/document/550287796   http://docs.cntd.ru/document/550287820</t>
  </si>
  <si>
    <t>Министерство финансов Кузбасса</t>
  </si>
  <si>
    <t xml:space="preserve">Всего 31 получатель бюджетных средств, в том числе администрации, управления образования,  комитет по управлению муниципальным имуществом, финансовые управления, муниципальные казенные учреждения.
</t>
  </si>
  <si>
    <t>Численность благополучателей учитывается исходя из указанных данных в заявках на участие в конкурсах. Еесли численность населения муниципального образования превышает данные Росстата, конкурсанты направляют подтверждение (например, пояснительная записка по проведению областных конкурсов, планы региональных меропритияй на данной территории и т.д.)</t>
  </si>
  <si>
    <t>Расчетная методика не предусмотрена</t>
  </si>
  <si>
    <t>http://kemerovostat.old.gks.ru/wps/wcm/connect/rosstat_ts/kemerovostat/resources/3ff9a5804351eba5bc0dfd74665da2b8/%D0%A7%D0%B8%D1%81%D0%BB%D0%B5%D0%BD%D0%BD%D0%BE%D1%81%D1%82%D1%8C+%D0%BD%D0%B0%D1%81%D0%B5%D0%BB%D0%B5%D0%BD%D0%B8%D1%8F+%D0%9A%D0%B5%D0%BC%D0%B5%D1%80%D0%BE%D0%B2%D1%81%D0%BA%D0%BE%D0%B9+%D0%BE%D0%B1%D0%BB%D0%B0%D1%81%D1%82%D0%B8+%D0%BD%D0%B0+%D0%BD%D0%B0%D1%87%D0%B0%D0%BB%D0%BE+%D0%B3%D0%BE%D0%B4%D0%B0.pdf</t>
  </si>
  <si>
    <t>Опросные листы, протоколы собраний</t>
  </si>
  <si>
    <t>Протокол заседания областной конкурсной комиссии по проведению конкурсного отбора  проектов инициативного бюджетирования "Твой Кузбас - твоя инициатива"от 07.05.2019 № 2  https://www.ofukem.ru/upload/iblock/5c4/protokolN2ot190507.pdf</t>
  </si>
  <si>
    <t>Городские и муниципальные округа, городские и сельские поселенния</t>
  </si>
  <si>
    <t>Муниципальный район не является участником конкурса проектов инициативного бюджетирования  "Твой Кузбасс- твоя инициатива". Приоритетное право реализации своих полномочий в Кузбассе было направлено на участие городских и сельских поселений. Данная категория по определенным показателям зачастую не может участвовать в иных программах, конкурсах на получение субсидий, грантов.</t>
  </si>
  <si>
    <t>https://www.ofukem.ru/activity/initiative-budgeting/about-the-projects/     https://vk.com/id534063931?z=video534063931_456239018   https://www.instagram.com/svetlana_kazakova_kazakovskaya/   https://vk.com/id534063931</t>
  </si>
  <si>
    <t>https://yandex.ru/video/preview/?filmId=16400749019329020947&amp;from=tabbar&amp;text=%D0%BB%D0%BE%D0%B3%D0%BE%D1%82%D0%B8%D0%BF+%D1%82%D0%B2%D0%BE%D0%B9+%D0%BA%D1%83%D0%B7%D0%B1%D0%B0%D1%81%D1%81+%D1%82%D0%B2%D0%BE%D1%8F+%D0%B8%D0%BD%D0%B8%D1%86%D0%B8%D0%B0%D1%82%D0%B8%D0%B2%D0%B0   https://akmrko.ru/city/news/12520/?sphrase_id=107836     https://www.avant-partner.ru/news/12504.html   https://psy-prk.ru/novosti/tvoy-kuzbass-tvoya-initsiativa/     https://vesti42.ru/news/59531-v-kemerove-nagradili-pobediteley-konkursa-tvoy-kuzbass---tvoya-initsiativa/?date=2021-10   http://gymn72prk.ru/www/www/index.php/proekt-initsiativnogo-byudzhetirovaniya-tvoj-kuzbass-tvoya-initsiativa  http://dkmayk.ru/page1   http://300let.sndko.ru/project-tvoi-kuzbass http://media-kmr.ru/material/tvojj-kuzbass-tvoya-iniciativa.html  http://shahter.ru/drugie-razdely/tvoy-kuzbass-tvoya-initsiativa/   https://opko42.ru/4276-07-05-2019-1/    https://yandex.ru/video/preview/?filmId=15123907916352034506&amp;from=tabbar&amp;text=%D0%BB%D0%BE%D0%B3%D0%BE%D1%82%D0%B8%D0%BF+%D1%82%D0%B2%D0%BE%D0%B9+%D0%BA%D1%83%D0%B7%D0%B1%D0%B0%D1%81%D1%81+%D1%82%D0%B2%D0%BE%D1%8F+%D0%B8%D0%BD%D0%B8%D1%86%D0%B8%D0%B0%D1%82%D0%B8%D0%B2%D0%B0</t>
  </si>
  <si>
    <t>https://www.ofukem.ru/images/logo_iniciative_budg.png</t>
  </si>
  <si>
    <t xml:space="preserve"> В январе 2019 года было проведено 12 обучающих семинаров со всеми муниципальными обрвзованиями Кузбасса.  Кроме того, согласно утвержденным планам были проведены заседания общественного совета пр ГФУ КО, состоялся межрегиональный форум по устойчивому развитию  Кузбасса, на котором обсуждалось данное направление,  также состоялся форум депутатов и общественности Кузбасса, отдельный вопрос был посвящен  реализации инициативного бюджетирования в Кзбассе.Кузбассеhttps://yandex.ru/video/preview/?filmId=8390835868212779927&amp;from=tabbar&amp;text=%D0%BB%D0%BE%D0%B3%D0%BE%D1%82%D0%B8%D0%BF+%D1%82%D0%B2%D0%BE%D0%B9+%D0%BA%D1%83%D0%B7%D0%B1%D0%B0%D1%81%D1%81+%D1%82%D0%B2%D0%BE%D1%8F+%D0%B8%D0%BD%D0%B8%D1%86%D0%B8%D0%B0%D1%82%D0%B8%D0%B2%D0%B0   https://yandex.ru/video/preview/?filmId=11271509220950117775&amp;from=tabbar&amp;text=%D0%BB%D0%BE%D0%B3%D0%BE%D1%82%D0%B8%D0%BF+%D1%82%D0%B2%D0%BE%D0%B9+%D0%BA%D1%83%D0%B7%D0%B1%D0%B0%D1%81%D1%81+%D1%82%D0%B2%D0%BE%D1%8F+%D0%B8%D0%BD%D0%B8%D1%86%D0%B8%D0%B0%D1%82%D0%B8%D0%B2%D0%B0     https://yandex.ru/video/preview/?filmId=3213368161985943488&amp;from=tabbar&amp;parent-reqid=1584080949847095-1665021301824874594700076-sas3-5167&amp;text=%D0%BB%D0%BE%D0%B3%D0%BE%D1%82%D0%B8%D0%BF+%D1%82%D0%B2%D0%BE%D0%B9+%D0%BA%D1%83%D0%B7%D0%B1%D0%B0%D1%81%D1%81+%D1%82%D0%B2%D0%BE%D1%8F+%D0%B8%D0%BD%D0%B8%D1%86%D0%B8%D0%B0%D1%82%D0%B8%D0%B2%D0%B0</t>
  </si>
  <si>
    <t>Методические рекомендации по реализации проектов инициативного бюджетирования "Твой Кузбасс - твоя иницитива" в Кемеровской области https://www.ofukem.ru/upload/iblock/56e/Metodicheskie-rekomendatsii.pdf</t>
  </si>
  <si>
    <t>Обучающие семинары, совещания,  конференции, межрегиональный форум, общественные советы (главы, заместители глав муниципальных образований, начальники финансовых органов, депутаты Законодательного собрания Кузбасса и муниципальных образований, представители совета муниципальных образования, студенческих советов, представители  бизнеса)</t>
  </si>
  <si>
    <t>Казакова - Казаковская Светлана Алексеевна, начальник контрольно - аналитического отдела, Министерство финансов Кузбасса</t>
  </si>
  <si>
    <t>8 (3842) 58-25-98</t>
  </si>
  <si>
    <t>kaz-kazakovskay@mail.ru</t>
  </si>
  <si>
    <t>Постановление Администрации Ненецкого автономного округа от 29.05.2017 № 175-п "Об утверждении Положения о порядке и условиях предоставления субсидий бюджетам муниципальных образований Ненецкого автономного округа на реализацию проекта по поддержке местных инициатив"</t>
  </si>
  <si>
    <t>Проект по поддержке местных инициатив</t>
  </si>
  <si>
    <t>Постановление Администрации Ненецкого автономного округа от 15.10.2014 № 390-п
"Об утверждении государственной программы Ненецкого автономного округа "Реализация региональной политики Ненецкого автономного округа в сфере международных, межрегиональных и межнациональных отношений, развития гражданского общества и информации",
Подпрограмма 5 "Создание условий для развития местного самоуправления в Ненецком автономном округе"</t>
  </si>
  <si>
    <t>Постановление администрации НАО от 12.09.2017 N 289-п
"О внесении изменений в государственную программу Ненецкого автономного округа "Реализация региональной политики Ненецкого автономного округа в сфере международных, межрегиональных и межнациональных отношений, развития гражданского общества и информации"</t>
  </si>
  <si>
    <t>Бюджетное законодательство Ненецкого автономного округа</t>
  </si>
  <si>
    <t xml:space="preserve">2017-2022; постановление администрации НАО от 15.10.2014 N 390-п (ред. от 20.02.2020)
"Об утверждении государственной программы Ненецкого автономного округа "Реализация региональной политики Ненецкого автономного округа в сфере международных, межрегиональных и межнациональных отношений, развития гражданского общества и информации"
</t>
  </si>
  <si>
    <t>http://www.consultant.ru/</t>
  </si>
  <si>
    <t>Департамент внутренней политики Ненецкого автономного округа</t>
  </si>
  <si>
    <t>Муниципальные образования (победители конкурса), местные бюджеты</t>
  </si>
  <si>
    <t>Нет</t>
  </si>
  <si>
    <t>Статистика не велась</t>
  </si>
  <si>
    <t>https://arhangelskstat.gks.ru/storage/mediabank/Popul2020%D0%9D%D0%90%D0%9E.xls</t>
  </si>
  <si>
    <t>Да</t>
  </si>
  <si>
    <t>Опросные листы, анкеты</t>
  </si>
  <si>
    <t>Протокол собрания граждан, фотофиксация собрания</t>
  </si>
  <si>
    <t>Возможность участия всех муниципалитетов</t>
  </si>
  <si>
    <t>Трудовое участие, предоставление помещений, технических средств и другое.</t>
  </si>
  <si>
    <t>http://smi.adm-nao.ru/iniciativnoe-byudzhetirovanie/</t>
  </si>
  <si>
    <t>Рекламная кампания проводилась посредством официального сайта субъекта РФ, через СМИ региона и социальные сети.                                                        Официальный сайт Администрации НАО:
http://smi.adm-nao.ru/obshaya-informaciya-ob-upravlenii/news/22916/
http://smi.adm-nao.ru/obshaya-informaciya-ob-upravlenii/news/22425/
http://smi.adm-nao.ru/obshaya-informaciya-ob-upravlenii/news/21821/
http://smi.adm-nao.ru/obshaya-informaciya-ob-upravlenii/news/21636/
http://smi.adm-nao.ru/obshaya-informaciya-ob-upravlenii/news/21174/
http://smi.adm-nao.ru/obshaya-informaciya-ob-upravlenii/news/20774/
http://smi.adm-nao.ru/obshaya-informaciya-ob-upravlenii/news/20732/
http://smi.adm-nao.ru/obshaya-informaciya-ob-upravlenii/news/20565/
Ненецкое информационное агентство – 24 (НАО24):                                                                                           https://nao24.ru/obshestvo/17626-v-verhney-i-nizhney-peshe-poyavilis-novye-peshehodnye-dorozhki.html                            
https://nao24.ru/obshestvo/17925-v-poselke-nelmin-nos-neneckogo-okruga-obustraivayut-alleyu-pamyati-pervomu-neneckomu-letchiku-semenu-yavtysomu.html
https://nao24.ru/obshestvo/17702-v-neneckom-okruge-rassmotryat-vozmozhnost-pooschryat-sela-za-blagoustroystvo.html
https://nao24.ru/obshestvo/17363-v-shoyne-poyavilsya-novyy-art-obekt.html
https://nao24.ru/jkh/16580-na-ulice-lenina-blagoustroili-dvor-doma.html
https://nao24.ru/obshestvo/17636-v-nesi-sostoyalos-otkrytie-novogo-art-obekta.html
https://nao24.ru/vlast/14188-aleksandr-cybulskiy-poruchil-organizovat-soprovozhdenie-proektov-po-blagoustroystvu-selskih-territoriy.html                                                                                                                                                                                                 Телеканал «Север»:                                                                                                                                         https://vk.com/trksever?w=wall-51953425_16186
http://www.trksever.ru/news/2/18045/?sphrase_id=65140                             http://www.trksever.ru/news/9/17807/?sphrase_id=65140                        http://www.trksever.ru/news/2/19485/?sphrase_id=65140                        http://www.trksever.ru/news/2/19326/?sphrase_id=65140                        http://www.trksever.ru/news/2/20369/?sphrase_id=65140                          http://www.trksever.ru/news/2/19391/?sphrase_id=65140                                                                                                       Официальное сообщество Администрации НАО «Ненецкий автономный округ» в социальной сети «ВКонтакте»:
https://vk.com/okrugodnakomanda?w=wall-129747883_8421
https://vk.com/okrugodnakomanda?w=wall-129747883_8230
https://vk.com/okrugodnakomanda?w=wall-129747883_10222
https://vk.com/okrugodnakomanda?w=wall-129747883_8421
https://vk.com/okrugodnakomanda?w=wall-129747883_8230
Сообщество «Департамент внутренней политики НАО» в социальной сети «ВКонтакте»
https://vk.com/dvpnao?w=wall-187186351_84</t>
  </si>
  <si>
    <t>http://smi.adm-nao.ru/iniciativnoe-byudzhetirovanie/informaciya-o-pobeditelyah-konkursov/</t>
  </si>
  <si>
    <t>25.11.2019 проведен учебно-консультационный семинар для глав и специалистов муниципалитетов Ненецкого АО (о порядке и условиях предоставления субсидий).</t>
  </si>
  <si>
    <t>Талеев Сергей Александрович</t>
  </si>
  <si>
    <t>8(81853) 2-38-28</t>
  </si>
  <si>
    <t>staleev@adm-nao.ru</t>
  </si>
  <si>
    <t>Предоставление субсидий муниципальным образованиям на софинансирование реализации проектов развития (создания) общественной инфраструктуры, основанных на местных инициативах</t>
  </si>
  <si>
    <t>Государственная программа Алтайского края «Создание условий для устойчивого исполнения бюджетов муниципальных образований и повышения эффективности бюджетных расходов в Алтайском крае», утвержденная постановлением Администрации Алтайского края от 31.12.2013 № 722, подпрограмма 1 «Поддержание устойчивого исполнения бюджетов муниципальных образований Алтайского края», мероприятие 1.2.6. Предоставление субсидий муниципальным образованиям на реализацию проектов развития общественной инфраструктуры, основанных на инициативах граждан</t>
  </si>
  <si>
    <t xml:space="preserve">Постановление Администрации Алтайского края от 19.11.2016 г. № 389 «Об утверждении порядка предоставления из краевого бюджета средств на реализацию проектов развития (создания) общественной инфраструктуры, основанных на местных инициативах» </t>
  </si>
  <si>
    <t>http://docs.cntd.ru/document/444790925</t>
  </si>
  <si>
    <t xml:space="preserve">Закон Алтайского края от 05.12.2018 № 93-ЗС «О краевом бюджете на 2019 год и на плановый период 2020 и 2021 годов» </t>
  </si>
  <si>
    <t>http://docs.cntd.ru/document/550264265</t>
  </si>
  <si>
    <t>-</t>
  </si>
  <si>
    <t>Приказ Министерства финансов Алтайского края от 08.04.2019 № 20-н «Об утверждении требований к конкурсному отбору»;
Приказ Министерства финансов Алтайского края от 30.08.2018 18-н «Об утверждении Положения о конкурсной комиссии по проведению конкурсного отбора по предоставлению из краевого бюджета бюджетам муниципальных образований Алтайского края субсидий на реализацию проектов развития (создания) общественной инфраструктуры, основанных на местных инициативах»</t>
  </si>
  <si>
    <t>http://docs.cntd.ru/document/553239894
http://алтайпредлагай.рф/documents/normativnye-pravovye-akty/</t>
  </si>
  <si>
    <t>Министерство финансов Алтайского края</t>
  </si>
  <si>
    <t>Субсидия</t>
  </si>
  <si>
    <t xml:space="preserve">Администрация муниципального района/городского округа, администрации сельского поселения </t>
  </si>
  <si>
    <t>Количество благополучателей участники определяют самостоятельно в зависимости от типологии и потенциально возможных пользователей данным объектом</t>
  </si>
  <si>
    <t>https://akstat.gks.ru/folder/33247</t>
  </si>
  <si>
    <t>Краевое автономное учреждение "Алтайский центр финансовых исследований" (центр инициативного бюджетирования)</t>
  </si>
  <si>
    <t xml:space="preserve">Субсидия из краевого бюджета на выполнение государственного задания </t>
  </si>
  <si>
    <t xml:space="preserve">Регистрационные листы участников предварительных обсуждений (опросы, анкетирования) </t>
  </si>
  <si>
    <t xml:space="preserve">Протокол итогового собрания </t>
  </si>
  <si>
    <t xml:space="preserve">Нет </t>
  </si>
  <si>
    <t xml:space="preserve">Да </t>
  </si>
  <si>
    <t xml:space="preserve">Протокол заседания конкурсной комиссии </t>
  </si>
  <si>
    <t>На информационной платформе алтайпредлагай.рф, возможна выгрузка информации в Excel</t>
  </si>
  <si>
    <t>Все сельские населенные пункты, в том числе входящие в состав городских округов</t>
  </si>
  <si>
    <t>Выбор осуществлялся по типу муниципального образования (могут участвовать все сельские населенные пункты, в том числе входящие в состав городских округов, кроме самих городов)</t>
  </si>
  <si>
    <t xml:space="preserve">Подача заявок, работа с заявками (их проверка, оценка в соотвествии с утвержденными критериями), промежуточный контроль за проведением конкурсных процедур и реализаций объектов, сбор и проверка отчетов о реализации проектов, вывод информации о всех реализованных и реализуемых проектах </t>
  </si>
  <si>
    <t>Возможен трудовой вклад населения в реализацию проектов (участие в уборке территории, помощь в установке оборудования и т.п.), также возможен неденежный вклад юридических лиц (предоставление техники, специалистов)</t>
  </si>
  <si>
    <t>http://алтайпредлагай.рф/</t>
  </si>
  <si>
    <t>https://cloud.mail.ru/public/4LdD/Pk1m2qRpw</t>
  </si>
  <si>
    <t>Регулярно проводится информационная кампания, транслируются новостные сюжеты в средствах массовой информации, проводятся выездные семинары в муниципальных образованиях Алтайского края, раздаются методические и агитационные материалы с использованием символики.
Примеры: 
https://vesti22.tv/news/v-altayskom-krae-opredelili-pobediteley-proekta-podderzhki-mestnyh-iniciativ/?sphrase_id=232
https://vesti22.tv/news/byudzhet-proekta-podderzhki-mestnyh-iniciativ-na-altae-v-budushchem-godu-budet-uvelichen-do-250/?sphrase_id=232
https://vesti22.tv/news/bolee-22-mln-rubley-napravyat-v-etom-godu-na-podderzhku-mestnyh-iniciativ/?sphrase_id=232
https://vesti22.tv/news/v-zalesovskom-rayone-zhivut-samye-iniciativnye-lyudi-altayskogo-kraya/?sphrase_id=232
https://vesti22.tv/news/v-altayskom-sele-poyavilas-novaya-sportivnaya-ploshchadka/?sphrase_id=232
https://katun24.ru/news/523141
https://katun24.ru/news/568644
https://katun24.ru/news/571638
https://katun24.ru/news/567055
https://www.altairegion22.ru/region_news/285-zayavok-postupilo-na-konkurs-po-proektu-podderzhki-mestnyh-initsiativ-na-2019-god_744282.html?sphrase_id=967623
https://www.altairegion22.ru/region_news/v-tekuschem-godu-v-ramkah-programmy-podderzhki-mestnyh-initsiativ-zaversheno-pervyh-15-proektov_794041.html?sphrase_id=967623
https://www.altairegion22.ru/region_news/v-altaiskom-krae-prohodyat-obuchayuschie-seminary-po-uchastiyu-v-proekte-podderzhki-mestnyh-initsiativ_810426.html?sphrase_id=967626https://www.altairegion22.ru/region_news/po-proektu-podderzhki-mestnyh-initsiativ-v-petropavlovskom-raione-altaiskogo-kraya-otkryli-detskuyu-igrovuyu-ploschadku_791577.html?sphrase_id=967623
https://www.altairegion22.ru/region_news/po-proektu-podderzhki-mestnyh-initsiativ-v-prigorode-altaiskoi-stolitsy-postroili-sovremennuyu-sportivnuyu-ploschadku-stoimostyu-pochti-poltora-milliona-rublei_814578.html?sphrase_id=967623
https://www.altairegion22.ru/region_news/v-ramkah-proekta-podderzhki-mestnyh-initsiativ-v-altaiskom-krae-v-2019-godu-realizovano-204-proekta_830221.html?sphrase_id=962315
https://barnaul.org/news/v-altayskom-krae-uvelicheno-finansirovanie-proekta-podderzhki-mestnykh-initsiativ-v-2-5-raza.html
http://www.altaisport.ru/post/20303
https://ria.ru/20191211/1562248648.html</t>
  </si>
  <si>
    <t>Разработан логотип «Предлагай-поддержим» и разные информационные материалы (брошюры, плакаты, листовки, баннеры), позволяющие легко узнавать Проект.  (http://алтайпредлагай.рф/documents/vspomogatelnie-material/)</t>
  </si>
  <si>
    <t xml:space="preserve">Семинары, лекции </t>
  </si>
  <si>
    <t>Бирюков Олег Николаевич, руководитель центра инициативного бюджетирования  краевого автономного учреждения "Алтайский центр финансовых исследований"</t>
  </si>
  <si>
    <t>8-3852-29-83-50</t>
  </si>
  <si>
    <t>init@fin22.ru</t>
  </si>
  <si>
    <t>Глебов Андрей Викторович, директор краевого автономного учреждения "Алтайский центр финансовых исследований"</t>
  </si>
  <si>
    <t>8-3852-29-14-60</t>
  </si>
  <si>
    <t>acfi@fin.ab.ru</t>
  </si>
  <si>
    <t xml:space="preserve">Проект поддержки местных инициатив в Алтайском крае
Лозунги: предлагай-поддержим; не нужно ждать - давайте делать </t>
  </si>
  <si>
    <t>губернаторский проект "Решаем вместе!"</t>
  </si>
  <si>
    <t xml:space="preserve"> -государственная программа Ярославской области «Формирование современной городской среды муниципальных образований Ярославской области» на 2018-2022 годы»;
 -государственная программа Ярославской области «Развитие культуры и туризма в Ярославской области на 2014-2020 годы»;
 -государственная программа Ярославской области «Местное самоуправление в Ярославской области» на 2015-2021 годы».</t>
  </si>
  <si>
    <t>от 29.08.2017 № 679/а-п;
от 24.06.2014 № 594-п;
от 27.02.2015 № 192-п</t>
  </si>
  <si>
    <t>consultantplus://offline/ref=9B6FD57B73B1E8A7F6EEA39AB1B2A255FBC2E3D24E708B08A96F7A9538738FB02BA5B6456DFF2DC6380E0C4811DA18E075D40AE8EC0FF84BF0912EFA78571F9EpD11G
consultantplus://offline/ref=86FDDC5FD35259C040E78EC05D56D8B01E819DEDBD1681DD0BA045754CF6187558BB012FE42A841BB998E46FEE4D9453F94BC664F99CCB043C0ACC142E5AC06575zFG
consultantplus://offline/ref=DDEE646336051EAEBA76AD86D8E410D615A5A9E8518760046C0854AEAC29CC6A286189004E5FEC5A06BCCA2960CD3630718F0CF7B01FB47AD378C56D1B37DD1BB91EG</t>
  </si>
  <si>
    <t>Протоколы заседаний межведомтсвенной комиссии по реализации губернаторского проекта "Решаем вместе!":
от 25.02.2019 № 10
от 14.03.2019 № 11</t>
  </si>
  <si>
    <t>file:///C:/Users/shirokova/Downloads/Protokol_25.02.2019.pdf
file:///C:/Users/shirokova/Downloads/Protokol_MVK_14.03.2019_.pdf</t>
  </si>
  <si>
    <t xml:space="preserve">Распоряжение Губернатора Ярославской области от 14.10.2019 № 176-р "Об утверждении паспорта регионального проекта" </t>
  </si>
  <si>
    <t>https://npa.yarregion.ru/_layouts/WordViewer.aspx?id=/DocLib/Об%20утверждении%20паспорта%20регионального%20проекта%20_%20№176-р%2014.10.2019.docx</t>
  </si>
  <si>
    <t>Указ Губернатора Ярославской области от 20.02.2017 №50 "О губернаторском проекте "Решаем вместе!"</t>
  </si>
  <si>
    <t>http://www.yarregion.ru/depts/drp/Documents/Указ%20Губернатора%20ЯО%20№%2050%20(в%20ред.%20№141).DOCX</t>
  </si>
  <si>
    <t>Департамент финансов Ярославской области</t>
  </si>
  <si>
    <t>Департамент жилищно-коммунального хозяйства, энергетики и регулирования тарифов Ярославской области;
Департамент региональной политики и взаимодействия с органами местного самоуправления;
Департамент культуры Ярославской области</t>
  </si>
  <si>
    <t>субсидии</t>
  </si>
  <si>
    <t>Бюджеты муниципальных образований Ярославской области</t>
  </si>
  <si>
    <t>Федеральный проект "Формирование комфортной городской среды"</t>
  </si>
  <si>
    <t>Министерство строительства и жилищно-коммунального хозяйства Российской Федерации</t>
  </si>
  <si>
    <t>Депаратмент жилищно-коммунального хозяйства, энергетики и регулирования тарифов Ярославской области</t>
  </si>
  <si>
    <t>Данные взяты из паспортов проектов инициативного бюджетирования. Сумма всех благополучаетлей за вычетом повторяющихся.</t>
  </si>
  <si>
    <t xml:space="preserve">https://yar.gks.ru/storage/mediabank/Ярославская%20область%20в%20цифрах%202019%20год.pdf </t>
  </si>
  <si>
    <t>Государственное казенное учреждение Ярославской области «Центр сопровождения проектов инициативного бюджетирования»</t>
  </si>
  <si>
    <t>бюджет Ярославской области</t>
  </si>
  <si>
    <t>фото и видео фиксация</t>
  </si>
  <si>
    <t>Муниципальные общественные комисси муниципальных образований, участвующих в проекте</t>
  </si>
  <si>
    <t xml:space="preserve">на сайте губернаторского преокта "Решаем вместе!" реализована интерактивная карта реализации проектов http://reshaem.vmeste76.ru/objects/ </t>
  </si>
  <si>
    <t xml:space="preserve">безвозмездное выполнение работ, предоставление материалов, оборудования и техники
</t>
  </si>
  <si>
    <t>http://reshaem.vmeste76.ru</t>
  </si>
  <si>
    <t xml:space="preserve">https://www.yarregion.ru/default.aspx; сайты органов местного самоуправления: например, http://www.uglich.ru/rayon/reshvmeste/; http://myshkinmr.ru/rus/vmeste76/http://пошехонский-район.рф/algoritm-realizatcii.html; </t>
  </si>
  <si>
    <t>https://cloud.mail.ru/public/2WKM/41EgFvThG</t>
  </si>
  <si>
    <t>1. Межрегиональный семинар , сентябрь  2019 г., 121 участник - представители регионов РФ (руководители и специалисты органов гос. власти субъектов РФ и муниципальных образований, эксперты и консультанты проектов ИБ), Минфина РФ, Всемирного банка и Минстроя РФ;
2. Кустовые семинары для представителей муниципальных образований Ярославской области, 4 семинара, общее количество участников 159 человек, 19.12.2018, 20.12.2018, 21.12.2018, 24.12.2018 гг., продолжительность каждого семинара в среднем 2 ч.
3. Обучение муниципальных и областных депутатов ЯО, 25.12.2018, 14-25.01.2019, 279 человек</t>
  </si>
  <si>
    <t>Широкова Екатерина Александровна</t>
  </si>
  <si>
    <t>8 (4852) 40-11-83</t>
  </si>
  <si>
    <t>shirokova@yarregion.ru</t>
  </si>
  <si>
    <t xml:space="preserve">Волгоградский областной конкурс проектов местных инициатив
</t>
  </si>
  <si>
    <t>Программа поддержки местных инициатив Волгоградской области</t>
  </si>
  <si>
    <t xml:space="preserve">Постановление Администрации Волгоградской области  от 23.01.2017 N 10-п  "Об утверждении государственной программы Волгоградской области "Управление государственными финансами Волгоградской области", подпрограмма "Обеспечение финансовой поддержки местных бюджетов Волгоградской области"; мероприятие "Обеспечение финансовой устойчивости (сбалансированности) бюджетов муниципальных образований".
В 2020 году мероприятия будут проводится в рамках отдельной подпрограммы "Поддержка местных инициатив населения Волгоградской области". Соответствующие изменения подготовлены. Проект постановления Администрации Волгоградской области о внесении изменений в госпрограмму проходит согласование в структурных подразделениях Администрации Волгоградской области и будет принят в апреле 2020 года.
</t>
  </si>
  <si>
    <t>Постановление Администрации Волгоградской области от 04.04.2019 N 146-п "О внесении изменений в постановление Администрации Волгоградской области от 23 января 2017 г. N 10-п "Об утверждении государственной программы Волгоградской области "Управление государственными финансами Волгоградской области"</t>
  </si>
  <si>
    <t>Справочно-правовая система Консультант плюс</t>
  </si>
  <si>
    <t>Приказ комитета финансов Волгоградской обл. от 12.04.2019 № 141 (ред. от 29.05.2019) "Об утверждении положения о Волгоградском областном конкурсе проектов местных инициатив в 2019 году", 
Приказ комитета финансов Волгоградской обл. от 11.02.2020 № 31 "Об утверждении Положения о Волгоградском областном конкурсе проектов местных инициатив в 2020 году"</t>
  </si>
  <si>
    <t>Комитет финансов Волгоградской области</t>
  </si>
  <si>
    <t xml:space="preserve">В 2019 году дотации на поддержку мер по обеспечению сбалансированности местных бюджетов в связи с реализацией местных инициатив населения, в 2020 году средства предусмотрены в виде субсидий на реализацию проектов местных инициатив населения Волгоградской области </t>
  </si>
  <si>
    <t>Бюджеты муниципальных районов (городских округов) Волгоградской области</t>
  </si>
  <si>
    <t>http://10.1.2.160:1000/Reports/Full.aspx?year=2019</t>
  </si>
  <si>
    <t xml:space="preserve">Рабочая группа по реализации отраслевого проекта "Поддержка местных инициатив населения Волгоградской области" </t>
  </si>
  <si>
    <t>бюджет Волгоградской области</t>
  </si>
  <si>
    <t>При предоставлении документов обязательным условием являлось наличие протокола собрания граждан.</t>
  </si>
  <si>
    <t>Регистрация по номеру телефона на портале голосования https://budget4me34.ru/. Возможность голосования по одному номеру телефона только 1 раз за 1 из проектов каждого муниципального района (городского округа) и 1 раз за 1 из проектов каждого из 8 районов городского округа город-герой Волгоград</t>
  </si>
  <si>
    <t xml:space="preserve">Интернет технологии применялись при осуществлении рейтингового онлайн-голосования, которое продлилось с 18 по 31 мая 2019, для этого использовалась система голосований Polys на платформе блокчейн от компании «Лаборатория Касперского», которая делает невозможным технически повлиять на результаты. Процедура продемонстрировала высокую активность жителей региона и их заинтересованность в развитии собственных территорий — в голосовании приняло участие 82,5 тысячи человек, учтено 112,6 тысячи голосов. Каждый мог проголосовать за один проект от каждого района или города — не только за тот, в котором он проживает. По информации «Лаборатории Касперского», состоявшееся в регионе онлайн-голосование на платформе блокчейн стало крупнейшим в истории использования данной технологии.  https://budget4me34.ru </t>
  </si>
  <si>
    <t xml:space="preserve">http://volgafin.volgograd.ru    
</t>
  </si>
  <si>
    <t xml:space="preserve">http://www.volgograd.ru   
https://budget4me34.ru 
</t>
  </si>
  <si>
    <t>Информационная кампания проводилась путем размещения информации на официальном портале органов исполнительной власти Волгоградской области, а также иных средств массовой информации, включая муниципальное телевидение
https://youtu.be/DYJlVhRbnmA , 
http://xn--b1ats.xn--80asehdb/feed/blagoustr/volgogradtsy-mogut-sdelat-svoy-vybor-6214265248.html 
http://www.volgograd-trv.ru/news.aspx?id=53178
http://www.volgograd-trv.ru/news.aspx?id=55044
Начиная с 2020 года информирование населения о программе инициативного бюджетирования будет осуществляться на базе всех отделений  МФЦ Волгоградской области. На базе МФЦ будут размещены ролл-ап стенды, буклеты, содержащие информацию о возможности и способах  подачи инициативы для участия в конкурсе, информационные ролики.
Кроме того, в период проведения он-лайн голосования на базе МФЦ, его можно будет осуществить на планшетах с помощью сотрудников МФЦ в период ожидания своей очереди. 
Материалы буклетов в настоящее время находятся в стадии разработки. В случае необходимости будут представлены дополнительно.</t>
  </si>
  <si>
    <t>Рассохань Ангелина Владимировна
начальник отдела межбюджетных отношений управления бюджетной политики в отраслях экономики и межбюджетных отношений комитета финансов Волгоградской области</t>
  </si>
  <si>
    <t>8 (8442)30-91-29</t>
  </si>
  <si>
    <t>avb@volgafin.ru</t>
  </si>
  <si>
    <t xml:space="preserve">Поддержка местных инициатив
</t>
  </si>
  <si>
    <t xml:space="preserve">Государственная программа Красноярского края "Содействие развитию местного самоуправления" подпрограмма "Поддержка местных инициатив"
</t>
  </si>
  <si>
    <t>Постановление Правительства Красноярского края от 30.09.2013 № 517-п "Об утверждении государственной программы Красноярского края "Содействие развитию местного самоуправления"</t>
  </si>
  <si>
    <t>http://zakon.krskstate.ru/0/doc/15433</t>
  </si>
  <si>
    <t>министерство финансов Красноярского края</t>
  </si>
  <si>
    <t>бюджеты муниципальных районов</t>
  </si>
  <si>
    <t>Способ (-ы) расчета количества благополучателей: Оценивается охват проекта (все население, либо отдельные категории).
Отдельные категории граждан оцениваются исходя из статистических данных, либо показателей мощности учреждений.</t>
  </si>
  <si>
    <t>https://krasstat.gks.ru/folder/39102</t>
  </si>
  <si>
    <t xml:space="preserve">Функции проектного офиса инициативного бюджетирования Красноярского края
выполняют:
Министерство финансов Красноярского края и Красноярское краевое государственное бюджетное учреждение дополнительного профессионального образования "Институт государственного и муниципального управления при Правительстве Красноярского края"
</t>
  </si>
  <si>
    <t>бюджет Красноярского края</t>
  </si>
  <si>
    <t>чаще всего фиксация участия не производится, в отдельных случаях фотографирование, заполнение ведомостей, указание сведений об участнике в самой анкете (опросном листе)</t>
  </si>
  <si>
    <t>протокол собрания (встречи), лист регистрации участников собрания (встречи), фотографии собрания (встречи), видео итоговых собраний</t>
  </si>
  <si>
    <t>подача предложений происходит через социальные сети, в комментариях к соответствующему посту, фиксация участия - скриншот страницы социальной сети</t>
  </si>
  <si>
    <t>использовалась ведомость подомового обхода  с указанием населенного пунта, где проводится обход, даты проведения обхода, ФИО, места проживания участника подомового обхода. Также ведомость содержит графы/строки, в которых участник обхода может отметить свое предложение.</t>
  </si>
  <si>
    <t>прямое голосование участников очных собраний</t>
  </si>
  <si>
    <t>Решение о победителях конкурса принимает Совет по развитию местного самоуправления в Красноярском крае с учетом рейтинга проектов, набравших наибольшее количество баллов.  Совет создан в соответствии со статьей 4 Закона Красноярского края от 07.07.2016 " 10-4831 "О государственной поддержке развития местного самоуправления Красноярского края"  в целях координации деятельности органов государственной власти Красноярского края по государственной поддержке, организации эффективного контроля за результативностью мер по оказанию государственной поддержки, а также осуществления взаимодействия органов государственной власти Красноярского края и органов местного самоуправления.  Совет формируется сроком на пять лет на паритетных началах Законодательным Собранием Красноярского края и Губернатором Красноярского края в составе 14 членов Совета. Председателем Совета является первый заместитель Губернатора края - председатель Правительства края.</t>
  </si>
  <si>
    <t xml:space="preserve">Ссылка на описание механизма (-ов) отбора проектов http://zakon.krskstate.ru/0/doc/15433
Конкурсный отбор «Берег Енисея» предусматривает определенные критерии (прилагаются), оцениваемые по 100-балльной шкале, из них:
 вклад участников реализации проекта в его финансирование (до 45 баллов): уровень софинансирования проекта со стороны бюджета муниципального образования (10 баллов), населения (15 баллов), организаций (10 баллов), неденежный вклад населения и организаций (10 баллов),
 степень участия населения в определении проекта (до 40 баллов): степень участия населения в идентификации проблемы в процессе ее предварительного рассмотрения (согласно протоколам собрания жителей населенного пункта, результатам соответствующего анкетирования и проведенным опросам, иным мероприятиям, указанным в заявке) (10 баллов), степень участия населения в определении параметров проекта на заключительном собрании жителей населенного пункта (согласно протоколу собрания) (20 баллов), использование СМИ и др средств информирования населения в процессе отбора приоритетной проблемы и разработки заявки (10 баллов),
 социальная эффективность от реализации проекта (до 15 баллов): удельный вес населения, получающего выгоду от реализации проекта (прямых благополучателей) (5 баллов), наличие фото- видеоматериалов собраний жителей населенного пункта (5 баллов), доступность финансовых ресурсов, наличие механизмов содержания и эффективной эксплуатации объекта общественной инфраструктуры после реализации проекта (5 баллов).
</t>
  </si>
  <si>
    <t>Участники конкурса «Берег Енисея» определены на заседании Совета по развитию местного самоуправления в Красноярском крае, созданным в соответствии с Законом Красноярского края от 07.07.2016 № 10-4831 «О государственной поддержке развития местного самоуправления в Красноярском крае». Участниками являются муниципальные образования, имеющие опыт реализации проектов с участием населения, в том числе по самообложению граждан. В 2019 году количество участников расширилось с 11 до 15 муниципальных районов, возможность участия была предоставлена 197 городским и сельским поселениям, что составляет 38% от общего числа городских и сельских поселений края.</t>
  </si>
  <si>
    <t>участие принимают городские и сельские поселения</t>
  </si>
  <si>
    <t>подача заявки, итоги реализации (в рамках информационной открытости  http://ppmi24.ru )</t>
  </si>
  <si>
    <t>вклад населения, юридических лиц, индивидуальных предпринимателей в реализацию проекта в неденежной форме (материалы, техника, трудовые затраты и др. формы участия)</t>
  </si>
  <si>
    <t>http://ppmi24.ru/</t>
  </si>
  <si>
    <t>Группа в Facebook: Инициативное бюджетирование в Красноярском крае 
https://www.facebook.com/groups/ppmi24/  
Группа в ВКонтакте: Программа поддержки местных инициатив Красноярского края 
https://vk.com/ppmi24
Группа в Одноклассники: Инициативное бюджетирование в Красноярском крае 
https://ok.ru/vkrasnoya</t>
  </si>
  <si>
    <t>https://drive.google.com/drive/folders/1PHF-XbBxESkQqGv8lDNKoAg6CSNRTRe3</t>
  </si>
  <si>
    <t>Полная информация по пункту 19.4 представлена в приложении по ссылке:  https://drive.google.com/open?id=10bQyBq--SzI43piQlSU2FCfxTiITIFfK</t>
  </si>
  <si>
    <t>Полная информация по пункту 19.5 представлена в приложении по ссылке:  https://drive.google.com/open?id=1w25Zz-ExkDh-aT7lSyclttjRfN0XL4kV</t>
  </si>
  <si>
    <t>Полная информация по пункту 20.1 представлена в приложении по ссылке:https://drive.google.com/open?id=19lr_chPpTGz5pMoy1j2U4rN8rcPxAYle</t>
  </si>
  <si>
    <t>Фаррахова Светлана Владимировна</t>
  </si>
  <si>
    <t>8 (391) 222-13-95</t>
  </si>
  <si>
    <t>k312@krasfin.ru</t>
  </si>
  <si>
    <t>Реализация социально-значимых проектов развития территорий муниципальных образований, основанных на местных инициативах»</t>
  </si>
  <si>
    <t>Инициативное бюджетирование</t>
  </si>
  <si>
    <t>Государственная программа Республики Калмыкия Управление государственными финансами Республики Калмыкия" Подпрограмма 7 "Развитие механизмов регулирования межбюджетных отношений"
Основное мероприятие 7.2. Предоставление межбюджетных трансфертов муниципальным образованиям</t>
  </si>
  <si>
    <t>Постановление Правительства Республики Калмыкия от 15 октября 2018 г. N 316</t>
  </si>
  <si>
    <t>http://minfin.kalmregion.ru/deyatelnost/gosudarstvennaya-programma-rk-upravlenie-gosudarstvennymi-finansami-rk-na-2013-2020-gody/</t>
  </si>
  <si>
    <t>Министерство финансов Республики Калмыкия</t>
  </si>
  <si>
    <t>Сельские (городские) муниципальные образования Республики Калмыкия, городской округ</t>
  </si>
  <si>
    <t>В соответствии с поданными заявками для участия в конкурсном отборе</t>
  </si>
  <si>
    <t>http://astrastat.old.gks.ru/wps/wcm/connect/rosstat_ts/astrastat/resources/b4a335804f77ef84b4c1f68250d62a05/%D0%A7%D0%B8%D1%81%D0%BB%D0%B5%D0%BD%D0%BD%D0%BE%D1%81%D1%82%D1%8C+%D0%BD%D0%B0%D1%81%D0%B5%D0%BB%D0%B5%D0%BD%D0%B8%D1%8F+%D0%A0%D0%B5%D1%81%D0%BF%D1%83%D0%B1%D0%BB%D0%B8%D0%BA%D0%B8+%D0%9A%D0%B0%D0%BB%D0%BC%D1%8B%D0%BA%D0%B8%D1%8F.html</t>
  </si>
  <si>
    <t>Протоколы собрания жителей в поданных заявках</t>
  </si>
  <si>
    <t>Протокол конкурсной комиссии</t>
  </si>
  <si>
    <t>В натуральной форме  и безвозмездным оказанием услуг</t>
  </si>
  <si>
    <t>http://minfin.kalmregion.ru/deyatelnost/initsiativnoe-byudzhetirovanie/</t>
  </si>
  <si>
    <t>Информационное письмо Главам РМО и финансовым органам РМО</t>
  </si>
  <si>
    <t>Совещание по вопросам реализации проектов.
Состав: Главы РМО с Главами поселений, руководители финансовых органов РМО, инициативные граждане</t>
  </si>
  <si>
    <t>Коклданов Николай Александрович, главный специалист</t>
  </si>
  <si>
    <t>8(847 22) 3-54-17</t>
  </si>
  <si>
    <t>mbo@minfinrk.ru</t>
  </si>
  <si>
    <t xml:space="preserve">Премирование лучших проектов территориального общественного самоуправления, разработанных совместно с органами местного самоуправления муниципальных образований Смоленской области, в сфере благоустройства территории
</t>
  </si>
  <si>
    <t>Областная государственная программа "Местное самоуправление в Смоленской области" (постановление Администрации Смоленской области от 20.11.2013 №931)</t>
  </si>
  <si>
    <t>Постановление Администрации Смоленской области от 19.02.2018 №66 "О внесении изменений в областную государственную программу "Местное самоуправление в Смоленской области" на 2014 - 2020 годы"</t>
  </si>
  <si>
    <t>http://dvp.admin-smolensk.ru/celevye-programmy/oblastnaya-gosudarstvennaya-programma-mestnoe-samoupravlenie-v-smolenskoj-oblasti-na-2014-2016-gody/</t>
  </si>
  <si>
    <t>Постановление Администрации Смоленской области от 19.03.2018 № 160 "Об утверждении Положения о порядке предоставления субсидий для софинансирования расходов бюджетов муниципальных образований Смоленской области в рамках реализации областной государственной программы "Местное самоуправление в Смоленской области"  на премирование лучших проектов территориального общественного самоуправления, разработанных совместно с органами местного самоуправления муниципальных образований Смоленской области, в сфере благоустройства территории, критериях отбора муниципальных образований Смоленской области для предоставления указанных субсидий" (утратило силу с 01.01.2020, новый порядок установлен приложением 1.4 к областной государственной программе "Местное самоуправление в Смоленской области")</t>
  </si>
  <si>
    <t>Департамент Смоленской области по внутренней политике</t>
  </si>
  <si>
    <t xml:space="preserve">1) Александровское сельское поселение Монастырщинского района Смоленской области, 2) Алексинское сельское поселение Дорогобужского района Смоленской области, 3)Воргинское сельское поселение Ершичского района Смоленской области, 4) Дивасовское сельское поселение Смоленского района Смоленской области, 5) Кармановское сельское поселение Гагаринского района Смоленской области, 6) Титовщинское сельское поселение Демидовского района Смоленской области </t>
  </si>
  <si>
    <t>подсчет не вели</t>
  </si>
  <si>
    <t>Протоколы собраний</t>
  </si>
  <si>
    <t>Отбор проводился рабочей группой, утвержденной приказом Департамента Смоленской области по внутренней политике от 22.05.2019 №51-ОД. Оценка осуществлялась в соответствии с критериями оценки и при соблюдении условий, предусмотренных постановлением Администрации Смоленской области от 19.03.2018 № 160</t>
  </si>
  <si>
    <t>Городские, сельские поселения, городские округа соответствующие критерию отбора</t>
  </si>
  <si>
    <t>Критерием отбора муниципальных образований для предоставления субсидий является наличие необходимости реализации на территории муниципального образования проекта территориального общественного самоуправления, разработанного совместно с органами местного самоуправления муниципальных образований Смоленской области, в сфере благоустройства территории</t>
  </si>
  <si>
    <t xml:space="preserve">Возможно участие граждан в неденежной форме (предоставление материалов, техники и оборудования)
</t>
  </si>
  <si>
    <t>Обучающие семинары с членами ТОС, работниками органов местного самоуправления, главами муниципальных образований, не реже 1 раза в год</t>
  </si>
  <si>
    <t>Сабишева Ирина Николаевна, консультант отдела муниципальной службы, мониторинга и содействия развитию местного самоуправления Департамента Смоленской области по внутренней политике</t>
  </si>
  <si>
    <t>8 (4812) 29-21-40</t>
  </si>
  <si>
    <t>samoupr@admin-smolensk.ru</t>
  </si>
  <si>
    <t>Зрелова Екатерина Александровна, консультант отдела межбюджетных отношений управления по межбюджетным отношениям и долговым обязательствам Департамента бюджета и финансов Смоленской области</t>
  </si>
  <si>
    <t>8(4812) 20-44-16</t>
  </si>
  <si>
    <t>fin@admin-smolensk.ru</t>
  </si>
  <si>
    <r>
      <rPr>
        <b/>
        <sz val="10"/>
        <color rgb="FF000000"/>
        <rFont val="Times New Roman"/>
        <family val="1"/>
        <charset val="204"/>
      </rPr>
      <t>ФОРМА:</t>
    </r>
    <r>
      <rPr>
        <sz val="10"/>
        <color rgb="FF000000"/>
        <rFont val="Times New Roman"/>
        <family val="1"/>
        <charset val="204"/>
      </rPr>
      <t xml:space="preserve"> Обучающие семинары-совещания с представителями ОМСУ Волгоградской области
</t>
    </r>
    <r>
      <rPr>
        <b/>
        <sz val="10"/>
        <color rgb="FF000000"/>
        <rFont val="Times New Roman"/>
        <family val="1"/>
        <charset val="204"/>
      </rPr>
      <t>ПЕРИОДИЧНОСТЬ</t>
    </r>
    <r>
      <rPr>
        <sz val="10"/>
        <color rgb="FF000000"/>
        <rFont val="Times New Roman"/>
        <family val="1"/>
        <charset val="204"/>
      </rPr>
      <t xml:space="preserve">: 2 раза в год: 
март - обучение по подготовке проектов на год
декабрь - подведение итогов года, анализ ошибок и лучшей практики
</t>
    </r>
    <r>
      <rPr>
        <b/>
        <sz val="10"/>
        <color rgb="FF000000"/>
        <rFont val="Times New Roman"/>
        <family val="1"/>
        <charset val="204"/>
      </rPr>
      <t>Участники</t>
    </r>
    <r>
      <rPr>
        <sz val="10"/>
        <color rgb="FF000000"/>
        <rFont val="Times New Roman"/>
        <family val="1"/>
        <charset val="204"/>
      </rPr>
      <t xml:space="preserve"> - представители ОМСУ. непосредственно собирающие инициативы с граждан, помогающие формировать проекты и осуществляющие текущий контроль за их реализацией.</t>
    </r>
  </si>
  <si>
    <t xml:space="preserve">Подпрограмма 5 «Развитие общественного самоуправления в Белгородской области» Государственной программы Белгородской области «Обеспечение населения Белгородской области информацией о приоритетных направлениях региональной политики» утвержденной постановлением Правительства Белгородской области от 16 декабря 2013 года № 511-пп </t>
  </si>
  <si>
    <t xml:space="preserve">Областной ежегодный конкурс проектов,     реализуемых старостами сельских населенных пунктов в муниципальных образованиях Белгородской области          </t>
  </si>
  <si>
    <t xml:space="preserve">Государственная программа Белгородской области «Обеспечение населения Белгородской области информацией о приоритетных направлениях региональной политики» утвержденной постановлением Правительства Белгородской области от 16 декабря 2013 года № 511-пп,   подпрограмма 5 «Развитие общественного самоуправления в Белгородской области» </t>
  </si>
  <si>
    <t xml:space="preserve"> Постановление Правительства Белгородской области от 18 марта 2019 года № 111-пп "О внесении изменений в постановление Правительства Белгородской области от 16 декабря 2013 года № 511-пп" </t>
  </si>
  <si>
    <t>https://belregion.ru/documents/?arrFilterDocs_pf%5BTYPE%5D=&amp;arrFilterDocs_ff%5BNAME%5D=111-%D0%BF%D0%BF&amp;arrFilterDocs_DATE_ACTIVE_FROM_1=&amp;arrFilterDocs_DATE_ACTIVE_FROM_2=&amp;arrFilterDocs_ff%5BPREVIEW_TEXT%5D=&amp;set_filter=%D0%A4%D0%B8%D0%BB%D1%8C%D1%82%D1%80&amp;set_filter=Y</t>
  </si>
  <si>
    <t>отсутствуют</t>
  </si>
  <si>
    <t xml:space="preserve">Подпрограмма 5 «Развитие общественного самоуправления в Белгородской области» Государственной программы Белгородской области «Обеспечение населения Белгородской области информацией о приоритетных направлениях региональной политики» утвержденной постановлением Правительства Белгородской области от 16 декабря 2013 года № 511-пп  до 2025 года Постановление Правительства Белгородской области от 18 марта 2019 года № 111-пп "О внесении изменений в постановление Правительства Белгородской области от 16 декабря 2013 года № 511-пп" </t>
  </si>
  <si>
    <t>https://belregion.ru/documents/?arrFilterDocs_pf%5BTYPE%5D=&amp;arrFilterDocs_ff%5BNAME%5D=423-%D1%80%D0%BF&amp;arrFilterDocs_DATE_ACTIVE_FROM_1=&amp;arrFilterDocs_DATE_ACTIVE_FROM_2=&amp;arrFilterDocs_ff%5BPREVIEW_TEXT%5D=&amp;set_filter=%D0%A4%D0%B8%D0%BB%D1%8C%D1%82%D1%80&amp;set_filter=Y</t>
  </si>
  <si>
    <t xml:space="preserve">Распоряжение Правительства Белгородской области от 24 июня 2019 года № 351-рп "О проведении ежегодного конкурса проектов, реализуемых старостами сельских населенных пунктов в муниципальных образованиях Белгородской области" </t>
  </si>
  <si>
    <t>https://belregion.ru/documents/?arrFilterDocs_pf%5BTYPE%5D=&amp;arrFilterDocs_ff%5BNAME%5D=351-ocs_DATE_ACTIVE_FROM_1=&amp;arrFilterDocs_DATE_ACTIVE_FROM_2=&amp;arrFilterDocs_ff%5BPREVIEW_TEXT%5D=&amp;set_filter=%D0%A4%D0%B8%D0%BB%D1%8C%D1%82%D1%80&amp;set_filter=Y</t>
  </si>
  <si>
    <t>Департамент внутренней и кадровой политики Белгородской области</t>
  </si>
  <si>
    <t>Администрации муниципальных образований</t>
  </si>
  <si>
    <t>0.000012%</t>
  </si>
  <si>
    <t>Число  жителей проживающей на территории реализованного проекта плюс число гостей из соседних территорий</t>
  </si>
  <si>
    <t>https://belg.gks.ru/population</t>
  </si>
  <si>
    <t xml:space="preserve">да </t>
  </si>
  <si>
    <t>дп</t>
  </si>
  <si>
    <t>журнал регистрации проектов, оценочные ведомости членов конкурсной комиссии, протокол заседания конкурсной комиссии, распоряжение Правительства области о победителях конкурса проектов реализууемых территориальным общественным самоуправлением на ерритории муниципальных образований области</t>
  </si>
  <si>
    <t>Участие населения в реализации проекта путем посильной помощи (вырубка сухостоя, высадка деревьев, кустарников, цветов, покраска , контроль за реализацией проекта и.т.д)</t>
  </si>
  <si>
    <t>http://www.dkp31.ru/publications/departament-vnutrennej-i-kadrovoj-politiki-oblas74/</t>
  </si>
  <si>
    <t>Информирование муниципальных образований о проведении конкурса, информирование о проведении конкурса с активистами общественного самоуправления</t>
  </si>
  <si>
    <t>Акиньшина Янина Сергеевна</t>
  </si>
  <si>
    <t>тел.32-70-95</t>
  </si>
  <si>
    <t>e-mail akinshina@belregion.ru</t>
  </si>
  <si>
    <t>Сидоренко Марина Александровна, начальник отдела информационного сопровождения, мониторинга и работы с органами местного самоуправления управления доходов бюджета департамента финансов и бюджетной политики Белгородской области</t>
  </si>
  <si>
    <t>(4722)33-63-90</t>
  </si>
  <si>
    <t>svod2@beldepfin.ru</t>
  </si>
  <si>
    <t xml:space="preserve">Областной ежегодный конкурс проектов, реализуемых территориальным общественным самоуправлением в муниципальных образованиях Белгородской области;                     </t>
  </si>
  <si>
    <t xml:space="preserve"> Постановление Правительства Белгородской области от 2 июля 2018 ггода №253-пп ""О внесении изменений в постановление Правительства Белгородской области от 16 декабря 2013 года № 511-пп"                                                             </t>
  </si>
  <si>
    <t xml:space="preserve">https://belregion.ru/documents/?arrFilterDocs_pf%5BTYPE%5D=&amp;arrFilterDocs_ff%5BNAME%5D=253-%D0%BF%D0%BF&amp;arrFilterDocs_DATE_ACTIVE_FROM_1=&amp;arrFilterDocs_DATE_ACTIVE_FROM_2=&amp;arrFilterDocs_ff%5BPREVIEW_TEXT%5D=&amp;set_filter=%D0%A4%D0%B8%D0%BB%D1%8C%D1%82%D1%80&amp;set_filter=Y                                                                                                  </t>
  </si>
  <si>
    <t xml:space="preserve">Распоряжение Правительства Белгородской области от 01 апреля 2019 года № 171-рп "О проведении ежегодного конкурса проектов, реализуемых территориальным общественным самоуправлением в муниципальных образованиях Белгородской области"                                                  </t>
  </si>
  <si>
    <t xml:space="preserve">https://belregion.ru/documents/?arrFilterDocs_pf%5BTYPE%5D=&amp;arrFilterDocs_ff%5BNAME%5D=171-%D1%80%D0%BF&amp;arrFilterDocs_DATE_ACTIVE_FROM_1=&amp;arrFilterDocs_DATE_ACTIVE_FROM_2=&amp;arrFilterDocs_ff%5BPREVIEW_TEXT%5D=&amp;set_filter=%D0%A4%D0%B8%D0%BB%D1%8C%D1%82%D1%80&amp;set_filter=Y                                              </t>
  </si>
  <si>
    <t>Участие населения в реализации проекта путем посильной помощи (вырубка сухостоя, высадка деревьев, кустарников, цветов, покраска, контроль за реализацией проекта  и.т.д)</t>
  </si>
  <si>
    <t xml:space="preserve">http://www.dkp31.ru/search/?q=%D0%BE+%D0%BF%D1%80%D0%BE%D0%B2%D0%B5%D0%B4%D0%B5%D0%BD%D0%B8%D0%B8+%D0%B5%D0%B6%D0%B5%D0%B3%D0%BE%D0%B4%D0%BD%D0%BE%D0%B3%D0%BE&amp;order=-_score;                            </t>
  </si>
  <si>
    <t>Самый большой охват населения обеспечил выход  репортажа на ТРК "Мир Белогорья" https://mirbelogorya.ru/region-news/61-belgorodskaya-oblast-news/31394-kak-predstavitelyam-tosov-vyigrat-grant.html</t>
  </si>
  <si>
    <t>В 2019году проведено 12 кустовых семинаров для руководителей общественного самоуправления в которых приняли участие более 600 человек.</t>
  </si>
  <si>
    <t>тел.(4722)32-70-95</t>
  </si>
  <si>
    <t>Приоритетный региональный проект "Дорога к дому"</t>
  </si>
  <si>
    <t>"Дорога к дому"</t>
  </si>
  <si>
    <t>Государственная программа Новгородской области «Совершенствование и содержание дорожного хозяйства Новгородской области (за исключением автомобильных дорог федерального значения) на 2014-2022 годы</t>
  </si>
  <si>
    <t>постановление Правительства Новгородской области от 28.10.2013 №323</t>
  </si>
  <si>
    <t>http://docs.cntd.ru/document/411705968</t>
  </si>
  <si>
    <t>Постановление Правительства Новгородской области от 12.10.2017 № 347 «Об организации проектной деятельности в Правительстве Новгородской области и органах исполнительной власти Новгородской области»</t>
  </si>
  <si>
    <t>https://mgu.novreg.ru/npa.html</t>
  </si>
  <si>
    <t>министерство транспорта,дорожного хозяйства и цифрового развития  Новгородской области</t>
  </si>
  <si>
    <t>муниципальные районы, городской округ, городские и сельские поселения</t>
  </si>
  <si>
    <t>отремонтировано 134 км дорог в 21 муниципальном районе,  в 1 городском округе, в 19 городских посеоениях, в 101 сельском поселении, всего в Новгородской области 142 муниципальных образований</t>
  </si>
  <si>
    <t>https://novgorodstat.gks.ru/storage/mediabank/%D0%9D%D0%B0%D1%81%D0%B5%D0%BB%D0%B5%D0%BD%D0%B8%D0%B5%202019.pdf</t>
  </si>
  <si>
    <t>протоколы предварительных собраний, сходов граждан с листами регистрации участвующих</t>
  </si>
  <si>
    <t>протоколы итоговых собраний, сходов граждан , общественных советов</t>
  </si>
  <si>
    <t>https://цмпи.рф/proekty/doroga-k-domu/</t>
  </si>
  <si>
    <t>https://vk.com/ppmi53; https://www.facebook.com/groups/1825803114105110/</t>
  </si>
  <si>
    <t>https://цмпи.рф/</t>
  </si>
  <si>
    <t>В рамках рекламной кампании по продвижению проекта "Дорога к дому"  использовались региональные СМИ, ТВ, социальные сети. Результаты реализации проекта за 2018 год были озвучены на Форуме гражданских инициатив, который состоялся в ноябре 2019 в г. Великий Новгород, количество участников форума составило 800 человек, среди них представители органов государственной и муниципальной власти, представители территориальных общественных самоуправлений, инициативных групп приоритетных региональных проектов и т.д.</t>
  </si>
  <si>
    <t>https://vk.com/ppmi53?z=video-160413159_456239052%2Fa7956246dc924e18c5%2Fpl_post_-160413159_2276; https://novvedomosti.ru/articles/society/51778/</t>
  </si>
  <si>
    <t xml:space="preserve">Баранова Ольга Алексеевна, главный специалист-эесперт департамента дорожного хозяйства
Белова Светлана Дмитриевна, эксперт дорожного хозяйства технического отдела ГОКУ "Новгородавтодор" </t>
  </si>
  <si>
    <t>8(8162) 73-12-77 (доб.1216)
8(8162) 73-12-77 (доб.1217)</t>
  </si>
  <si>
    <t>olba81@mail.ru</t>
  </si>
  <si>
    <t xml:space="preserve">Тайбарей Светлана Егоровна, заместитель директора департамента бюджетной политики </t>
  </si>
  <si>
    <t>8(8162) 774-772 (доб. 1541)</t>
  </si>
  <si>
    <t>bud_komfin@novreg.ru</t>
  </si>
  <si>
    <t>приоритетный региональный проект "Народный бюджет"</t>
  </si>
  <si>
    <t>"Народный бюджет"</t>
  </si>
  <si>
    <t xml:space="preserve">Государственная программа Новгородской области "Управление государственными финансами Новгородской области на 2019 - 2024 годы"                                                                        Подпрограмма "Финансовая поддержка муниципальных образований Новгородской области"   
Направление 1.4.3. Участие населения в управлении государственными и муниципальными финансами в Новгородской области)
Мероприятие 2.4.7. Предоставление субсидий бюджетам городских и сельских поселений Новгородской области на реализацию приоритетного регионального проекта "Народный бюджет"
 </t>
  </si>
  <si>
    <t>постановление Правительства Новгородской области от 06.06.2019 №205</t>
  </si>
  <si>
    <t>http://docs.cntd.ru/document/553364140</t>
  </si>
  <si>
    <t>Закон Новгородской области от 04.04.2019 №394-ОЗ "О Стратегии социально-экономического развития Новгородской области до 2026 года"</t>
  </si>
  <si>
    <t>http://docs.cntd.ru/document/553230534</t>
  </si>
  <si>
    <t>Министерство финансов Новгородской области</t>
  </si>
  <si>
    <t>субсидия</t>
  </si>
  <si>
    <t>Городские и сельские поселения Новгородской области, отобранные для получения субсидии</t>
  </si>
  <si>
    <t xml:space="preserve">Приложение N 3. к Порядоку предоставления и методика распределения субсидий бюджетам городских и сельских поселений Новгородской области на реализацию приоритетного регионального проекта "Народный бюджет", утвержденному государственной программы Новгородской области "Управление государственными финансами
Новгородской области на 2019 - 2024 годы" (постановление Правительства Новгородской области от 06.06.2019 №205)
</t>
  </si>
  <si>
    <t>https://novgorodstat.gks.ru/storage/mediabank/%D0%A7%D0%B8%D1%81%D0%BB%20%D0%BE%D0%B1%D0%BB%202020.pdf</t>
  </si>
  <si>
    <t>государственное областное казенное учреждение "Центр муниципальной правовой информации" https://цмпи.рф/upload/iblock/dcb/dcbc133f80b6f485f8f2b8a66d35ebf5.pdf</t>
  </si>
  <si>
    <t>областной бюджет</t>
  </si>
  <si>
    <t>https://vk.com/narodbudget_no</t>
  </si>
  <si>
    <t>Критериями отбора поселений для предоставления субсидий являлись: наличие муниципального правового акта об утверждении положения о реализации проекта «Народный бюджет»,  наличие в бюджете поселения бюджетных ассигнований на реализацию проекта «Народный бюджет», не менее 1 млн.рублей.</t>
  </si>
  <si>
    <t xml:space="preserve">https://цмпи.рф/   </t>
  </si>
  <si>
    <t>https://minfin.novreg.ru/dlya-grazhdan.html</t>
  </si>
  <si>
    <t>https://цмпи.рф/proekty/</t>
  </si>
  <si>
    <t>совещания (тренинги) в соответствии с рабочим планом проекта;  состав участников - представители поселений, которые курируют проект и модерируют заседания бюджетных комиссий</t>
  </si>
  <si>
    <t>Игнатьева Светлана Николаевна, директор ГОКУ "Центр муниципальной правовой информации", администратор проекта</t>
  </si>
  <si>
    <t xml:space="preserve">89021474080
(88162)502-408 </t>
  </si>
  <si>
    <t>ppmi-53@mail.ru</t>
  </si>
  <si>
    <t>ТВ, социальные сети, интернет-издания                             http://tk-msta.ru/video/1374-v-borovichah-pristupili-k-priemke-blagoustroennyh-v-ramkah-proektov-formirovanie-komfortnoi-gor.html; Каталог практик инициативного бюджетирования Новгородской области "Проекты, реализованные в 2019 году" https://www.facebook.com/photo.php?fbid=157086638982451&amp;set=g.1825803114105110&amp;type=1&amp;theater&amp;ifg=1</t>
  </si>
  <si>
    <t>Приоритетный региональный проект "Проект поддержки местных инициатив (ППМИ) на территории Новгородской области"</t>
  </si>
  <si>
    <t>ППМИ Новгородской области</t>
  </si>
  <si>
    <t>Государственная программа Новгородской области «Государственная поддержка развития местного самоуправления в Новгородской области и социально ориентированных некоммерческих организаций Новгородской области на 2019-2026 годы», подпрограмма "Государственная поддержка развития местного самоуправления в Новгородской области", реализация приоритеного регионального проекта "Проект поддержки местных инициатив (ППМИ) на территории Новгородской области"</t>
  </si>
  <si>
    <t>Постановление Правительства Новгородской области от 226.04.2019 №166, Постановление Правительства Новгородской области от 20.06.2019 №229</t>
  </si>
  <si>
    <t>http://docs.cntd.ru/document/553386375; http://docs.cntd.ru/document/446681172</t>
  </si>
  <si>
    <t xml:space="preserve">О Стратегии социально-экономического развития Новгородской области до 2026 года. Принят Постановлением Новгородской областной Думы от 27.03.2019 N 724-ОД </t>
  </si>
  <si>
    <t>Администрация Губернатора Новгородской области</t>
  </si>
  <si>
    <t>областная субсидия</t>
  </si>
  <si>
    <t>городские и сельские поселения Новгородской области</t>
  </si>
  <si>
    <t>п. 4.2.1. Заявки для участия в конкурсном отборе</t>
  </si>
  <si>
    <t>http://docs.cntd.ru/document/553386375</t>
  </si>
  <si>
    <t>Государственное областное казенное учреждение "Центр муниципальной правовой информации" https://цмпи.рф/upload/iblock/dcb/dcbc133f80b6f485f8f2b8a66d35ebf5.pdf</t>
  </si>
  <si>
    <t>подтверждается анкетами, приложенными к заявкам</t>
  </si>
  <si>
    <t>протоколы предварителльных собраний (сходов граждан) с листами регистрации участвующих</t>
  </si>
  <si>
    <t>Городским поселением город Чудово в общественных местах города были размещены ящики для сбора инициативных предложенй, о чем были уведомлены жители через социальные сети и местное телевидение. Сформированная комиссия по окончании срока сбора данных проектных идей проанализировала пожелания граждан и на их основе подготовила два локальных прокта для выбора на итоговом собрании. Процесс сбора и анализ результатов освещались в СМИ, соцсетях и официальном сайте Администрации Чудовского муниципального района. Аналогичная работа была проведена Трубичинским и Ермолинсим сельскими поселениями Новгородского района</t>
  </si>
  <si>
    <t xml:space="preserve">22 поселения в ходе мониторинга использовали интернет ресурс, организовав сбор инициативных предложений в своих тематических группах, посвященных проекту ППМИ </t>
  </si>
  <si>
    <t xml:space="preserve">протоколы итоговых собраний с листами регистрации с предоставлением видео собрания или участием консультантов проектоного центра </t>
  </si>
  <si>
    <t xml:space="preserve">Нет. Субсидии предоставляются только бюджетам городских и сельских поселений Новгородской области </t>
  </si>
  <si>
    <t>Городской округ Великий Новгород не является участником проекта ППМИ, так как в субъекте отсутствует конкурентная среда (единственный участник)</t>
  </si>
  <si>
    <t>трудовое участие (субботники), предоставление техники, материалов.</t>
  </si>
  <si>
    <t xml:space="preserve">https://цмпи.рф/ </t>
  </si>
  <si>
    <t xml:space="preserve"> https://цмпи.рф/novosti/  Ход реализации проекта ППМИ освещался на всем протяжении в течение 2019 года: публикаций в СМИ – 131, из них 14 телесюжетов;
21 публикация на сайте Правительства Новгородской области; 49 - на сайте ГОКУ «ЦМПИ»;
в социальных сетях в группе «ВКонтакте» https://vk.com/ppmi53 - 1826 постов;
в группе Fasebook
https://www.facebook.com/groups/1825803114105110/ - 897 постов.
Информационные ленты данных групп наполнены текстовой информацией о реализации ППМИ, а также фотоматериалами.  </t>
  </si>
  <si>
    <t>https://www.facebook.com/photo.php?fbid=157086638982451&amp;set=g.1825803114105110&amp;type=1&amp;theater&amp;ifg=1 изготовлены календари, блокноты, ручки, буклеты "Инициативное бюджетирование Новгородской области. Проекты, реализованные в 2019 году"</t>
  </si>
  <si>
    <t xml:space="preserve">https://цмпи.рф/proekty/ppmi/  В 2019 году согласно рабочему плану проекта ППМИ было проведено 9 семинаров для Глав городских и сельских поселений, 1 семинар для кураторов ППМИ и 1 межрегиональный семинар "Вовлечение граждан в проекты инициативного бюджетирования", участники - Главы районов, Главы городских и сельских поселений, председатели и члены ТОС (территориальное общественное самоуправление), кураторы проектов местных инициатив, специалисты по работе с молодежью администраций районов, председатели комитетов финансов муниципальных районов, председатели комитетов (комиссий) Дум муниципальных районов по бюджету, финансам и экономики, руководители волонтерских объединений ПРП ППМИ и ТОС, инициативные жители области, представители Ленинградской, Белгородской, Владимирской, Кировской областей и Республики Башкирия. 
В качестве модераторов выступили руководитель Центра инициативного бюджетирования НИФИ Минфина России Владимир Вагин, ведущий эксперт Всемирного банка Сергей Гридин, представители Альянса консультантов инициативного бюджетирования Михаил Шевелёв и Нина Филиппова </t>
  </si>
  <si>
    <t>Игнатьева Светлана Николаевна, директор ГОКУ "Центр муниципальной правововй информации", руководитель проекта</t>
  </si>
  <si>
    <t>Приоритетный региональный проект "Территориальное общественное самоуправление (ТОС) на территории Новгородской области"</t>
  </si>
  <si>
    <t>ТОСы Новгородской области</t>
  </si>
  <si>
    <t>Подпрограмма "Государственная поддержка развития местного самоуправления в Новгородской области" государственной программы Новгородской области "Государственная поддержка развития местного самоуправления в Новгородской области и социально ориентированных некомерческих организаций Новгородской области на 2019 - 2026 годы", предоставление субсидий бюджетам городских и сельских поселений Новгородской области на поддуржку реализации проектов территориальных общественных самоуправлений, включенных в муниципальные программы развития территорий</t>
  </si>
  <si>
    <t xml:space="preserve">Постановление Правительства Новгородской области от 26 апреля 2018 года № 166, Постановление Правительства Новгородской области от 20 июня 2019 года № 229 </t>
  </si>
  <si>
    <t>Областная субсидия</t>
  </si>
  <si>
    <t>Бюджеты городских и сельских поселений Новгородской области</t>
  </si>
  <si>
    <t>Письменный запрос ГОКУ "ЦМПИ", табличная форма</t>
  </si>
  <si>
    <t xml:space="preserve">Собрания членов ТОС </t>
  </si>
  <si>
    <t>15 городских и 87 сельских поселений. Городской округ Великий Новгород участия не принимал в соответствии с Порядком  предоставления и методикой распределения субсидий</t>
  </si>
  <si>
    <t>Наличие в бюджете поселения бюджетных ассигнований на исполнение расходных обязательств, связанных с исполнением мероприятий, направленных на реализацию проекта территориального общественного самоуправления, включенного в муниципальную программу развития территорий; наличие в границах одного поселения не менее 2 зарегистрированных в соответствии со статьей 27 Федерального закона от 6 октября 2003 года № 131-ФЗ "Об общих принципах организации местного самоуправления в Российской Федерации" территориальных общественных самоуправлений</t>
  </si>
  <si>
    <t>В тематической группе «ТОСы Новгородской области» в социальной сети «ВКонтакте» https://vk.com/toc53 размещено 359 публикаций, и Fasebook https://www.facebook.com/groups/936134533235074/ размещено 142 публикации; в СМИ – 9 репортажей, на портале Правительства Новгородской области – 10 публикаций; https://цмпи.рф/novosti/</t>
  </si>
  <si>
    <t>https://adm.novreg.ru/activities/areas-of-activity-uvp/population-in-self-government/rtos.html; документы и методические рекомендации размещены в официальной группе "Вконтакте"https://vk.com/toc53?w=wall-162279930_234%2Fall</t>
  </si>
  <si>
    <t>https://цмпи.рф/proekty/ppmi/  В 2019 году согласно рабочему плану проекта ТОС было проведено:  межрегиональный семинар "Вовлечение граждан в проекты инициативного бюджетирования", участники - Главы районов, Главы городских и сельских поселений, председатели и члены ТОС (территориальное общественное самоуправление), кураторы проектов местных инициатив, специалисты по работе с молодежью администраций районов, председатели комитетов финансов муниципальных районов, председатели комитетов (комиссий) Дум муниципальных районов по бюджету, финансам и экономики, руководители волонтерских объединений ПРП ППМИ и ТОС, инициативные жители области, представители Ленинградской, Белгородской, Владимирской, Кировской областей и Республики Башкирия. 
В качестве модераторов выступили руководитель Центра инициативного бюджетирования НИФИ Минфина России Владимир Вагин, ведущий эксперт Всемирного банка Сергей Гридин, представители Альянса консультантов инициативного бюджетирования Михаил Шевелёв и Нина Филиппова. 23 июля 2019 года организована встреча делегации представителей муниципальных общественных самоуправлений и администраций муниципальных образований Новгородской области для обмена опытом и посещения памятных мест Псковской области в рамках межрегионального, межмуниципального сотрудничества (присутствовало 73 человека).</t>
  </si>
  <si>
    <t>Игнатьева Светлана Николаевна, директор ГОКУ "Центр муниципальной правовой информации", руководитель проекта</t>
  </si>
  <si>
    <t>предоставление грантов на поддержку местных инициатив граждан, проживающих в сельской местности области</t>
  </si>
  <si>
    <t>Постановление Правительства Новгородской области  "О государственной программе Новгородской области "Устойчивое развитие сельских территорий в Новгородской области на 2014 - 2021 годы"</t>
  </si>
  <si>
    <t>17.10.2013 N 272</t>
  </si>
  <si>
    <t>https://apk.novreg.ru/documents/13.html</t>
  </si>
  <si>
    <t>министерство сельского хозяйства Новгородсмкой области</t>
  </si>
  <si>
    <t>министерство сельского хозяйства Новгородской области</t>
  </si>
  <si>
    <t>сельские поселения</t>
  </si>
  <si>
    <t>Постановление Правительства РФ от 14.07.2012 N 717 "О Государственной программе развития сельского хозяйства и регулирования рынков сельскохозяйственной продукции, сырья и продовольствия"</t>
  </si>
  <si>
    <t>министерство сельского хозяйства Российской Федерации</t>
  </si>
  <si>
    <t>по данным органов местного самоуправления</t>
  </si>
  <si>
    <t>Протокол</t>
  </si>
  <si>
    <t>согласно постановлению от 17.10.2013 №272</t>
  </si>
  <si>
    <t>трудовое участие граждан</t>
  </si>
  <si>
    <t>обучающие семинары для представителей органов местного самоуправления</t>
  </si>
  <si>
    <t>Сергеева Галина Витальевна</t>
  </si>
  <si>
    <t>(8 816 2) 77 74 86</t>
  </si>
  <si>
    <t>investapk@novreg.ru</t>
  </si>
  <si>
    <t>Тайбарей Светлана Егоровна, заместитель директора департамента бюджетной политики</t>
  </si>
  <si>
    <t>Формирование комфортной городской среды на территории Новгородской области</t>
  </si>
  <si>
    <t xml:space="preserve">Государственная програма Новгородской области «Формирование современной городской среды на территории муниципальных образований Новгородской области на 2018-2024 годы» утверждена постановлением Правительства Новгородской области от 01.09.2017 № 305 </t>
  </si>
  <si>
    <t>постановление Правительства Новгородской области 01.09.2017 № 305</t>
  </si>
  <si>
    <t>https://jkh.novreg.ru/documents/129.html</t>
  </si>
  <si>
    <t>министерство жилищно-коммунального хозяйства и топливно-энергетического комплекса Новгородской области</t>
  </si>
  <si>
    <t>ФП "Формирование комфортной городской среды", РП "Формирование комфортной городской среды на териитории Новгородской области", государственная программа Новгородской области «Формирование современной городской среды на территории муниципальных образований Новгородской области на 2018-2024 годы» утверждена постановлением Правительства Новгородской области от 01.09.2017 № 305</t>
  </si>
  <si>
    <t>рейтинговое голосование, протоколы в 2019 году</t>
  </si>
  <si>
    <t>в 2017 году - 27 МО, в 2018 году - 43 МО, в 2019 году - 25 МО, в 2020 году - 25 МО</t>
  </si>
  <si>
    <t xml:space="preserve">Критерии отбора муниципальных образований области для участия в Программе в 2019 году:
наличие в муниципальных программах мероприятий по благоустройству дворовых территорий многоквартирных домов, по комплексному благоустройству общественных территорий в городском округе Великий Новгород, монопрофильных муниципальных образованиях области, муниципальных образованиях - исторических поселениях федерального значения, населенных пунктах с численностью населения свыше 1000 человек;
наличие средств собственников помещений многоквартирных домов в размере не более 10 % от общей стоимости работ по благоустройству дворовых территорий многоквартирных домов исходя из минимального перечня работ по благоустройству и (или) в размере не более 30 % от общей стоимости работ по благоустройству дворовых территорий многоквартирных домов исходя из дополнительного перечня работ по благоустройству;
наличие средств бюджетов муниципальных образований области в размере не менее 20 % от общей стоимости работ по благоустройству дворовых территорий многоквартирных домов исходя из минимального перечня работ по благоустройству и (или) дополнительного перечня работ по благоустройству и общественных территорий.
</t>
  </si>
  <si>
    <t>трудовая форма участия при благоустройстве дворовых территорий (субботники, посадка деревьев и т.д.)</t>
  </si>
  <si>
    <t>https://www.novreg.ru/, https://jkh.novreg.ru/novosti-sreda.html</t>
  </si>
  <si>
    <t>ТВ, печатные СМИ, сайт Правительства НО и сайт министерства ЖКХ и ТЭК НО</t>
  </si>
  <si>
    <t>заместитель министра жилищно-коммунального хозяйства и топливно-энергетического комплекса Новгородской области И.Н. Алексашкина</t>
  </si>
  <si>
    <t>8 (8162) 665-162</t>
  </si>
  <si>
    <t>jkh-tek.nov@mail.ru</t>
  </si>
  <si>
    <t>"Поддержка проектов развития территорий поселений Амурской области, основанных на местных инициативах"</t>
  </si>
  <si>
    <t>"Инициативное бюджетирование" (сайт министерства финансов Амурской области)</t>
  </si>
  <si>
    <t>Постановление Правительства Амурской области от 25.09.2013 N 442   "Об утверждении государственной программы Амурской области "Повышение эффективности деятельности органов государственной власти и управления Амурской области"</t>
  </si>
  <si>
    <t xml:space="preserve"> Постановление Правительства Амурской области от 25.09.2017 N 460
"О внесении изменений в постановление Правительства Амурской области от 25 сентября 2013 г. N 442"</t>
  </si>
  <si>
    <t>"Справочно-правовая система Консультатнт Плюс"</t>
  </si>
  <si>
    <t xml:space="preserve">Закон Амурской области от 10.12.2018 N 292-ОЗ 
"Об областном бюджете на 2019 год и плановый период 2020 и 2021 годов"
</t>
  </si>
  <si>
    <t>Постановление Губернатора Амурской области от 16.02.2017 N 34
"О координационном совете по вопросам реализации проектов развития территорий сельских поселений Амурской области, основанных на местных инициативах"; Постановление Правительства Амурской области от 05.04.2018 N 143
"О конкурсной комиссии по проведению конкурсного отбора сельских поселений Амурской области для предоставления субсидий бюджетам сельских поселений Амурской области на поддержку проектов развития территорий сельских поселений Амурской области, основанных на местных инициативах"</t>
  </si>
  <si>
    <t>министерство финансов Амурской области</t>
  </si>
  <si>
    <t>Администрации  сельских поселений</t>
  </si>
  <si>
    <t xml:space="preserve">https://amurstat.gks.ru/storage/mediabank/31_7_2.htm </t>
  </si>
  <si>
    <t>Сбор анкет</t>
  </si>
  <si>
    <t>Фотофиксация, листы регистрации, протоколы сходов</t>
  </si>
  <si>
    <t>Протокол заседания комиссии</t>
  </si>
  <si>
    <t>только сельские поселения</t>
  </si>
  <si>
    <t>Распространение методических пособий, координация действий кураторов программы на местах через мессенджеры</t>
  </si>
  <si>
    <t xml:space="preserve">озеленение, предоставление строительных материалов, вспомогательные работы </t>
  </si>
  <si>
    <t xml:space="preserve">https://www.fin.amurobl.ru/pages/deyatelnost/initsiativnoe-byudzhetirovanie/  </t>
  </si>
  <si>
    <t xml:space="preserve">https://youtu.be/TYBfuFnaUVo 
https://www.amur.info/news/2019/11/01/162474
https://www.ampravda.ru/2019/06/02/088841.html
</t>
  </si>
  <si>
    <t>Рекламная компания проводится Правительством Амурской области при поддержке средств массовой информации региона. Большую роль в распространении информации о программе играют муниципалитеты Амурской области, информирую жителей городских и сельских поселений через инофрмационные стенды, местные газеты, мессенджеры и социальные сети</t>
  </si>
  <si>
    <t>Выездные консультации</t>
  </si>
  <si>
    <t>Крапивина Виктория Викторовна</t>
  </si>
  <si>
    <t>8 416 2  775- 448</t>
  </si>
  <si>
    <t>krapivina@fin.amurobl.ru</t>
  </si>
  <si>
    <t>Реализация программ (проектов) инициативного бюджетирования</t>
  </si>
  <si>
    <t>Государственная программа "Региональная политика Брянской области" (2014-2020 годы), мероприятие "Реализация программ (проектов) инициативного бюджетирования"</t>
  </si>
  <si>
    <t>Постановление Правительства Брянской области "О внесении изменений в государственную программу "Региональная политика Брянской области"</t>
  </si>
  <si>
    <t>от 25.12.2017 №706-п</t>
  </si>
  <si>
    <t>департамент внутренней политики Брянской области</t>
  </si>
  <si>
    <t>муниципальное образование Брянской области</t>
  </si>
  <si>
    <t xml:space="preserve">число граждан, проживающих в населенном пункте </t>
  </si>
  <si>
    <t>число граждан определяется по данным Федеральной государственной службы статистики</t>
  </si>
  <si>
    <t>https://bryansk.gks.ru/folder/25514</t>
  </si>
  <si>
    <t>протокол собрания граждан</t>
  </si>
  <si>
    <t>Публикации на официальных сайтах администраций муниципальных образований Брянской области, сайтах районных газет, а также печатные статьи в них, сюжеты на телеканале "Брянская губерния"</t>
  </si>
  <si>
    <t>первый заместитель директора департамента внутренней политики Брянской области Андрей Александрович Казорин</t>
  </si>
  <si>
    <t>8(4832) 32-56-37</t>
  </si>
  <si>
    <t>kazorin32@yandex.ru</t>
  </si>
  <si>
    <t>Другое (опишите_____________ )</t>
  </si>
  <si>
    <t>Грантовая поддержка местных инициатив граждан, проживающих в сельской местности</t>
  </si>
  <si>
    <t>подпрограмма «Устойчивое развитие сельских территорий Курской области на 2014-2017 годы и на период до 2021 года» государственной программы Курской области «Развитие сельского хозяйства и регулирование рынков сельскохозяйственной продукции, сырья и продовольствия в Курской области», утвержденной постановлением Администрации Курской области от 18.10.2013 № 744-па</t>
  </si>
  <si>
    <t>Постановление Администрации Курской области от 25.07.2016 года № 548-па «Об утверждении Порядка предоставления иных межбюджетных трансфертов из областного бюджета бюджетам муниципальных образований Курской области на грантовую поддержку местных инициатив граждан, проживающих в сельской местности»</t>
  </si>
  <si>
    <t>http://adm.rkursk.ru/index.php?id=109&amp;mat_id=58335&amp;query=548-%EF%E0 (Указанная ссылка, отражает первначальную редакцию документа, актуализированная версия в информационной системе КонсультантПлюс)</t>
  </si>
  <si>
    <t>Закон Курской области от 20.06.2016 года № 46-ЗКО «О предоставлении иных межбюджетных трансфертов из областного бюджета бюджетам муниципальных образований Курской области на грантовую поддержку местных инициатив граждан, проживающих в сельской местности»</t>
  </si>
  <si>
    <t>http://adm.rkursk.ru/index.php?id=109&amp;mat_id=57127&amp;query=46-%E7%EA%EE</t>
  </si>
  <si>
    <t>Комитет агропромышленного комплекса Курской области</t>
  </si>
  <si>
    <t>Иные межбюджетные трансферты</t>
  </si>
  <si>
    <t>Муниципальные образования</t>
  </si>
  <si>
    <t>Государственная программа развития сельского хозяйства и регулирование рынков сельскохозяйственной продукции, сырья и продовольствия на 2013-2020 годы, утвержденная постановлением Правительства Российской Федерации от 14 июля 2012 № 717</t>
  </si>
  <si>
    <t>Министерство сельского хозяйства Российской Федерации</t>
  </si>
  <si>
    <t>Указывается муниципальными образованиями в паспортах проекта</t>
  </si>
  <si>
    <t>kurskstat.gks.ru</t>
  </si>
  <si>
    <t>сход граждан</t>
  </si>
  <si>
    <t>конкурсный отбор осуществляется комиссией, состав которой утверждается приказом ГРБС</t>
  </si>
  <si>
    <t>возмозность участия в практике предусмотрена только для сельских поселений</t>
  </si>
  <si>
    <t>http://adm.rkursk.ru/</t>
  </si>
  <si>
    <t>рекламная компания данной практики в субъекте не проводилась</t>
  </si>
  <si>
    <t>Коротков Сергей Вадимович - консультант управления сельского развития, социальной политики и развития малых форм хозяйствования комитета агропромышленного комплекса Курской области</t>
  </si>
  <si>
    <t xml:space="preserve"> (4712) 70-16-71</t>
  </si>
  <si>
    <t>stroyapk@rkursk.ru</t>
  </si>
  <si>
    <t>"Народный бюджет" в Курской области</t>
  </si>
  <si>
    <t>Бюджетные ассигнования на реализацию проекта "Народный бюджет" в Курской области" предусматриваются в законе об областном бюджет при его формировании на очередной финансовый год, в том числе с распределением по ГРБС и в разрезе муниципальных образований (таблица 20 Приложения 20 к Закону Курской области от 07.12.2018  № 86-ЗКО "Об областном бюджете на 2019 год и на плановый период 2020 и 2021 годов")</t>
  </si>
  <si>
    <t>http://adm.rkursk.ru/index.php?id=693&amp;mat_id=101320</t>
  </si>
  <si>
    <t>Постановление Администрации Курской области от 27.09.2016 №732-па «О вопросах реализации проекта «Народный бюджет» в Курской области»</t>
  </si>
  <si>
    <t>https://adm.rkursk.ru/index.php?id=109&amp;mat_id=60146&amp;page=30&amp;sort_field=103&amp;sort_order=0&amp;year=2016, http://www.consultant.ru/regbase/cgi/online.cgi?req=doc;base=RLAW417;n=58694#031400186708197 (нпа в актуальной редакции)</t>
  </si>
  <si>
    <t>Комитет внутренней политики Администрации Курской области, комитет жилищно-коммунального хозяйства и ТЭК Курской области, комитет образования и науки Курской области, комитет строительства Курской области,  комитет транспорта и автомобильных дорог Курской области, комитет по культуре Курской области,  комитет по физической культуре и спорту Курской области, комитет по экономике и развитию Курской области, комитет финансов Курской области</t>
  </si>
  <si>
    <t xml:space="preserve"> Комитет жилищно-коммунального хозяйства и ТЭК Курской области, комитет образования и науки Курской области, комитет строительства Курской области,  комитет транспорта и автомобильных дорог Курской области, комитет по культуре Курской области,  комитет по физической культуре и спорту Курской области</t>
  </si>
  <si>
    <t>муниципальные образования, прошедшие конкурсный отбор в 2018 году</t>
  </si>
  <si>
    <t>Количество благополучателей указывается главой муниципального образования в заявке для участия в конкурсном отборе в рамках «Народного бюджета» и рассчитывается методом прямого счета жителей населенных пунктов, на которых оказывает влияние изменения в общественной структуре муниципальных образований, последовавшие в результате реализации проектов, учитываются жители, проживающие в близлежащих  к объекту, реализованному в рамках проекта «Народный бюджет», районах,  и  непосредственно пользующиеся благами.</t>
  </si>
  <si>
    <t>15,36% (по статистическим данным на 1 января 2019 года численность населения Курской области составила 1 107 041 чел.)</t>
  </si>
  <si>
    <t>https://kurskstat.gks.ru/</t>
  </si>
  <si>
    <t>Количество граждан, принявших участие в обсуждении, фиксируется в протоколе собрания жителей муниципального образования</t>
  </si>
  <si>
    <t>Граждане не участвуют в процедурах конкурсного отбора проектов, представленных в конкурсную комиссию</t>
  </si>
  <si>
    <t>официальный сайт Администрации Курской области (http://adm.rkursk.ru/index.php?id=10&amp;mat_id=75907&amp;query=%EF%F0%EE%E5%EA%F2+%ED%E0%F0%EE%E4%ED%FB%E9+%E1%FE%E4%E6%E5%F2+732-%EF%E0, http://adm.rkursk.ru/index.php?id=1339&amp;mat_id=98808&amp;query=%EF%F0%EE%E5%EA%F2+%ED%E0%F0%EE%E4%ED%FB%E9+%E1%FE%E4%E6%E5%F2+732-%EF%E0, http://adm.rkursk.ru/index.php?id=10&amp;mat_id=80344&amp;query=%EF%F0%EE%E5%EA%F2+%ED%E0%F0%EE%E4%ED%FB%E9+%E1%FE%E4%E6%E5%F2+732-%EF%E0, http://adm.rkursk.ru/index.php?id=1339&amp;mat_id=92284&amp;query=%EF%F0%EE%E5%EA%F2+%ED%E0%F0%EE%E4%ED%FB%E9+%E1%FE%E4%E6%E5%F2+732-%EF%E0 и др.)</t>
  </si>
  <si>
    <t>Информация о проекте «Народный бюджет» в Курской области регулярно освещалась в информационно-телекоммуникационной сети Интернет на официальном сайте Администрации Курской области, а также в региональных печатных СМИ  и местных. (http://adm.rkursk.ru/index.php?id=13&amp;mat_id=99508&amp;query=%EF%F0%EE%E5%EA%F2+%ED%E0%F0%EE%E4%ED%FB%E9+%E1%FE%E4%E6%E5%F2+732-%EF%E0, http://adm.rkursk.ru/index.php?id=13&amp;mat_id=99761&amp;query=%EF%F0%EE%E5%EA%F2+%ED%E0%F0%EE%E4%ED%FB%E9+%E1%FE%E4%E6%E5%F2+732-%EF%E0, http://сельская-новь.рф/sotsialnaya-politika/6610-kak-narodnyj-byudzhet-menyaet-sudby, http://adm.rkursk.ru/index.php?id=13&amp;mat_id=99928&amp;query=%EF%F0%EE%E5%EA%F2+%ED%E0%F0%EE%E4%ED%FB%E9+%E1%FE%E4%E6%E5%F2+732-%EF%E0http://adm.rkursk.ru/index.php?id=13&amp;mat_id=99799&amp;query=%EF%F0%EE%E5%EA%F2+%ED%E0%F0%EE%E4%ED%FB%E9+%E1%FE%E4%E6%E5%F2+732-%EF%E0, http://сельская-новь.рф/sotsialnaya-politika/6470-nauchat-li-doshkolyat-ekonomit-semejnyj-byudzhet, http://сельская-новь.рф/vesti-o-vlasti/6579-odin-plyus-odin-ne-vsegda-dva, http://сельская-новь.рф/ukazy-prezidenta/6573-est-programma-vstupaem, http://сельская-новь.рф/vesti-o-vlasti/6564-o-delakh-nasushchnykh, http://сельская-новь.рф/ukazy-prezidenta/6415-i-dazhe-urny-ukrasheny-notami, http://сельская-новь.рф/sotsialnaya-politika/6405-k-novomu-godu-gotovy, http://сельская-новь.рф/ukazy-prezidenta/6398-pyat-protsentov-eto-zhe-ne-sto, https://zhel.city/news/sports/28552/,  https://riakursk.ru/v-kurskoy-oblasti-prodolzhaetsya-reali/, https://seyminfo.ru/narodnyj-bjudzhet-pomogaet-reshat-problemy-kuryan.html)</t>
  </si>
  <si>
    <t>За отчетный период комитетом внутренней политики Администрации Курской области было проведено 3 семинара с главами муниципальных образований, управляющими делами Администраций муниципальных районов и городских округов</t>
  </si>
  <si>
    <t>Хондзинская Елена Александровна - главный консультант управления по взаимодействию с органами местного самоуправления комитета внутренней политики Администрации Курской области</t>
  </si>
  <si>
    <t>8(471)51-24-72</t>
  </si>
  <si>
    <t>hondzinskaya.kvp@rkursk.ru</t>
  </si>
  <si>
    <t>Беловидова Наталья Михайловна - консультант управления межбюджетных отношений комитета финансов Курской области</t>
  </si>
  <si>
    <t>8(471)70-07-76</t>
  </si>
  <si>
    <t>belovidova@kfin.reg-kursk.ru</t>
  </si>
  <si>
    <t>"Формирование современной городской среды в Курской области"</t>
  </si>
  <si>
    <t>Государственная программа "Формирование  современной городской среды в Курской области"</t>
  </si>
  <si>
    <t>Постановление администрации Курской области от 31.08.2017г. № 684-па"Об утверждении государственной программы Курской области "Формирование современной городской среды в Курской области"</t>
  </si>
  <si>
    <t>http://adm.rkursk.ru/index.php?id=109&amp;mat_id=70756&amp;query=684-%EF%E0 (Указанная ссылка, отражает первначальную редакцию документа, актуализированная версия в информационной системе КонсультантПлюс)</t>
  </si>
  <si>
    <t>Комитет жилищно-коммунального хозяйства и   ТЭК Курской области</t>
  </si>
  <si>
    <t>муниципальные образования Курской области</t>
  </si>
  <si>
    <t>Государственная программа Российской Федерации "Обеспечение доступным и комфортным жильем и коммунальными услугами граждан Российской Федерации" Федеральный проект "Формирование комфортной городской среды"</t>
  </si>
  <si>
    <t xml:space="preserve">Министерство строительства и жилищно-коммунального хозяйства Российской Федерации
</t>
  </si>
  <si>
    <t>Статистика количества благополучателей от реализации проекта не велась</t>
  </si>
  <si>
    <t>Процедура сбора проектных предложений осуществлялась муниципальными образованиями  путем инвентаризации адресных территорий нуждающихся в благоустройстве, а также сбора предложений от инициативных граждан.</t>
  </si>
  <si>
    <t>муниципальные образования с  численностью населения менее 1000 человек не участвуют в программе</t>
  </si>
  <si>
    <t xml:space="preserve"> </t>
  </si>
  <si>
    <t>Ежемесячно проводится  заседание  межведомственной комиссии по обеспечению реализации приоритетного проекта «Формирование комфортной городской  среды". Регулярно организуются совещания  ВКС по вопросам, возникающим при реализации проектов в рамках формирования современной городской среды. Участниками мероприятий являются представители органов государственной власти, руководители муниципальных образований Курской области.</t>
  </si>
  <si>
    <t>Шинакова Елена Владимировна, заместитель начальника управления жилищной политики комитета жилищно-коммунального хозяйства и ТЭК Курской области</t>
  </si>
  <si>
    <t>8(471)70-28-93</t>
  </si>
  <si>
    <t>gkh-kursk@mail.ru</t>
  </si>
  <si>
    <t>Отбор заявок - победителей осуществлялся путем рейтингового голосования на избирательных участках в единый день голосования в муниципальных образованиях с численностью населения более 20 тыс. чел., а так же путем отбора на собраниях  общественных комиссий в муниципальных образованиях проектов, набравших наибольшее количество голосов.)</t>
  </si>
  <si>
    <t>Развитие территориального общественного самоуправления Архангельской области</t>
  </si>
  <si>
    <t>Развитие ТОС Архангельской области</t>
  </si>
  <si>
    <t>Государственная программа Архангельской области «Развитие местного самоуправления в Архангельской области и государственная поддержка социально ориентированных некоммерческих организаций (2014 – 2021 годы)»</t>
  </si>
  <si>
    <t>Постановление Правительства Архангельской области от 8 октября 2013 года № 464-пп (подпрограмма № 2 «Развитие территориального общественного самоуправления в Архангельской области»).</t>
  </si>
  <si>
    <t>https://dvinaland.ru/gov/adm/depmsu/</t>
  </si>
  <si>
    <t xml:space="preserve">http://portal.dvinaland.ru/docs/pub/a16eece709bc76b71bf44543d9de3cd7/613-37-oz.doc </t>
  </si>
  <si>
    <t xml:space="preserve">Департамент по внутренней политике и местному самоуправлению администрации Губернатора Архангельской области и Правительства Архангельской области </t>
  </si>
  <si>
    <t>Администрация Губернатора Архангельской области и Правительства Архангельской области</t>
  </si>
  <si>
    <t>Местные бюджеты муниципальных районов и городских округов</t>
  </si>
  <si>
    <t>Отсутствует методика расчета количества благополучателей</t>
  </si>
  <si>
    <t>Учет проектов ведется на уровне муниципальных образований</t>
  </si>
  <si>
    <t>Да, 100%</t>
  </si>
  <si>
    <t>Трудовое участие, финансовый и нефинансовый вклад индивидуальных предпринимателей и юридических лиц, НКО</t>
  </si>
  <si>
    <t>https://tos29.ru</t>
  </si>
  <si>
    <t xml:space="preserve">https://vk.com/club82210903 </t>
  </si>
  <si>
    <t>Новости по телевидению, в областных и районных печатных средствах массовой информации, на интернет-портале www.dvinanews.ru</t>
  </si>
  <si>
    <t>Межмуниципальные однодневные проектные семинары по подготовке проектов ТОС</t>
  </si>
  <si>
    <t>Дягилева Елена Борисовна, ведущий консультант отдела по поддержке общественных инициатив департамента по внутренней политике и местному самоуправлению администрации Губернатора Архангельской области и Правительства Архангельской области</t>
  </si>
  <si>
    <t>898182) 286 238</t>
  </si>
  <si>
    <t>Dyagileva@dvinaland.ru</t>
  </si>
  <si>
    <t>Областной закон от 22 февраля 2013 года № 613-37-ОЗ «О государственной поддержке территориального общественного самоуправления в Архангельской области»; Концепция развития территориального общественного самоуправления в Архангельской области до 2020 года, утвержденная постановлением Правительства Архангельской области от 22 июля 2014 года № 291-пп</t>
  </si>
  <si>
    <t>Независимая оценка проектов на основе заданных критериев на конкурсной основе</t>
  </si>
  <si>
    <t>Поддержка местных инициатив</t>
  </si>
  <si>
    <t>ППМИ</t>
  </si>
  <si>
    <t>1) https://government-nnov.ru/?id=122465
2) https://government-nnov.ru/?id=207040</t>
  </si>
  <si>
    <t>Закон Нижегородской области от 24.12.2018 №142-З "Об областном бюджете на 2019 год и на плановый период 2020 и 2021 годов" (в ред. Закона Нижегородской области от 01.07.2019 № 61-З)</t>
  </si>
  <si>
    <t>http://publication.pravo.gov.ru/Document/View/5200201812270009
http://publication.pravo.gov.ru/Document/View/5200201907020001</t>
  </si>
  <si>
    <t>от 22.12.2017 № 945 (срок действия не установлен)</t>
  </si>
  <si>
    <t>https://government-nnov.ru/?id=207040</t>
  </si>
  <si>
    <t>Министерство внутренней региональной и муниципальной политики Нижегородской области</t>
  </si>
  <si>
    <t>Органы местного самоуправления 
муниципальных образований</t>
  </si>
  <si>
    <t>Данные представлены в программах участников конкурсного отбора. По данным органов местного самоуправления количество прямых благополучателей от реализации всех проектов - 559,123 тыс. человек, косвенных - 1 695,713 тыс.человек. Итого - 2 254,836 тыс. человек.</t>
  </si>
  <si>
    <t>https://nizhstat.gks.ru/storage/mediabank/%D0%A7%D0%B8%D1%81%D0%BB%D0%B5%D0%BD%D0%BD%D0%BE%D1%81%D1%82%D1%8C%20%D0%BD%D0%B0%D1%81%D0%B5%D0%BB%D0%B5%D0%BD%D0%B8%D1%8F.xls</t>
  </si>
  <si>
    <t>Программы участников конкурсного отбора</t>
  </si>
  <si>
    <t>Граждане не участвуют 
(оформляется протокол комиссии представителей власти)</t>
  </si>
  <si>
    <t>В соответствии с порядком конкурсного отбора программ (проектов) развития территорий муниципальных образований Нижегородской области, основанных на местных инициативах, и критериями конкурсного отбора предусмотрено участие населения (неоплачиваемый труд, материалы и др. формы) в реализации программы (проекта). Нефинансовый вклад носит добровольный характер, положительно влияет на оценку программы (проекта) при конкурсном отборе.</t>
  </si>
  <si>
    <t>https://mvp.government-nnov.ru/?id=48287</t>
  </si>
  <si>
    <t>Освещение этапов реализации ППМИ осуществляется пресс-службой Губернатора и Правительства Нижегородской области на сайте Правительства Нижегородской области в ленте новостей на постоянной основе . Дополнительно информация о ППМИ активно освещается в СМИ и обсуждается на официальных страницах органов государственной власти в социальных сетях.</t>
  </si>
  <si>
    <t>Королева Ольга Александровна, начальник отдела поддержки местных инициатив и проектной работы управления политического анализа, министерство внутренней региональной и муниципальной политики Нижегородской области</t>
  </si>
  <si>
    <t>8 (831) 419 37 78</t>
  </si>
  <si>
    <t>goa@mvp.kreml.nnov.ru</t>
  </si>
  <si>
    <t>Реализация на территории Новосибирской области проектов развития территорий муниципальных образований Новосибирской области, основанных на местных инициативах</t>
  </si>
  <si>
    <t>Постановление Правительства Новосибирской области от 06.06.2017  №201-п "О реализации на территории Новосибирской области проектов развития территорий муниципальных образований Новосибирской области, основанных на местных инициативах"</t>
  </si>
  <si>
    <t>http://mfnso.nso.ru/page/2632</t>
  </si>
  <si>
    <t>Министерство финансов и налоговой политики Новосибирской области</t>
  </si>
  <si>
    <t>Министерство финансов и налоговой политики Новосибирской области/Администрация муниципальных районов Новосибирской области</t>
  </si>
  <si>
    <t>Администрация городских и сельских поселений Новосибирской области</t>
  </si>
  <si>
    <t>Учитывалось примерное количество граждан, являющихся прямыми благополучателями, которые непосредственно будут пользоваться результатами реализованных практик</t>
  </si>
  <si>
    <t>Источниками статистики являлись данные указанные в заявках поданных на конкурсный отбор администрациями городских и сельских поселений.</t>
  </si>
  <si>
    <t>Государственное казенное учреждение Новосибирской области "Региональный информационный центр"</t>
  </si>
  <si>
    <t>Областной бюджет Новосибирской области</t>
  </si>
  <si>
    <t>Предоставление информации от муниципальных образований о проведении анкетирования с указанием количества человек, принявших участие в процедуре, результатах анкетирования и утверждения этих результатов на сходах/собраниях граждан</t>
  </si>
  <si>
    <t>Процедуры конкурсного отбора проектных идей осуществлялось посредством интернет-голосования, размещенного на онлайн-платформах социальных сетей</t>
  </si>
  <si>
    <t>Процедуры конкурсного отбора проектных идей и количество граждан, принявших в них участие были зафиксированы в протоколе и подтверждены листами регистрации</t>
  </si>
  <si>
    <t>Возможность участия в практике предоставлена не всем муниципальным образованиям</t>
  </si>
  <si>
    <t>Практика предусматривает участие 100% городских и сельских поселений Новосибирской области</t>
  </si>
  <si>
    <t>Нефинансовое участие граждан (трудовой вклад, учитываемый в человеко-часах в стоимостном выражении по среднерыночным ценам)</t>
  </si>
  <si>
    <t>http://mfnso.nso.ru/page/2626</t>
  </si>
  <si>
    <t xml:space="preserve">Выездные обучающие семинары проводятся в каждом районе НСО ежегодно. В обучающих семинарах приняли участие главы, специалисты и представители администраций муниципальных образований, депутаты представительных органов, представители территориальных финансовых органов районов области, старосты, члены инициативных групп и граждане, осуществляющие территориальное общественное самоуправление, а также представители различных общественных организаций. </t>
  </si>
  <si>
    <t>Колосов Сергей Васильевич, начальник отдела развития инициативного бюджетирования</t>
  </si>
  <si>
    <t>8(383)296-55-80</t>
  </si>
  <si>
    <t>Kolosov_sv@mfnso.ru</t>
  </si>
  <si>
    <t>Формирование современной городской среды</t>
  </si>
  <si>
    <t>Подпрограмма "Формирование современной городской среды на территории муниципальных образований Владимирской области в 2018-2024 годах" государственной программы Владимирской области "Благоустройство территорий муниципальных образований Владимирской области", утвержденной постановлением администрации области от 30.08.2017 № 758.</t>
  </si>
  <si>
    <t>Постановление администрации Владимирской области от 30.08.2017 № 758 " Об утверждении государственной программы Владимирской области "Благоустройство территорий муниципальных образований Владимирской области"</t>
  </si>
  <si>
    <t>https://jkx.avo.ru/formirovanie-komfortnoj-gorodskoj-sredy/-/document_library/d2abGCsZZe88/view_file/2635790?_com_liferay_document_library_web_portlet_DLPortlet_INSTANCE_d2abGCsZZe88_redirect=https%3A%2F%2Fjkx.avo.ru%3A443%2Fformirovanie-komfortnoj-gorodskoj-sredy%2F-%2Fdocument_library%2Fd2abGCsZZe88%2Fview%2F472799%3F_com_liferay_document_library_web_portlet_DLPortlet_INSTANCE_d2abGCsZZe88_navigation%3Dhome%26_com_liferay_document_library_web_portlet_DLPortlet_INSTANCE_d2abGCsZZe88_deltaFolder%3D%26_com_liferay_document_library_web_portlet_DLPortlet_INSTANCE_d2abGCsZZe88_orderByCol%3DmodifiedDate%26_com_liferay_document_library_web_portlet_DLPortlet_INSTANCE_d2abGCsZZe88_curFolder%3D%26_com_liferay_document_library_web_portlet_DLPortlet_INSTANCE_d2abGCsZZe88_curEntry%3D2%26_com_liferay_document_library_web_portlet_DLPortlet_INSTANCE_d2abGCsZZe88_orderByType%3Ddesc%26_com_liferay_document_library_web_portlet_DLPortlet_INSTANCE_d2abGCsZZe88_delta2%3D5%26p_r_p_resetCur%3Dfalse%26_com_liferay_document_library_web_portlet_DLPortlet_INSTANCE_d2abGCsZZe88_deltaEntry%3D5</t>
  </si>
  <si>
    <t>Департамент жилищно-коммунального хозяйства администрации области</t>
  </si>
  <si>
    <t>Органы местного самоуправления</t>
  </si>
  <si>
    <t>государственная программа Российской Федерации "Обеспечение доступным и комфортным жильем и коммунальными услугами граждан Российской Федерации"/федеральный проект "Формирование комфортной городской среды" в составе национального проекта "Жилье и городская среда"</t>
  </si>
  <si>
    <t>Численность граждан, проживающих в муниципальных образованиях области, в которых проводилось благоустройство</t>
  </si>
  <si>
    <t>Подсчитано количество граждан, принявших участие в анкетировании в муниципальных образованиях</t>
  </si>
  <si>
    <t xml:space="preserve">Подсчитано количество граждан, принявших участие в общественных обсуждениях </t>
  </si>
  <si>
    <t>Подсчитано количество граждан, оставивших предложения в специальных ящиках для сбора предложений, в муниципальных образованиях,где было проведено рейтинговое голосование</t>
  </si>
  <si>
    <t>Подсчитано количество граждан, оставивших предложения на он-лайн сервисах (сайты, соцсети), в муниципальных образованиях,где было проведено рейтинговое голосование</t>
  </si>
  <si>
    <t>Подсчет голосов, принявших участие в голосовании на сайтах муниципальных образований</t>
  </si>
  <si>
    <t>Подсчет голосов, принявших участие в голосовании во время общественных слушаний и общественных обсуждений</t>
  </si>
  <si>
    <t>В программе принимают участие муниципальные образования, в состав которых включены населенные пункты с численностью свыше 1000 человек.</t>
  </si>
  <si>
    <t>Программой предусмотрено обязательное трудовое участие жителей при благоустройстве дворовых территорий</t>
  </si>
  <si>
    <t>https://jkx.avo.ru/formirovanie-komfortnoj-gorodskoj-sredy</t>
  </si>
  <si>
    <t>https://gorsreda.avo.ru/                                                                                                                             https://vk.com/jkx33</t>
  </si>
  <si>
    <t>Рудь Юлия Владимировна</t>
  </si>
  <si>
    <t>8(4922) 777-972</t>
  </si>
  <si>
    <t>rud-gkh33@mail.ru</t>
  </si>
  <si>
    <t>О порядках предоставления и распределения дотаций на поддержку мер по обеспечению  сбалансированности местных бюджетов бюджетам муниципальных образований в целях стимулирования органов местного самоуправления, способствующих развитию гражданского общества путем введения самообложения граждан и через добровольные пожертвования</t>
  </si>
  <si>
    <t>50/50</t>
  </si>
  <si>
    <t>Государственная программа Владимирской области "Управление государственными финансами и государственным долгом Владимирской области". Подпрограмма "Создание условий для развития инициативного бюджетирования во Владимирской области". Основное мероприятие "Стимулирование муниципальных образований, реализующих инициативы граждан"</t>
  </si>
  <si>
    <t>Постановление Губернатора области от 22.03.2013 №319</t>
  </si>
  <si>
    <t>https://dtf.avo.ru/podderzka-iniciativ-naselenia</t>
  </si>
  <si>
    <t>Департамента финансов, бюджетной и налоговой политики администрации Владимирской области</t>
  </si>
  <si>
    <t>Дотации на поддержку мер по обеспечению сбалансированности местных бюджетов бюджетам муниципальных образований в целях стимулирования органов местного самоуправления, способствующих развитию гражданского общества путем введения самообложения граждан и через добровольные пожертвования (Межбюджетные трансферты)</t>
  </si>
  <si>
    <t>Муниципальные образования Владимирской области</t>
  </si>
  <si>
    <t>Отбор заявок не производится. Удовлетворяются все правильно оформленные заявки. За счет средств областного бюджета стимулируются доходы в размере 100% от собранных средств. Средства предоставляются в форме дотации</t>
  </si>
  <si>
    <t>Количество жителей населенных пунктов, в которых реализованы проекты</t>
  </si>
  <si>
    <t xml:space="preserve">выписка из протокола собрания граждан, проживающих в населенном пункте, входящем в состав поселения, по вопросу принятия решения об использовании средств добровольных пожертвований
</t>
  </si>
  <si>
    <t>Данилова Марина Владимировна, главный специалист-эксперт отдела межбюджетных отношений и анализа консолидированного бюджета</t>
  </si>
  <si>
    <t>8 (4922 )32-50-71</t>
  </si>
  <si>
    <t>bud@vladfin.ru</t>
  </si>
  <si>
    <t>Поддержка проектов местных инициатив граждан, проживающих в сельской местности</t>
  </si>
  <si>
    <t xml:space="preserve">Государственная программа развития агропромышленного комплекса Владимирской области                                                                                                           Подпрограмма "Устойчивое развитие сельских территорий"                                                Основное мероприятие "Комплексное обустройство населенных пунктов, расположенных в сельской местности, объектами социальной, инженерной инфраструктуры и автомобильными дорогами"                                                                      </t>
  </si>
  <si>
    <t>Постановление Губернатора области от 25.09.2012 № 1065 "Об утверждении Государственной программы развития агропромышленного комплекса Владимирской области".</t>
  </si>
  <si>
    <t xml:space="preserve">https://dsx.avo.ru/programmy  </t>
  </si>
  <si>
    <t>Постановление Губернатора области от 25.09.2012 № 1065 "Об утверждении Государственной программы развития агропромышленного комплекса Владимирской области", срок действия: с 01.01.2013 - 31.12.2019</t>
  </si>
  <si>
    <t>https://dsx.avo.ru/programmy</t>
  </si>
  <si>
    <t>Приказ департамента сельского хозяйства и продовольствия администрации Владимирской области от 17.07.2015 № 178 "Об утверждении Порядка проведения отбора общественно значимых некоммерческих проектов местных инициатив граждан, проживающих в сельской местности".</t>
  </si>
  <si>
    <t>https://dsx.avo.ru/documents/33276/217251/Приказ_178.pdf/8b03831e-f902-3bee-1dbe-4991d22451ae?version=1.0&amp;t=1522655961448</t>
  </si>
  <si>
    <t>Департамент  сельского хозяйства и продовольствия администрации Владимирской области</t>
  </si>
  <si>
    <t>Органы местного самоуправления сельских поселений</t>
  </si>
  <si>
    <t>Государственная программа развития сельского хозяйства и регулирования рынков  сельскохозяйственной продукции,  сырья  и  продовольствия,  утвержденная  постановлением  Правительства Российской Федерации от 14 июля 2012 г. № 717 "О государственной программе развития сельского хозяйства и регулирования рынков сельскохозяйственной продукции, сырья и продовольствия"</t>
  </si>
  <si>
    <t>Подсчет благополучателей осуществляется на основании информации, представленной органами местного самоуправления</t>
  </si>
  <si>
    <t>http://vladimirstat.old.gks.ru/wps/wcm/connect/rosstat_ts/vladimirstat/resources/0baef680498070eba465fe3fbd401489/Оценка+численности+населения+Владимирской+области+на+1+января+2019+года+и+в+среднем+за+2018+год.htm</t>
  </si>
  <si>
    <t>протоколы собрания (сходов) граждан</t>
  </si>
  <si>
    <t>протокол заседания комиссии по отбору общественно значимых некоммерческих проектов местных инициатив граждан, проживающих в сельской местности</t>
  </si>
  <si>
    <t>Муниципальные образования сельских поселений</t>
  </si>
  <si>
    <t>Вклад граждан и (или) юридических лиц (индивидуальных предпринимателей) в реализацию проекта в различных формах, в том числе в форме трудового участия, предоставления помещений и технических средств</t>
  </si>
  <si>
    <t>https://avo.ru/web/dsx/ustojcivoe-razvitie-sel-skih-territorij</t>
  </si>
  <si>
    <t xml:space="preserve">Официальный сайт департамента сельского хозяйства и продовольствия администрации области </t>
  </si>
  <si>
    <t>Назарова Марина Александровна - консультант отдела развития сельских территорий и малых форм хозяйствования на селе департамента сельского хозяйства и продовольствия администрации Владимирской области</t>
  </si>
  <si>
    <t>8 (4922) 77-88-56</t>
  </si>
  <si>
    <t>reformirdsh@mail.ru</t>
  </si>
  <si>
    <t xml:space="preserve"> "О реализации проектов по поддержке местных инициатив на территории муниципальных образований Воронежской области в рамках развития инициативного бюджетирования"</t>
  </si>
  <si>
    <t>Проекты по поддержке местных инициатив (ППМИ)</t>
  </si>
  <si>
    <t>Постановление правительства Воронежской области от 29.11.2017 № 932 "О внесении изменений в постановление правительства Воронежской области от 09.12.2013 № 1072 ("Об утверждении государственной программы Воронежской области "Содействие развитию муниципальных образований и местного самоуправления")</t>
  </si>
  <si>
    <t>http://pravo.govvrn.ru/content/постановление-правительства-воронежской-области-от-29112017-№-932</t>
  </si>
  <si>
    <t>1. Постановление правительства Воронежской области от 29.05.2019 № 531 "Об утверждении государственной программы Воронежской области «Содействие развитию муниципальных образований и местного самоуправления» срок действия 2026 год                   
 2.Закон Воронежской области от 20.12.2018 N 168-ОЗ
(ред. от 23.12.2019) "О Стратегии социально-экономического развития Воронежской области на период до 2035 года"                                    
3. Постановление Правительства Воронежской обл. от 29.12.2018 N 1242 (ред. от 24.12.2019) "О плане мероприятий по реализации Стратегии социально-экономического развития Воронежской области на период до 2035 года"</t>
  </si>
  <si>
    <t>Распоряжение правительства Воронежской области от 19.04.2017 № 282-р "О развитии инициативного бюджетирования на территории Воронежской области", 
Постановление Правительства Воронежской области от 31.08.2017 № 678 "О реализации проектов по поддержки местных инициатив на территории муниципальных образований Воронежской области в рамках развития инициативного бюджетирования"</t>
  </si>
  <si>
    <t>https://www.govvrn.ru/documents/34650/1195896/Распоряжение+правительства+Воронежской+области+от+19.04.2017+№+282-р+«О+развитии+инициативного+бюджетирования+на+территории+Воронежской+области».doc/2dbf0463-7acd-3f10-2d53-82f2f7eda972?version=1.0;   http://pravo.govvrn.ru/content/постановление-правительства-воронежской-области-от-31082017-№-678</t>
  </si>
  <si>
    <t>Департамент по развитию муниципальных образований Воронежской области</t>
  </si>
  <si>
    <t>Бюджеты муниципальных образований Вороонежской области</t>
  </si>
  <si>
    <t>Благополучатели определяются сдледующим образом: если проект предполагает заинтересованность и последующеую эксплуатацию  для большого круга жителей(например благоустройство места массового отдыха, благоустройство кладбища, или ремонт и благоустройство мемориального комплекса) то количество благополучателей определяется как 100 %, если проект имеет определенную локализацию (например ремонт дороги по конкретной улице), то благополучателями будут жители домов вдоль ремонтируемой улицы, в то же время улица может иметь транзитное значение для других жителей и тогда определяется дополнительный процент благополучателей в зависимости от значимости проекта. Например ремонтируют водопровод с заменой башни Рожновского по конкретной улице, помимо жителей, домовладения которых расположены вдоль водопроводной сети,  на улице расположена администрация поселения, детский сад,школа. Соответственно благополучателями будут являтся не только жители конкретной улицы, но и все те, кто работает в администрации, школе, детском саду, а также посетители вышеназванных учреждений.
Окончательная иформация о количестве благополучателей содержится в заявке на участие в конкурсном отборе.</t>
  </si>
  <si>
    <t>https://voronezhstat.gks.ru/</t>
  </si>
  <si>
    <t>фото-видео фиксация</t>
  </si>
  <si>
    <t xml:space="preserve">нет </t>
  </si>
  <si>
    <t>протокол подведения итогов конкурсного отбора ППМИ</t>
  </si>
  <si>
    <t>страница департамента по развитию муниципальных образований Воронежской области, ресурс "Инициативное бюджетиррование" на официальном сайте органов государственной власти Воронежской области в сети "Интернет": www.govvrn.ru</t>
  </si>
  <si>
    <t xml:space="preserve"> публикация информациии о сроках проведения и итогах конкурсного отбора в региональных и местных СМИ и на портале органов государственной власти Воронежской области в сети "Интернет": www.govvrn.ru</t>
  </si>
  <si>
    <t>презентационные материалы, сопровождающие выступления специалистов департамента на семинарах для муниципалитетов</t>
  </si>
  <si>
    <t>Кустовые семинары-совещания для глав муниципальных образований, по мере внесения изменений в НПА, регламентирующий участие муниципальных образований в конкурсном отборе проектов по поддержке местных инициатив, 3 -4 специалиста по 30-40 минут, индивидуальные консультации, проводимые специалистами департамента для представителей муниципалитетов и руководителей инициативных групп.</t>
  </si>
  <si>
    <t>min 476 представителей от всех муниципалитетов области</t>
  </si>
  <si>
    <t xml:space="preserve">Анисимова Маргарита Нухимовна, заместитель начальника отдела проектного управления и развития инициативного бюджетирования департамента по развитию муниципальных образований Воронежской области </t>
  </si>
  <si>
    <t>8(473)212-76-53</t>
  </si>
  <si>
    <t>mn_anisimova@govvrn.ru</t>
  </si>
  <si>
    <t>Толстова Юлия Анатольевна - ведущий советник отдела мониторинга областного бюджета и финансирования муниципальных образований департамента финансов Воронежской области</t>
  </si>
  <si>
    <t>8(473) 212-68-23</t>
  </si>
  <si>
    <t>jtolstova@govvrn.ru</t>
  </si>
  <si>
    <t>да, критерии, по которым оцениваются поданные заявки закреплены нормативно. Из числа заявок, допущенных до участия в конкурсном отборе, выстраивается рейтинг в зависимости от количества набранных баллов от наибольшего к наименьшему. Рейтинг согласовывается на заседании конкурсной комиссией, состоящей из представителей: профильных департаментов, общественных организаций. По каждому проекту  перед направлением членам конкурсной комиссии составляется краткая характеристика для ознакомления. Конкурсная комиссия коллегиально согласовывает весь рейтинг, обсуждая  при этом каждый проект</t>
  </si>
  <si>
    <t>«Поощрение проектов, реализуемых в рамках территориального общественного самоуправления в муниципальных образованиях Воронежской области»</t>
  </si>
  <si>
    <t>ТОСы Воронежской области</t>
  </si>
  <si>
    <t>Постановление правительства Воронежской области от 23.07.2015 № 614 «О внесении изменений в постановление правительства Воронежской области от 09.12.2013 № 1072»</t>
  </si>
  <si>
    <t>http://pravo.govvrn.ru/</t>
  </si>
  <si>
    <t>1. Постановление правительства Воронежской области от 29.05.2019 № 531 "Об утверждении государственной программы Воронежской области «Содействие развитию муниципальных образований и местного самоуправления» срок действия 2026 год                    2.Закон Воронежской области от 20.12.2018 N 168-ОЗ
(ред. от 23.12.2019) "О Стратегии социально-экономического развития Воронежской области на период до 2035 года"                                    3.Постановление Правительства Воронежской обл. от 29.12.2018 N 1242 (ред. от 24.12.2019) "О плане мероприятий по реализации Стратегии социально-экономического развития Воронежской области на период до 2035 года"</t>
  </si>
  <si>
    <t>http://pravo.govvrn.ru/;    http://pravo.govvrn.ru/content/закон-воронежской-области-от-20122018-№-168-оз;   http://pravo.govvrn.ru/</t>
  </si>
  <si>
    <t>Постановление правительства Воронежской области от 02.07.2015 № 545 «Об утверждении Порядка предоставления субсидии из областного бюджета некоммерческой организации - Ассоциация «Совет муниципальных образований Воронежской области» на поощрение проектов, реализуемых в рамках территориального общественного самоуправления в муниципальных образованиях Воронежской области, в рамках подпрограммы «Реализация государственной политики в сфере социально-экономического развития муниципальных образований» государственной программы Воронежской области «Содействие развитию муниципальных образований и местного самоуправления»</t>
  </si>
  <si>
    <t xml:space="preserve"> субсидия  из областного бюджета</t>
  </si>
  <si>
    <t>Ассоциация «Совет муниципальных образований Воронежской области»</t>
  </si>
  <si>
    <t>В каждой поданной ТОС заявке содержится информация по количеству участников ТОС и количеству благополучатей (жителей в границах ТОС)</t>
  </si>
  <si>
    <t>некоммерческая организация - Ассоциация «Совет муниципальных образований Воронежской области»</t>
  </si>
  <si>
    <t>бюджет Воронежской области</t>
  </si>
  <si>
    <t xml:space="preserve">Председатели ТОС могут вести протокол обсуждения и выбора направления проекта. Однако данный протокол не требуется при подачи заявки на участие в конкурсе проектов ТОС. </t>
  </si>
  <si>
    <t>В положении о проведении конкурса указаны члены конкурсной комиссии, которые оценивают каждую поданную на конкурс заявку. По количеству баллов выстраивается рейтинг победителей проектов ТОС. Граждане не принимают участие в обсуждении. http://www.tosvrn.ru/files/docs/polozhenie_o_konkurse_grantov_tos_v_2019_g_1.pdf</t>
  </si>
  <si>
    <t>http://www.tosvrn.ru/</t>
  </si>
  <si>
    <t xml:space="preserve">https://vk.com/;    https://www.govvrn.ru/ </t>
  </si>
  <si>
    <t>ТВ, официальный сайт, портал правительства Воронежской области, социальные сети, наружная реклама. http://www.tosvrn.ru/</t>
  </si>
  <si>
    <t>Методичка «Пошаговая инструкция по созданию и работе ТОС» http://www.tosvrn.ru/</t>
  </si>
  <si>
    <t>Встречи, март, апрель, май, июль, август, сентябрь, октябрь, ноябрь, 2 человека</t>
  </si>
  <si>
    <t>Преснякова Людмила Александровна, советник отдела организационно-правовой и информационно-аналитической работы департамента по развитию муниципальных образований Воронежской области</t>
  </si>
  <si>
    <t>8 (473) 212-76-53</t>
  </si>
  <si>
    <t>l_presnaykova@govvrn.ru</t>
  </si>
  <si>
    <t xml:space="preserve">Государственная программа Воронежской области "Развитие сельского хозяйства, производства пищевых продуктов и инфраструктуры агропродовольственного рынка" </t>
  </si>
  <si>
    <t>13.12.2013 № 1088</t>
  </si>
  <si>
    <t xml:space="preserve">http://pravo.govvrn.ru/?q=node/1170 </t>
  </si>
  <si>
    <t>Департамент аграрной политики Воронежской области</t>
  </si>
  <si>
    <t>Бюджеты муниципальных образований</t>
  </si>
  <si>
    <t>1.61%</t>
  </si>
  <si>
    <t>№ 717 от 14.07.2012 г. "О Государственной программе развития сельского хозяйства и регулирования рынков сельскохозяйственной продукции, сырья и продовольствия на 2013-2020 годы"</t>
  </si>
  <si>
    <t>Министерство сельского хозяйства Россйской Федерайй</t>
  </si>
  <si>
    <t>Все жители Айдаровского сельского поселения Рамонского муниципального района Воронежской области</t>
  </si>
  <si>
    <t>Сход граждан</t>
  </si>
  <si>
    <t>голосование поднятием рук</t>
  </si>
  <si>
    <t>Нестеренко Инна Викторовна - ведущий консультант отдела развития сельских территорий департамента аграрной политики Воронежской области</t>
  </si>
  <si>
    <t>8(473) 212-74-29</t>
  </si>
  <si>
    <t>ivnesterenko@govvrn.ru</t>
  </si>
  <si>
    <t xml:space="preserve">Программа по поддержке местных инициатив  </t>
  </si>
  <si>
    <t xml:space="preserve">Инициативное бюджетирование  Программа по поддержке местных инициатив  </t>
  </si>
  <si>
    <t>Государственная программа Мурманской области «Государственное управление и гражданское общество»  (2019 год)</t>
  </si>
  <si>
    <t>постановление Правительства Мурманской области № 555-ПП от 30.09.2013</t>
  </si>
  <si>
    <t xml:space="preserve">https://apparat.gov-murman.ru/documents/programs/?PAGEN_1=8  </t>
  </si>
  <si>
    <t xml:space="preserve"> Министерство по внутренней политике и массовым коммуникациям Мурманской области (2019 год)                                                     * С 2020 года ответственным органом является Министерство градостроительства и благоустройства Мурманской области</t>
  </si>
  <si>
    <t>Министерство по внутренней политике и массовым коммуникациям Мурманской области (2019 год)</t>
  </si>
  <si>
    <t>местные бюджеты муниципальных образований</t>
  </si>
  <si>
    <t>в каждом отдельном случае применялась разная методика расчета</t>
  </si>
  <si>
    <t>https://murmanskstat.gks.ru/folder/72764</t>
  </si>
  <si>
    <t>2 сотрудника Министерства по внутренней политике и массовым коммуникациям Мурманской области</t>
  </si>
  <si>
    <t>В муниципальных образованиях на местном уровне  проводился интернет-опрос населения с  целью выбора проектов для участия в конкурсном отборе</t>
  </si>
  <si>
    <t>нет данных</t>
  </si>
  <si>
    <t>протокол заседания конкурсной комиссии, граждане и представители ОМСУ не участвуют</t>
  </si>
  <si>
    <t xml:space="preserve">Оценка проектов проводилась на основе Критериев
отбора муниципальных образований для предоставления субсидии из областного бюджета бюджетам муниципальных образований на поддержку местных инициатив
</t>
  </si>
  <si>
    <t>В некоторых проектах, поданных муниципальными образованиями в 2019 году, были заявлены работы граждан на общественных началах (субботники, озеленение территорий)</t>
  </si>
  <si>
    <t>https://mingrad.gov-murman.ru/activities/init_bydjet/</t>
  </si>
  <si>
    <t xml:space="preserve">https://vk.com/club140143144 </t>
  </si>
  <si>
    <t xml:space="preserve">В каждом муниципальном образовании информация о проекте ППМИ и его дальнейшей реализации размещалась на официальных сайтах, на страницах органов местного самоуправления в социальных сетях и в муниципальных СМИ. Кроме того, с органами местного самоуправления проводилась организационно-методическая работа по популяризации и реализации ППМИ. Особое внимание к реализации проектов ППМИ привлекалось со стороны региональных СМИ, в том числе путём освещения на региональных каналах  посещаемых в ходе рабочих поездок  Губернатором Мурманской области  в муниципальные образования площадок реализуемых проектов по ППМИ </t>
  </si>
  <si>
    <t xml:space="preserve">Проведение семинаров (разъяснительной работы)  в муниципальных образованиях Мурманской области по вопросам, связанным с  реализацией проектов. 
Указанные мероприятия проводились на постоянной основе, продолжительность семинаров составляла от 1 до 2 часов, количество участников от 20 до 30 человек в каждом муниципальном образовании.  
</t>
  </si>
  <si>
    <t>Туликбаева Дина Сергеевна, ведущий специалист сектора по работе с административным центром и общественными организациями Министерства внутренней политики Мурманской области</t>
  </si>
  <si>
    <t>8(8152)486-379</t>
  </si>
  <si>
    <t xml:space="preserve">tulikbaeva@gov-murnan.ru </t>
  </si>
  <si>
    <t>Ильичева Наталья Валерьевна, заместитель начальника управления межбюджетных отношений Министерства финансов Мурманской области</t>
  </si>
  <si>
    <t>8 (8152)486-010</t>
  </si>
  <si>
    <t xml:space="preserve"> ilicheva@gov-murman.ru</t>
  </si>
  <si>
    <r>
      <t>Постановление Правительства Новосибирской области от 26.12.2018 №567-п</t>
    </r>
    <r>
      <rPr>
        <sz val="10"/>
        <color rgb="FFFF0000"/>
        <rFont val="Times New Roman"/>
        <family val="1"/>
        <charset val="204"/>
      </rPr>
      <t xml:space="preserve"> </t>
    </r>
    <r>
      <rPr>
        <sz val="10"/>
        <color rgb="FF000000"/>
        <rFont val="Times New Roman"/>
        <family val="1"/>
        <charset val="204"/>
      </rPr>
      <t xml:space="preserve"> "О государственной программе Новосибирской области "Управление финансами в Новосибирской области"</t>
    </r>
  </si>
  <si>
    <t>Инициативное бюджетирование на территории Чукотского автономного округа</t>
  </si>
  <si>
    <t xml:space="preserve">Государственная программа "Управление региональными финансами и имуществом Чукотского автономного округа", 
подпрограмма "Организация межбюджетных отношений и повышение уровня бюджетной обеспеченности местных бюджетов";
основное мероприятие: "Развитие инициативного бюджетирования на территории Чукотского автономного округа".
</t>
  </si>
  <si>
    <t xml:space="preserve">Постановление Правительства Чукотского автономного округа от 15 марта 2019 г. № 131 
"О внесении изменений в Постановление Правительства Чукотского автономного округа от 28 марта 2014 года N 142"
</t>
  </si>
  <si>
    <t>http://чукотка.рф/documents/gosudarstvennye-programmy-chukotskogo-ao/</t>
  </si>
  <si>
    <t>отсутствует</t>
  </si>
  <si>
    <t xml:space="preserve">Постановление Правительства Чукотского автономного округа
от 28 марта 2014 г. № 142"Об утверждении Государственной программы "Управление региональными финансами и имуществом Чукотского автономного округа", основное мероприятие: "Развитие инициативного бюджетирования на территории Чукотского автономного округа"  2019-2022 год
</t>
  </si>
  <si>
    <t>Постановление Правительства Чукотского автономного округа 
от 26 октября 2018 г. № 337 
«О реализации проектов инициативного бюджетирования на территории Чукотского автономного округа»</t>
  </si>
  <si>
    <t>http://чукотка.рф/ekonomika/initsiativnoe-byudzhetirovanie/</t>
  </si>
  <si>
    <t>Департамент финансов, экономики и имущественных отношений Чукотского автономного округа</t>
  </si>
  <si>
    <t>Субсидии на софинансирование проектов инициативного бюджетирования в муниципальных образованиях</t>
  </si>
  <si>
    <t>Муниципальные районы и городские округа Чукотского автономного округа</t>
  </si>
  <si>
    <t>Все проекты, финансирование которых осуществлялось в 2019 году, имеют социальную направленность, поэтому благополучателями являются все жители населенных пунктов, на территории которых эти проекты были реализованы</t>
  </si>
  <si>
    <t>https://habstat.gks.ru/folder/27977</t>
  </si>
  <si>
    <t>голосование на сайте Провиденского городского округа
 http://provadm.ru/society/polls/</t>
  </si>
  <si>
    <t>Протокол собрания граждан</t>
  </si>
  <si>
    <t>http://provadm.ru/society/polls/</t>
  </si>
  <si>
    <t>Протокол заседания муниципальной конкурсной комиссии</t>
  </si>
  <si>
    <t xml:space="preserve">Порядок проведения конкурсного отбора проектов инициативного бюджетирования на территории Чукотского автономного округа, утвержденный Постановлением Правительства Чукотского автономного округа 
от 26 октября 2018 г. № 337 
</t>
  </si>
  <si>
    <t>Новости на официальном сайте Чукотского автономного округа
чукотка.рф, по радио "Пурга", в газете "Крайний Север"
http://чукотка.рф/press-tsentr/novosti-chao/</t>
  </si>
  <si>
    <t>Обучающие мероприятия по инициативному бюджетированию не проводились</t>
  </si>
  <si>
    <t>Омельчук Арина Валентиновна, главный консультант бюджетного отдела Департамента финансов, экономики имущественных отношений Чукотского автономного округа</t>
  </si>
  <si>
    <t>8 (42722) 6-93-07</t>
  </si>
  <si>
    <t>A.Omelchuk@depfin.chukotka-gov.ru</t>
  </si>
  <si>
    <t>Субсидии бюджетам муниципальных образований Томской области для софинансирования расходных обязательств по решению вопрсов местного значения, возникающих в связи с реализацией проектов, предложенных непосредственно населением муниципальных образований Томской области, отобранных на конкурсной основе</t>
  </si>
  <si>
    <t>Инициативное бюджетирование в Томской области</t>
  </si>
  <si>
    <t xml:space="preserve">Государственная программа: Эффективное управление региональными финансами, государственными закупками и совершенствование межбюджетных отношений в Томской области; 
Подпрограмма: Повышение финансовой грамотности и развитие инициативного бюджетирования на территории Томской области; 
Основное мероприятие: Содействие в реализации в муниципальных образованиях Томской области инфраструктурных проектов, предложенных населением Томской области  </t>
  </si>
  <si>
    <t xml:space="preserve">Постановление Администрации Томской области от 23.03.2018 N 115а
"О внесении изменения в постановление Администрации Томской области от 26.11.2014 N 433а"
</t>
  </si>
  <si>
    <t>https://tomsk.gov.ru/documents/front/view/id/50135
 https://tomsk.gov.ru/Reestr-dokumentov-strategicheskogo-planirovaniya-Tomskoy-oblasti</t>
  </si>
  <si>
    <t>https://depfin.tomsk.gov.ru/pravovoe-regulirovanie</t>
  </si>
  <si>
    <t>Департамент финансов Томской области</t>
  </si>
  <si>
    <t>Бюджеты муниципальных образований Томской области</t>
  </si>
  <si>
    <t>подсчет, исходя из типологии проекта и численности населения (отдельных категорий населения) населенного пункта, на территории которого реализуется проект</t>
  </si>
  <si>
    <t>https://tmsk.gks.ru/storage/mediabank/%D0%A7%D0%B8%D1%81%D0%BB%D0%B5%D0%BD%D0%BD%D0%BE%D1%81%D1%82%D1%8C%20%D0%BD%D0%B0%D1%81%D0%B5%D0%BB%D0%B5%D0%BD%D0%B8%D1%8F(12).pdf</t>
  </si>
  <si>
    <t>анкеты (опросные листы), подписные листы подомовых обходов, фото с укуазанием даты съемки во время подомового обхода</t>
  </si>
  <si>
    <t xml:space="preserve">протоколы собраний граждан (предварительных и итоговых собраний по выбору проекта для подачи заявки), фото с указанием даты съемки с собраний граждан </t>
  </si>
  <si>
    <t>протокол заседания комиссии из состава представителей власти (граждане не принимают участие в заседаниях комиссии)</t>
  </si>
  <si>
    <t>граждане не принимают участие в автоматической оценке проектов, заявки оцениваются по утвержденной методике сотрудниками комитета методологии и бюджетной политики Департамента финансов Томской области, ссылка на методику оценки проектов: https://depfin.tomsk.gov.ru/konkursnyj-otbor (раздел «Деятельность», подраздел «Инициативное бюджетирование», вкладка «Конкурсныйо отбор»)</t>
  </si>
  <si>
    <t>участие предусмотрено для всех МО, в состав которых входят населенные пункты численностью до 35 тыс.человек (могут участвовать все сельские и городские поселения, муниципальные районы и три из четырех городских округов)</t>
  </si>
  <si>
    <t>в конкурсном отборе не может участвовать городской округ Стрежевой, поскольку в его составе нет населенных пунктов численностью населения до 35 тыс.человек</t>
  </si>
  <si>
    <t>не предусмотрено</t>
  </si>
  <si>
    <t xml:space="preserve">1) в форме неоплачиваемых работ;
2) в форме предоставления материалов и оборудования;
3) в форме предоставления транспортных стедств или иной техники </t>
  </si>
  <si>
    <t>https://depfin.tomsk.gov.ru/initsiativnoe-bjudzhetirovanie</t>
  </si>
  <si>
    <t>http://vlfin.ru/nashi-stati/lichnye-finansy/zdes-moya-kopeechka-vot-nasha-skameechka-initsiativnoe-byudzhetirovanie-prineslo-oshchutimye-plody/?sphrase_id=7835;
http://vlfin.ru/galereya/videogalereya/chast-2-initsiativnoe-byudzhetirovanie-v-tomskoy-oblasti-kakie-proekty-realizovany-v-2019/?sphrase_id=7835;
https://www.youtube.com/watch?v=YEnLKAHgH8o</t>
  </si>
  <si>
    <t>https://depfin.tomsk.gov.ru/uploads/ckfinder/285/userfiles/images/%D0%BA%D1%80%D1%83%D0%B3%D0%B8.jpg</t>
  </si>
  <si>
    <t>ТВ (http://vlfin.ru/galereya/videogalereya/chast-2-initsiativnoe-byudzhetirovanie-v-tomskoy-oblasti-kakie-proekty-realizovany-v-2019/?sphrase_id=7835);
радио;
официальный сайт Департамента финансов Томской области;
официальный сайт Администрации Томской области;
сайт журнала "Ваши личные финансы" (http://vlfin.ru/nashi-stati/lichnye-finansy/zdes-moya-kopeechka-vot-nasha-skameechka-initsiativnoe-byudzhetirovanie-prineslo-oshchutimye-plody/?sphrase_id=7835)</t>
  </si>
  <si>
    <t xml:space="preserve">Использовались презентационные материалы (https://depfin.tomsk.gov.ru/realizatsija-proektov);
опубликованы Методические рекомендации по формированию конкурсной заявки на участие в конкурсном отборе проектов, предложенных непосредственно населением муниципальных образований Томской области (https://depfin.tomsk.gov.ru/konkursnyj-otbor)
</t>
  </si>
  <si>
    <t xml:space="preserve">26 ноября 2019 года в Совете муниципальных образований Томской области состоялся семинар на тему «Реализация проекта «Инициативное бюджетирование в Томской области», соорганизатором которого выступил Департамент финансов Томской области.
В семинаре приняли участие 31 человек, в том числе главы сельских поселений, заместители глав районов, специалисты органов местного самоуправления поселений и районов области, внедряющие практику инициативного бюджетирования на местах. 
Формат данного семинара не предусматривал наличие программы мероприятия.                                                                   </t>
  </si>
  <si>
    <t>(3822)712-427</t>
  </si>
  <si>
    <t>kyk@findep.org</t>
  </si>
  <si>
    <t>предоставления субсидий местным бюджетам из областного бюджета на развитие институтов территориального общественного самоуправления и поддержку проектов местных инициатив</t>
  </si>
  <si>
    <t>х</t>
  </si>
  <si>
    <t xml:space="preserve">Государственная программа Псковской области от 28.03.2019 № 114  «Создание условий для эффективного и ответственного управления региональными и муниципальными финансами, повышения устойчивости бюджетной системы Псковской области», подпрограмма "Эффективная система межбюджетных отношений в Псковской области", Основное мероприятие. Развитие институтов территориального общественного самоуправления и поддержка проектов местных инициатив граждан
</t>
  </si>
  <si>
    <t>Постановление Администрации Псковской области от 28.03.2019 № 114 «О внесении изменений в постановление администрации области от 28 октября 2013 г. № 495 «Об утверждении государственной программы Псковской области «Создание условий для эффективного и ответственного управления региональными и муниципальными финансами, повышения устойчивости бюджетной системы псковской области на 2014 - 2020 годы»</t>
  </si>
  <si>
    <t>Администрация Псковской области (Управление по местному самоуправлению и территориальному развитию Администрации Псковской области)</t>
  </si>
  <si>
    <t>Администрация Псковской области</t>
  </si>
  <si>
    <t>Бюджет муниципального образования</t>
  </si>
  <si>
    <t>Количество благополучателей расчитано из расчета кличества жителей территориий, на которых осуществляется ТОС</t>
  </si>
  <si>
    <t>Оценка численности постоянного населения
по муниципальным образованиям Псковской области
на 1 января 2019 года согласно информации территориального органа Федеральной службы государственной статистики по Псковской области</t>
  </si>
  <si>
    <t>Внесение заявки представителем ТОС - лицом, уполномоченным собранием граждан по вопросам организации и осуществления ТОС на представление интересов граждан на конкурсе проектов</t>
  </si>
  <si>
    <t xml:space="preserve">Конкурсная комиссия из представителей органов государственной власти Псковской области, Общественной палаты Псковской области, Ассоциации "Совет муниципальных образований Псковской области", иных некоммерческих организаций
</t>
  </si>
  <si>
    <t>Муниципальные образования, в которых создано территориальное общественное самоуправление</t>
  </si>
  <si>
    <t>трудовое, участие, предоставление помещений, технический вклад</t>
  </si>
  <si>
    <t>http://www.pskov.ru/vlast/ispolnitelnaya/administratsiya-oblasti/apparat/upravlenie-po-mestnomu-samoupr/territorialnoe-obshchestvennoe</t>
  </si>
  <si>
    <t>Информирование населения посредством средств массовой информации (интернет ресурсы, печатные издания, радио) http://www.pskov.ru/novosti/13.03.19/106457
https://pskov.bezformata.com/listnews/regionalnij-konkurs-proektov-tos/73457457/
http://businesspskov.ru/rpolza/pinfo/165442.html
https://yandex.ua/news/story/V_Pskovskoj_oblasti_startuet_regionalnyj_konkurs_proektov_TOS--3fa35191345b425c08a68057c2cdc494
ttps://www.gtrkpskov.ru/radio/radio-programs/startovaya-ploshchadka/516014-startovaya-ploshchadka-tosy-efir-17-05-19.html
https://pln-pskov.ru/society/344512.html
https://pln-pskov.ru/society/340936.html
https://pln-pskov.ru/society/340766.html</t>
  </si>
  <si>
    <t>брошюра (скан прилагается)</t>
  </si>
  <si>
    <t>Обучающие семинары с представителями ТОС</t>
  </si>
  <si>
    <t>Бернацкий Владислав Любомирович</t>
  </si>
  <si>
    <t>8 8112 29 99 27</t>
  </si>
  <si>
    <t>vl.bernatskiy@obladmin.pskov.ru</t>
  </si>
  <si>
    <t>Софинансирование проектов инициативного бюджетирования</t>
  </si>
  <si>
    <t>Инициативное бюджетирование, проекты инициативного бюджетирования</t>
  </si>
  <si>
    <t xml:space="preserve">Государственная программа "Региональная политика и развитие территорий", подпрограмма 2 "Поддержка проектов местных инициатив" </t>
  </si>
  <si>
    <t>Постановление Правительства Пермского края от 01.10.2013 N 1305-п "Об утверждении государственной программы Пермского края "Региональная политика и развитие территорий" (ред. От 26 сентября 2016 г. № 823-п)</t>
  </si>
  <si>
    <t xml:space="preserve">http://minter.permkrai.ru/documents/legal-acts; </t>
  </si>
  <si>
    <t xml:space="preserve"> Государственная программа Пермского края "Региональная политика и развитие территорий" утверждена постановлением Правительства Пермского края от 01.10.2013 N 1305-п
Срок действия - 2015- 2022 год</t>
  </si>
  <si>
    <t xml:space="preserve"> Закон Пермского края от 2 июня 2016 г. N 654-ПК "О реализации проектов инициативного бюджетирования в Пермском крае"
Постановление Правительства Пермского края от 10 января 2017 г. № 6-п "Об утверждении Порядка предоставления субсидий из бюджета Пермского края бюджетам муниципальных образований Пермского края на софинансирование проектов инициативного бюджетирования в Пермском крае"</t>
  </si>
  <si>
    <t>http://minter.permkrai.ru/documents/legal-acts; http://docs.cntd.ru/document/444971152</t>
  </si>
  <si>
    <t>Министерство территориального развития Пермского края</t>
  </si>
  <si>
    <t>Проводится при определении направленности проекта инициативного бюджетирования на этапе проведения собраний инициативных граждан. Количество участников собраний отражается в протоколах собраний, которые предоставляются на конкурс на муниципальном уровне. Для участия в конкурсе на краевом уровне данные документы не требуются.</t>
  </si>
  <si>
    <t>Подсчет на краевом уровне не ведется.</t>
  </si>
  <si>
    <t>Проводится при определении направленности проекта ИБ на этапе проведения собраний инициативных граждан. Количество участников собраний отражается в протоколах собраний, которые предоставляются на конкурс на муниципальном уровне. Для участия в конкурсе на краевом уровне данные документы не требуются.</t>
  </si>
  <si>
    <t>Процедура сбора проектных предложений от граждан осуществляется на муниципальном уровне, в т.ч. проводится собрание граждан, анкетирование, обсуждение (выбор) проектов инициативного бюджетирования в социальных сетях, в печатных СМИ, на официальных сайтах  муниципальных образований. Использование указанных информационных каналов по продвижению проетов инициативного бюджетирования включено в критерий оценки проектов инициативного бюджетирования на конкурсе как на муниципальном уровне, так и на краевом уровне.</t>
  </si>
  <si>
    <t>В 2019 году все проекты были представлены на портале "Управляем вместе" (https://vmeste.permkrai.ru/program/category/6/), на котором также отражены итоги оценки проектов как на муниципальном уровне, так и на краевом уровне.</t>
  </si>
  <si>
    <t>http://minter.permkrai.ru/activities/initsiativnoe-byudzhetirovanie/initsiativnoe-byudzhetirovanie/</t>
  </si>
  <si>
    <t>https://vmeste.permkrai.ru/program/category/6/; https://www.instagram.com/minter.permkrai/; https://vk.com/minter.permkrai</t>
  </si>
  <si>
    <t xml:space="preserve">Реализация проектов инициативного бюджетирования широко освещается как на федеральных, так и на местных телевизионных каналах, например:
http://t7-inform.ru/s/videonews/20190910212317   
https://www.youtube.com/watch?v=7m07Y70-wKU  
https://vesti-perm.ru/archive/59a6964cbc084920a4eb4b2b152f9ad3 ,  
а также на интернет - ресурсах 
https://www.instagram.com/minter.permkrai/ ; https://vk.com/minter.permkrai;http://minter.permkrai.ru/about/news/filter/2019/9/ 
</t>
  </si>
  <si>
    <t>Брошюра "Инициативное бюджетирование. Лучшие практики: Пермский край" в количестве 1000 экз.;  
Методическое пособие для участников консультационных семинаров по вопросам инициативного бюджетирования в количестве 1331 экз.</t>
  </si>
  <si>
    <t>Консультационные семинары по вопросам инициативного бюджетирования, которые проводились на территории муниципальных образований Пермского края. 
Участники данных семинаров - жители Пермского края.</t>
  </si>
  <si>
    <t xml:space="preserve">Копытова Ольга Николаевна,заместитель начальника управления,
начальник отдела поддержки общественного самоуправления
управления развития и поддержки местного самоуправления
Министерства территориального развития Пермского края 
</t>
  </si>
  <si>
    <t>8(342) 235 14 08</t>
  </si>
  <si>
    <t>onkopytova@minter.permkrai.ru</t>
  </si>
  <si>
    <t xml:space="preserve">Бормотова Ирина Витальевна, заместитель начальника отдела межбюджетных отношений  управления бюджетной политики Министерства финансов Пермского края </t>
  </si>
  <si>
    <t>8 (34) 217 78 03</t>
  </si>
  <si>
    <t>ivbormotova@mfin.permkrai.ru</t>
  </si>
  <si>
    <t>Реализация на территоррии Оренбургской области проектов развития общественной инфраструктуры, основанных на местных инициативах</t>
  </si>
  <si>
    <t>Инициативное бюджетирование Оренбургской области</t>
  </si>
  <si>
    <t>Постановление Правительства Оренбургской области от 14.11.2016 № 851-пп «О реализации на территории Оренбургской области проектов развития сельских поселений муниципальных районов Оренбургской области, основанных на местных инициативах»</t>
  </si>
  <si>
    <t>http://budget.orb.ru/images/gritsenko/post.docx</t>
  </si>
  <si>
    <t>Паспорт приоритетного проекта «Вовлечение жителей муниципальных образований Оренбургской области в процесс выбора и реализации проектов развития общественной инфраструктуры, основанных на местных инициативах» от 21.12.2017. Срок действия программы 01.01.2018–01.03.2025.</t>
  </si>
  <si>
    <t>http://project.orb.ru/wp-content/uploads/2020/03/Вовлечение-жителей-МО-Оренбургской-области-в-процесс-выбора-и-реализации-проектов-развития-общественной-инфраструктуры.pdf</t>
  </si>
  <si>
    <t>Приказ министерства финансов Оренбургской области от 30.08.2017 № 129 "Об отдельных вопросах организации и проведения конкурсного отбора проектов развития общественной инфраструктуры, основанных на местных инициативах"</t>
  </si>
  <si>
    <t>http://budget.orb.ru/images/gritsenko/prikaz.docx</t>
  </si>
  <si>
    <t>Министерство финансов Оренбургской области</t>
  </si>
  <si>
    <t>Министерство физической культуры и спорта Оренбургской области; 
Министерство строительства, жилищно-коммунального, дорожного хозяйства и транспорта Оренбургской области;
Министерство культуры Оренбургской области</t>
  </si>
  <si>
    <t>Субсидии бюджетам муниципальных образований Оренбургской области на реализацию проектов развития общественной инфраструктуры, основанных на местных инициативах</t>
  </si>
  <si>
    <t>Сельские поселения муниципальных районов и городские округа, в состав которых входят сельские населенные пункты</t>
  </si>
  <si>
    <t>По данным поданных конкурсных заявок: жители населенных пунктов, непосредственно пользующиеся объектами общественной инфраструктуры</t>
  </si>
  <si>
    <t>https://orenstat.gks.ru/folder/26298</t>
  </si>
  <si>
    <t>Ведомственный проектный офис министерства финансов Оренбургской области.
Проект "Вовлечение жителей муниципальных образований Оренбургской области в процесс выбора и реализации проектов развития общественной инфраструктуры, основанных на местных инициативах» признан Советом при Губернаторе Оренбургской области приоритетным.</t>
  </si>
  <si>
    <t>Текущая смета расходов министерства финансов Оренбургской области</t>
  </si>
  <si>
    <t>Протоколы собраний граждан по определению проекта</t>
  </si>
  <si>
    <t>Протоколы собраний граждан по определению параметров проекта</t>
  </si>
  <si>
    <t>Проводится заседание комиссии по рассмотрению и утверждению результатов конкурсного отбора проектов развития общественной инфраструктуры, основанных на местных инициативах. По проектам, реализованным в 2019 году было проведено 2 комиссии: 09.10.2018 - победителями конкурсного отбора на 2019 год были признаны 69 проектов; 25.01.2019 - победителями конкурсного отбора на 2019 год были признаны дополнительно 41 проект  (http://budget.orb.ru/new/init-budg; https://yadi.sk/d/JLr6ZxL-qZXnuQ)</t>
  </si>
  <si>
    <t>Ранжирование проектов участников по количеству набранных баллов проводится автоматизированной системой сбора и обработки заявок (http://otbor.orb.ru/)</t>
  </si>
  <si>
    <t>Право на участие в конкурсном отборе имеют сельские поселения и городские округа, в состав которых входят сельские поселения. Таким образом осуществлен стопроцентный охват сельского населения региона.</t>
  </si>
  <si>
    <t>Имеется автоматизированная система сбора и обработки заявок http://otbor.orb.ru/</t>
  </si>
  <si>
    <t>Неденежный вклад, включающий безвозмездный труд, строительные материалы или оборудование и прочее</t>
  </si>
  <si>
    <t>http://budget.orb.ru/new/init-budg</t>
  </si>
  <si>
    <t>Для распространения информации об инициативном бюджетировании используются аккаунты министерства финансов области в социальных сетях (https://www.facebook.com/orenminfin/; https://www.instagram.com/minfin56/ )</t>
  </si>
  <si>
    <t>http://budget.orb.ru/new/init-budg 
https://yadi.sk/d/DfafUC5IEyTGOw</t>
  </si>
  <si>
    <t>1. Телевизионная программа "События недели" ВГТРК Оренбург, репортаж Юрия Мишенина "Инициативный бюджет набирает популярность в Оренбургский области" (https://www.youtube.com/watch?v=D7rouKN9Kl0);
2. Радио передача "На связи" ЭХО Москвы Оренбург, диалог с Антониной Величко и Сергеем Шматковым, эфир от 21.07.2019 (https://www.youtube.com/watch?v=2PGnbgc0W7I);
3. Размещение информации на официальном сайте министерства финансов Оренбургской области (minfin.orb.ru);
4. Размещение информации на портале "Бюджет для граждан" (http://budget.orb.ru/new/init-budg);
5. Размещение информации на портале Правительства Оренбургской области (http://www.orenburg-gov.ru/);
6. Размещение информации муниципальными образованиями в местных печатных изданиях и на официальных сайтах администраций муниципальных образований Оренбургской области;
7. Проведение областных и зональных семинаров с представителями администраций, финансовых органов и населением.</t>
  </si>
  <si>
    <t>В 2019 годув в министерстве финансов Оренбургской области проведены 3 очных  обучающих семинара (24, 27 и 29 мая 2019 года) на тему «Реализация на территории Оренбургской области проектов развития общественной инфраструктуры, основанных на местных инициативах». Участниками семинара стали более 500 человек: главы сельских поселений, сотрудники финансовых органов муниципальных образований области, представители органов исполнительной власти, члены Общественного совета при министерстве финансов Оренбургской области и другие заинтересованные лица. (http://minfin.orb.ru/в-министерстве-финансов-прошли-семин/);
Проведение обучения по инициативному бюджетированию в рамках  3-х зональных семинаров с охватом всех муниципальных образований области, а также в ряде выездных мероприятий с целью оказания методологической и консультационной помощи для специалистов финансовых органов, глав сельских поселений, главных распорядителей и учреждений в соответствии с утвержденным планом поездок (города Бугуруслан и Орск, Ясненский городской округ, Бугурусланский, Ташлинский, Абдулинский, Северный и Курманаевский районы) (http://minfin.orb.ru/министерством-финансов-оренбургско-2/ ; http://minfin.orb.ru/семинар-совещание-для-представителе/);
Проведение обучения по инициативному бюджетированию в рамках расширенной коллегии с главами и руководителями финансовых органов муниципальныз образований (http://minfin.orb.ru/расширенная-коллегия-министерства-ф/);
Посещение членами общественного совета муниципальных образований с целью оказания консультационной помощи населению (http://minfin.orb.ru/общественный-совет/).</t>
  </si>
  <si>
    <t>Шермецинский Талгат Сергеевич, ведущий специалист отдела анализа финансового менеджмента министерства финансов Оренбургской области</t>
  </si>
  <si>
    <t>(3532) 78-64-16</t>
  </si>
  <si>
    <t>tssh@mail.orb.ru</t>
  </si>
  <si>
    <t xml:space="preserve">Содействие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 государственная поддержка проектов местных инициатив граждан </t>
  </si>
  <si>
    <t>Тысяча добрых дел</t>
  </si>
  <si>
    <t xml:space="preserve">Государственная программа "Устойчивое общественное развитие в Ленинградской области", подпрограмма "Создание условий для эффективного выполнения органами местного самоуправления своих полномочий и содействие развитию участия населения в осуществлении местного самоуправления", основное мероприятие "Государственная поддержка проектов местных инициатив граждан" </t>
  </si>
  <si>
    <t>Постановление Правительства Ленинградской области от 25 декабря 2015 года № 506 "О внесении изменений в постановление Правительства Ленинградской области от 14 ноября 2013 года № 399 "Об утверждении государственной программы Ленинградской области "Устойчивое общественное развитие в Ленинградской области"</t>
  </si>
  <si>
    <t>http://lenobl.ru/dokumenty/opublikovanie-pravovyh-aktov/oficialno-opublikovanie-npa-s-10-iyunya-2013-goda/oficialnoe-opublikovanie-pravovyh-aktov-leningradskoj-oblasti-s-10-iyu/</t>
  </si>
  <si>
    <t>Областной закон от 15 января 2018 года "О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 (в ред. областных законов Ленинградской области от от 18.06.2018 № 48-оз, от 18.03.2019 № 10-оз, от 22.04.2019 № 25-оз, от 27.12.2019 № 114-оз); постановление Правительства Ленинградской области от 15 марта 2018 года № 82 "Об утверждении Порядка предоставления и расходования субсидий из областного бюджета Ленинградской области бюджетам муниципальных образований Ленинградской области на реализацию областного закона от 15 января 2018 года "О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 и признании утратившими силу постановления Правительства Ленинградской области от 16 ноября 2015 года № 438 и пункта 2 постановления Правительства Ленинградской области от 13 марта 2017 года № 53" (в ред. Постановления Правительства Ленинградской области от 22.10.2018 № 402)</t>
  </si>
  <si>
    <t>http://msu.lenobl.ru/programmy-i-plany/docs/</t>
  </si>
  <si>
    <t>Комитет по местному самоуправлению, межнациональным и межконфессиональным отношениям Ленинградской области</t>
  </si>
  <si>
    <t>Муниципальные образования Ленинградской области (городские и сельские поселения, городской округ)</t>
  </si>
  <si>
    <t>Количество благополучателей указывается в паспортах проектов администрациями муниципальных образований, исходя из числа жителей административных центров и городских поселков муниципальных образований, численности туристов, транзитных пассажиров, т.п., которые будут пользоваться результатами реализации проектов (распоряжение комитета по местному самоуправлению, межнациональным и межконфессиональным отношениям Ленинградской области от 31 октября 2018 года № 67)</t>
  </si>
  <si>
    <t>http://msu.lenobl.ru/programmy-i-plany/iniciativnye-komissii-v-administrativnyh-centrah/2019-god/</t>
  </si>
  <si>
    <t>https://petrostat.gks.ru/folder/29437</t>
  </si>
  <si>
    <t>Функции администрирования реализации практики ИБ выполняют 4 сотрудника отдела государственной поддержки развития местного самоуправления департамента развития местного самоуправления комитета по местному самоуправлению, межнациональным и межконфессиональным отношениям Ленинградской области</t>
  </si>
  <si>
    <t>фото или видеофиксация собраний (конференций) граждан, заседаний инициативный комиссий с участием населения</t>
  </si>
  <si>
    <t>да (на этапе отбора проектов для представления в муниципалитет для включения в муниципальную программу)</t>
  </si>
  <si>
    <t>фото и видеофиксация, протоколы собраний</t>
  </si>
  <si>
    <t>да (на муниципальном уровне на этапе отбора проектов для включения в муниципальную программу проводятся заседания рабочих групп, на региональном уровне комиссия при комитете по местному самоуправлению, межнациональным и межконфессиональным отношениям Ленинградской области проводит окончательный отбор муниципальных образований для предоставления субсидий)</t>
  </si>
  <si>
    <t>протоколы заседаний</t>
  </si>
  <si>
    <t>трудовое участие граждан, материально-техническое участие граждан, индивидуальных предпринимателей и юридических лиц</t>
  </si>
  <si>
    <t>В социальных сетях Контакт группа Совет старост Ленинградской области https://vk.com/starosta47, Инстаграм группа Старосты Ленобласти (@starosta47) https://www.instagram.com/starosta47/, в которых участвуют и представители инициативных комиссий</t>
  </si>
  <si>
    <t>В 2019 году издано 2 номера альманаха о местном самоуправлении в Ленинградской области "Муниципальный меридиан". Тираж одного номера - 999 экз. Распространяется в администрации муниципальных образований Ленинградской области, на конференциях и совещаниях старост, общественных советов, инициативных комиссий (http://msu.lenobl.ru/news/mediaproekty/) </t>
  </si>
  <si>
    <t>В 2019 году  реализован проект «Школа активного земляка», посвященный актуальным вопросам местного общественного самоуправления, обмену опытом для специалистов администраций муниципальных образований, старост сельских населенных пунктов, членов инициативных комиссий и общественных советов. Проведен семинар «Инициативное бюджетирование: региональный опыт», который также посвящен актуальным вопросам по развитию инициативного бюджетирования</t>
  </si>
  <si>
    <t>более 200</t>
  </si>
  <si>
    <t xml:space="preserve">Никифоров Владимир Владимирович - начальник отдела государственной поддержки развития местного самоуправления департамента развития местного самоуправления комитета по местному самоуправлению, межнациональным и межконфессиональным отношением Ленинградской области 
</t>
  </si>
  <si>
    <t>(812) 539-44-18</t>
  </si>
  <si>
    <t>vv_nikiforov@lenreg.ru</t>
  </si>
  <si>
    <t>Кравченко Ирина Викторовна - начальник департамента бюджетной политики в отраслях социальной сферы Комитета финансов Ленинградской области</t>
  </si>
  <si>
    <t>(812) 539-49-64</t>
  </si>
  <si>
    <t>kravchenko@lenobfin.ru</t>
  </si>
  <si>
    <t xml:space="preserve">Содействие участию населения в осуществлении местного самоуправления в иных формах на частях территорий муниципальных образований Ленинградской области и в форме старост, государственная поддержка проектов местных инициатив граждан </t>
  </si>
  <si>
    <t xml:space="preserve">Постановление Правительства Ленинградской области от 14 ноября 2013 года № 399 "Об утверждении государственной программы Ленинградской области "Устойчивое общественное развитие в Ленинградской области"
</t>
  </si>
  <si>
    <t xml:space="preserve"> -</t>
  </si>
  <si>
    <t>Областной закон от 28 декабря 2018 года № 147-оз «О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 постановление Правительства Ленинградской области от 18 марта 2019 года № 109 «Об утверждении Порядка предоставления и расходования субсидий из областного бюджета Ленинградской области бюджетам муниципальных образований Ленинградской области на реализацию областного закона от 28 декабря 2018 года № 147-оз «О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 в рамках государственной программы Ленинградской области «Устойчивое общественное развитие в Ленинградской области»</t>
  </si>
  <si>
    <t>https://msu.lenobl.ru/programmy-i-plany/selskie-starosty/</t>
  </si>
  <si>
    <t>Муниципальные образования Ленинградской области (городские и сельские поселения)</t>
  </si>
  <si>
    <t xml:space="preserve">Число благополучателей оценивается по численности населения в сельских населенных пунктах, где реализованы проекты </t>
  </si>
  <si>
    <t xml:space="preserve">фото или видеофиксация собраний (конференций) граждан, заседаний общественных советов </t>
  </si>
  <si>
    <t>фото и видеофиксация, протоколы заседаний</t>
  </si>
  <si>
    <t xml:space="preserve">протоколы заседаний </t>
  </si>
  <si>
    <t>В реализации практики ИБ могут участвовать муниципальные образования, на территории которых есть сельские населенные пункты, где постоянно или преимущественно проживают граждане</t>
  </si>
  <si>
    <t>В реализации практики ИБ могут участвовать муниципальные образования, на территории которых есть сельские населенные пункты, где постоянно или преимущественно проживают граждане. Отбор муниципальных образований для предоставления субсидий осуществляется в соответствии с критериями, установленными  постановлением Правительства Ленинградской области от 18 марта 2019 года № 109 «Об утверждении Порядка предоставления и расходования субсидий из областного бюджета Ленинградской области бюджетам муниципальных образований Ленинградской области на реализацию областного закона от 28 декабря 2018 года № 147-оз «О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 в рамках государственной программы Ленинградской области «Устойчивое общественное развитие в Ленинградской области»</t>
  </si>
  <si>
    <t>трудовое участие, материально-техническое участие граждан, юридических лиц, индивидуальных предпринимателей</t>
  </si>
  <si>
    <t>https://msu.lenobl.ru/ru/</t>
  </si>
  <si>
    <t>В социальных сетях Контакт группа Совет старост Ленинградской области https://vk.com/starosta47, Инстаграм группа Старосты Ленобласти (@starosta47) https://www.instagram.com/starosta47/, в которых участвуют старосты, представители общественных советов</t>
  </si>
  <si>
    <t xml:space="preserve">Никифоров Владимир Владимирович - начальник отдела государственной поддержки развития местного самоуправления департамента развития местного самоуправления комитета по местному самоуправлению, межнациональным и межконфессиональным отношением Ленинградской области </t>
  </si>
  <si>
    <t xml:space="preserve">Инициативное бюджетирование или реализация проектов развития общественной инфраструктуры, основанных на местных инициативах </t>
  </si>
  <si>
    <t>Инициативное бюджетирование в Республике Адыгея</t>
  </si>
  <si>
    <t xml:space="preserve">Закон Республики Адыгея от 20.12.2018 № 203  "О республиканском бюджете Республики Адыгея на 2019 год и на плановый период 2020-2021 годов"; распоряжение Кабинета Министров Республики Адыгея
от 8 мая 2019 года № 105-р
"О распределении субсидий из республиканского бюджета Республики Адыгея бюджетам сельских поселений на софинансирование проектов развития общественной инфраструктуры, основанных на местных инициативах, реализуемых на территории сельских поселений"
</t>
  </si>
  <si>
    <t>http://www.minfin01-maykop.ru/Show/Category/7?ItemId=55</t>
  </si>
  <si>
    <t>Постановление Кабинета Министров Республики Адыгея от 10.10.2018 № 212 "О некоторых вопросах реализации проектов развития общественной инфраструктуры, основанных на местных инициативах"</t>
  </si>
  <si>
    <t>http://www.minfin01-maykop.ru/Show/Category/10?page=3&amp;ItemId=57</t>
  </si>
  <si>
    <t>Министерство финансов Республики Адыгея</t>
  </si>
  <si>
    <t>МО "Садовское сельское поселение", МО "Вольненское сельское поселение", МО "Натырбовское сельское поселение", МО  "Шенджийское сельское поселение", МО "Дондуковское сельское поселение", МО "Каменномостское сельское поселение"</t>
  </si>
  <si>
    <t>krsdstat.gks.ru/population_ra</t>
  </si>
  <si>
    <t>заполнение опросных листов, анкет гражданами</t>
  </si>
  <si>
    <t>протокол заседания комиссии по проведению конкурсного отбора проектов развития общественной инфраструктуры, основанных на местных инициативах, реализуемых на территории городских, сельских поселений от 10.04.2019     http://www.minfin01-maykop.ru/Show/Category/60?ItemId=237</t>
  </si>
  <si>
    <t>осуществляется комиссией конкурсного отбора в оответсвии с условиями и критериями конкурсного отбора, установленными постановлением Кабинета Министров Республики Адыгея от 10.10.2018 № 212 "О некоторых вопросах реализации проектов развития общественной инфраструктуры, основанных на местных инициативах";  оформляется решением комиссии, протоколом, расчетами.</t>
  </si>
  <si>
    <t xml:space="preserve"> городские и сельские поселения</t>
  </si>
  <si>
    <t>по типу МО (городские, сельские поселения)</t>
  </si>
  <si>
    <t>неоплачиваемые работы; вклад материалами и оборудованием; вклад в форме техники и транспортных средств</t>
  </si>
  <si>
    <t>http://www.minfin01-maykop.ru/Show/Category/60?ItemId=237</t>
  </si>
  <si>
    <t>https://twitter.com/minfin01_maykop</t>
  </si>
  <si>
    <t>https://www.youtube.com/watch?v=oSSRFF3AzgY&amp;feature=youtu.be</t>
  </si>
  <si>
    <t>презентации, слайды                                                     http://www.minfin01-maykop.ru/Show/Category/60?ItemId=237</t>
  </si>
  <si>
    <t>В виде семинаров, коллегий на регулярной основе</t>
  </si>
  <si>
    <t>Цыганкова Алена Юрьевна - начальник отдела методологии и мониторинга государственных финансов Республики Адыгея Министерства финансов Республики Адыгея</t>
  </si>
  <si>
    <t>8(8772) 52-86-99; 8-989-140-64-22</t>
  </si>
  <si>
    <t>atsygankova@minfin-maykop.ru</t>
  </si>
  <si>
    <t>Проект "Народный бюджет"</t>
  </si>
  <si>
    <t>Народный бюджет, НБ</t>
  </si>
  <si>
    <t>Реализация проекта "Народный бюджет" осуществляется на основании Указа Главы Республики Коми от 13.05.2016г. № 66 «О проекте «Народный бюджет» в Республике Коми» и Постановления Правительства Республики Коми от 20.05.2016г. № 252 "О мерах по реализации Указа Главы Республики Коми от 13 мая 2016 г. N 66 "О проекте "Народный бюджет" в Республике Коми" (вместе с "Порядком организации работы по определению соответствия народных проектов критериям, предъявляемым к проекту "Народный бюджет", "Положением о пилотном проекте "Бюджет и МЫ!") (в ред. от 30.10.2018, 14.01.2019, 13.06.2019 г.)
Реализация проекта осуществляется путем субсидирования за счет средств республиканского бюджета Республики Коми бюджетов муниципальных образований на реализацию народных проектов в рамках реализации 8 государственных программ Республики Коми: 
1. Государственная программа Республики Коми «Развитие сельского хозяйства и регулирование рынков сельскохозяйственной продукции, сырья и продовольствия, развитие рыбохозяйственного комплекса в Республике Коми», подпрограмма "Развитие производства и регулирование рынка пищевой продукции", основное мероприятие 4.1.2 Поддержка муниципальных программ (утв. Постановлением Правительства РК от 28.09.2012 № 424);
2. Государственная программа Республики Коми «Современная городская среда на территории Республики Коми», подпрограмма «Государственная поддержка муниципальных образований в Республике Коми в сфере благоустройства территорий», Основное мероприятие 1.02.02. Оказание государственной поддержки в реализации народных проектов в сфере благоустройства (утв. Постановлением Правительства РК от 31.08.2017 № 462);
3. Государственная программа Республики Коми «Развитие транспортной системы», подпрограмма «Развитие транспортной инфраструктуры и транспортного обслуживания населения и экономики Республики Коми», Основное мероприятие 1.01.06. Реализация проекта "Народный бюджет" в сфере дорожной деятельности (утв. Постановлением Правительства РК от 30.12.2011 № 650);
4. Государственная программа Республики Коми «Содействие занятости населения», Подпрограмма 1. «Управление региональным рынком труда, регулирование процессов формирования и использования трудовых ресурсов», Основное мероприятие 1.1.3. Реализация проекта «Народный бюджет» в сфере занятости населения (утв. Постановлением Правительства РК от 28.09.2012 № 421);
5. Государственная программа Республики Коми «Развитие культуры и туризма в Республике Коми», Подпрограмма 1 «Доступность объектов сферы культуры, культурных и исторических ценностей», Основное мероприятие 1.01.03. Укрепление материально-технической базы учреждений сферы культуры (утв. Постановлением Правительства РК от 30.12.2011 № 651);
6. Государственная программа Республики Коми «Развитие культуры и туризма в Республике Коми», Подпрограмма 2 «Творческий потенциал населения Республики Коми», Основное мероприятие 2.02.04. Поддержка творческих инициатив в области культурно-досуговой деятельности, в том числе этнокультурного развития народов, проживающих на территории Республики Коми (утв. Постановлением Правительства РК от 30.12.2011 № 651);
7. Государственная программа Республики Коми «Развитие образования», Подпрограмма 3 «Дети и молодежь Республики Коми», Основное мероприятие 3.2.1. Укрепление материально-технической базы организаций в сфере образования в Республике Коми (утв. Постановлением Правительства РК от 28.09.2012 № 411);
8. Государственная программа Республики Коми «Развитие экономики», Подпрограмма 6. Малое и среднее предпринимательство в Республике Коми, Основное мероприятие 6.2.6. Поддержка муниципальных программ (подпрограмм), содержащих мероприятия, направленные на развитие малого и среднего предпринимательства в Республике Коми, в том числе монопрофильных муниципальных образований (утв. Постановлением Правительства РК от 28.09.2012 № 418);
9. Государственная программа Республики Коми «Развитие физической культуры и спорта», Подпрограмма «Массовая физическая культура», Основное мероприятие 1.01.07. Реализация проекта «Народный бюджет» в сфере физической культуры и спорта (утв. Постановлением Правительства РК от 28.09.2012 № 422)</t>
  </si>
  <si>
    <t>Постановление Правительства Республики Коми от 20.05.2016 № 252 «О мерах по реализации Указа Главы Республики Коми от 13 мая 2016 г. № 66 «О проекте «Народный бюджет» в Республике Коми»</t>
  </si>
  <si>
    <t>http://docs.cntd.ru/document/444708082; https://signal.rkomi.ru/budzhet/vrio-glavy-respubliki-komi-sa-gaplikov-podpisal-ukaz-o-zapuske-proekta-narodnyy-byudzhet</t>
  </si>
  <si>
    <t>Указ Главы Республики Коми от 13.05.2016 № 66 «О проекте «Народный бюджет» в Республике Коми», приказ Министерства образования, науки и молодежной политики Республики Коми от 10.07.2019 г. № 636 "О реализации пилотного преокта школьного ИБ "Народный бюджет в школе" в Республике Коми"</t>
  </si>
  <si>
    <t>Администрация Главы Республики Коми</t>
  </si>
  <si>
    <t>Министерство сельского хозяйства и потребительского рынка Республики Коми;
Министерство энергетики, жилищно-коммунального хозяйства и тарифов Республики Коми;
Министерство строительства и дорожного хозяйства Республики Коми;
Министерство труда, занятости и социальной защиты Республики Коми;
Министерство культуры, туризма и архивного дела Республики Коми;
Министерство образования, науки и молодежной политики Республики Коми;
Министерство экономики Республики Коми;
Министерство физической культуры и спорта Республики Коми</t>
  </si>
  <si>
    <t>Органы местного самоуправления муниципальных районов и городских округов, а также органы местного самоуправления поселений в случае, если в соответствии с правилами предоставления из республиканского бюджета Республики Коми субсидий на реализацию народных проектов, прошедших отбор в рамках проекта "Народный бюджет", утвержденными соответствующими государственными программами Республики Коми, предусмотрено участие органов местного самоуправления поселений</t>
  </si>
  <si>
    <t>Количество  человек,  которые получат пользу от народного проекта: непосредственно (прямые благополучатели), косвенно    (косвенные благополучатели) (например, в случае ремонта улицы прямые благополучатели - это  жители  этой  и прилегающих улиц, которые регулярно ходят или ездят по отремонтированной   улице, а косвенные – жители муниципального образования (населенного пункта) или части населенного пункта (микрорайон, квартал, улица), за исключением прямых благополучателей.</t>
  </si>
  <si>
    <t xml:space="preserve">https://komi.gks.ru/population на 01.01.2020 </t>
  </si>
  <si>
    <t>Проектный центр инициативного бюджетирования при государственном образовательном учреждении высшего образования «Коми республиканская академия государственной службы и управления» (ГОУ ВО КРАГСиУ)  (без образования отдельного юридического лица), созданный в соответствии с Приказом Министерства образования, науки и молодежной политики Республики Коми № 744 от 16 августа 2017 г.</t>
  </si>
  <si>
    <t>Средства республиканского бюджета Республики Коми, предусмотренные в рамках основного мероприятия 1.2.7 «Обеспечение открытости и прозрачности управления общественными финансами Республики Коми» государственной программы Республики Коми «Управление государственными финансами и государственным долгом» (утв. постановлением Правительства Республики Коми от 28.09.2012 № 409)</t>
  </si>
  <si>
    <t>Физическое присутствие представителей Проектного центра и составление протоколов</t>
  </si>
  <si>
    <t>Перечень заявок-победителей утверждается Межведомственной комиссией по отбору народных проектов. Состав Межведомтсвенной комиссии по отбору народных проектов по состоянию на 25.01.2019г. http://adm.rkomi.ru/right/objav/inform/73092/ (http://adm.rkomi.ru/right/objav/inform/62269/)</t>
  </si>
  <si>
    <t xml:space="preserve">Первый уровень конкурсного отбора: После проведения собраний граждан органы местного самоуправления городских округов, муниципальных районов (с учетом входящих в их состав поселений) утверждают перечни одобренных народных проектов с учетом приоритетных направлений и/или количества граждан, поддержавших народный проект, и/или количества благополучателей при реализации народного проекта, и/или общественной значимости народного проекта (в 2019 году из 633 утвердили 529 проектов). Второй уровень конкурсного отбора: Оценки народных проектов сотрудниками 9 (девяти) органов исполнительной власти Республики Коми, подготовка ими отраслевых заключений и предварительных расчетов сумм субсидий в пределах средств республиканского бюджета Республики Коми по каждому из направлений. </t>
  </si>
  <si>
    <t>Поступили проектные заявки от 124 МО (248 административно-территориальных единиц). Победители -  121-МО (214-административно-территориальных единиц)</t>
  </si>
  <si>
    <t>Материально-техническое участие (под материально-техническим участием юридических лиц, индивидуальных предпринимателей, граждан понимается их нефинансовый вклад в реализацию народного проекта в виде материалов, оборудования, техники, транспортных средств)</t>
  </si>
  <si>
    <t xml:space="preserve">Официальный сайт Администрации Главы Республики Коми, где ежегодно размещаются объявления о проведении отбора народных проектов в рамках проекта «Народный бюджет», приказы Администрации Главы республики Коми о внесении изменений в состав Межведомственной комиссии по отбору народных проектов, а также информация о народных проектах, прошедших отбор в рамках реализации проекта «Народный бюджет» в Республике Коми. http://adm.rkomi.ru/right/objav/inform/ </t>
  </si>
  <si>
    <t xml:space="preserve">В целях информирования населения о проекте «Народный бюджет» на портале «Активный регион» функционирует раздел «Народный бюджет» (http://www.signal.rkomi.ru/bydzhet). С марта 2017 года с целью привлечения граждан Республики Коми к обсуждению социально значимых народных проектов и информирования о ходе их реализации в социальной сети «Вконтакте» действует группа «Народный бюджет Республики Коми» (https://vk.com/nb_rk).  </t>
  </si>
  <si>
    <t>https://signal.rkomi.ru/budzhet/razrabotan-logotip-proekta-narodnyy-byudzhet; https://yadi.sk/d/pdmNjar4Dn8TzA</t>
  </si>
  <si>
    <t xml:space="preserve">Распространение информации о проекте «Народный бюджет» происходит через республиканские и муниципальные СМИ (электронная и печатная версии), официальные сайты и группы в социальных сетях органов местного самоуправления Республики Коми, сайт и социальные сети «Ассоциации органов территориального общественноо самоуправления РК», Ассоциации «Совет муниципальных образований РК». Содействие в публикации информации о ходе реализации проекта «Народный бюджет» также осуществляется органами исполнительной власти Республики Коми на постоянной основе на официальных сайтах органов исполнительной власти Республики Коми и в социальных сетях, на официальном портале Республики Коми. Самый большой охват населения обеспечивают посты в социальных сетях и видеоролики, снятые инициаторами и активистами народных проектов. Например, https://vk.com/wall-144793240?offset=320&amp;own=1&amp;w=wall-144793240_1437, https://vk.com/wall-144793240?offset=400&amp;own=1&amp;w=wall-144793240_1367, https://vk.com/nb_rk?w=wall-144793240_1296, https://vk.com/wall-144793240?offset=160&amp;own=1&amp;w=wall-144793240_1632, https://vk.com/wall-144793240?offset=160&amp;own=1&amp;w=wall-144793240_1642, видеоролик Молодежного Совета г.Емва Княжпогостского района Республики Коми https://www.youtube.com/watch?v=qGQ_FPR9Csc
</t>
  </si>
  <si>
    <t>1) Инфографика по итогам проведенного в 2019 году отбора народных проектов, 2) Видеографики по итогам отбора народных проектов 2019 г., по итогам реализации народных проектов 2019 г. 3) На встречах с гражданами используются листовки "Инструкция по участию в проекте "Народный бюджет". Ссылка на все материалы по разделу 19: https://yadi.sk/d/u2Qe4NgqApnKDg</t>
  </si>
  <si>
    <t>Консультаций: от 950. Мероприятий: от 35</t>
  </si>
  <si>
    <t xml:space="preserve">более 1500 </t>
  </si>
  <si>
    <t>Морозова Анастасия Сергеевна, консультант отдела мониторинга и анализа ГКУ РК "Центр обеспечения деятельности Администрации Главы Республики Коми"</t>
  </si>
  <si>
    <t>8 (8212) 285-397</t>
  </si>
  <si>
    <t>a.s.morozova@opg.rkomi.ru</t>
  </si>
  <si>
    <t>Доходогенерирующие проекты, основанные на гражданских инициативах, по объединению в сельскохозяйственный потребительский кооператив</t>
  </si>
  <si>
    <t>ДГП</t>
  </si>
  <si>
    <t>Государственная программа «Развитие сельского хозяйства и регулирование рынков сельскохозяйственной продукции, сырья и продовольствия в Республике Башкортостан», утвержденная постановлением Правительства Республики Башкортостан от 17 декабря 2012 года № 458 (подпрограмма «Поддержка малых форм хозяйствования и развитие сельской кооперации», основное мероприятие «Обеспечение развития малых форм хозяйствования и кооперации на селе», мероприятие «Обеспечение поддержки в реализации доходогенерирующих проектов»</t>
  </si>
  <si>
    <t>1. Указ Главы Республики Башкортостан от 30 марта 
2018 года № УГ-44 «Об утверждении Концепции развития сельскохозяйственной потребительской кооперации в Республике Башкортостан на период 2018 - 2020 годов». 
2. Постановление Правительства Республики Башкортостан
от 8 июня 2018 года № 254 «Об утверждении порядка предоставления из бюджета Республики Башкортостан грантов на развитие сельскохозяйственных потребительских кооперативов для реализации доходогенерирующих проектов, основанных на гражданских инициативах, по объединению 
в сельскохозяйственный потребительский кооператив». 
3. Постановление Правительства Республики Башкортостан
 от 20 декабря 2018 года № 631 «О внесении изменений в некоторые решения Правительства Республики Башкортостан».</t>
  </si>
  <si>
    <t>https://npa.bashkortostan.ru/19740/
https://npa.bashkortostan.ru/20279/
https://npa.bashkortostan.ru/22514/</t>
  </si>
  <si>
    <t>Распоряжение Правительства Республики Башкортостан 
от 25 сентября 2018 года № 911-р об утверждении Приоритетной региональной программы «Развитие инициативного бюджетирования в Республике Башкортостан». 
Срок реализации 2018-2022 годы.</t>
  </si>
  <si>
    <t>http://docs.cntd.ru/document/553216517</t>
  </si>
  <si>
    <t>Министерство сельского хозяйства Республики Башкортостан</t>
  </si>
  <si>
    <t>Гранты</t>
  </si>
  <si>
    <t>Сельскохозяйственный потребительский кооператив</t>
  </si>
  <si>
    <t>Экспертная оценка</t>
  </si>
  <si>
    <t>https://bashstat.gks.ru/folder/25491</t>
  </si>
  <si>
    <t>Государственное бюджетное учреждение Центр сельскохозяйственного консультирования Республики Башкортостан</t>
  </si>
  <si>
    <t>Государственное задание</t>
  </si>
  <si>
    <t>Анкетирование</t>
  </si>
  <si>
    <t xml:space="preserve">Муниципальные образования в реализации доходогенерирующих проектов не участвуют. 
Заявки подаются сельскохозяйственными потребительскими кооперативами. </t>
  </si>
  <si>
    <t>http://www.cckrb.ru/about/
https://smarteka.com/practices/razvitie-sistemy-sel-skohozajstvennoj-potrebitel-skoj-kooperacii-respubliki-baskortostan</t>
  </si>
  <si>
    <t>https://vk.com/cckrb 
https://instagram.com/gbucckrb?igshid=1hxhzlcdbzvwd</t>
  </si>
  <si>
    <t>Выездные групповые консультации (первичные собрания) 
в 54 муниципальных районах Республики Башкортостан, организованы видеоселекторные совещания для участников ДГП, обучающие мероприятия (семинары), размещение тематической группы в социальных сетях (Вконтакте, Инстаграмм), телевидении.
http://www.cckrb.ru/news/Novosti-APK-RB/Na-baze-MBU-Birskiy-IKTS-proshlo-soveshchanie-s-glavami-selskikh-poseleniy-na-temu-razvitiya-dokhodo/
http://www.cckrb.ru/news/Novosti-APK-RB/Sobranie-po-DGP-CHekmagushevskom-rayone/</t>
  </si>
  <si>
    <t>Выпущена печатная продукция: 
- методические рекомендации по созданию и регистрации сельскохозяйственных потребительских кооперативов; 
- информационный паспорт инициативной группы, участника ДГП. Анкеты участника; 
- экономический паспорт кооператива; 
- брошюры «Как создать сельскохозяйственный потребительский кооператив», «Типовые документы сельскохозяйственного потребительского кооператива», «Вопросы бухгалтерского учета в сельскохозяйственных потребительских кооперативах»; 
- памятки «Порядок создания и государственная поддержка сельскохозяйственного потребительского кооператива», 
«Меры государственной поддержки сельскохозяйственных товаропроизводителей РБ»; 
-буклеты (8 разных видов, как раздаточный материал)
https://agriculture.bashkortostan.ru/upload/uf/b35/Gospodderzhka-6-1.pdf</t>
  </si>
  <si>
    <t xml:space="preserve">Проведены обучающие семинары, видеоконференцсвязи и  групповые консультации </t>
  </si>
  <si>
    <t>Ахметова Флорида Фаритовна</t>
  </si>
  <si>
    <t>8347-218-05-26</t>
  </si>
  <si>
    <t>akhmetova.ff@bashkortostan.ru</t>
  </si>
  <si>
    <t>Юнусова Лейсян Раисовна</t>
  </si>
  <si>
    <t>8-347-2809530</t>
  </si>
  <si>
    <t xml:space="preserve">Yunusova.LR@bashkortostan.ru </t>
  </si>
  <si>
    <t xml:space="preserve">Реализация проектов по комплекному благоустройству дворовых территорий муниципальных образований Республики Башкортостан «Башкирские дворики»
</t>
  </si>
  <si>
    <t>Башкирские дворики</t>
  </si>
  <si>
    <t>Государственная программа «Формирование современной городской среды в Республике Башкортостан», утвержденная постановлением Правительства Республики Башкортостан
от 30 августа 2017 года № 401 (подпрограмма «Благоустройство территорий муниципальных образований Республики Башкортостан» / основное мероприятие «Осуществление мероприятий по благоустройству общественных и дворовых территорий многоквартирных домов» /мероприятие «Реализация проектов по комплексному благоустройству дворовых территорий муниципальных образований Республики Башкортостан "Башкирские дворики"»).</t>
  </si>
  <si>
    <t>1. Постановление Правительства РБ от 12 февраля 
2018 года № 61 «О реализации на территории Республики Башкортостан проектов по благоустройству дворовых территорий, основанных на местных инициативах» 
(документ утратил силу с 13 февраля 2019 года).
2. Постановление Правительства Республики Башкортостан 
от 4 мая 2018 года № 194 «О внесении изменений 
в государственную программу "Формирование современной городской среды в Республике Башкортостан"».
3. Постановление Правительства Республики Башкортостан 
от 13 февраля 2019 года № 69 «О реализации проектов 
по комплексному благоустройству дворовых территорий муниципальных образований Республики Башкортостан "Башкирские дворики"».</t>
  </si>
  <si>
    <t xml:space="preserve">https://npa.bashkortostan.ru/19429/
https://npa.bashkortostan.ru/19984/
npa.bashkortostan.ru/23134/
</t>
  </si>
  <si>
    <t>Распоряжение Правительства Республики Башкортостан
от 25 сентября 2018 года № 911-р об утверждении Приоритетной региональной программы «Развитие инициативного бюджетирования в Республике Башкортостан»". Срок реализации 2018-2022 годы.</t>
  </si>
  <si>
    <t>Министерство жилищно-коммунально хозяйства 
Республики Башкортостан</t>
  </si>
  <si>
    <t>Местные бюджеты</t>
  </si>
  <si>
    <t>Эксперная оценка</t>
  </si>
  <si>
    <t>Нет данных</t>
  </si>
  <si>
    <t>Работа с заявками осуществлялась на сайте https://regionrb.info/</t>
  </si>
  <si>
    <t>https://house.bashkortostan.ru/activity/14535/
https://regionrb.info/</t>
  </si>
  <si>
    <t>Использовалось телевидение, средства массовой информации
https://bash.news/news/91967-bashkirskie-dvoriki-8-voprosov-o-programme-blagoustroystva-dvorov-v-bashkirii   https://mkset.ru/cards/07-03-2019/bashkirskie-dvoriki-chto-nado-sdelat-chtoby-vash-dvor-blagoustroili-po-etoy-programme 
https://ufacity.info/dvori  
https://duv-vest.rbsmi.ru/articles/obshchestvo/bashkirskie-dvoriki-glavnye-voprosy-o-programme-blagoustroystva-dvorov-v-respublike/  http://sterlitamakadm.ru/city/zhkh/bashkirskie-dvoriki/2019-god/?clear_cache=Y
https://mgazeta.com/category/vazhno/v-respublike-startovala-programma-bashkirskie-dvoriki/</t>
  </si>
  <si>
    <t>Методические рекомендации по проведению мероприятий
https://drive.google.com/open?id=1EmUKUAkFpKnbEeybKuzcc-yyzGGm9BFk</t>
  </si>
  <si>
    <t>Обучающие мероприятия не проводились</t>
  </si>
  <si>
    <t>Хайдаров Арсланбек Ринатович</t>
  </si>
  <si>
    <t>8 347 218 00 26</t>
  </si>
  <si>
    <t>Khaydarov.AR@bashkortostan.ru</t>
  </si>
  <si>
    <t>Реализация наказов избирателей, адресованных членам Совета Федерации Федерального Собрания Российской Федерации от Республики Башкортостан, депутатам Государственной Думы Федерального Собрания Российской Федерации, избранным в Республике Башкортостан, Государственного Собрания – Курултая Республики Башкортостан в ходе осуществления ими депутатской деятельности</t>
  </si>
  <si>
    <t>Реальные дела</t>
  </si>
  <si>
    <t>Государственная программа «Управление государственными финансами и государственным долгом Республики Башкортостан», утвержденная постановлением Правительства Республики Башкортостан от 12 сентября 2012 года № 315 (подпрограмма «Организация межбюджетных отношений», Основное мероприятие «Осуществление мер финансовой поддержки бюджетов муниципальных образований Республики Башкортостан, направленных на обеспечение их сбалансированности и повышение уровня бюджетной обеспеченности», мероприятие «Поддержка мер по обеспечению исполнения расходных обязательств местных бюджетов по решению вопросов местного значения»)</t>
  </si>
  <si>
    <t>1. Постановление Правительства Республики Башкортостан 
от 4 мая 2010 года № 160 «Об утверждении Порядка предоставления субсидий бюджетам муниципальных районов и городских округов Республики Башкортостан из бюджета Республики Башкортостан на софинансирование расходных обязательств, возникающих при выполнении полномочий органов местного самоуправления по вопросам местного значения» (документ утратил силу с 17 апреля 2019 года).
2. Постановление Правительства Республики Башкортостан 
от 1 июня 2016 года № 212 «О внесении изменений в государственную программу "Управление государственными финансами и государственным долгом Республики Башкортостан"».
3. Постановление Правительства Республики Башкортостан 
от 17 апреля 2019 года № 214 «Об утверждении Порядка предоставления и расходования субсидий бюджетам муниципальных районов и городских округов Республики Башкортостан из бюджета Республики Башкортостан на софинансирование расходных обязательств, возникающих при выполнении полномочий органов местного самоуправления по отдельным вопросам местного значения».</t>
  </si>
  <si>
    <t>http://docs.cntd.ru/document/935120175
https://npa.bashkortostan.ru/13838/
https://npa.bashkortostan.ru/23770/</t>
  </si>
  <si>
    <t>Распоряжение Правительства Республики Башкортостан 
от 25 сентября 2018 года № 911-р об утверждении Приоритетной региональной программы «Развитие инициативного бюджетирования в Республике Башкортостан»". Срок реализации 2018-2022 годы.</t>
  </si>
  <si>
    <t>1. Положение о порядке формирования реестра наказов избирателей для предоставления субсидий бюджетам муниципальных районов, городских округов Республики Башкортостан из бюджета Республики Башкортостан на софинансирование мероприятий по реализации наказов избирателей, адресованных депутатам Государственного Собрания – Курултая Республики Башкортостан, утвержденное распоряжением Председателя Государственного Собрания – Курултая Республики Башкортостан от 28 мая 2015 года № 49-р.
2. Положение о порядке формирования реестра наказов избирателей для предоставления субсидий бюджетам муниципальных районов, городских округов Республики Башкортостан из бюджета Республики Башкортостан на софинансирование мероприятий по реализации наказов избирателей, адресованных членам Совета Федерации Федерального Собрания Российской Федерации от Республики Башкортостан, депутатам Государственной Думы Федерального Собрания Российской Федерации, избранным в Республике Башкортостан, утвержденное распоряжением Председателя Государственного Собрания – Курултая Республики Башкортостан от 25 мая 2017 года № 69-р.</t>
  </si>
  <si>
    <t>http://gsrb.ru/ru/nakazy-izbirateley/</t>
  </si>
  <si>
    <t>Секретариат Государственного Собрания - Курултая Республики Башкортостан / Администрации муниципальных районов и городских округов РБ.
Реализуется по предложению Регионального отделения Партии «Единая Россия»</t>
  </si>
  <si>
    <t>Министерство финансов Республики Башкортостан</t>
  </si>
  <si>
    <t>Местный бюджет</t>
  </si>
  <si>
    <t>Подсчет не производился.</t>
  </si>
  <si>
    <t>Протоколы проведения собраний, сходов. 
Фотоотчеты проведения собраний https://cloud.mail.ru/public/3cxA/2AHEiskMX
http://xn----7sbbpcbc8bep3a0ll.xn--p1ai/news.aspx?id=2225
http://xn----7sbbpcbc8bep3a0ll.xn--p1ai/news.aspx?id=2229</t>
  </si>
  <si>
    <t>Протоколы проведения собраний, сходов. Фотоотчеты проведения собраний  https://cloud.mail.ru/public/3cxA/2AHEiskMX
http://xn----7sbbpcbc8bep3a0ll.xn--p1ai/news.aspx?id=2229</t>
  </si>
  <si>
    <t>Безвозмездно предоставленные материалы, транспортные средства и другие механизмы, а также безвозмездный труд населения.</t>
  </si>
  <si>
    <t>http://xn----7sbbpcbc8bep3a0ll.xn--p1ai/</t>
  </si>
  <si>
    <t>https://cloud.mail.ru/public/4d5m/2pz11yaGj</t>
  </si>
  <si>
    <t>Информация о проведении сходов, встреч с гражданами по формированию перечня наказов размещалась на сайтах муниципальных образований 
https://red-key.rbsmi.ru/news/proshel-skhod-grazhdan/?sphrase_id=659034 
и местных средствах массовой информации.
Освещение хода реализации проекта проводилось 
в социальных сетях 
https://vk.com/public93576172?w=wall-93576172_1514, 
на телевидении https://bash.news/news/113021-na-ulitse-ufy-poyavilos-osveshchenie-v-ramkakh-programmy-realnye-dela, 
в местных средствах массовой информации https://cloud.mail.ru/public/4ZrK/44spLeEv4</t>
  </si>
  <si>
    <t>В июле-августе 2019 года во всех муниципальных образованиях Республики Башкортостан (в 54 муниципальных районах и 9 городских округах) было организовано распространение информационной газеты «Вестник реальных дел», в которой жителям Республики Башкортостан сообщалось, что было сделано конкретно в их муниципалитете по инфраструктурным проектам, в том числе по проекту «Реальные дела». Общий тираж составил 280 000 экземляров. https://cloud.mail.ru/public/2rkf/4t1QKUc8k</t>
  </si>
  <si>
    <t>Обучающие мероприятия не проводились.</t>
  </si>
  <si>
    <t>Попова Ольга Ильдаровна, ведущий специалист 1 разряда сектора нормативных правовых актов и архива отдела документационного обеспечения и по работе с обращениями граждан, Секретариат Государственного Собрания - Курултая Республики Башкортостан</t>
  </si>
  <si>
    <t>8 (347) 218-31-54</t>
  </si>
  <si>
    <t>popova.o@bashkortostan.ru</t>
  </si>
  <si>
    <t>Реализация проектов развития общественной инфраструктуры, основанных на местных инициативах, на территории Республики Башкортостан.</t>
  </si>
  <si>
    <t>Программа поддержки местных инициатив (ППМИ)</t>
  </si>
  <si>
    <t>Государственная программа «Управление государственными финансами и государственным долгом Республики Башкортостан», утвержденная постановлением Правительства Республики Башкортостан от 12 сентября 2012 года № 315 (подпрограмма «Организация межбюджетных отношений», основное мероприятие «Осуществление мер финансовой поддержки бюджетов муниципальных образований Республики Башкортостан, направленных на обеспечение их сбалансированности и повышение уровня бюджетной обеспеченности», мероприятие «Поддержка проектов развития общественной инфраструктуры, основанных на местных инициативах»).</t>
  </si>
  <si>
    <t>1. Постановление Правительства Республики Башкортостан 
от 8 июня 2016 года № 230 «О реализации на территории Республики Башкортостан проектов развития общественной инфраструктуры, основанных на местных инициативах» 
(документ утратил силу с 19 апреля 2017 года). 
2. Постановление Правительства Республики Башкортостан 
от 21 февраля 2017 года № 57 «О внесении изменений 
в государственную программу «Управление государственными финансами и государственным долгом Республики Башкортостан».
3. Постановление Правительства Республики Башкортостан 
от 19 апреля 2017 года № 168 «О реализации на территории Республики Башкортостан проектов развития общественной инфраструктуры, основанных на местных инициативах».</t>
  </si>
  <si>
    <t>https://npa.bashkortostan.ru/13899/ 
https://npa.bashkortostan.ru/16184/
http://docs.cntd.ru/document/450216251</t>
  </si>
  <si>
    <t>Распоряжение Правительства Республики Башкортостан 
от 25 сентября 2018 года № 911-р об утверждении Приоритетной региональной программы «Развитие инициативного бюджетирования в Республике Башкортостан». Срок реализации 2018-2022 годы.</t>
  </si>
  <si>
    <t xml:space="preserve">Министерство финансов Республики Башкортостан, 
ГБНУ «Академия наук Республики Башкортостан» </t>
  </si>
  <si>
    <t>Подсчет благополучателей осуществлен по данным 
из конкурсных заявок</t>
  </si>
  <si>
    <t>Центр изучения гражданских инициатив – структурное подразделение ГАНУ «Институт стратегических исследований Республики Башкортостан» Академии наук Республики Башкортостан.</t>
  </si>
  <si>
    <t>Анкетная ведомость и опросые листы</t>
  </si>
  <si>
    <t xml:space="preserve">Фото и видеофиксация
https://vk.com/photo-135547201_456240910
https://vk.com/cigi_isi_rb?z=photo-135547201_456242558%2Fwall-135547201_1365
https://vk.com/cigi_isi_rb?z=video-135547201_456239137%2F717c01ffcb7d363dbc%2Fpl_post_-135547201_1356
</t>
  </si>
  <si>
    <t xml:space="preserve">Отбор заявок победителей осуществлялся с помощью информационной системы управления 
https://ppmi.bashkortostan.ru/ </t>
  </si>
  <si>
    <t xml:space="preserve">Управление проектом происходит с помощью собственной информационной системы управления, данная система позволяет подавать конкурсную документацию через интернет, а так же производить ее проверку, что обеспечивает высокий уровень оформления документов. Также система осуществляет подсчет баллов и позволяет выгружать статистику.
https://ppmi.bashkortostan.ru/ </t>
  </si>
  <si>
    <t>Вклад материалами, безвозмездный труд, вклад 
в форме техники и транспортных средств.</t>
  </si>
  <si>
    <t>https://ppmi.bashkortostan.ru/</t>
  </si>
  <si>
    <t>https://vk.com/cigi_isi_rb</t>
  </si>
  <si>
    <t>https://vk.com/cigi_isi_rb?z=photo-135547201_456239017%2Falbum-135547201_0%2Frev</t>
  </si>
  <si>
    <t>Информация о ППМИ постоянно озвучивалась на телевидении и радиоканалах, в периодических печатных изданиях. Информация размещалась на интернет порталах всех муниципальных образований – городских округов, 
сельских поселений и муниципальных районов. 
Создавались тематические группы в социальных сетях – «Одноклассники» и «Вконтакте». 
https://vk.com/cigi_isi_rb?w=wall-135547201_978/all https://vk.com/cigi_isi_rb?w=wall-135547201_840/all
https://vk.com/cigi_isi_rb?z=photo-135547201_456241186%2Fwall-135547201_1124</t>
  </si>
  <si>
    <t xml:space="preserve">Силами муниципалитетов и инициативных групп 
на протяжении всего конкурса готовились плакаты и объявления. 
https://vk.com/albums-135547201?z=photo-135547201_456240918%2Fphotos-135547201
https://vk.com/photo-135547201_456241065
https://vk.com/cigi_isi_rb?z=photo-135547201_456242785%2Fwall-135547201_1410 
https://vk.com/cigi_isi_rb?z=photo-135547201_456242560%2Fwall-135547201_1365
</t>
  </si>
  <si>
    <t>Проводятся обучающие мероприятий для представителей муниципальных образований, а также инициативных групп. Мероприятия проводятся ежегодно перед раундом ППМИ в течение нескольких недель по всей республике кустовым методом.</t>
  </si>
  <si>
    <t>Насретдинова Лия Фаритовна, руководитель Центра изучения гражданских инициатив ГАНУ «Институт стратегических исследований Республики Башкортостан» Академии наук Республики Башкортостан</t>
  </si>
  <si>
    <t>8-927-314-86-90</t>
  </si>
  <si>
    <t xml:space="preserve">nasretdinovalf@isi-rb.ru </t>
  </si>
  <si>
    <t>Республиканский конкурс "Лучшее территориальное общественное самоуправление"</t>
  </si>
  <si>
    <t>Конкурс "Лучший ТОС"</t>
  </si>
  <si>
    <t xml:space="preserve">Государственная программа Республики Бурятия "Совершенствование государственного управления", подпрограмма "Содействие в развитии форм непосредственного осуществления населением местного самоуправления", основное мероприятие "Развитие территориальных общественных самоуправлений"
</t>
  </si>
  <si>
    <t>Постановление Правительства РБ от 10.04.2013 N 180 "Об утверждении Государственной программы Республики Бурятия "Совершенствование государственного управления (2013 - 2020 годы)"</t>
  </si>
  <si>
    <t>http://docs.cntd.ru/document/473803135</t>
  </si>
  <si>
    <t>Постановление Правительства Республики Бурятия от 19.05.2014 г. №244, действует на постоянной основе</t>
  </si>
  <si>
    <t>http://docs.cntd.ru/document/412308423</t>
  </si>
  <si>
    <t>Закон  Республики Бурятия от 09.05.2018 № 2940-V «О государственной поддержке территориального общественного самоуправления в Республике Бурятия»</t>
  </si>
  <si>
    <t>http://docs.cntd.ru/document/550102882</t>
  </si>
  <si>
    <t>Администрация Главы Республики Бурятия и Правительства Республики Бурятия (Комитет территориального развития)</t>
  </si>
  <si>
    <t>820 Администрация Главы Республики Бурятия и Правительства Республики Бурятия</t>
  </si>
  <si>
    <t>Территориальное общественное самоуправление</t>
  </si>
  <si>
    <t>количество жителей, проживающих в границах ТОС – победителей и призеров конкурса</t>
  </si>
  <si>
    <t>https://burstat.gks.ru/demo</t>
  </si>
  <si>
    <t xml:space="preserve">Ресурсный центр поддержки ТОС Республики Бурятия при Ассоциации «Совет муниципальных образований Республики Бурятия» </t>
  </si>
  <si>
    <t>республиканский бюджет</t>
  </si>
  <si>
    <t>Организации территориального общественного самоуправления до 1 октября представляют в Комитет территориального развития Администрации Главы Республики Бурятия и Правительства Республики Бурятия на бумажном и электронном носителях заявку на участие в конкурсе и необходимые материалы</t>
  </si>
  <si>
    <t xml:space="preserve">Конкурсная комиссия до 30 декабря подводит результаты конкурса по каждой группе территорий и определяет победителей конкурса
</t>
  </si>
  <si>
    <t>Трудовое участие населения в реализации проектов</t>
  </si>
  <si>
    <t>http://rctos.ru/</t>
  </si>
  <si>
    <t>https://vk.com/tosrbru</t>
  </si>
  <si>
    <t>Выездные семинары с председателями, активистами ТОС</t>
  </si>
  <si>
    <t>Логинов Бато-Жаргал Даши-Нимевич, руководитель ресурсного центра</t>
  </si>
  <si>
    <t>32-80-80</t>
  </si>
  <si>
    <t>rctos03@mail.ru</t>
  </si>
  <si>
    <t>Бадлуев Булат Родионович</t>
  </si>
  <si>
    <t>8 (3012) 21-65-61</t>
  </si>
  <si>
    <t>Badluev.B@minfin.govrb.ru</t>
  </si>
  <si>
    <t xml:space="preserve">Постановление Правительства Республики Саха (Якутия) от 20.05.2017 №170 «О реализации на территории Республики Саха (Якутия) проектов развития общественной инфраструктуры, 
основанных на местных инициативах»
</t>
  </si>
  <si>
    <t>Программа поддержки местных инициатив</t>
  </si>
  <si>
    <t>Указ Главы Республики Саха (Якутия) "О государственной программе Республики Саха (Якутия) "Управление государственными финансами и государственным долгом" №2164 от 25.10.2017 г. Подпрограмма 2 "Создание условий для эффективного выполнения полномочий органов местного самоуправления"</t>
  </si>
  <si>
    <t>Постановление Правительства Республики Саха (Якутия) от 26.12.2016 № 457 «Об утверждении Программы Правительства Республики Саха (Якутия) по повышению эффективности управления региональными финансами на 2017 - 2019 годы»</t>
  </si>
  <si>
    <t xml:space="preserve">http://docs.cntd.ru/document/450230428 </t>
  </si>
  <si>
    <t>Постановление Правительства Республики Саха (Якутия) от 17.04.2019 №77 «Об утверждении распределения в 2019 году субсидии из Государственного бюджета Республики Саха (Якутия) местным бюджетам на софинансирование  проектов развития общественной инфраструктуры, основанных на местных инициативах»</t>
  </si>
  <si>
    <t xml:space="preserve">https://minfin.sakha.gov.ru/uploads/ckfinder/userfiles/files/%D0%BF%D0%BE%D1%81%D1%82%D0%B0%D0%BD%D0%BE%D0%B2%D0%BB%D0%B5%D0%BD%D0%B8%D0%B5%202019.pdf </t>
  </si>
  <si>
    <t xml:space="preserve">http://ppmi.sakha.gov.ru/ </t>
  </si>
  <si>
    <t xml:space="preserve">
Указ Главы Республики Саха (Якутия) от 27 августа 2019 г. № 712 "О государственной программе Республики Саха (Якутия) "Управление государственными финансами и государственным долгом" , Указ Главы Республики Саха (Якутия) от 12 декабря 2019 г. № 886 "О внесении изменений в государственную программу Республики Саха (Якутия) «Управление государственными финансами и государственным долгом» .  
Постановление Правительства Республики Саха (Якутия) "О внесении изменений в постановление Правительства Республики Саха (Якутия) от 20 мая 2017 г. № 170 "О реализации на территории Республики Саха (Якутия) проектов развития общественной инфраструктуры, основанных на местных инициативах" №266  от 24.09.2018 г.                                 Постановление Правительства Республики Саха (Якутия) "О внесении изменений в постановление Правительства Республики Саха (Якутия) от 20 мая 2017 г. № 170 "О реализации на территории Республики Саха (Якутия) проектов развития общественной инфраструктуры, основанных на местных инициативах" №229 от 30.08.2019 г.
</t>
  </si>
  <si>
    <t>Министерство финансов Республики Саха (Якутия)</t>
  </si>
  <si>
    <t>2 225</t>
  </si>
  <si>
    <t xml:space="preserve">Способ расчета количества благополучателей: 
При  заполнении заявки для участия в конкурсном отборе проектов развития общественной
инфраструктуры, основанных на местных инициативах, каждое муниципальное образование в п. 4.2. Социальная эффективность от реализации проекта указывает количество или группу населения, которые регулярно будут пользоваться результатами выполненного проекта (например, в случае ремонта улицы прямые благополучатели – это жители этой и прилегающих улиц, которые регулярно ходят или ездят по отремонтированной улице
</t>
  </si>
  <si>
    <t xml:space="preserve">https://sakha.gks.ru/folder/32348 </t>
  </si>
  <si>
    <t>Офиса нет, занимается департамент министерства финансов РС(Я) цифрового управления бюджетным процессом и защиты информации.</t>
  </si>
  <si>
    <t>Консультанты Всемирного банка - 4 человека</t>
  </si>
  <si>
    <t>Анкетирование, предварительные обсуждения</t>
  </si>
  <si>
    <t>Очное участие в итоговых собраниях</t>
  </si>
  <si>
    <t xml:space="preserve">Использование мессенджера WhatsApp </t>
  </si>
  <si>
    <t>Привлечение к работе с населением руководителей "Туолбэ" (Местные территориальные объединения граждан)</t>
  </si>
  <si>
    <t>390 муниципальных образований</t>
  </si>
  <si>
    <t xml:space="preserve">Состав конкурсной комисси утвержден постановлением Правительства Республики Саха (Якутия) от 20 мая 2017 г. № 170 </t>
  </si>
  <si>
    <t xml:space="preserve">http://ppmi.sakha.gov.ru/Application </t>
  </si>
  <si>
    <t xml:space="preserve">В соответствии с Постановлением Правительства РС(Я) от 20 мая 2017 года N 170 О реализации на территории Республики Саха (Якутия) проектов развития общественной инфраструктуры, основанных на местных инициативах 
(с изменениями постановления Правительства Республики Саха (Якутия)  № 266 от 24 сентября 2018 года)
Участниками конкурсного отбора являются муниципальные образования, расположенные на территории Республики Саха (Якутия) </t>
  </si>
  <si>
    <t>На сайте ППМИ МО предоставляют:                         1.Предоставление протоколов предварительных и общих собраний.                                                                                 2.Подача конкурсных заявок.</t>
  </si>
  <si>
    <t>http://ppmi.sakha.gov.ru/</t>
  </si>
  <si>
    <t xml:space="preserve">https://minfin.sakha.gov.ru/initsiativnoe-bjudzhetirovanie  
https://www.facebook.com/groups/242631792880061/ https://instagram.com/ppmi_ykt?igshid=arozo7carwhy  </t>
  </si>
  <si>
    <t xml:space="preserve">http://ppmi.sakha.gov.ru/Home     </t>
  </si>
  <si>
    <t>Информационное сопровождение и оповещение по отдельному медиа- плану (ТВ, радио), социальные сети</t>
  </si>
  <si>
    <t xml:space="preserve">https://youtu.be/MFAABUpO15k </t>
  </si>
  <si>
    <t>Семинары и видеоконференции</t>
  </si>
  <si>
    <t>Состав - главы МР, главы МО, ответственные по ППМИ, подключение к ВКС все районы республики.</t>
  </si>
  <si>
    <t>Колодезникова Светлана Романовна</t>
  </si>
  <si>
    <t>8(4112)344572</t>
  </si>
  <si>
    <t xml:space="preserve">proekt2@sakha.gov.ru </t>
  </si>
  <si>
    <t>Павлова Лариса Афанасьевна, руководитель департамента цифрового управления бюджетным процессом и защиты информации.</t>
  </si>
  <si>
    <t>8(4112)325152</t>
  </si>
  <si>
    <t xml:space="preserve">minfin@sakha.gov.ru </t>
  </si>
  <si>
    <t>Поддержка местных инициатив на территории Республики Марий Эл</t>
  </si>
  <si>
    <t>Государственная программа «Экономическое развитие и инвестиционная деятельность (2013-2025 годы)», утвержденная постановлением Правительства Республики Марий Эл от 31 августа 2012 г. № 326, подпрограмма «Развитие инвестиционной деятельности», мероприятие «Субсидии бюджетам городских округов, городских и сельских поселений на софинансирование проектов и программ развития территорий муниципальных образований в Республике Марий Эл, основанных на местных инициативах»</t>
  </si>
  <si>
    <t>Постановление Правительства Республики Марий Эл от 12 марта 2019 г. № 64 «О поддержке местных инициатив на территории Республики Марий Эл в 2019 году»</t>
  </si>
  <si>
    <t>http://mari-el.gov.ru/mecon/Pages/competitions.aspx</t>
  </si>
  <si>
    <t>Министерство внутренней политики, развития местного самоуправления и юстиции Республики Марий Эл, Министерство промышленности, экономического развития и торговли Республики Марий Эл, Министерство финансов Республики Марий Эл</t>
  </si>
  <si>
    <t>Министерство промышленности, экономического развития и торговли Республики Марий Эл</t>
  </si>
  <si>
    <t xml:space="preserve">Администрации городских округов, городских и сельских поселений Республики Марий Эл </t>
  </si>
  <si>
    <t>данные администраций муниципальных образований, реализовавших проекты (сумма благополучателей по 42 проектам)</t>
  </si>
  <si>
    <t>https://maristat.gks.ru/storage/mediabank/Оценка_числ%20РМЭ_2019_сайт(3).pdf</t>
  </si>
  <si>
    <t>3 специалиста Министерства внутренней политики, развития местного самоуправления и юстиции Республики Марий Эл, 3 специалиста Министерства промышленности, экономического развития и торговли Республики Марий Эл, 2 специалиста Министерства финансов Республики Марий Эл</t>
  </si>
  <si>
    <t>Протоколы собраний граждан (по всем 84 заявкам представленным на конкурсный отбор в 2019 г.)</t>
  </si>
  <si>
    <t>Обращения граждан в адрес депутатов по вопросам реализации проектов местных инициатив</t>
  </si>
  <si>
    <t>Координационный совет по поддержке местных инициатив на территории Республики Марий Эл, состав утвержден Постановлением Правительства Республики Марий Эл от 12 марта 2019 г. № 64. Координационный совет является совещательным и консультативным органом, обеспечивающим координацию и взаимодействие органов исполнительной власти Республики Марий Эл и органов местного самоуправления в Республике Марий Эл по вопросам поддержки местных инициатив, осуществляемой посредством реализации проектов и программ развития территорий муниципальных образований в Республике Марий Эл, основанных на местных инициативах</t>
  </si>
  <si>
    <t>Протоколы собраний граждан (по всем 84 заявкам, представленным на конкурсный отбор в 2019 г.)</t>
  </si>
  <si>
    <t xml:space="preserve">Конкурсная комиссия по проведению конкурсного отбора проектов и программ развития территорий муниципальных образований в Республике Марий Эл, основанных на местных инициативах (Постановление Правительства Республики Марий Эл от 12  марта 2019 г. № 64  (http://mari-el.gov.ru/mecon/Pages/competitions.aspx)
</t>
  </si>
  <si>
    <t>Критерии конкурсного отбора проектов и программ развития территорий городских округов, городских и сельских поселений Республике Марий Эл, основанных на местных инициативах (Постановление Правительства Республики Марий Эл от 12 марта 2019 г. № 64  (http://mari-el.gov.ru/mecon/Pages/competitions.aspx)</t>
  </si>
  <si>
    <t>90% - городские округа, городские и сельские поселения  Республики Марий Эл (кроме 14 муниципальных районов Республики Марий Эл в соответствии с НПА не могут принимать участие в конкурсном отборе)</t>
  </si>
  <si>
    <t>тип муниципального образования</t>
  </si>
  <si>
    <t>В 2018 году стартовал проект «Гражданский контроль: местные инициативы в Республике Марий Эл». В рамках реализации данного проекта на сайте газеты «Марийская правда» в активном режиме запущена интерактивная карта, на которой отображены все проекты, основанные на местных инициативах и прошедшие конкурсный отбор. По ссылке www.marpravda.ru/news/zh-k-h/proekt-narodnyy-kontrol-programma-podderzhki-obshchestvennykh-initsiativ-v-mariy-el с карты можно перейти на страницу конкретного проекта, увидеть ход его реализации, поделиться информацией (и группа в социальной сети «Вконтакте» https://vk.com/terin12)</t>
  </si>
  <si>
    <t>Трудовое участие со стороны граждан "неоплачиваемый вклад"</t>
  </si>
  <si>
    <t>https://vk.com/terin12</t>
  </si>
  <si>
    <t xml:space="preserve">Видео ролики на ТВ о проектах, реализованных по программе местных инициатив в Республики Марий Эл, выступление на радио представителей Минэкономразвития Республики Марий Эл, публикации в республиканской прессе (телеканалы ВГТРК «Марий Эл»,  «МЭТР» и др., размещение информации на официальных интернет-порталах Республики Марий Эл и официальных интернет-порталах администраций муниципальных образований Республики Марий Эл, а также официальных республиканских СМИ (газета «Марийская правда», официальные издания  администраций муниципальных образований Республики Марий Эл) и др. </t>
  </si>
  <si>
    <t>Совещания в Министерстве промышленности, экономического развития и торговли Республики Марий Эл по вопросам реализации проектов местных инициатив, подготовки отчетов. Мероприятия проводились ежегодно не реже 2 раз в год. Выездные совещания в администрациях муниципальных образований республики не реже 1 раза в квартал. В пространстве коллективной работы «Точка кипения - Йошкар-Ола» (г. Йошкар-Ола)  в  2019 г. проведено мероприятие «круглый стол» на тему: «Общественные инициативы в Республике Марий Эл: возможности реализации и механизмы поддержки» с участием представителей заинтересованных органов исполнительной власти, органов местного самоуправления и организаций Республики Марий Эл и граждан. Министерством внутренней политики, развития местного самоуправления и юстиции Республики Марий Эл в пространстве коллективной работы «Точка кипения – Йошкар-Ола» со студентами высших учебных заведений республики проведен «парламентский урок» в форме круглого стола на тему: «Инициативное бюджетирование, как новый способ решения вопросов местного значения», в пространстве коллективной работы «Точка кипения – Йошкар-Ола» состоялась правовая учеба с главами муниципальных образований республики</t>
  </si>
  <si>
    <t>Попадюк Светлана Ивановна, заместитель начальника отдела мониторинга инвестиционных проектов Министерства промышленности, экономического развития и торговли Республики Марий Эл</t>
  </si>
  <si>
    <t>8(8362) 22-21-46</t>
  </si>
  <si>
    <t>sprav_min@mail.ru</t>
  </si>
  <si>
    <t>Фатыхова Екатерина Андревна, советник отдела государственной поддержки отраслей экономики Министерства финансов Республики Марий Эл</t>
  </si>
  <si>
    <t>8(8362) 63-01-32</t>
  </si>
  <si>
    <t>mf-fea@minfin.mari.ru</t>
  </si>
  <si>
    <t>Проект "Народный бюджет" в Орловской области</t>
  </si>
  <si>
    <t>Конкурс проектов инициативного бюджетирования "Народный бюджет"</t>
  </si>
  <si>
    <t>http://publication.pravo.gov.ru/Document/View/5700201912040001</t>
  </si>
  <si>
    <t>Постановление Правительства Орловской области от 2 октября 2017 года № 412 «Об утверждении Положения о проекте «Народный бюджет» в Орловской области»</t>
  </si>
  <si>
    <t>https://base.garant.ru/45060122/</t>
  </si>
  <si>
    <t>Департамент по проектам развития территорий Орловской области</t>
  </si>
  <si>
    <t>Департамент строительства, топливно-энергетического комплекса жилищно-коммунального хозяйства, транспорта и дорожного хозяйства Орловской области, Департамент образования Орловской области, Управление культуры и архивного дела Орловской области</t>
  </si>
  <si>
    <t>Колпнянский район, Новосильский район, город Мценск, город Ливны, Бортновское сельское поселение Залегощенского района</t>
  </si>
  <si>
    <t>Численность населения в поселениях муниципальных образований Орловской области, на территории которых реализуются проекты ИБ; количество граждан в муниципальных образованиях Орловской области, которые непосредственно пользуются результатами реализованных проектов ИБ</t>
  </si>
  <si>
    <t>http://orel.old.gks.ru/wps/wcm/connect/rosstat_ts/orel/ru/statistics/population/</t>
  </si>
  <si>
    <t>протоколы собраний жителей муниципальных образований Орловской области</t>
  </si>
  <si>
    <t>социальные сети</t>
  </si>
  <si>
    <t>https://orel-region.ru/index.php?head=47&amp;unit=534&amp;op=1</t>
  </si>
  <si>
    <t>ТВ; радио; социальные сети; акселерационный марафон «Развитие малых территорий: инструменты, механизмы, практики»</t>
  </si>
  <si>
    <t>Акселерационный марафон «Развитие малых территорий: инструменты, механизмы, практики», объединяющий 27 семинаров на территории всех городских округов и муниципальных районов Орловской области</t>
  </si>
  <si>
    <t>Калифулов Андрей Николаевич, начальник управления планирования развития территорий Департамента по проектам развития Орловской области</t>
  </si>
  <si>
    <t>8 4862 59-78-49</t>
  </si>
  <si>
    <t>kant@adm.orel.ru</t>
  </si>
  <si>
    <t>Тоница Ирина Евгеньевна, заместитель начальника управления - начальник отдела отраслевого финансирования управления финансов Департатмента финансов Орловской области</t>
  </si>
  <si>
    <t>84862 59-82-15</t>
  </si>
  <si>
    <t>oof@adm.orel.ru</t>
  </si>
  <si>
    <t>Государственная программа Орловской области "Устойчивое развитие сельских территорий Орловской области" подпрограмма 3 "Грантовая поддержка местных инициатив
граждан, проживающих в сельской местности"</t>
  </si>
  <si>
    <t>Постановление Правительства Орловской области от от 4 декабря 2013 г. N 411 "Об утвержджении государственной программы Орловской области Орловской области "Устойчивое развитие сельских территорий Орловской области"</t>
  </si>
  <si>
    <t>https://orel-region.ru/index.php?head=17&amp;part=19&amp;number=411&amp;page=1</t>
  </si>
  <si>
    <t>Государственная программа Орловскойо бласти "Устойчивое развитие сельских территорий Орловской области", утвержденная постановлением Правительства Орловской области от от 4 декабря 2013 г. N 411 "Об утверждении государственной программы Орловской области Орловской области "Устойчивое развитие сельских территорий Орловской области". Срок реализации 2014-2019 гг.</t>
  </si>
  <si>
    <t>Департамент сельского хозяйства Орловской области</t>
  </si>
  <si>
    <t>Знаменский район Орловской области, Свердловский район Орловской области, Орловский район Орловской области</t>
  </si>
  <si>
    <t>Государственная программа развития сельского хозяйства и регулирования рынков сельскогохойственной продукции, сырья и продовольствия</t>
  </si>
  <si>
    <t>Численность населения муниципального образования (населенного пункта), на территории которого реализуются проекты инициативного бюджетирования</t>
  </si>
  <si>
    <t>да (протокол)</t>
  </si>
  <si>
    <t>https://orel-region.ru</t>
  </si>
  <si>
    <t>информационные письма в адрес администраций муниципальных районов</t>
  </si>
  <si>
    <t>Калинина Марина Александровна</t>
  </si>
  <si>
    <t>84862 75-06-08</t>
  </si>
  <si>
    <t>mak@adm.orel.ru</t>
  </si>
  <si>
    <t>(84862) 59-82-15</t>
  </si>
  <si>
    <t>1) "Проекты развития муниципальных образований Ульяновской области, подготовленных на основе местных инициатив граждан" в соответствии с НПА: - постановление Правительства Ульяновской области №7-П от 12.01.2018 "О реализации на территории Ульяновской области проектов развития муниципальных образований Ульяновской области, подготовленных на основе местных инициатив граждан"; -  постановление Правительства Ульяновской области №22/412-П от 08.09.2014 "Об утверждении государственной программы Ульяновской области "Управление государственными финансами Ульяновской области" на 2015-2021 годы".   2) "Поддержка местных инициатив" в соответствии с паспортом регионального приоритетного проекта "Поддержка местных инициатив на территории Ульяновской области", утверждённого Губернатором Ульяновской области С.И.Морозовым 26.12.2018г.</t>
  </si>
  <si>
    <t>Проект поддержки местных инициатив на территории Ульяновской области (ППМИ)</t>
  </si>
  <si>
    <t>Основное мероприятие "Региональный приоритетный проект "Поддержка местных инициатив на территории Ульяновской области" Государственной программы Ульяновской области "Управление государственными финансами Ульяновской области" на 2015-2021 годы" (постановление Правительства Ульяновской области №22/412-П от 08.09.2014), приложение №7</t>
  </si>
  <si>
    <t xml:space="preserve">Постановление Правительства Ульяновской области от 04.10.2016 г. № 22/460-П «О внесении изменений в постановление Правительства Ульяновской области от 08.09.2014 № 22/412-п «Об утверждении государственной программы Ульяновской области «Управление государственными финансами Ульяновской области» на 2015-2021 годы»
</t>
  </si>
  <si>
    <t>http://ufo.ulntc.ru/index.php?mgf=ppmi/npa</t>
  </si>
  <si>
    <t>Паспорт регионального приоритетного проекта "Поддержка местных инициатив на территории Ульяновской области", утверждённого Губернатором Ульяновской области С.И.Морозовым 26.12.2018</t>
  </si>
  <si>
    <t>http://ufo.ulntc.ru/index.php?mgf=ppmi/proekt</t>
  </si>
  <si>
    <t>Постановление Правительства Ульяновской области №22/412-П от 08.09.2014 "Об утверждении государственной программы Ульяновской области "Управление государственными финансами Ульяновской области" на 2015-2021 годы"</t>
  </si>
  <si>
    <t xml:space="preserve">В Стратегии социально-экономического развития Ульяновской области до 2030 года, утвержденной постановлением Правительства Ульяновской области от 13.07.2015 №16/319-П, мероприятие «Развитие практик инициативного бюджетирования на территории Ульяновской области» является одним из мероприятий задачи «Долгосрочные приоритеты бюджетной политики в Ульяновской области». Кроме того, в рамках  Стратегии развития государственных финансов Ульяновской области до 2030 года, утверждённой распоряжением Министерства финансов Ульяновской области от 10.09.2019 №41-р, «Реализация регионального приоритетного проекта «Поддержка местных инициатив» является одним из направлений задачи «Повышение прозрачности и открытости бюджетного процесса Ульяновской области».
</t>
  </si>
  <si>
    <t>Министерство финансов Ульяновской области</t>
  </si>
  <si>
    <t xml:space="preserve">Субсидии из областного бюджета Ульяновской области в целях софинансирования реализации проектов развития муниципальных образований Ульяновской области, подготовленных на основе местных инициатив граждан </t>
  </si>
  <si>
    <t>Местные бюджеты Ульяновской области (бюджеты поселений, муниципальных районов, поселений и городских округов с СНТ)</t>
  </si>
  <si>
    <t>Количество благополучателей рассчитывается на основании подсчёта данных, предоставленных в заявках муниципальных образований для участия  конкурсном отборе ППМИ. Предоставленная информация сверяется с данными Ульяновскстата.</t>
  </si>
  <si>
    <t>https://uln.gks.ru/folder/40275                                       http://10.40.40.2/ppmi/o-proekte</t>
  </si>
  <si>
    <t>Приложенные к заявкам копии протоколов сходов граждан, проведённых  на территории населённых пунктов муниципальных образований Ульяновской области по выбору приоритетного проекта развития с приложением списка граждан, присутствовавших на сходе, содержащий их собственноручные подписи</t>
  </si>
  <si>
    <t>очное участие членов конкурсной комиссии</t>
  </si>
  <si>
    <t>Исходя из степени бюджетной обеспеченности, участие в конкурсном отборе ППМИ в 2019 году могли принимать все городские и сельские поселения, муниципальные районы, на свои и переданные им полномочия по решению вопросов местного значения, а также городские округа только в части ремонта подъездных дорог к садоводческим, огороднические и дачным некоммерческим объединениям граждан.</t>
  </si>
  <si>
    <t>нет (предусмотрена с 2020 года)</t>
  </si>
  <si>
    <t xml:space="preserve">Население и хозяйствующие субъекты, осуществляющие свою деятельность на территории муниципальных образований Ульяновской области, могут принять участие в реализации проектов развития в натуральной форме (безвозмездное предоставление товаров, техники и оборудования, выполнения работ). Наличие данного вклада в заявке проекта развития учитывается при оценке проектов развития в соответствии с утверждённой Методикой (постановление Правительства Ульяновской области №7-П от 12.01.2018 "О реализации на территории Ульяновской области проектов развития муниципальных образований Ульяновской области, подготовленных на основе местных инициатив граждан") </t>
  </si>
  <si>
    <t>http://ufo.ulntc.ru/index.php?mgf=ppmi</t>
  </si>
  <si>
    <t xml:space="preserve">На официальном сайте Министерства финансов Ульяновской области создан раздел "ППМИ", в котором размещается вся актуальная информация о ходе реализации Проекта, нормативная правовая база, новости, и т.п. (http://ufo.ulntc.ru/index.php?mgf=ppmi). Более 20 пресс-релизов было опубликовано на официальном сайте Министерства финансов Ульяновской области и направлены в федеральные и региональные средства массовой информации. О ходе реализации Проекта поддержке местных инициатив Министр финансов региона выступала на радио «Милицейская волна», в муниципальные образования области были организованы пресс-туры, по итогам которых на региональном телевидении вышли сюжеты. Кроме того, информационное сопровождение проходило в социальных сетях: Twitter, Facebook. ВКонтакте. Аналогичная работа была проведена на муниципальном уровне. Кроме того, в приложением №3 к паспорту регионального приоритетного проекта "Поддержка местных инициатив" в 2019 году утверждён Медиа-план освещения реализации ППМИ, все мероприятия которого были выполнены в полном объёме. Кроме того, данный Медиа-план был направлен в муниципальные образования Ульяновской области для использования в работе. (Приложение №3 к письму).  Также на официальном сайте Министерства финансов Ульяновской области размещена Интерактивная карта реализованных проектов развития на территории муниципальных образований Ульяновской области за 2015-2019 года с фото объектов, реализованных в рамках ППМИ. Кроме того, в декабре 2019 года на официальном портале "Открытый бюджет Ульяновской области" создан специальный раздел "ППМИ".
</t>
  </si>
  <si>
    <t>Для популяризации ППМИ, ежегодно издаются Брошюры, посвящённые ППМИ на территории Ульяновской области. Ссылка на шаблоны документов http://10.40.40.2/ppmi/npa</t>
  </si>
  <si>
    <t>Министерством финансов Ульяновской области, не менее 1 раз  квартал проводились обучающие мероприятия (семинары, совещания) для участников реализации ППМИ и заинтересованных лиц, в т.ч. для руководителей финансовых органов муниципальных образований, Глав муниципальных образований, сельских старост, представителей инициативных групп,  депутов, представителей НКО. Например, с 6 по 7 декабря 2019 году на базе детского оздоровительного центра «Смарт» (с.Архангельское Чердаклинского района) проходил I Форум молодых специалистов региона «Мы – инициатива». В рамках форума в течение двух дней была организована проектная сессия, посвящённая основным параметрам реализации ППМИ на территории Ульяновской области, условиям участия в нём, этапах реализации и т.п. По результатом проведенной сессии молодыми специалистами финансовой отрасли (представители ВУЗов, банков, федерального и областного казначейства, налоговой службы, Министерства финансов Ульяновской области, Молодёжного министерства финансов Ульяновской области - более 80 человек) были разработаны и представлены 7 проектов развития, возможные к реализации на территории МО «город Ульяновск» , разделённых по районам Ульяновска. Наиболее актуальными проекты были оформлены и направлены в администрацию МО "г.Ульяновска" для возможной проработки и дальнейшего участия в ППМИ (Ссылка на группу форума: https://vk.com/event189357715
Ссылка по итогу: https://vk.com/wall-146265951_505
Ссылка описание форума: https://vk.com/event189357715?w=wall-189357715_6) (Приложение 3 к письму)</t>
  </si>
  <si>
    <t>Федотова Екатерина Ивановна, начальник экспертно-аналитического отдела департамента планирования бюджета Министерства финансов Ульяновской области</t>
  </si>
  <si>
    <t>8(842)244-26-24</t>
  </si>
  <si>
    <t>expert442624@mail.ru</t>
  </si>
  <si>
    <t>Государственная программа Самарской области "Поддержка инициатив населения муниципальных образований в Самарской области" на 2017 - 2025 годы</t>
  </si>
  <si>
    <t>Губернаторский проект "СОдействие"</t>
  </si>
  <si>
    <t>Постановление Правительства Самарской области от 17 мая 2017 года N 323</t>
  </si>
  <si>
    <t>https://yadi.sk/d/nGlpphyqklGqRw</t>
  </si>
  <si>
    <t>1. Постановление Правительства Самарской области от 01.03.2019 N 113 (ред. от 28.05.2019) "Об утверждении Распределения в 2019 году субсидий из областного бюджета местным бюджетам в целях софинансирования расходных обязательств муниципальных образований в Самарской области, направленных на решение вопросов местного значения и связанных с реализацией мероприятий по поддержке общественных проектов"
2. Постановление Правительства Самарской области от 27.12.2018 N 844 (ред. от 22.04.2019) "Об утверждении Распределения в 2019 году субсидий из областного бюджета местным бюджетам в целях софинансирования расходных обязательств муниципальных образований в Самарской области, направленных на решение вопросов местного значения и связанных с реализацией мероприятий по поддержке решений референдумов (сходов) об использовании средств самообложения граждан"</t>
  </si>
  <si>
    <t>Постановление Правительства Самарской области от 12.07.2017 N 441 (ред. от 17.09.2019) "О Стратегии социально-экономического развития Самарской области на период до 2030 года"</t>
  </si>
  <si>
    <t>Приказ Администрации Губернатора Самарской области от 22.09.2017 N 27-па (ред. от 05.02.2020) "О реализации отдельных полномочий, направленных на выполнение государственной программы Самарской области "Поддержка инициатив населения муниципальных образований в Самарской области" на 2017 - 2025 годы" (вместе с "Требованиями к документам, подтверждающим инициирование общественных проектов развития территорий муниципальных образований в Самарской области со стороны населения, территориального общественного самоуправления, территориальных общественных советов и некоммерческих организаций, а также к срокам представления таких документов в органы местного самоуправления муниципальных образований в Самарской области", "Требованиями к порядку, срокам и форме отчетов об использовании субсидии, предоставленной в целях софинансирования расходных обязательств муниципальных образований в Самарской области, направленных на решение вопросов местного значения и связанных с реализацией мероприятий по поддержке инициатив населения муниципальных образований в Самарской области")</t>
  </si>
  <si>
    <t>Администрация Губернатора Самарской области</t>
  </si>
  <si>
    <t>Департамент управления делами Губернатора Самарской области и Правительства Самарской области</t>
  </si>
  <si>
    <t>Субсидии муниципальным образованиям</t>
  </si>
  <si>
    <t>Администрации муниципальных образований Самарской области (сельские/городские поселения)</t>
  </si>
  <si>
    <t>Количество благополучателей
зависит от направления проекта. В случае, если проект направлен на благоустройство территории, рассчитывается проходимость территории в день/месяц/год, в случае, если направление проекта связано с проведением культурно-массового мероприятия, в расчет берется количество участников мероприятия, периодичность проведения и возможность дальнейшего применения инвентаря, приобретенного в рамках субсидии. По итогам реализации общественных проектов, муниципальное образование предоставляет отчет по установленной форме о количестве благополучателей. Наряду с показателем "количество благополучателей" в программу введен альтернативный показатель, доля МО принявших участие в практике ИБ от общего количества МО в субъекте РФ, который рассчитывается нарастающим итогом с начала действия государственой программы и составляет на 2019 год 61,27%.</t>
  </si>
  <si>
    <t>https://samarastat.gks.ru/population</t>
  </si>
  <si>
    <t>Выдача бланков или подписных листов</t>
  </si>
  <si>
    <t>Голосование на региональном портале "Вместе"</t>
  </si>
  <si>
    <t>Не референдумы, а сходы граждан. Протокол схода граждан. Очные встречи и обсуждения</t>
  </si>
  <si>
    <t>Лист регистрации и протокол заседания конкурсной комиссии</t>
  </si>
  <si>
    <t>Excel - рейтинг проектов</t>
  </si>
  <si>
    <t>В ходе реализации общественных проектов жителями Самарской области осуществляется общественный контроль. Результаты общественного мониторинга в оперативном порядке размещаются жителями в Twitter, в группу оперативного реагирования входит Губернатор, мобильная приемная Губернатора, аккаунт проекта, профильные министерства и ведомства,а также непосредственно руководители ОИВ</t>
  </si>
  <si>
    <t>При расчете рейтинга проекта не учитывается, вместе с тем прописывается в случае наличия в заявке на участие в конкурсных процедурах. Подразделяется на следующие виды: Работы
Услуги
Предоставление материалов
Предоставление техники
Предоставление оборудования
Предоставление инвентаря
Другое
Может осуществляться как физ. лицами, так и организациями на безвозмездной основе</t>
  </si>
  <si>
    <t>https://www.samregion.ru/open_government/institutions-gubernatorskij-proekt-sodejstvie/</t>
  </si>
  <si>
    <t>https://twitter.com/SOdeistvie63; https://www.instagram.com/SOdeistvie63/; https://vk.com/sodeistvie63; https://ok.ru/sodeistvie63; https://www.youtube.com/channel/UCb7glKD9I8gd_jYMXsN2CMQ</t>
  </si>
  <si>
    <t>https://yadi.sk/d/_aBt9VWBEg3v5A</t>
  </si>
  <si>
    <t>https://yadi.sk/d/YK-0w4x5c-IHZQ 18 декабря 2019 года Администрацией Губернатора Самарской области был проведён Форум гражданских инициатив Самарской области. Проведение Форума было основано на объединении практик реализации гражданских инициатив путем участия в Губернаторском проекте «СОдействие» и в конкурсе Фонда Президентских грантов в ходе реализации национальных проектов.
1. На Форуме была организована выставка лучших практик реализации в 2019 году 37 общественных проектов от всех городских округов и муниципальных районов Самарской области. С докладами выступили представители инициативных групп наиболее ярких проектов, реализованных в 2019 году. На форуме была организована фотозона с возможностью использования хэштегов.   
https://yadi.sk/d/grWA1E3b0X2FnA</t>
  </si>
  <si>
    <t>https://yadi.sk/d/grWA1E3b0X2FnA</t>
  </si>
  <si>
    <t xml:space="preserve">Администрацией Губернатора Самарской области совместно с  Ассоциацией «Совет муниципальных образований Самарской области» в 2019 году проводилось очное обучение вопросам участия в Государственной программе: 
в феврале были проведены пять заседаний фокус-группы по реализации общественных проектов. Встречи проходили по итогам реализации общественных проектов, осуществлялся обмен опытом представителей проектных групп муниципальных образований по вопросам реализации проектов от стадии подачи заявки до сдачи отчетности;
в мае-сентябре было проведено 6 выездных семинаров. Целью кустовых семинаров стало разъяснение возможных форм участия в Государственной программе и привлечение к инициированию общественных проектов новых групп граждан. В семинарах приняли участие представители от всех муниципальных районов (182 чел.) и городских округов Самарской области (223 чел.);
в октябре совместно с комитетом по местному самоуправлению Самарской Губернской Думы проведён семинар по подготовке документов для подачи на конкурс общественных проектов, в котором приняли участие 179 представителей муниципальных образований Самарской области. 
Важно отметить, что на следующий конкурс общественных проектов,  к  ноября 2020 года, изменилась форма заявочной документации. Изменения носят уточняющий характер, а также предусматривают выбор инициатора проекта, указания на мероприятия в рамках реализации проектов. С целью грамотного представления конкурсной документации, потребуется проведение дополнительных обучающих мероприятий по заполнению заявочной документации.
Наряду с обучающими мероприятиями, 18 декабря 2019 года Администрацией Губернатора Самарской области был проведён Форум гражданских инициатив Самарской области. Проведение Форума было основано на объединении практик реализации гражданских инициатив путем участия в Губернаторском проекте «СОдействие» и в конкурсе Фонда Президентских грантов в ходе реализации национальных проектов.
На Форуме была организована выставка лучших практик реализации  в 2019 году 37 общественных проектов от всех городских округов и муниципальных районов Самарской области. С докладами выступили представители инициативных групп наиболее ярких проектов, реализованных в 2019 году.
</t>
  </si>
  <si>
    <t xml:space="preserve">Терентьев Владимир Николаевич - и.о. руководителя Администрации Губернатора Самарской области </t>
  </si>
  <si>
    <t>8(846)221-40-15</t>
  </si>
  <si>
    <t>apparat@samregion.ru</t>
  </si>
  <si>
    <t>Гробер Ева Михайловна - консультант управления по связям с депутатским корпусом и общественными объединениями департамента внутренней политики Администрации Губернатора Самарской области</t>
  </si>
  <si>
    <t>8(927)-733-68-43, 8(846)242-03-72</t>
  </si>
  <si>
    <t>GroberEM@samregion.ru</t>
  </si>
  <si>
    <t>Программа по поддержке местных инициатив в Тверской области</t>
  </si>
  <si>
    <t>ППМИ ТО</t>
  </si>
  <si>
    <t xml:space="preserve">Государственная программа Тверской области «Управление общественными финансами и совершенствование региональной налоговой политики» на 2017 – 2022 годы
Подпрограмма Обеспечение сбалансированности и устойчивости местных бюджетов муниципальных образований Тверской области
Задача Повышение качества управления и стимулирование финансовой устойчивости местных бюджетов муниципальных образований Тверской области
Мероприятие Осуществление софинансирования программ развития общественной инфраструктуры городских и сельских поселений Тверской области в рамках Программы поддержки местных инициатив
Мероприятие Осуществление софинансирования программ развития общественной инфраструктуры городских округов Тверской области в рамках Программы поддержки местных инициатив
В целях реализации ППМИ в Тверской области приняты Порядки предоставления из областного бюджета Тверской области соответствующих субсидий местным бюджетам. Указанные порядки являются приложениями к государственной программе Тверской области «Управление общественными финансами и совершенствование региональной налоговой политики» на 2017 – 2022 годы, утвержденной постановлением Правительства Тверской области от 29.12.2016 № 440-пп. 
Порядками предусмотрены все процедуры, связанные с проведением конкурсного отбора, предоставлением субсидий и контролем за целевым и эффективным их использованием.
На реализацию положений порядков предоставления субсидий Министерством финансов Тверской области принят приказ от 19.02.2016 № 3-нп «Об отдельных вопросах реализации программ по поддержке местных инициатив в Тверской области и признании утратившими силу отдельных приказов Министерства финансов Тверской области», которым установлены: состав конкурсной документации для участия в конкурсном отборе на получение субсидий, значения критериев конкурсного отбора, формы соглашений о предоставлении субсидий, а также образована конкурсная комиссия в состав которой входят представители исполнительных органов государственной власти Тверской области, Законодательного собрания Тверской области, главы муниципальных образований и представители общественных организаций.
</t>
  </si>
  <si>
    <t xml:space="preserve">Ранее действовали следующие нормативные правовые акты:
- постановление Правительства Тверской области от 29.01.2013 № 25-пп «Об отдельных вопросах реализации программ по поддержке местных инициатив в Тверской области» (признано утратившим силу с 10.02.2016); приложения к государственной программе Тверской области «Управление общественными финансами и совершенствование региональной налоговой политики» на 2013 – 2018 годы, утвержденной постановлением Правительства Тверской области от 16.10.2012 № 604-пп (признано утратившим силу с 01.01.2017)). 
- приказ Министерства финансов Тверской области от 06.02.2013 № 11-нп «Об отдельных вопросах реализации Постановления Правительства Тверской области от 29.01.2013 № 25-пп»(признан утратившим силу с 19.02.2016)), которым установлены: состав конкурсной документации для участия в конкурсном отборе на получение субсидий, значения критериев конкурсного отбора, формы соглашений о предоставлении субсидий, а также образована конкурсная комиссия в состав которой входят представители исполнительных органов государственной власти Тверской области, Законодательного собрания Тверской области, главы муниципальных образований и представители общественных организаций.
</t>
  </si>
  <si>
    <t xml:space="preserve">Постановление Правительства Тверской области от 29.12.2016 N 440-пп (ред. от 26.11.2019)
"О государственной программе Тверской области "Управление общественными финансами и совершенствование региональной налоговой политики" на 2017 - 2022 годы"
Приказ Министерства финансов Тверской области от 19.02.2016 N 3-нп (ред. от 12.04.2019)
"Об отдельных вопросах реализации программ по поддержке местных инициатив в Тверской области и признании утратившими силу отдельных приказов Министерства финансов Тверской области"
</t>
  </si>
  <si>
    <t>Министерство финансов Тверской области</t>
  </si>
  <si>
    <t>субсидии на реализацию программ по поддержке местных инициатив в Тверской области на территории муниципальных районов Тверской области
субсидий на реализацию программ по поддержке местных инициатив в Тверской области на территории городских округов Тверской области</t>
  </si>
  <si>
    <t xml:space="preserve"> Муниципальное образование Тверской области, орган местного самоуправления которого осуществляет полномочие по решению вопроса местного значения, в рамках которого реализуется проект: 
- муниципальный район Тверской области
- поселение Тверской области
- городской округ Тверской области</t>
  </si>
  <si>
    <t>Заявкой на участие в конкурсном отборе предусмотрен показатель - число благополучателей (человек). Общая статистика ведется путем простого подсчета в экселе, как сумма чисел по данному показателю.</t>
  </si>
  <si>
    <t>Заявкой на участие в конкурсном отборе предусмотрены предварительные обсуждения проектов, подтверждением, которых являются копии и своды опросных листов, анкет, фотографии и протоколы с предварительных обсуждений, фотографии и подписные листы с подомового обхода и т.д., подтверждающие фактическое проведение мероприятий.</t>
  </si>
  <si>
    <t>Заявкой на участие в конкурсном отборе предусмотрено наличие изданий полиграфической продукции посвященной реализации Программы поддержки местных инициатив (буклет, листовка и т.д.), прикладывается согласлванный  экземпляр полиграфической продукции, макет которого согласован с Министерством финансов Тверской области, в 2018 году с полиграфической продукцией было заявлен 4 проекта.</t>
  </si>
  <si>
    <t xml:space="preserve">Выбор проекта населением производится на собрании прямым голосованием участников собрания.
Выбор проектов для реализации на территории Тверской области производится по итогам конкурсного отбора в соответствии с критериями конкурсного отбора, утвержденными Приказом Министерства финансов Тверской области от 19.02.2016 N 3-нп (ред. от 12.04.2019)
"Об отдельных вопросах реализации программ по поддержке местных инициатив в Тверской области и признании утратившими силу отдельных приказов Министерства финансов Тверской области"
</t>
  </si>
  <si>
    <t>Заявкой на участие в конкурсном отборе предусмотрено наличие неолачиваемого вклада (использование строительных материалов, оборудования, инструмента, уборку мусора, благоустройство и пр.), подтверждением являются представленные гарантийные письма от ф.л., ю.л., нко.</t>
  </si>
  <si>
    <t>http://ppmi.tverfin.ru/Application</t>
  </si>
  <si>
    <t xml:space="preserve">
https://www.tverfin.ru/deyatelnost-ministerstva/mezhbyudzhetnye-otnosheniya/vzaimodeystvie-s-munitsipalnymi-obrazovaniyami-.php</t>
  </si>
  <si>
    <t>http://ppmi.tverfin.ru/Application
https://www.tverfin.ru/</t>
  </si>
  <si>
    <t>В газетах Тверского региона и в новостях канала «Россия» Новости Тверь постоянно публиковались статьи и сюжеты о начале и ходе реализации Программы поддержки местных инициатив на территории Тверского региона.</t>
  </si>
  <si>
    <t>Все необходимые материалы для подготовки к реализации и реализации Программы поддержки местных инициатив в Тверской области размещены на сайте www.tverfin.ru</t>
  </si>
  <si>
    <t xml:space="preserve">Ежегодно в сентябре – октябре Министерство финансов Тверской области проводит обучающие мероприятия («Школа ППМИ») для органов местного самоуправления муниципальных образований Тверской области по проведению собраний, выбора проектов, подготовке пакетов документов для конкурсного отбора, также доводится график приема заявок и примерной даты проведения конкурсного отбора. Количество участников около 200.
После заседания конкурсной комиссии Министерство финансов Тверской области собирает победителей конкурсного отбора где проводит обучение по дальнейшей работе по реализации проектов инициативного бюджетирования (заключение соглашений, внесение изменений в бюджеты, графики и планы-графики, размещение документов на торги, заключение контрактов с подрядчиками, контроль и приемка работ, сбор средств с населения и спонсоров, расчеты с подрядчиками, отчетность в Министерство финансов Тверской области, торжественные открытия готовых объектов). Количество участников около 200.
</t>
  </si>
  <si>
    <t>Косякова Ксения Сергеевна</t>
  </si>
  <si>
    <t>8 (4822)32-37-40</t>
  </si>
  <si>
    <t>ppmi@tverfin.ru</t>
  </si>
  <si>
    <t>Государственная программа развития сельского хозяйства и регулирования рынков сельскохозяйственной продукции, сырья и продовольствия  Тамбовской области,
подпрограмма "Устойчивое развитие сельских территорий Тамбовской области, мероприятие по грантовой поддержке местных инициатив граждан, проживающих в сельской местности"</t>
  </si>
  <si>
    <t>Постановление администрации Тамбовской области от 18.11.2013 № 1314</t>
  </si>
  <si>
    <t>http://agro.tmbreg.ru/files/doc/PAO-2013-1314.pdf</t>
  </si>
  <si>
    <t>Управление сельского хозяйства Тамбовской области</t>
  </si>
  <si>
    <t>Субсидии на грантовую поддержку местных инициатив граждан, проживающих в сельской местности</t>
  </si>
  <si>
    <t>Государственная программа развития сельского хозяйства и регулирования рынков сельскохозяйственной продукции, сырья и продовольствия</t>
  </si>
  <si>
    <t>Министерство сельского хозяйства Российской Фндерации</t>
  </si>
  <si>
    <t>количество населения в муниципальных образованиях Тамбовской области - получателях субсидии (в зависимости от типа проектов в расчет берется определенная категория населения)</t>
  </si>
  <si>
    <t>https://www.tambov.gov.ru/assets/files/urt/pao-864.pdf</t>
  </si>
  <si>
    <t>Протокол комиссии по конкурсному отбору проектов на получение грантовой поддержки местных инициатив граждан, проживающих в сельской местности</t>
  </si>
  <si>
    <t>Нефинансовый вклад со стороны населения привлечен в виде трудового участия</t>
  </si>
  <si>
    <t>http://www.agro.tmbreg.ru , в новостной ленте</t>
  </si>
  <si>
    <t xml:space="preserve">Освещение в СМИ, официальные сайты РОИВ, ГРБС, ОМС.
https://top68.ru/news/111100-staryy-park-v-rzhakse-obnovyat-za-25-milliona-rubley;
https://top68.ru/news/103979-novyy-vodoprovod-i-detskaya-ploshchadka-poyavilis-v-gavrilovskom-rayone;
https://top68.ru/news/95572-v-tambovskoy-oblasti-v-2019-godu-na-razvitie-selskih-territoriy-napravyat-870-millionov
</t>
  </si>
  <si>
    <t>Не проводились.</t>
  </si>
  <si>
    <t>Рогова Наталия Николаевна, главный специалист-эксперт отдела развития сельских территорий</t>
  </si>
  <si>
    <t>(4 752) 78 26 56</t>
  </si>
  <si>
    <t>rnn@ agro.tambov.gov.ru</t>
  </si>
  <si>
    <t>Пантелина Лариса Александровна, заместитель начальника бюджетного отдела финансового управления Тамбовской области</t>
  </si>
  <si>
    <t>(4 752) 79 04 21</t>
  </si>
  <si>
    <t>fu15@fin.tambov.gov.ru</t>
  </si>
  <si>
    <t>Проект «Народная инициатива»</t>
  </si>
  <si>
    <t>Народная инициатива</t>
  </si>
  <si>
    <t>Государственная программа Тамбовской области «Формирование современной городской среды Тамбовской области» на 2018-2022 годы. Мероприятие: Субсидия на поддержку местных инициатив граждан и реализацию проектов «Народная инициатива»</t>
  </si>
  <si>
    <t>Постановление администрации Тамбовской области
от 25.07.2018 № 749</t>
  </si>
  <si>
    <t xml:space="preserve"> - </t>
  </si>
  <si>
    <t>Департамент государственной, муниципальной службы и противодействия коррупции аппарата главы администрации Тамбовской области</t>
  </si>
  <si>
    <t>Администрация Тамбовской области</t>
  </si>
  <si>
    <t>Городские округа, городские и сельские поселения Тамбовской области</t>
  </si>
  <si>
    <t>Показателем результативности использования субсидий администрациями городских округов, городских и сельских поселений Тамбовской области является доля граждан в общем количестве жителей Тамбовской области, непосредственно пользующихся результатами реализованных проектов «Народная инициатива».
Значение показателя результативности устанавливается в соглашении о предоставлении субсидии из бюджета Тамбовской области бюджету муниципального образования на поддержку местных инициатив граждан и реализацию проектов «Народная инициатива».
Численность граждан, непосредственно пользующихся результатами реализованных проектов, представленная муниципальными образованиями, суммируется и определяется их доля от численности населения области.</t>
  </si>
  <si>
    <t>https://tmb.gks.ru/storage/mediabank/chis18-19s.pdf</t>
  </si>
  <si>
    <t>Проведение заседаний общественных Советов, опрос граждан членами общественных Советов, привлечение волонтеров.</t>
  </si>
  <si>
    <t>Изучение общественного мнения посредством размещения информации в социальных сетях и на официальных сайтах муниципальных образований</t>
  </si>
  <si>
    <t>Использовалась для изучения общественного мнения в тестовом режиме</t>
  </si>
  <si>
    <t>По результатам опроса граждан проекты, набравшие наибольшее количество голосов, утверждаются на расширенных заседаниях общественных Советов</t>
  </si>
  <si>
    <t>Протокол приемки проектов членами общественных советов и гражданами</t>
  </si>
  <si>
    <t>Участвуют все городские округа, городские и сельские поселения Тамбовской области.
Не участвуют муниципальные районы Тамбовской области.
Иные муниципальные образования на территории Тамбовской области отсутствуют.</t>
  </si>
  <si>
    <t>Муниципальные районы Тамбовской области не участвуют, поскольку в состав их территорий входят сельские и городские поселения Тамбовской области.</t>
  </si>
  <si>
    <t>Изучение общественного мнения, предварительное выдвижение гражданами проектов</t>
  </si>
  <si>
    <t>https://www.tambov.gov.ru/gmspk/urt.html</t>
  </si>
  <si>
    <t>https://www.facebook.com/groups/965650083551503/</t>
  </si>
  <si>
    <t>https://www.tambov.gov.ru/news/view/proekt-narodnaya-iniciativa-novye-usloviya-novye-idei.html</t>
  </si>
  <si>
    <t>Информация о заседаниях общественных советов, опросах  граждан, общественном контроле, публичной приемке проектов общественными советами системно размещается в региональных и муниципальных СМИ, в сети интернет, в Faceboke в группах городов и районов, в группе «Тамбовщина Муниципальная». 	https://www.youtube.com/watch?v=IMs-9jdJIyQ</t>
  </si>
  <si>
    <t>Мячин Дмитрий Вячеславович - начальник отдела по взаимодействию с территориями управления по развитию территорий департамента государственной, муниципальной службы и противодействия коррупции аппарата главы администрации Тамбовской области</t>
  </si>
  <si>
    <t>(4 752) 79 22 68</t>
  </si>
  <si>
    <t>mdv@omsu.tambov.gov.ru</t>
  </si>
  <si>
    <t>Субсидия из краевого бюджета бюджетам муниципальных образований Хабаровского края на софинансирование расходных обязательств по реализации на территории городских и сельских поселений Хабаровского края проектов развития муниципальных образований Хабаровского края, основанных на местных инициативах граждан (далее - субсидии)</t>
  </si>
  <si>
    <t>Поддержка проектов местных инициатив (ППМИ)</t>
  </si>
  <si>
    <t>Государственная программа Хабаровского края "Развитие сельского хозяйства и регулирование рынков сельскохозяйственной продукции, сырья и продовольствия в Хабаровском крае", утвержденная постановлением Правительства Хабаровского края  от 17 августа 2012 г.
№ 277-пр (далее - государственная программа края)</t>
  </si>
  <si>
    <t>Постановление Правительства Хабаровского края
от 20 мая 2016 г. № 152-пр "О внесении изменений в отдельные постановления Правительства Хабаровского края"</t>
  </si>
  <si>
    <t>https://laws.khv.gov.ru</t>
  </si>
  <si>
    <t>Министерство сельского хозяйства, торговли, пищевой и перерабатывающей промышленности Хабаровского края</t>
  </si>
  <si>
    <t>Субсидии из краевого бюджета</t>
  </si>
  <si>
    <t>Городские и сельские поселения Хабаровского края</t>
  </si>
  <si>
    <t>Государственная программа развития сельского хозяйства и регулирования рынков сельскохозяйственной продукции, сырья и продовольствия, утвержденная постановлением Правительства Российской Федерации от 14 июля 2012 г. № 717</t>
  </si>
  <si>
    <t>Пунктом 6.2 заявки предусмотрено указание численности благополучателей. Расчет числа благополучателей производится поселениями самостоятельно в зависимости от направления проекта</t>
  </si>
  <si>
    <t>http://habstat.old.gks.ru/wps/wcm/connect/rosstat_ts/habstat/ru/statistics/hab_stat/population/</t>
  </si>
  <si>
    <t>Пунктом 8.1 заявки учитывается степень участия населения в определении приоритетности проекта согласно протоколов собраний граждан и (или) итогов анкетирования. Отражается общее число человек принявших участие в анкетировании. К аявке прикладываются оформленные итоги анкетирования и образцы анкет</t>
  </si>
  <si>
    <t>Пунктом 8.1 заявки учитывается степень участия населения в определении приоритетности проекта согласно протоколов собраний граждан и (или) итогов анкетирования. Отражается общее число человек принявших участие в собраниях. К заявке прикладываются оформленные итоги проведенных встреч</t>
  </si>
  <si>
    <t>Пунктом 8.1 заявки учитывается степень участия населения в определении приоритетности проекта согласно протоколов собраний граждан и (или) итогов анкетирования. Отражается общее число человек принявших участие в собраниях и в анкетировании. К заявке прикладываются оформленные итоги проведенных встреч</t>
  </si>
  <si>
    <t>Оценка проектов производится по критериям, установленным в Порядке предоставления субсидий, являющимся Приложением № 10 к государственной программе края</t>
  </si>
  <si>
    <t>В практике возможно участие только городских и сельских поселений Хабаровского края. Городские округа и муниципальные районы участвовать не могут.</t>
  </si>
  <si>
    <t>Критерии установлены Порядком предоставления субсидий, являющимся Приложением № 10 к государственной программе края, а именно:                                                                                                       1) социальная эффективность реализации проекта;
2) степень участия населения, юридических лиц, индивидуальных предпринимателей, некоммерческих организаций, осуществляющих деятельность на территории населенного пункта муниципального образования, в определении и решении проблемы, на которую направлен проект;
3) степень участия населения в обеспечении эксплуатации и содержании объекта после реализации проекта;
4) количество создаваемых и (или) сохраняемых рабочих мест в рамках реализации проекта;
5) уровень софинансирования проекта в денежной форме;
6) использование муниципальным образованием средств массовой информации и средств изучения общественного мнения в процессе разработки и популяризации проекта.</t>
  </si>
  <si>
    <t>В виде предоставления материалов, оборудования и техники,а также выполнения работ</t>
  </si>
  <si>
    <t xml:space="preserve">https://minsh.khabkrai.ru/Gospodderzhka/Programmy-/Kraevye/Podprogramma-quot-Kompleksnoe-razvitie-selskih-territorij-quot-/Meropriyatiya-podprogrammy-quot-Kompleksnoe-razvitie-selskih-territorij-quot-/574
</t>
  </si>
  <si>
    <t>https://minsh.khabkrai.ru/events/Informaciya-o-konkursah/1583</t>
  </si>
  <si>
    <t>Проведенние информационных встреч с населением и сотрудниками администраций муниципальных образований, размещение статей в печатных СМИ, официальные сайты администраций муниципальных образований Хабаровского края, официальный сайт Правительства Хабаровского края</t>
  </si>
  <si>
    <t>Министерством сельского хозяйства, торговли, пищевой и перерабатывающей промышленности Хабаровского края разработана брошюра о ППМИ (напечатано 300 экз.) и буклеты (напечатано 500 экз.) https://minsh.khabkrai.ru/Gospodderzhka/Programmy-/Kraevye/Podprogramma-quot-Kompleksnoe-razvitie-selskih-territorij-quot-/Meropriyatiya-podprogrammy-quot-Kompleksnoe-razvitie-selskih-territorij-quot-/574</t>
  </si>
  <si>
    <t>Ежеквартально в муниципальных образованиях края проводились обучающие мероприятия о реализации ППМИ в форме семинаров и информационных встреч. Участие принимали главы муниципальных образований края и инициативные жители</t>
  </si>
  <si>
    <t>Лавриненко Елена Евгеньевна  консультант отдела социальных проектов министерства сельского хозяйства, торговли, пищевой и перерабатывающей промышленности Хабаровского края</t>
  </si>
  <si>
    <t>8 (4212) 32 77 52</t>
  </si>
  <si>
    <t>e.e.lavrinenko@adm.khv.ru</t>
  </si>
  <si>
    <t>Райшутис Виталий Иозасович, заместитель начальника управления финансового мониторинга - начальник отдела финансового менеджмента министерства финансов Хабаровского края</t>
  </si>
  <si>
    <t>8 (4212) 40 23 15</t>
  </si>
  <si>
    <t>v.i.rayshutis@adm.khv.ru</t>
  </si>
  <si>
    <t>Предоставление грантов муниципальным образованиям края в целях поддержки проектов, инициируемых муниципальными образованиями края по развитию территориального общественного самоуправления в рамках государственной программы Хабаровского края "Содействие развитию институтов и инициатив гражданского общества в Хабаровском крае" (утверждена постановлением Правительства края от 29 декабря 2012 г. № 482-пр)</t>
  </si>
  <si>
    <t>государсвенная программа Хабаровского края "Содействие развитию институтов и инициатив гражданского общества в Хабаровском крае"  (содействие развитию территориального общественного самоуправления)</t>
  </si>
  <si>
    <t>постановление Правительства края от 29 декабря 2012 г. № 482-пр</t>
  </si>
  <si>
    <t>consultantplus://offline/ref=9178811C41C6440B691B8C54AA866C6418F67439DE68880EFBD21DE6FB18A91D0CB000D8C0540295F1519CFCD257104C20506ED3078BDC3AB6EBF2B360DC44FDl1TDF</t>
  </si>
  <si>
    <t>Постановление Правительства края от 24.06.2016 № 199-пр "Об утверждении Положения о предоставлении грантов в форме иных межбюджетных трансфертов из краевого бюджета бюджетам муниципальных образований Хабаровского края в целях поддержки проектов, инициируемых муниципальными образованиями края по развитию территориального общественного самоуправления", Распоряжение Правительства края от 05.02.2016 № 51-рп "Об утверждении Концепции развития территориального общественного самоуправления в Хабаровском крае до 2020 года"</t>
  </si>
  <si>
    <t>https://guvp.khabkrai.ru/Deyatelnost/TOS/Obschaya-informaciya-i-normativnye-pravovye-akty</t>
  </si>
  <si>
    <t xml:space="preserve">главное управление внутренней политики Правительства Хабаровского края </t>
  </si>
  <si>
    <t>гранты в форме иных межбюджетных трансфертов</t>
  </si>
  <si>
    <t>муниципальные образования Хабаровского края</t>
  </si>
  <si>
    <t>количество граждан,  проживающих в границах ТОС (на основании данных, указанных бюджетополучателями в проектах ТОС)</t>
  </si>
  <si>
    <t>https://habstat.gks.ru/storage/mediabank/Предварительная%20численность%20населения%20Хабаровского%20края%20по%20муниципальным%20образованиям%20на%201%20января%202020%20года.doc</t>
  </si>
  <si>
    <t xml:space="preserve">фонд "Краевой центр развития гражданских инициатив и социально 
ориентированных некоммерческих организаций"
</t>
  </si>
  <si>
    <t>главное управление внутренней политики Правительства Хабаровского края</t>
  </si>
  <si>
    <t>информационные встречи, гражданские форумы,  обучающие семинары</t>
  </si>
  <si>
    <t xml:space="preserve">протокол заседания конкусной комиссии https://guvp.khabkrai.ru/?menu=getfile&amp;id=6384  </t>
  </si>
  <si>
    <t>использование строительных материалов,  предоставление техники, оборудования и инструментов, имеющихся у населения и юридических лиц; выполнение вспомогательных/иных работ – подготовка территории, уборка мусора, использование неквалифицированного труда</t>
  </si>
  <si>
    <t xml:space="preserve">https://guvp.khabkrai.ru </t>
  </si>
  <si>
    <t>https://instagram.com/guvpkhv?igshid=1bpysjwlfhm4f</t>
  </si>
  <si>
    <t xml:space="preserve"> краевых СМИ: в печатных СМИ, в сети "Интернет", телевидение, радио </t>
  </si>
  <si>
    <t>методические материалы https://guvp.khabkrai.ru/Deyatelnost/TOS/Obschaya-informaciya-i-normativnye-pravovye-akty/Metodicheskie-materialy-tipovye-akty</t>
  </si>
  <si>
    <t xml:space="preserve">с июня по ноябрь 2019 г. проведено 8 обучающих семинаров для специалистов органов местного самоуправления и лидеров территориального общественного самоуправления. </t>
  </si>
  <si>
    <t>Барабанова Елена Анатольевна, консультант отдела развития ТОС управления региональной политики главного управления внутренней политики Правительства Хабаровского края</t>
  </si>
  <si>
    <t>(4212) 30 16 28</t>
  </si>
  <si>
    <t xml:space="preserve">e.a.barabanova@adm.khv.ru </t>
  </si>
  <si>
    <t>Проект «Инициативы граждан»</t>
  </si>
  <si>
    <t>Государственная программа Республики Алтай "Формирование современной городской среды", подпрограмма "Благоустройство территорий муниципальных образований в Республике Алтай", основное мероприятие "Благоустройство территорий в рамках реализации проектов, основанных на местных инициативах", мероприятие "Субсидии на выполнение работ по благоустройству территорий в рамках реализации проекта "Инициативы граждан"</t>
  </si>
  <si>
    <t>постановление Правительства Республики Алтай от 31.01.2018 г. № 25 "Об утверждении изменений, которые вносятся в государственную программу Республики Алтай "Формирование современной городской среды"</t>
  </si>
  <si>
    <t>https://minregion-ra.ru/wp-content/uploads/2018/03/%D0%9F%D0%BE%D1%81%D1%82%D0%B0%D0%BD%D0%BE%D0%B2%D0%BB%D0%B5%D0%BD%D0%B8%D0%B5-%E2%84%96-25-%D0%BE%D1%82-31.01.2018.pdf</t>
  </si>
  <si>
    <t xml:space="preserve">Министерство регионального развития Республики Алтай
</t>
  </si>
  <si>
    <t>муниципальные образования в Республике Алтай</t>
  </si>
  <si>
    <t>статистические данные</t>
  </si>
  <si>
    <t>https://akstat.gks.ru/folder/33349</t>
  </si>
  <si>
    <t xml:space="preserve">Протокол заседания комиссии по рассмотрению заявок, поданных муниципальными образованиями в Республике Алтай на предоставление субсидий муниципальным образованиям в Республике Алтай из республиканского бюджета Республики Алтай на реализацию проектов по благоустройству территорий в рамках проекта "Инициативы граждан" </t>
  </si>
  <si>
    <t xml:space="preserve">Безвозмездный труд, строительные материалы, оборудование
</t>
  </si>
  <si>
    <t>https://minregion-ra.ru/deyatelnost/strategicheskoe-napravlenie-zhkkh-i-gorodskaya-sreda.php</t>
  </si>
  <si>
    <t>https://minfin-altai.ru/deyatelnost/proactive-budgeting/</t>
  </si>
  <si>
    <t>https://minregion-ra.ru/wp-content/uploads/2018/03/14032018Информационное-сообщение.pdf</t>
  </si>
  <si>
    <t>Гулькина Наталья Владимировна, Володин Иван Евгеньевич</t>
  </si>
  <si>
    <t>38822-2-28-18, 38822-4-70-27</t>
  </si>
  <si>
    <t>economy@minregion-ra.ru,  invest-minregion@mail.ru</t>
  </si>
  <si>
    <t>Клепикова Ольга Игоревна</t>
  </si>
  <si>
    <t>388-22-2-14-63</t>
  </si>
  <si>
    <t>gnezdilova@minfin.gorny.ru</t>
  </si>
  <si>
    <t>Подпрограмма "Благоустройство территорий муниципальных образований в Республике Алтай"</t>
  </si>
  <si>
    <t>Региональный проект "Формирование комфортной городской среды"</t>
  </si>
  <si>
    <t>Подпрограмма "Благоустройство территорий муниципальных образований в Республике Алтай" государственной программы Республики Алтай "Формирование современной городской среды"</t>
  </si>
  <si>
    <t>Постановление Правительства Республики Алтай от 31.01.2018 г. № 25 "Об утверждении изменений, которые вносятся в государственную программу Республики Алтай "Формирование современной городской среды"</t>
  </si>
  <si>
    <t>Обеспечение доступным и комфортным жильем и коммунальными услугами граждан Российской Федерации</t>
  </si>
  <si>
    <t>Протокол общего собрания собственников помещений многоквартирных домов</t>
  </si>
  <si>
    <t>протокол собрания Общественной комиссии по реализации приоритетного проекта "Формирование городской среды"</t>
  </si>
  <si>
    <t>Регистрация граждан, пришедших на голосование, которое проходило на 11 участках городского округа</t>
  </si>
  <si>
    <t>Участие могут принимать муниципальные образования с численностью населения свыше 1000 человек (всего 27 муниципальных образований, из них - городской округ, 26 сельских поселений)</t>
  </si>
  <si>
    <t xml:space="preserve">Трудовое участие </t>
  </si>
  <si>
    <t>http://www.gornoaltaysk.ru/formirovanie-sovremennoy-gorodskoy-sredy/</t>
  </si>
  <si>
    <t xml:space="preserve">https://vk.com/official_ga, https://ok.ru/officialga </t>
  </si>
  <si>
    <t>Самый большой охват населения – встреча с представителями каждого многоквартирного дома, а также рекламная кампания, проводимая через социальные сети и сетевые СМИ.
Ссылка: https://www.gorno-altaisk.info/news/88707</t>
  </si>
  <si>
    <t>Проводились очные встречи с собственниками жилых помещений</t>
  </si>
  <si>
    <t>Мероприятие «Предоставление грантов на поддержку местных инициатив граждан» подпрограммы «Устойчивое развитие сельских территорий» государственной программы Республики Алтай «Развитие сельского хозяйства и регулирование рынков сельскохозяйственной продукции, сырья и продовольствия»</t>
  </si>
  <si>
    <t>Постановление Правительства Республики Алтай от 29 декабря 2014 года № 424 "О внесении изменений в государственную программу Республики Алтай "Развитие сельского хозяйства и регулирование рынков сельскохозяйственной продукции, сырья и продовольствия"</t>
  </si>
  <si>
    <t>Министерство сельского хозяйства Республики Алтай</t>
  </si>
  <si>
    <t>сельское поселение</t>
  </si>
  <si>
    <t>Статистические данные</t>
  </si>
  <si>
    <t>протокол</t>
  </si>
  <si>
    <t>трудовое участие, предоставление помещений, технических средств и другие формы</t>
  </si>
  <si>
    <t>Архипова Анастасия Вячеславовна, главный специалист Минсельхоз Республики Алтай</t>
  </si>
  <si>
    <t>8(38822)2-83-48</t>
  </si>
  <si>
    <t>arhipova@mcx.gorny.ru</t>
  </si>
  <si>
    <t>«Поддержка местных (муниципальных) инициатив и участия населения в осуществлении местного самоуправления на территории Рязанской области»</t>
  </si>
  <si>
    <t>«Поддержка местных инициатив»</t>
  </si>
  <si>
    <t>Подпрограмма 5 «Поддержка местных (муниципальных) инициатив и участия населения в осуществлении местного самоуправления на территории Рязанской области» государственной программы Рязанской области «Развитие местного самоуправления и гражданского общества», утвержденной постановлением Правительства Рязанской области от 11.11.2015 № 280 (Задача: Вовлечение населения в осуществление местного самоуправления и совершенствование навыков органов местного самоуправления по подготовке и внедрению проектов местного значения с участием населения, в том числе: Предоставление субсидий бюджетам муниципальных образований на выполнение мероприятий муниципальных программ (подпрограмм), направленных на реализацию проектов местных инициатив)</t>
  </si>
  <si>
    <t>Постановление Правительства Рязанской области от 22.02.2017 N 35 "О внесении изменений в Постановление Правительства Рязанской области от 11 ноября 2015 г. N 280 "Об утверждении государственной программы Рязанской области "Развитие местного самоуправления и гражданского общества на 2016 - 2020 годы" (в редакции Постановлений Правительства Рязанской области от 20.04.2016 N 84, от 20.10.2016 N 242)"</t>
  </si>
  <si>
    <t>Государственная программа Рязанской области «Развитие местного самоуправления и гражданского общества», утвержденная постановлением Правительства Рязанской области от 11.11.2015 № 280, срок действия - до 2022 года (включительно)</t>
  </si>
  <si>
    <t>Постановление Министерства по делам территорий и информационной политике Рязанской области от 30.12.2019 № 14  "Об утверждении порядка проведения конкурсного отбора муниципальных образований Рязанской области для предоставления субсидий на реализацию мероприятия, предусмотренного подпунктом 1.1 раздела 5 "Система программных мероприятий" подпрограммы 5 "Поддержка местных (муниципальных) инициатив и участия населения в осуществлении местного самоуправления на территории Рязанской области" государственной программы Рязанской области "Развитие местного самоуправления и гражданского общества", и проверки условий их предоставления"</t>
  </si>
  <si>
    <t>https://minter.ryazangov.ru/activities/direction/podderzhka-mestnykh-initsiativ/</t>
  </si>
  <si>
    <t>Министерство по делам территорий и информационной политике Рязанской области</t>
  </si>
  <si>
    <t>Муниципальные образования Рязанской области</t>
  </si>
  <si>
    <t>Оценка органов местного самоуправления</t>
  </si>
  <si>
    <t>36,8%  https://ryazan.gks.ru/storage/mediabank/Численность%20населения(9).pdf</t>
  </si>
  <si>
    <t>Протоколы собраний граждан</t>
  </si>
  <si>
    <t>http://minfin-rzn.ru/participation/</t>
  </si>
  <si>
    <t>Информация о предоставлении субсидий бюджетам муниципальных образований на выполнение мероприятий муниципальных программ (подпрограмм), направленных на реализацию проектов местных инициатив, размещается во всех информационных ресурсах: в СМИ (ТВ, радио, сетевые, печатные издания), на сайтах Правительства Рязанской области, министерства по делам территорий и информационной политике Рязанской области, муниципальных образований. Кроме того, информация размещается в социальных сетях на официальных страницах министерства и муниципальных образований, официальных страницах СМИ, прежде всего, государственных: ГАУ ОГТРК «Край Рязанский», ГАУ Редакция областной газеты «Рязанские ведомости», ГАУ РО «Издательство «Пресса» (включает 25 районных газет).
В 2019 году в региональных информационных ресурсах было размещено 2950 материалов, посвященных вопросам реализации проектов местных инициатив (1569 – в сетевых изданиях,  688 – в печатных,  62 – в эфире ТВ;  631 – на сайтах официальных учреждений). https://yadi.sk/d/arZkxRQtzUkxNA</t>
  </si>
  <si>
    <t>https://yadi.sk/d/MRDJzoJhKOXY6w</t>
  </si>
  <si>
    <t>В 2019 году проведена 1 конференция, посвященная реализации проектов местных инициатив, с общим количеством участников 200 человек (зима 2019 года); Проведено 6 кустовых семинаров (продолжительностью 2 часа каждый, периодичностью 1 раз в 3 недели) с представителями органов местного самоуправления всех муниципальных образований области, активными гражданами, представителями ТОС и сельскими старостами по вопросам реализации проектов местных инициатив . https://yadi.sk/d/arZkxRQtzUkxNA</t>
  </si>
  <si>
    <t>Сокуров Николай Николаевич - начальник управления по вопросам организации местного самоуправления - начальник отдела методической поддержки органов местного самоуправления министерства по делам территорий и информационной политике Рязанской области</t>
  </si>
  <si>
    <t>(4912) 29-05-63</t>
  </si>
  <si>
    <t>snn-mt@adm1.ryazan.su</t>
  </si>
  <si>
    <t>Реализация проектов развития муниципальных образований области, основанных на местных инициативах</t>
  </si>
  <si>
    <t>Проект по поддержке местных инициатив (ППМИ)</t>
  </si>
  <si>
    <t xml:space="preserve">Государственная программа Саратовской области «Развитие государственного и муниципального управления»  утверждена постановлением Правительства Саратовской области от 20 ноября 2013 года № 647-П «О государственной программе Саратовской области «Развитие государственного и муниципального управления» (подпрограмма 5 «Управление региональными финансами Саратовской области», основное мероприятие 5.5. «Развитие инициативного бюджетирования в Саратовской области») </t>
  </si>
  <si>
    <t>Постановление Правительства Саратовской области от 17 июля 2017 года № 361-П "О внесении изменений в государственную программу Саратовской области "Развитие государственного и муниципального управления до 2020 года"</t>
  </si>
  <si>
    <t>https://minfin.saratov.gov.ru/index.php?option=com_acrfilestorage&amp;task=download&amp;on=2065</t>
  </si>
  <si>
    <t xml:space="preserve">Постановление Правительства Саратовской области от 17 июля 2017 года № 362-П "О реализации на территории Саратовской области проектов развития муниципальных образований области, основанных на местных инициативах" </t>
  </si>
  <si>
    <t>https://minfin.saratov.gov.ru/index.php?option=com_acrfilestorage&amp;task=download&amp;on=2060</t>
  </si>
  <si>
    <t>Министерство финансов Саратовской области,
министерство по делам территориальных образований Саратовской области</t>
  </si>
  <si>
    <t>Министерство финансов Саратовской области</t>
  </si>
  <si>
    <t>городские округа, городские и сельские поселения области</t>
  </si>
  <si>
    <t xml:space="preserve">экспертная оценка органов местного самоуправления муниципальных образований, на территории которых реализовывались проекты </t>
  </si>
  <si>
    <t>srtv.gks.ru/folder/59967</t>
  </si>
  <si>
    <t>протоколы собрания граждан (с приложением списка граждан, присутствовавших на собрании, с личными подписями), фотографии собрания</t>
  </si>
  <si>
    <t>протокол заседания конкурсной комиссии по проведению конкурсного отбора муниципальных образований области для предоставления субсидии бюджетам городских округов, городских и сельских поселений области на реализацию проектов развития муниципальных образований области, основанных на местных инициативах</t>
  </si>
  <si>
    <t xml:space="preserve">городские округа, городские и сельские поселения с численностью населения не более 300 тыс. человек </t>
  </si>
  <si>
    <t>под критерий попадают все муниципальные образования области, кроме областного центра (312 из 313 поселений и городских округов)</t>
  </si>
  <si>
    <t>Неденежный вклад населения  и организаций включает в себя неоплачиваемые работы, материалы, предоставление техники и оборудования (используется как критерий при проведении балльной оценки)</t>
  </si>
  <si>
    <t>https://minfin.saratov.gov.ru/budget/proekty/proekt-po-podderzhke-mestnykh-initsiativ-v-saratovskoj-oblasti/o-proekte</t>
  </si>
  <si>
    <t>https://twitter.com/ifinmon/</t>
  </si>
  <si>
    <t>Информационное освещение программы поддержки местных инициатив на территории области осуществлялось с помощью размещения информационных и новостных материалов: на странице официального сайта Правительства Саратовской области, министерство финансов Саратов</t>
  </si>
  <si>
    <t xml:space="preserve">семинар-совещание, один раз в полугодие, представители органов местного самоуправления, видеолекция </t>
  </si>
  <si>
    <t>Зайцев Дмитрий Сергеевич, референт отдела методологии и организации бюджетного процесса аналитического управления министерства финансов Саратовской области</t>
  </si>
  <si>
    <t>+7 (8452) 274044</t>
  </si>
  <si>
    <t>zaytsevds@saratov.gov.ru</t>
  </si>
  <si>
    <t>Внедрение механизмов инициативного бюджетирования на территории Свердловской области</t>
  </si>
  <si>
    <t>публичного названия нет, часто используется выражение "инициативное бюджетирование"</t>
  </si>
  <si>
    <t>подпрограмма 3 «Совершенствование бюджетной политики, налоговых инструментов» государственной программы Свердловской области «Совершенствование социально-экономической политики на территории Свердловской области до 2024 года», утвержденной постановлением Правительства Свердловской области от 25.12.2014 № 1209-ПП в последующих редакциях</t>
  </si>
  <si>
    <t>постановление Правительства Свердловской области от 31.08.2017 № 639-ПП</t>
  </si>
  <si>
    <t>http://economy.midural.ru/npa_goss_progr_so_sov_soc_econom_pol</t>
  </si>
  <si>
    <t>Закон Свердловской области от 6 декабря 2018 года № 144-ОЗ «Об областном бюджете на 2019 год и плановый период 2020 и 2021 годов»</t>
  </si>
  <si>
    <t xml:space="preserve">https://minfin.midural.ru/document/category/20#document_list </t>
  </si>
  <si>
    <t xml:space="preserve">приказы Минэкономики и терразвития Свердловской области от 04.06.2018 № 32 "О региональной конкурсной комиссии по отбору проектов инициативного бюджетирования, реализуемых на территории Свердловской области" в редакцим от 06.02.2020; от 09.07.2018 № 40 "Об одобрении типовой формы постановления главы (администрации) муниципального образования, расположенного на территории Свердловской области, об утверждении Порядка проведения  конкурсного отбора проектов инициативного бюджетирования и состава конкурсной комиссии".
НПА муниципального уровня размещены на сайтах муниципальных образований </t>
  </si>
  <si>
    <t xml:space="preserve">http://economy.midural.ru/content/perechen-npa-aktualnye-redakcii </t>
  </si>
  <si>
    <t>Министерство экономики и территориального развития Свердловской области</t>
  </si>
  <si>
    <t>муниципальные образования, расположенные на территории Свердловской области</t>
  </si>
  <si>
    <t xml:space="preserve">Методики подсчета определялись муниципальными образованиями </t>
  </si>
  <si>
    <t>https://sverdl.gks.ru/folder/29698</t>
  </si>
  <si>
    <t>Да (в 5 муниципальных образованиях)</t>
  </si>
  <si>
    <t xml:space="preserve">Составляется протокол (Ф.И.О. подпись участников)(Асбестовский ГО), заполнение анкет, опрос населения (ГО Верхотурский, Качканарский ГО, Туринский ГО), Горноуральский ГО: https://docs.google.com/forms/d/e/1FAIpQLSdhftWo3W64Wbkg1Bb6cryz496sc5uUp8P-SndT4WiO-kf7xA/viewform </t>
  </si>
  <si>
    <t>да (в 11 муниципальных образованиях)</t>
  </si>
  <si>
    <t>протокол собрания жителей (инициативной группы, родительского собрания)</t>
  </si>
  <si>
    <t>да (Арамильский ГО, Туринский ГО)</t>
  </si>
  <si>
    <t>подача заявок на участие в отборе (Арамильский ГО)</t>
  </si>
  <si>
    <t>журнал регистрации заявок</t>
  </si>
  <si>
    <t xml:space="preserve">одобрение проекта на странице в соцсети "Одноклассники"; https://docs.google.com/forms/d/e/1FAIpQLSdhftWo3W64Wbkg1Bb6cryz496sc5uUp8P-SndT4WiO-kf7xA/viewform </t>
  </si>
  <si>
    <t>да (в 9 муниципальных образованиях)</t>
  </si>
  <si>
    <t>протоколы собраний</t>
  </si>
  <si>
    <t>да (первый этап - муниципальный отбор, второй - региональный)</t>
  </si>
  <si>
    <t>протоколы заседаний муниципальных конкурсных комиссий, протокол заседания региональной конкурсной комиссии по отбору проектов инициативного бюджетирования, реализуемых на территории Свердловской области, от 06.06.2019 № 2</t>
  </si>
  <si>
    <t>в соответствии с порядком оценка проектов осуществляется по критериям</t>
  </si>
  <si>
    <t>13 чел.</t>
  </si>
  <si>
    <t xml:space="preserve">размещение уведомления о проведении конкурсного отбора, нормативных правовых актов, пресс-релизов о проведенных мероприятиях на сайтах Минэкономики и терразвития Свердловской области и администраций муниципальных образований. Сбор предложений от населения по проектам инициативного бюджетирования и голосование за них, в том числе в соцсетях,  на этапе муниципального отбора проектов </t>
  </si>
  <si>
    <t>http://economy.midural.ru/content/iniciativnoe-byudzhetirovanie</t>
  </si>
  <si>
    <t>на уровне муниципальных образований использовались официальные сайты администраций муниципальных образований и социальные сети (мессенджеры) "В контакте", "Одноклассники".
http://asbestadm.ru/economy/initsiativnoe-byudzhetirovanie/2019/   
http://grgo.ru/ekonomika/in-byudzhet/  http://инвестируй.екатеринбург.рф/investitsionnye-proekty/20916  https://karpinsk.midural.ru/article/show/id/10028   http://краснотурьинск-адм.рф/deyatelnost/initsiativnoe-byudzhetirovanie/administratsiya-gorodskogo-okruga-krasnoturinsk-obyavlyaet-priem-zayavok-dlya-uchastiya-v-konkurse-proektov-initsiativnogo-byudzhetirovaniya-_3661  
http://www.dooc-karpinsk.com/innovacionnaya-deyatelnost 
https://kushva.midural.ru
https://vk.com/club152378767
http://kushva-online.ru
https://vk.com/sch64_lesnoy?w=wall-155031819_956/
http://www.gorodlesnoy.ru/city/economica/initsiativnoe-byudzhetirovanie/
https://vestnik-lesnoy.ru/otbor-proektov-iniciativnogo-bjudzhetirovanija-2/
https://tvlesnoy.ru/v-ramkah-programmy-initsiativnoe-byudzhetirovanie-v-lesnom-poyavilas-novaya-sportivnaya-ploshhadka-i-oborudovanie-dlya-detskogo-tvorchestva/
http://arenaled.ru/catalog/</t>
  </si>
  <si>
    <t>https://vk.com/sun_asbest?z=photo-145138689_456239017%2Falbum-145138689_0%2Frev
https://kushva.midural.ru/news/show/id/3770/news_category/35
http://www.gorodlesnoy.ru/city/economica/initsiativnoe-byudzhetirovanie/</t>
  </si>
  <si>
    <t xml:space="preserve">В целях популяризации и расширения практики реализации проектов инициативного бюджетирования в Свердловской области и организации вовлечения жителей региона в процессы инициативного бюджетирования данная тема:
освещалась на телевидении и.о. Министра экономики и терразвития Свердловской области 12.09.2019 в программе «Кабинет министров» на телеканале ОТВ и заместителем Министра 28.02.2019 на канале ОТВ, 15.10.2019 в передаче «Стенд»;
https://www.newstube.ru/media/kabinet-ministrov-tatyana-gladkova-vypusk-ot-12-09-19 
http://www.obltv.ru/news/economy/19-initsiativ-sverdlovchan-poluchili-gosudarstvennuyu-finansovuyu-podderzhku/
http://www.channel4.ru/stories/22862/
опубликована в 19-м ежегоднике «Большой Урал. Мир событий. Свердловская область»;
включена в Бюджет для граждан к закону об исполнении областного бюджета за 2018 год и к проекту закона «Об областном бюджете Свердловской области на 2020 год и плановый период 2021 и 2022 годов»;
регулярно освещается в новостных лентах в сети Интернет, в газетах (например, "Алапаевская искра"), на сайте Правительства Свердловской области </t>
  </si>
  <si>
    <t>Шаблон НПА для муниципальных образований http://economy.midural.ru/content/iniciativnoe-byudzhetirovanie</t>
  </si>
  <si>
    <t>Вопросы внедрения инициативного бюджетирования рассматриваются в рамках семинаров с представителями администраций муниципальных образований,  также проводятся консультации в рамках выездных дней Минэкономики и терразвития Свердловской области на территории муниципальных образований</t>
  </si>
  <si>
    <t xml:space="preserve">3 мероприятия: 2 семинара (областной семинар «Сохраним наши села и деревни вместе» 23.06.2019 в с.Сладковское Слободо-Туринского муниципального района, обучающий семинар для глав сельских территорий «Актуальные вопросы практики управления сельской территорией» 02.10.2019 в с.Кунарское Богдановичского района) и вторая сессия проекта «Школа мэров» 18.09.2019 </t>
  </si>
  <si>
    <t>279 чел. (по 2 семинарам и сессии, без учета выездных дней Министерства)</t>
  </si>
  <si>
    <t xml:space="preserve">Сметанкина Елена Борисовна, заместитель начальника отдела методического обеспечения и координации стратегического планирования департамента стратегического и территориального развития Министерства экономики и территориального развития Свердловской области </t>
  </si>
  <si>
    <t>8-343-312-10-00 (доб. 112)</t>
  </si>
  <si>
    <t>e.smetankina@egov66.ru</t>
  </si>
  <si>
    <t>подсчет голосов. В соответствии с порядком проекты оценивались по критериям с учетом весовых коэффициентов, проекты-победители определялись членами региональной конкурсной комиссии путем голосования</t>
  </si>
  <si>
    <t xml:space="preserve">государственная программа Свердловской области "Формирование современной городской среды на территории Свердловской области на 2018 - 2024 годы" (мероприятие Формирование современной городской среды (федеральный проект "Формирование комфортной городской среды" в рамках национального проекта "Жилье и городская среда")
</t>
  </si>
  <si>
    <t>постановление Правительства Свердловской области от 31.10.2017 № 805-ПП</t>
  </si>
  <si>
    <t>http://energy.midural.ru/gosudarstvennaya-programma/</t>
  </si>
  <si>
    <t>постановление Правительства Свердловской области от 31.10.2017 № 805-ПП, до 2024 года</t>
  </si>
  <si>
    <t>паспорт регионального проекта "Формирование комфортной городской среды на территории Свердловской области", утвержденный заседанием Совета при Губернаторе Свердловской области по приоритетным стратегическим проектам Свердловской области (протокол от 17.12.2018 № 18)</t>
  </si>
  <si>
    <t>паспорт регионального проекта "Формирование комфортной городской среды на территории Свердловской области" в ГИИС "Электронный бюджет"</t>
  </si>
  <si>
    <t>Министерство энергетики и жилищно-коммунального хозяйства Свердловской области</t>
  </si>
  <si>
    <t xml:space="preserve">субсидии
</t>
  </si>
  <si>
    <t xml:space="preserve">государственная программа Российской Федерации "Обеспечение доступным и комфортным жильем и коммунальными услугами граждан Российской Федерации"
</t>
  </si>
  <si>
    <t>Количество благополучателей от реализации проектов ИБ=количество жителей муниципальных образований в которых благоустраивались территории общего пользования (общественные территории)</t>
  </si>
  <si>
    <t>https://sverdl.gks.ru/folder/26418</t>
  </si>
  <si>
    <t xml:space="preserve">ведомственный проектный офис  Министерства энергетики и жилищно-коммунального хозяйства Свердловской области, межведомственная комиссия по обеспечению реализации регионального проекта "Формирование комфортной городской среды на территории Свердловской области"
</t>
  </si>
  <si>
    <t>в рамках мониторинга выполнения муниципальными образованиями  целевой модели по организации общественного участи, а также вовлечению бизнеса и граждан в реализацию проектов благоустройства городской среды, одобренной Протоколом заседания проектного комитета по основному направлению стратегического развития Российской Федерации «ЖКХ и городская среда» от 11.04.2017 № 24</t>
  </si>
  <si>
    <t>в рамках мониторинга выполнения муниципальными образованиями  целевой модели  по организации общественного участи, а также вовлечению бизнеса и граждан в реализацию проектов благоустройства городской среды, одобренной Протоколом заседания проектного комитета по основному направлению стратегического развития Российской Федерации «ЖКХ и городская среда» от 11.04.2017 № 24 (общественные слушания, общественные обсуждения)</t>
  </si>
  <si>
    <t>в рамках проведённого рейтингового голосования по выбору общественных территорий</t>
  </si>
  <si>
    <t>в рамках очных встреч и обсуждений граждан, указанных в п. 13.2</t>
  </si>
  <si>
    <t>в рамках общественных обсуждений, в том числе собраний собственников многоквартирных домов и рейтинговом голосовании свои голоса за территории победителей отдали более 300 тыс. человек</t>
  </si>
  <si>
    <t xml:space="preserve">Критерии отбора муниципальных образований, расположенных на территории Свердловской области, для предоставления субсидий из областного бюджета местным бюджетам муниципальных образований на поддержку муниципальных программ формирования современной городской среды являются приложением № 4 к порядку и условиям предоставления субсидий из областного бюджета местным бюджетам муниципальных образований, расположенных на территории Свердловской области, на поддержку муниципальных программ формирования современной городской среды, утвержденных государственной программой Свердловской области "Формирование современной городской среды на территории Свердловской области на 2018 - 2024 годы"
 </t>
  </si>
  <si>
    <t>В рамках реализации целевой модели по организации общественного участи, а также вовлечению бизнеса и граждан в реализацию проектов благоустройства городской среды, одобренной Протоколом заседания проектного комитета по основному направлению стратегического развития Российской Федерации «ЖКХ и городская среда» от 11.04.2017 № 24, муниципальными образованиями, расположенными на территории Свердловской области, предусмотрено вовлечение населения через интернет</t>
  </si>
  <si>
    <t xml:space="preserve">возможно трудовое участие собственников помещений в многоквартирных домах, собственников иных зданий и сооружений, расположенных в границах территории, подлежащей благоустройству, в реализации мероприятий, направленных на формирование современной городской среды
</t>
  </si>
  <si>
    <t>http://energy.midural.ru/napravleniya-deyatelnosti/formirovanie-komfortnoj-gorodskoj-sredy/</t>
  </si>
  <si>
    <t>на официальных сайтах муниципальных образований, расположенных на территории Свердловской области, созданы разделы "Формирование комфортной городской среды"</t>
  </si>
  <si>
    <t>http://www.gorodsreda.ru/documents/metodiki-i-rekomendatsii/?sect=</t>
  </si>
  <si>
    <t>В рамках реализации регионального проекта "Формирование комфортной городской среды на территории Свердловской области" ведется размещение в региональных средствах массовой информации и мониторинг размещения в муниципальных СМИ информационных материалов о реализации  проекта. За 2019 год размещено более 1200 публикаций в СМИ в рамках направления стратегического развития «ЖКХ и городская среда».  Информация доводилась посредством телевизионных и печатных СМИ, социальных сетей и тд.
Отчет размещен по ссылке:https://energy.midural.ru/napravleniya-deyatelnosti/formirovanie-komfortnoj-gorodskoj-sredy/prioritetnyj-proekt/hod-prior/ob-itogah-realizatsii-regionalnogo-proekta-formirovanie-komfortnoj-gorodskoj-sredy-na-territorii-sverdlovskoj-oblasti-v-2019-godu/#more-38959</t>
  </si>
  <si>
    <t>в рамках проведения рейтингового голосования  использованы информационные материалы в том числе плакаты, календари, информационные флаеры и стенды, баннеры и др.</t>
  </si>
  <si>
    <t>на базе  государственного бюджетного учреждения Свердловской области "Институт развития жилищно-коммунального хозяйства и энергосбережения им. Н.И. Данилова" проведено обучение специалистов муниципальных образований по программе «Формирование современной городской среды»</t>
  </si>
  <si>
    <t>Кислицын А.Н., Денисова О.А.</t>
  </si>
  <si>
    <t>343 312-00-12 (доб. 301)</t>
  </si>
  <si>
    <t xml:space="preserve"> o.denisova@egov66.ru</t>
  </si>
  <si>
    <t xml:space="preserve">Грантовая поддержка местных инициатив граждан, проживающих в сельской местности </t>
  </si>
  <si>
    <t>государственная программа Свердловской области «Развитие агропромышленного комплекса и потребительского рынка Свердловской области до 2024 года» (подпрограмма «Устойчивое развитие сельских  территорий Свердловской области»)</t>
  </si>
  <si>
    <t>Постановление Правительства Свердловской области от 16.02.2016 № 107-ПП</t>
  </si>
  <si>
    <t>http://www.pravo.gov66.ru/7356/</t>
  </si>
  <si>
    <t xml:space="preserve">Постановление Правительства Свердловской области № 3-ПП от 16 января 2020 г. «Об утверждении распределения субсидий из областного бюджета бюджетам муниципальных образований, расположенных на территории Свердловской области, в 2020–2022 годах в рамках реализации государственной программы Свердловской области «Развитие агропромышленного комплекса и потребительского рынка Свердловской области до 2024 года» </t>
  </si>
  <si>
    <t>http://www.pravo.gov66.ru/24373/</t>
  </si>
  <si>
    <t>Министерство агропромышленного комплекса и потребительского рынка Свердловской области</t>
  </si>
  <si>
    <t>Баженовское сельское поселение</t>
  </si>
  <si>
    <t>Государственная программа развития сельского хозяйства и регулирования рынков сельскохозяйственной продукции, сырья и продовольствия , утвержденной постановлением Правительства Российской Федерации от 14.07.2012 № 717</t>
  </si>
  <si>
    <t>Расчет благополучателей произведен исходя из количества человек, проживающих на территории населенного пункта (деревня Нижняя Иленка) и близлежащих к нему населенных пунктов</t>
  </si>
  <si>
    <t>http://midural.ru/100034/</t>
  </si>
  <si>
    <t>Протокол собрания у Заместителя Главы администрации по местному хозяйству С.А. Кантышевым с жителями д. Нижняя Иленка по вопросу "Создания и обустройства комбинированной спортивной и детской игровой площадки в д. Нижняя Иленка Баженовского сельского поселения  Баженовского сельского поселения Байкаловского муниципального района" от 18.05.2018 № 2</t>
  </si>
  <si>
    <t>муниципальные районы Свердловской области</t>
  </si>
  <si>
    <t>муниципальные образования, в состав которых входят сельские поселения</t>
  </si>
  <si>
    <t xml:space="preserve">трудовое участие в создании проекта </t>
  </si>
  <si>
    <t>специальный выпуск ко Дню работника сельского хозяйства и перерабатывающей промышленности Свердловской области  отраслевого журнала ''Нива Урала''</t>
  </si>
  <si>
    <t>Коростелева Мария Ивановна</t>
  </si>
  <si>
    <t>312-00-007 доб 204</t>
  </si>
  <si>
    <t>mi.korosteleva@egov66.ru</t>
  </si>
  <si>
    <t>Поддержка проектов развития территорий муниципальных образований Ставропольского края, основанных на местных инициативах</t>
  </si>
  <si>
    <t>Губернаторская программа поддержки местных инициатив Ставропольского края</t>
  </si>
  <si>
    <t>Правила предоставления субсидий из бюджета Ставропольского края бюджетам муниципальных образований Ставропольского края на реализацию проектов развития территорий муниципальных образований Ставропольского края, основанных на местных инициативах, являющиеся приложением к подпрограмме «Повышение сбалансированности и устойчивости бюджетной системы Ставропольского края» Государственная программа Ставропольского края «Управление финансами»</t>
  </si>
  <si>
    <t>Постановление Правительства Ставропольского края от 26 декабря 2018 г. № 598-п</t>
  </si>
  <si>
    <t>pmisk.ru/materials</t>
  </si>
  <si>
    <t xml:space="preserve">Приказ министерства финансов Ставропольского края от 16 декабря 2014 № 297 «Об утверждении форм документов, предоставляемых в министерство финансов Ставропольского края в соответствии с Правилами предоставления субсидий из бюджета Ставропольского края бюджетам муниципальных образований Ставропольского края на реализацию проектов развития территорий муниципальных образований Ставропольского края, основанных на местных инициативах, являющимися приложением к подпрограмме «Повышение сбалансированности и устойчивости бюджетной системы Ставропольского края» государственной программы Ставропольского края «Управление финансами», утвержденной постановлением Правительства Ставропольского края от 26 декабря 2018 г. № 598-п»;
постановление Правительства Ставропольского края от 24 марта 2009 г. № 87-п «О конкурсной комиссии по проведению конкурсного отбора проектов развития территорий муниципальных образований Ставропольского края, основанных на местных инициативах» </t>
  </si>
  <si>
    <t>Министерство финансов Ставропольского края</t>
  </si>
  <si>
    <t>Муниципальные образования Ставропольского края</t>
  </si>
  <si>
    <t>В заявке муниципального образования Ставропольского края на участие в конкурсном отборе указывается количество благополучателей</t>
  </si>
  <si>
    <t>https://www.gks.ru/storage/mediabank/PrPopul2020.xls</t>
  </si>
  <si>
    <t>Отдел инициативного бюджетирования государственного казённого учреждения дополнительного образования "Учебный центр министерства финансов Ставропольского края"</t>
  </si>
  <si>
    <t>Бюджет Ставропольского края</t>
  </si>
  <si>
    <t>К заявке муниципального образования Ставропольского края на участие в конкурсном отборе прикладываются результаты анкеторования или анкеты</t>
  </si>
  <si>
    <t>Органы местного самоуправления фиксируют проектные идеи  и вносят их на рассмотрения при проведении очных собраний</t>
  </si>
  <si>
    <t>Авторизация на сайте производится с использованием единой системы идентификации и аутентификации (ЕСИА)</t>
  </si>
  <si>
    <t>К заявке муниципального образования Ставропольского края на участие в конкурсном отборе прикладываются протоколы проведения собраний, фото и видеоматериалы</t>
  </si>
  <si>
    <t>Предусмотрено применение портала в информационно-телекоммуникационной сети «Интернет» pmisk.ru, в части публичного размещения инициатив гражданами, народного голосования за лучшие инициативы а также подачи заявок органами местного самоуправления на участие в конкурсном отборе проектов онлайн</t>
  </si>
  <si>
    <t xml:space="preserve">Нефинансовый вклад реализацию проектов осуществляется:  индивидуальными предпринимателями и организациями осуществляется в натуральной форме и в форме безвозмездного оказания услуг (выполнения работ);
населением населенных пунктов муниципальных образований Ставропольского края в форме безвозмездного труда
</t>
  </si>
  <si>
    <t>pmisk.ru</t>
  </si>
  <si>
    <t>mfsk.ru, instagr.am/pmisk.ru, vk.com/pmisk, ok.ru/group/55167178309872</t>
  </si>
  <si>
    <t>https://drive.google.com/file/d/1-zCRzbwdb9GEyZsf8aLJFovsJv8baBRI/view?usp=drivesdk</t>
  </si>
  <si>
    <t>Еженедельная телепрограмма на краевом телевидении «Время дела» (23 выпуска), рекламные аудио и видеоролики (более 1000 минут, 1,5 тыс. прокатов), новостные видеосюжеты на краевом  телевидении (9 сюжетов), информационные статьи в  краевых и районных печатных СМИ (48 публикации), 63,6 тыс. единиц печатной и полиграфической продукции, предусмотренной для муниципалитетов края, пресс-тур для журналистов краевых средств массовой информации</t>
  </si>
  <si>
    <t>https://drive.google.com/folderview?id=116IMcmgsc1FXUbepzOMNw7frRY3F8rt3</t>
  </si>
  <si>
    <t>Проектным центром проведена «школа местных инициатив»: обучающие семинары для представителей администраций муниципальных образований края. В рамках «школы» проведено 17 семинаров. Особое внимание было уделено механизму проведения информационной кампании инициативного бюджетирования при отборе проектов на 2020 год.  В работе семинаров приняло участие более 600 человек.
Также в 2019 году на территории города-курорта Железноводск был проведен всеросийский семинра-совещание на "Вовлечение граждан в проекты инициативного бюджетирования".</t>
  </si>
  <si>
    <t>более 700 человек</t>
  </si>
  <si>
    <t>Литвинов Олег Сергеевич, заместитель начальника отдела инициативного бюджетирования государственного казённого учреждения дополнительного образования "Учебный центр министерства финансов Ставропольского края"</t>
  </si>
  <si>
    <t>+7(8652)99-26-80</t>
  </si>
  <si>
    <t>litvinov@mfsk.ru</t>
  </si>
  <si>
    <r>
      <rPr>
        <b/>
        <sz val="10"/>
        <color rgb="FF000000"/>
        <rFont val="Times New Roman"/>
        <family val="1"/>
        <charset val="204"/>
      </rPr>
      <t>Государственная программа</t>
    </r>
    <r>
      <rPr>
        <sz val="10"/>
        <color rgb="FF000000"/>
        <rFont val="Times New Roman"/>
        <family val="1"/>
        <charset val="204"/>
      </rPr>
      <t xml:space="preserve"> «Управление государственными финансами и государственным долгом Оренбургской области»,утвержденная постановлением Правительства Оренбургской области от 25 декабря 2018 года №886-пп
</t>
    </r>
    <r>
      <rPr>
        <b/>
        <sz val="10"/>
        <color rgb="FF000000"/>
        <rFont val="Times New Roman"/>
        <family val="1"/>
        <charset val="204"/>
      </rPr>
      <t>подпрограмма 4</t>
    </r>
    <r>
      <rPr>
        <sz val="10"/>
        <color rgb="FF000000"/>
        <rFont val="Times New Roman"/>
        <family val="1"/>
        <charset val="204"/>
      </rPr>
      <t xml:space="preserve"> «Повышение эффективности бюджетных расходов Оренбургской области»;
</t>
    </r>
    <r>
      <rPr>
        <b/>
        <sz val="10"/>
        <color rgb="FF000000"/>
        <rFont val="Times New Roman"/>
        <family val="1"/>
        <charset val="204"/>
      </rPr>
      <t>приоритетный проект</t>
    </r>
    <r>
      <rPr>
        <sz val="10"/>
        <color rgb="FF000000"/>
        <rFont val="Times New Roman"/>
        <family val="1"/>
        <charset val="204"/>
      </rPr>
      <t xml:space="preserve"> «Вовлечение жителей муниципальных образований Оренбургской области в процесс выбора и реализации проектов развития общественной инфраструктуры, основанных на местных инициативах»</t>
    </r>
  </si>
  <si>
    <r>
      <t xml:space="preserve">1) </t>
    </r>
    <r>
      <rPr>
        <b/>
        <sz val="10"/>
        <rFont val="Times New Roman"/>
        <family val="1"/>
        <charset val="204"/>
      </rPr>
      <t>Закон Томской области от 10 июля 2017 года №82-ОЗ</t>
    </r>
    <r>
      <rPr>
        <sz val="10"/>
        <rFont val="Times New Roman"/>
        <family val="1"/>
        <charset val="204"/>
      </rPr>
      <t xml:space="preserve"> "О внесении изменений в Закон Томской области "О межбюджетных отношениях в Томской области"; 
2) </t>
    </r>
    <r>
      <rPr>
        <b/>
        <sz val="10"/>
        <rFont val="Times New Roman"/>
        <family val="1"/>
        <charset val="204"/>
      </rPr>
      <t xml:space="preserve">Постановление Администрации Томской области от 11.10.2017 № 363а </t>
    </r>
    <r>
      <rPr>
        <sz val="10"/>
        <rFont val="Times New Roman"/>
        <family val="1"/>
        <charset val="204"/>
      </rPr>
      <t xml:space="preserve">"О предоставлении и расходовании субсидий бюджетам муниципальных образований Томской области для софинансирования расходных обязательств по решению вопрсов местного значения, возникающих в связи с реализацией проектов, предложенных непосредственно населением муниципальных образований Томской области, отобранных на конкурсной основе"; 
3) </t>
    </r>
    <r>
      <rPr>
        <b/>
        <sz val="10"/>
        <rFont val="Times New Roman"/>
        <family val="1"/>
        <charset val="204"/>
      </rPr>
      <t xml:space="preserve">Распоряжение Департамента финансов Томской области от 19.10.2017 № 16/40р </t>
    </r>
    <r>
      <rPr>
        <sz val="10"/>
        <rFont val="Times New Roman"/>
        <family val="1"/>
        <charset val="204"/>
      </rPr>
      <t>"Об организации проведения конкурсного отбора проектов, предложенных непосредственно населением муниципальных образований Томской области, для получения бюджетами муниципальных образований Томской области из областного бюджета субсидий на их реализацию"</t>
    </r>
  </si>
  <si>
    <r>
      <rPr>
        <sz val="10"/>
        <rFont val="Times New Roman"/>
        <family val="1"/>
        <charset val="204"/>
      </rPr>
      <t xml:space="preserve"> Муниципальные образования </t>
    </r>
    <r>
      <rPr>
        <sz val="10"/>
        <color rgb="FF000000"/>
        <rFont val="Times New Roman"/>
        <family val="1"/>
        <charset val="204"/>
      </rPr>
      <t>Пермского края</t>
    </r>
  </si>
  <si>
    <r>
      <t xml:space="preserve">Отбор проектов - победителей проводится краевой конкурсной комиссией инициативного бюджетирования, ее состав утверджен постановлением Правительства Пермского края "Об утверждении состава краевой конкурсной комиссии инициативного бюджетирования" от 18 января 2017 г. № 18-п. В состав вышеуказанной комиссии входят: представители  Правительства Пермского края, депутаты Законодательного Собрания Пермского края, а также представители общественности.
Отбор проектов осуществляется в соответствии с критериями оценки проектов инициативного бюджетирования, в которых учитывается: 
- софинансирование проектов со стороны населения и  бизнеса;  
- видео- (аудио-) фиксация собраний жителей, где решается вопрос об участии граждан в проекте инициативного бюджетирования, использование информационных каналов по продвижению проекта инициативного бюджетирования;
- </t>
    </r>
    <r>
      <rPr>
        <sz val="10"/>
        <color rgb="FF161616"/>
        <rFont val="Times New Roman"/>
        <family val="1"/>
        <charset val="204"/>
      </rPr>
      <t>наличие дизайн - проекта (эскизов, схем, чертежей).
Так же  проекты инициативного бюджетирования получают дополнительные баллы, в вслучае если проекты реализуются в направлениях, определенных приоритетными. Так, в 2019 г. приоритетными направлениями  проектов были выделены: благоустройство памятников ВОВ и обеспечение функционирования наружных сетей водопроводов</t>
    </r>
  </si>
  <si>
    <r>
      <rPr>
        <sz val="10"/>
        <rFont val="Times New Roman"/>
        <family val="1"/>
        <charset val="204"/>
      </rPr>
      <t>Информация размещается в социальных сетях Башкортостанского Регионального отделения Партии 
«ЕДИНАЯ РОССИЯ»</t>
    </r>
    <r>
      <rPr>
        <u/>
        <sz val="10"/>
        <color rgb="FF0563C1"/>
        <rFont val="Times New Roman"/>
        <family val="1"/>
        <charset val="204"/>
      </rPr>
      <t xml:space="preserve">
</t>
    </r>
    <r>
      <rPr>
        <u/>
        <sz val="10"/>
        <rFont val="Times New Roman"/>
        <family val="1"/>
        <charset val="204"/>
      </rPr>
      <t>https://vk.com/bashedinros?w=wall-1663109_15014
https://vk.com/bashedinros?w=wall-1663109_14932</t>
    </r>
  </si>
  <si>
    <t>Грантовая поддержка местных инициатив</t>
  </si>
  <si>
    <t>Государственная программа Рязанской области "Развитие агропромышленного комплекса" подпрограмма №8 "Устойчивое развитие сельских территорий" Приложение №4 Положения о предоставлении грантовой поддержки местных инициатив граждан, проживающих в сельской местности, утвержденого постановлением Правительства Рязанской области от 30.10.2013 №357 . С 2020 года подпрограмма 12 "Комплексное развитие сельских территорий" в рамках государственной программы Рязанской области"Развитие агропромышленного комплекса"утвержденого постановлением Правительства Рязанской области от 30.10.2013 №357</t>
  </si>
  <si>
    <t>Постановление Правительства Рязанской области № 357 от 30.10.2013.</t>
  </si>
  <si>
    <t>https://www.ryazagro.ru/documents/normativnye-pravovye-akty-v-sfere-podderzhki-agropromyshlennogo-kompleksa/postanovlenie-pravitelstva-ro-357-ot-30-oktyabrya-2013-g_4531/</t>
  </si>
  <si>
    <t>Закон о бюджете Рязанской области от 26.12.2018 №93-ОЗ</t>
  </si>
  <si>
    <t>https://www.garant.ru/hotlaw/ryazan/1237639/</t>
  </si>
  <si>
    <t>Министерство сельского хозяйства и продовольствия Рязанской области</t>
  </si>
  <si>
    <t>Бюджеты сельских поселений</t>
  </si>
  <si>
    <t>Государственная программа развития сельского хозяйства  и регулирования рынков сельскохозяйственной продукции, сырья и продовольствия на 2013-2020 годы"утверденная постановлением правительства Рооссийской Федерации от 14. 07.2012 №717 . С 2020 года действует государственная программа Российской Федерации "Комплексное развитие сельских территорий", утвержденная постановлением правительства Российской Федерации от 31.05.2019 №696</t>
  </si>
  <si>
    <t>Количество благополучателей считается администрацией сельского поселения исходя из числа жителей, проживающих на территории населенного пункта, в котором реализуется проект.</t>
  </si>
  <si>
    <t>Справочник федеральной службы государственной статистики по Рязанской области " Отдельные социально-экономические показатели по муниципальным образованиям Рязанской области" Рязань 2019</t>
  </si>
  <si>
    <t>Протокол общего собрания граждан, проживающих на сельских территорих</t>
  </si>
  <si>
    <t>Прямой подсчет голов "за " и "против"</t>
  </si>
  <si>
    <t>Отбор проектов для предоставления субсидий на грантовую поддержку местных инициатив граждан, проживающих в сельской местности, осуществляет комиссия из состава представителей органов власти в соответствие с методикой бальной оценки проектов. Граждане в конкурсных процедурах не участвуют.</t>
  </si>
  <si>
    <t>Трудовое участие, предоставление помещений, технических средств и другие формы</t>
  </si>
  <si>
    <t xml:space="preserve">Начальник отдела устойчивое развитие сельских территорий Волкова Ольга Юрьевна </t>
  </si>
  <si>
    <t>8 (4912) 21-02-05</t>
  </si>
  <si>
    <t>volkova@ryazagro.ru</t>
  </si>
  <si>
    <t>"Бюджетная инициатива граждан"</t>
  </si>
  <si>
    <t>"Уютный Ямал"</t>
  </si>
  <si>
    <t>Коханович Татьяна Анатольевна, заведующий сектором реализации проектов по развитию местного самоуправления‚ повышения финансовой грамотности населения и развития инициативного бюджетирования</t>
  </si>
  <si>
    <t>8-34922-24368</t>
  </si>
  <si>
    <t>kohanovich@yamalfin.ru</t>
  </si>
  <si>
    <t>Формирование комфортной городской среды</t>
  </si>
  <si>
    <t xml:space="preserve">Государственная программа Курганской области «Формирование комфортной городской среды» </t>
  </si>
  <si>
    <t>Государственная программа Курганской области «Формирование комфортной городской среды»</t>
  </si>
  <si>
    <t xml:space="preserve">Постановление Правительства Курганской области от 28.08.2017 N 320  "О государственной Программе Курганской области "Формирование комфортной городской среды" </t>
  </si>
  <si>
    <t>http://docs.cntd.ru/document/450332653</t>
  </si>
  <si>
    <t>Постановление Правительства Курганской области от 28 августа 2017 года № 320 «О государственной программе Курганской области «Формирование комфортной городской среды» на 2018-2022 годы»</t>
  </si>
  <si>
    <t>Департамент строительства, госэкспертизы и жилищно-коммунального хозяйства Курганской области.</t>
  </si>
  <si>
    <t>муниципальные образования</t>
  </si>
  <si>
    <t>Федеральный проект «Формирование комфортной городской среды» национального проекта "Жильё и городская среда"</t>
  </si>
  <si>
    <t>Департамент строительства, госэкспертизы и жилищно-коммунального хозяйства Курганской области</t>
  </si>
  <si>
    <t>Способ(-ы) расчета количества благополучателей: (косвенно – благополучателями является все население Курганской области, так как объекты благоустройства находятся в пространственной доступности для всех жителей)</t>
  </si>
  <si>
    <t>http://gkh.kurganobl.ru/wp-content/uploads/2017/09/О-государственной-программе-Курганской-области-Формирование-комфортной-гор-среды-на-2018-2022-годы-7.pdf</t>
  </si>
  <si>
    <t>Муниципальные образования, в состав которых входят населенные пункты с численностью свыше 1000 человек</t>
  </si>
  <si>
    <t>346 материалов</t>
  </si>
  <si>
    <t>45 материалов, на телевизионных каналах - 38 сюжетов, на радиоканалах - 28 материалов, в социальных сетях и пабликах - 112 публикаций</t>
  </si>
  <si>
    <t xml:space="preserve">раздаточный материал, информационные стенды, формы для волонтеров: 300 футболок и кепи для волонтеров, 300 шариковых ручек, 4 билбордов (3х6 метров), 150 наклеек на урны для голосования, 150 журналов для регистрации. </t>
  </si>
  <si>
    <t>Гумённых Николай Борисович</t>
  </si>
  <si>
    <t>8(3522) 42-89-21</t>
  </si>
  <si>
    <t>gumenyh_nb@kurganobl.ru</t>
  </si>
  <si>
    <t xml:space="preserve">Государственная программа Курганской области «Устойчивое развитие сельских территорий Курганской области на 2014-2017 годы и на период до 2020 года», Приложение 5 </t>
  </si>
  <si>
    <t>Постановление Правительства Курганской области от 27 февраля 2015 года «О внесении изменений в постановление Правительства Курганской области от 14 октября 2013 года № 474 «Об утверждении государственной программы Курганской области  «Устойчивое развитие сельских территорий Курганской области на 2014-2017 годы и на период до 2020 года»</t>
  </si>
  <si>
    <t>http://dsh.kurganobl.ru/assets/files/Normat-documenty/PP%20KO%204%203.pdf</t>
  </si>
  <si>
    <t>Департамент агропромышленного комплекса Курганской области</t>
  </si>
  <si>
    <t xml:space="preserve"> муниципальное образование</t>
  </si>
  <si>
    <t>Государственная программа развития сельского хозяйства и регулирования рынков сельскохозяйственной продукции, сырья и продовольствия.</t>
  </si>
  <si>
    <t>Протокол собрания граждан сельского населенного пункта</t>
  </si>
  <si>
    <t>http://dsh.kurganobl.ru/3930.html</t>
  </si>
  <si>
    <t>Притчин Антон Викторович</t>
  </si>
  <si>
    <t>8 (3522) 46-65-56</t>
  </si>
  <si>
    <t>investdsh@kurganobl.ru</t>
  </si>
  <si>
    <t>Постановление Правительства Курганской области
от 14 октября 2013 г. N 489
"О государственной программе Курганской области "Развитие физической культуры и спорта в Курганской области" на 2014-2019 годы" (предоставления и расходования субсидий, выделяемых из областного бюджета местным бюджетам на устройство спортивных площадок по месту жительства)</t>
  </si>
  <si>
    <t>Постановление Правительства Курганской области
от 14 октября 2013 г. N 489
"О государственной программе Курганской области "Развитие физической культуры и спорта в Курганской области" на 2014-2019 годы" (Физическая культура; Устройство спортивных площадок по месту жительства)</t>
  </si>
  <si>
    <t>Постановление Правительства Курганской области
от 14 октября 2013 г. N 489
"О государственной программе Курганской области "Развитие физической культуры и спорта в Курганской области" на 2014-2019 годы"</t>
  </si>
  <si>
    <t>http://www.sport.kurganobl.ru/5990.html</t>
  </si>
  <si>
    <t>Управление по физической культуре и спорту  Курганской области</t>
  </si>
  <si>
    <t>Муниципальные образования, юридические лица, индивидуальные предприниматели</t>
  </si>
  <si>
    <t>при наличии проектно-сметной документации на устройство спортивной площадки; наличие документально подтвержденного права муниципальной
собственности на земельный участок для размещения спортивной площадки (в
отношении каждой из заявленных к устройству спортивных площадок)</t>
  </si>
  <si>
    <t>наличие проектно-сметной документации на устройство спортивной площадки; наличие документально подтвержденного права муниципальной
собственности на земельный участок для размещения спортивной площадки (в
отношении каждой из заявленных к устройству спортивных площадок)</t>
  </si>
  <si>
    <t>http://sport.kurganobl.ru/6950.html</t>
  </si>
  <si>
    <t>Захарова Любовь Владимировна - начальник отдела</t>
  </si>
  <si>
    <t>sport.fin@kurganobl.ru</t>
  </si>
  <si>
    <t>проект "Народный бюджет"</t>
  </si>
  <si>
    <t>Государственная программа Кировской области "Управление государственными финансами и регулирование межбюджетных отношений", отдельное мероприятие "Повышение финансовой грамотности населения"</t>
  </si>
  <si>
    <t>Постановление Правительства Кировской области от 28.12.2012 № 189/835 "Об утверждении государственной программы Кировской области "Управление государственными финансами и регулирование межбюджетных отношений" на 2013 - 2021 годы" (утратил силу)</t>
  </si>
  <si>
    <t>http://www.kirovreg.ru/publ/AkOUP.nsf/de017b98ac867075c32571440061b25c/01475e033e0afe3443257e6f00584478?OpenDocument</t>
  </si>
  <si>
    <t>Постановление Правительства Кировской области от 15.03.2018 № 122-П "О реализации проекта "Народный бюджет"</t>
  </si>
  <si>
    <t>http://www.kirovreg.ru/publ/AkOUP.nsf/de017b98ac867075c32571440061b25c/a477b32730cd333b43258256004958f1?OpenDocument</t>
  </si>
  <si>
    <t>Министерство финансов Кировской области</t>
  </si>
  <si>
    <t>грант в форме иных межбюджетных трансфертов</t>
  </si>
  <si>
    <t>администрация муниципального образования</t>
  </si>
  <si>
    <t>До 2020 года в проекте принимали участия только городские поселения Кировской области. В 2019 году в качесте пилотной версии проект был реализован в муниципальном образовании "Город Киров". Реализация прошла успешно и вызвала интерес жителей, потому было принято решение с 2020 года осществлять реализацию в городских поселениях, муниципальных округах и городских округах Кировской области</t>
  </si>
  <si>
    <t>Для работы бюджетной комиссии, информирования населения, а также мониторинга реализации проекта используется социальная сеть ВКонтакте. Для каждого муниципального образования создается группа в социалной сети Вконтакте. Пример группы пгт Вахруши https://vk.com/narodnijbudjet.vaxrushi</t>
  </si>
  <si>
    <t>http://www.minfin.kirov.ru/otkrytyy-byudzhet/dlya-spetsialistov/narodniy-byudzhet/nb/doc/</t>
  </si>
  <si>
    <t xml:space="preserve">Ссылки на группы ВКонтакте муниципальных образований, участвующих в проекте в 2018-2019 годах: https://vk.com/club94435490
https://vk.com/narodnijbudjet.vaxrushi
https://vk.com/club121268439
https://vk.com/narodbugetmalmizh
https://vk.com/club94435950
https://vk.com/public166718684
https://vk.com/club166328501
https://vk.com/naroduni
https://vk.com/club94843641
</t>
  </si>
  <si>
    <t>http://minfin.kirov.ru.opt-images.1c-bitrix-cdn.ru/upload/medialibrary/documents/2019_03/%D0%BD%D0%B1.png</t>
  </si>
  <si>
    <t>Рекламная кампания в целях информирования муниципальных образований области о возможности принять участие в проекте "Народный бюджет" проводится на уровне субъекта посредствам официального сайта Правительства Кировской области https://www.kirovreg.ru/news/detail.php?ID=85966&amp;sphrase_id=534843 . Также через официальный сайт министерства финансов Кировской области http://www.minfin.kirov.ru/otkrytyy-byudzhet/dlya-spetsialistov/narodniy-byudzhet/nb/2018/
На уровне муниципальных образований проводится рекламная кампания для привлечения к участию в проекте местных жителей. Для информирования используются официальные сайты администрации муниципальных образований и социальные сети.</t>
  </si>
  <si>
    <t xml:space="preserve">1. Организационное собрание проводится 1 раз в год.
2. Презентация проекта проводится от 1 раза. </t>
  </si>
  <si>
    <t>Романова Ольга Александровна, главный специалист-эксперт отдела методологии в сфере бюджетной политики министерства финансов Кировской области</t>
  </si>
  <si>
    <t>romanova_o@depfin.kirov.ru</t>
  </si>
  <si>
    <t xml:space="preserve">Стимулирование активизации работы органов местного самоуправления городских и сельских поселений, городских округов Кировской области по введению самообложения граждан
</t>
  </si>
  <si>
    <t>самообложение граждан</t>
  </si>
  <si>
    <t>Государственная программа Кировской области «Содействие развитию гражданского общества, поддержка социально ориентированных некоммерческих организаций и укрепление единства российской нации» на 2013 – 2021 годы 
Отдельное мероприятие "Распределение межбюджетных трансфертов, направленных на активизацию работы органов местного самоуправления городских и сельских поселений, городских округов области по введению самообложения граждан"</t>
  </si>
  <si>
    <t>Постановление Правительства Кировской области от 28.12.2012 № 189/839 "Об утверждении государственной программы Кировской области "Содействие развитию гражданского общества, поддержка социально ориентированных некоммерческих организаций и укрепление единства российской нации" на 2013 - 2021 годы" (утратило силу)</t>
  </si>
  <si>
    <t>http://www.kirovreg.ru/publ/AkOUP.nsf/de017b98ac867075c32571440061b25c/c5cfc3177e78934f43257dcf00397b26?OpenDocument</t>
  </si>
  <si>
    <t>Закон Кировской области от 18.12.2018 № 210-ЗО
«Об областном бюджете на 2019 год и на плановый период 2020 и 2021 годов»</t>
  </si>
  <si>
    <t>http://www.kirovreg.ru/publ/AkOUP.nsf/de017b98ac867075c32571440061b25c/6bd1cf33cc60e0a64325836800550a04?OpenDocument</t>
  </si>
  <si>
    <t>постановление Правительства Кировской области от 16.02.2010 № 40/48 "О предоставлении межбюджетных трансфертов, направленных на активизацию работы органов местного самоуправления городских и сельских поселений, городских округов области по введению самообложения граждан"</t>
  </si>
  <si>
    <t>http://www.kirovreg.ru/publ/AkOUP.nsf/ad98c6e24f10e5c4c3256f2300420e1e/73fb623fa1da0c3144257bcc0022b60d?OpenDocument</t>
  </si>
  <si>
    <t>министерство финансов Кировской области</t>
  </si>
  <si>
    <t xml:space="preserve">иные межбюджетные трансферты местным бюджетам из областного бюджета на цели, принятые на местном референдуме (сходе граждан), такие как: проведение ремонтных работ проезжих частей улиц, на ремонт водопровода, на строительство детских и спортивных площадок, на выполнение противопожарных мероприятий, благоустройство кладбищ, устройство и содержание уличного освещения, вывоз мусора и т.п. </t>
  </si>
  <si>
    <t>городские и сельские поселения, городские округа</t>
  </si>
  <si>
    <t>на местном референдуме (сходе граждан) принимается решение о введении самообложения граждан, а также размер разовых платежей. Уплата платежей по самообложению производится всеми гражданми, достигшими 18-летнего возраста, место жительства которых расположено в границах определенного муниципального образования</t>
  </si>
  <si>
    <t>участвовало 144 городских и сельских поселений (данными о численности участвоваших не располагаем)</t>
  </si>
  <si>
    <t>Информационные раздаточные материалы, инфографика не предусмотрены</t>
  </si>
  <si>
    <t>Кудрявцева Анна Александровна</t>
  </si>
  <si>
    <t>kudriavtseva@depfin.kirov.ru</t>
  </si>
  <si>
    <t>Государственная программа Кировской области "Содействие развитию гражданского общества и реализация осударственной национальной политики", отдельное мероприятие "Реализация проекта по поддержке местных инициатив в Кировской области"</t>
  </si>
  <si>
    <t>Постановление Правительства Кировской области от 28.12.2012 № 189/839 "Об утверждении государственной программы Кировской области "Содействие развитию гражданского общества, поддержка социально ориентированных некоммерческих организаций и укрепление единства российской нации" на 2013 - 2021 годы"</t>
  </si>
  <si>
    <t>Постановление Правительства Кировской области от 06.12.2009 № 33/481 "О реализации проекта по поддержке местных инициатив в Кировской области"</t>
  </si>
  <si>
    <t>http://www.kirovreg.ru/publ/AkOUP.nsf/de017b98ac867075c32571440061b25c/5bccd3a33e16a8e043257e58002e5e7d?OpenDocument</t>
  </si>
  <si>
    <t>Министерство социального развития Кировской области</t>
  </si>
  <si>
    <t>Субсидии местным бюджетам из областного бюджета на софинансирование инвестиционных программ и проектов развития общественной инфраструктуры муниципальных образований в Кировской области</t>
  </si>
  <si>
    <t>На основании сведений муниципальных образований, указанных в конкурсных заявках и подтвержденных документально - справки о численности жителей населенных пунктов, ТОСов, общестенных организаций и другое. Подписные листы, подтверждающие желание жителей определенной территории участвовать в реализации конкретного проекта и поддержать его деньгами. Схемы движения благополучателей (с указанием групп благополучателей и их численности) относительно запланированного объекта</t>
  </si>
  <si>
    <t>http://kirovstat.old.gks.ru/wps/wcm/connect/rosstat_ts/kirovstat/resources/551499004d0ea8fc9022bbc5b34c73c1/Оценка+численности.htm</t>
  </si>
  <si>
    <t>Для фиксации использовались регистрационные списки участников собраний и конференций граждан, опросные листы, фото и видеоматериалы собраний</t>
  </si>
  <si>
    <t>Для опосредованного вовлечения граждан в процедуру ППМИ были использованы опросы и голосования в соцсетях, инициированные активными жителями. 
Учет количества вовлеченных граждан не велся.</t>
  </si>
  <si>
    <t>Конкурсная комиссия из представителей органов исполнительной власти Кировской области, а также по согласованию из представителей Законодательного Собрания Кировской области, общественных объединений в сфере местного самоуправления. Граждане участие не принимают.</t>
  </si>
  <si>
    <t>Автоматическая оценка проектов осуществляется в информационной системе управления заявками на основании данных, указанных в конкурсных заявках. Граждане участия не принимают.</t>
  </si>
  <si>
    <t>Информационная система управления заявками ППМИ Кировской области позволяет: подавать заявки от муниципальных образований и загружать необходимые документы, формировать отчетную документацию (отчеты консультантов о проведенных собраниях граждан, отчетность в рамках заключенных соглашений), производить оценку конкурсных заявок в автоматическом режиме, заполнять соглашения и приложения к нему по упрощенной форме с дальнейшим выводом на печать, загружать фотографии реализованных проектов.</t>
  </si>
  <si>
    <t>Предусмотрено трудовое участие физических и юридических лиц в виде выполнения работ, не требующих квалификации, предоставления материалов и инструмента</t>
  </si>
  <si>
    <t>http://www.socialkirov.ru/social/root/ppmi/Info.htm</t>
  </si>
  <si>
    <t>https://vk.com/ppmi43
https://www.facebook.com/groups/ppmi43/</t>
  </si>
  <si>
    <t>http://socialkirov.ru/images/PPMIImages/ППМИ_лого.png</t>
  </si>
  <si>
    <t>Вся информация о ППМИ доступна на официальных сайтах министерства социального развития (socialkirov.ru) и Правительства Кировской области (kirovreg.ru). Информация о практике ППМИ размещена на интернет-ресурсах муниципальных образований региона. Репортажи об открытии объектов, а также информация о ходе реализации Проекта вещается региональными телеканалами – «СТС – 9 канал», «ТНТ – 43 регион», «Рен ТВ. Киров», ГТРК «Вятка», «Первый городской». Интервью и репортажи транслируются на радиостанции «Эхо Москвы. Киров». Проект освещают районные и областные газеты. Статьи о реализации Проекта публикуются в журналах местных изданий («Товар-Деньги-Товар» и др.). В социальных сетях информирование о Проекте осуществлялось инициативными группами и администрациями муниципальных образований путем создания тематических сообществ на сайте «Вконтакте» (vk.com).</t>
  </si>
  <si>
    <t>В качестве раздаточных материалов использовались: операционное руководство Проекта по поддержке местных инициатив в Кировской области, инструкции по работе с информационной системой управления заявками, инструкции по заполнению отчетных форм в информационной системе управления заявками, памятки по проведению собраний, памятки по критериям конкурсного отбора, памятки по содержанию и порядку формирования конкурсных заявок. Презентации, инструкции и памятки размещаются в соответсвующем разделе портала социальных услуг -  / Проект по поддержке местных инициатив  / Реализация Проекта  / ППМИ - 2019. http://www.socialkirov.ru/social/root/ppmi/Realisation/2019.htm</t>
  </si>
  <si>
    <t>Проведено 3 обучающих тренинга для представителей муниипальных образований посредством видеоконференцсвязи. 03.07.2018 и 02.10.2018 и 04-07.11.2017. Точный подсчет участников не проводился, к видеосвязи были подключены все муниципальные районы и городские округа региона. Консультантами Проекта в рамках заключенного государственного контракта на оказание информационно-консультационных услуг проведено 10  кустовых семинаров для представителей муниципалитетов и жителей региона. Семинары состоялись до начала периода проведения собраний по выбору актуальных вопросов местного значения.</t>
  </si>
  <si>
    <t xml:space="preserve">1. Подсчет участников видеотренингов не проводился.
2. Участников выездных семинаров - 314 человек. </t>
  </si>
  <si>
    <t>Титоренко Мария Владимировна, начальник отдела управления проектами и программами министерства социального развития Кировской области</t>
  </si>
  <si>
    <t>(8332) 272726 доб. 2670</t>
  </si>
  <si>
    <t>titorenkomv@dsr.kirov.ru</t>
  </si>
  <si>
    <t>Государственная программа Ханты-Мансийског автономного округа - Югры "Жилищно-коммунальный комплекс и городская среда", мероприятие 9.1. Региональный проект "Формирование комфортной городской среды"</t>
  </si>
  <si>
    <t>Постановление Правительства ХМАО - Югры от 05.10.2018 N 347-п (ред. от 27.12.2019)
"О государственной программе Ханты-Мансийского автономного округа - Югры "Жилищно-коммунальный комплекс и городская среда"</t>
  </si>
  <si>
    <t>https://depjkke.admhmao.ru/gosudarstvennaya-programma/gosudarstvennaya-programma-khanty-mansiyskogo-avtonomnogo-okruga-yugry-zhilishchno-kommunalnyy-kompl/3493012/postanovlenie-pravitelstva-khmao-yugry-ot-05-10-2018-n-347-p</t>
  </si>
  <si>
    <t>Департамент жилищно-коммунального комплекса и энергетики Ханты-Мансийского автономного округа - Югры</t>
  </si>
  <si>
    <t>органы местного самоуправления, выступающие техническими заказчиками на выполнение работ по мероприятиям проекта "Формирование комфортной городской среды"</t>
  </si>
  <si>
    <t>Постановление Правительства РФ от 30.12.2017 N 1710
(ред. от 31.12.2019) "Об утверждении государственной программы Российской Федерации "Обеспечение доступным и комфортным жильем и коммунальными услугами граждан Российской Федерации" / Национальный проект "Жилье и городская среда"</t>
  </si>
  <si>
    <t>Министрой России</t>
  </si>
  <si>
    <t>статистика не велась</t>
  </si>
  <si>
    <t>На основе количества участников мероприятий по вовлечению граждан в процессы благоустройства</t>
  </si>
  <si>
    <t>https://tumstat.gks.ru/storage/mediabank/%D0%A7%D0%B8%D1%81%D0%BB%D0%B5%D0%BD%D0%BD%D0%BE%D1%81%D1%82%D1%8C%20%D0%BD%D0%B0%D1%81%D0%B5%D0%BB%D0%B5%D0%BD%D0%B8%D1%8F.htm</t>
  </si>
  <si>
    <t>подсчет анкет</t>
  </si>
  <si>
    <t>подсчет присутвтующих</t>
  </si>
  <si>
    <t>https://myopenugra.ru</t>
  </si>
  <si>
    <t>трудовое участие</t>
  </si>
  <si>
    <t>https://depjkke.admhmao.ru/prioritetnye-proekty/prioritetnyy-proekt-formirovanie-komfortnoy-gorodskoy-sredy/</t>
  </si>
  <si>
    <t>Чергинец Андрей Андреевич, начальник отдела жилищной инфраструктуры Департамента жилищно-коммунального комплекса и энергетики Ханты-Мансийского автономного округа - Югры</t>
  </si>
  <si>
    <t>8-3467-360140, до. 2037</t>
  </si>
  <si>
    <t>CherginecAA@admhmao.ru</t>
  </si>
  <si>
    <t>Предоставление грантов в форме субсидий на поддержку местных инициатив граждан, проживающих в сельской местности</t>
  </si>
  <si>
    <t>Подпрограмма 5.2 «Устойчивое развитие сельских территорий», мероприятие "Грантовая поддержка местных инициатив граждан, проживающих в сельской местности", государственной  программы автономного округа «Развитие агропромышленного комплекса», утвержденная постановлением Правительства Ханты-Мансийского автономного округа – Югры от 05.10.2018 № 344-п</t>
  </si>
  <si>
    <t>05.10.2018, 344-п</t>
  </si>
  <si>
    <t>https://depprom.admhmao.ru/programmy/razvitie-agropromyshlennogo-kompleksa-/1956256/gosudarstvennaya-programma-khanty-mansiyskogo-avtonomnogo-okruga-yugry-razvitie-agropromyshlennogo-k</t>
  </si>
  <si>
    <t>Департамент промышленности Ханты-Мансийского автономного округа — Югры, в части грантовой поддержки местных инициатив граждан, проживающих в сельской местности</t>
  </si>
  <si>
    <t>Департамент финансов Ханты-Мансийского автономного округа — Югры</t>
  </si>
  <si>
    <t xml:space="preserve">Гранты в форме субсидии </t>
  </si>
  <si>
    <t>Сельское поселение Леуши Кондинского района</t>
  </si>
  <si>
    <t>Подпрограмма  «Устойчивое развитие сельских территорий» Государственной программы «Развитие агропромышленного комплккса»</t>
  </si>
  <si>
    <t>Точный подсчет (все жители поселка)</t>
  </si>
  <si>
    <t>Критериями отбора проектов являются: 1) востребованность (проект должен быть направлен на решение наиболее значимой проблемы сельского поселения и отвечать интересам широкого круга его представителей с учетом интересов наиболее незащищенных групп сельского населения, оценивается по численности сельского населения, принявшего участие в реализации проекта); 2) локальность и краткосрочность (реализация проекта должна осуществляться в границах отдельно взятого сельского поселения в течение одного финансового года); 3) финансовое обеспечение проекта (наличие источников финансирования); 4) социальное партнерство (реализация проекта должна предусматривать привлечение местных трудовых, финансовых и материально-технических ресурсов).</t>
  </si>
  <si>
    <t>Деппромышленности Югры направляются письма в муниципальные образования о проведении конкурса в муниципальные образования, размещается информации о проведении конкурса на сайтах: Деппромышленности Югры, Муниципальных образований, в части грантовой поддержки местных инициатив граждан проживающих в сельской местности.</t>
  </si>
  <si>
    <t>Кротова Галина Гильмановна — главный специалист — эксперт отдела развития агропромышленного комплекса Управления агропромышленного комплекса Деппромышенности Югры</t>
  </si>
  <si>
    <t>8(3467)35-34-04, доб. 3830</t>
  </si>
  <si>
    <t>KrotovaGG@admhmao.ru</t>
  </si>
  <si>
    <t>Содействие развитию исторических и иных местных традиций</t>
  </si>
  <si>
    <t>мероприятие 1.2 "Поддержка мер по обеспечению сбалансированности местных бюджетов и компенсация дополнительных расходов, возникших в результате решений, принятых органами власти другого уровня" подпрограммы 1 "Выравнивание финансовых возможностей и содействие сбалансированности местных бюджетов" государственной программы Ханты-Мансийского автономного округа - Югры "Создание условий для эффективного управления муниципальными финансами"</t>
  </si>
  <si>
    <t>Постановление Правительства ХМАО - Югры от 09.10.2013 N 416-п (ред. от 02.11.2018) "О государственной программе Ханты-Мансийского автономного округа - Югры "Создание условий для эффективного и ответственного управления муниципальными финансами, повышения устойчивости местных бюджетов Ханты-Мансийского автономного округа - Югры на 2018 - 2025 годы и на период до 2030 года" (действовала до конца 2018 года), с 1 января 2019 года - постановление Правительства ХМАО - Югры от 05.10.2018 N 360-п (ред. от 14.02.2020) "О государственной программе Ханты-Мансийского автономного округа - Югры "Создание условий для эффективного управления муниципальными финансами"</t>
  </si>
  <si>
    <t>https://ovmf2.consultant.ru/cgi/online.cgi?req=doc&amp;cacheid=404DD1EC082D4FCCF4299E9CB98D49B9&amp;SORTTYPE=0&amp;BASENODE=24478&amp;ts=1349080547042415260708871616&amp;base=RLAW926&amp;n=206331&amp;rnd=A295B63355621B91DB5DAD71B89A7BD9#ziz0z1fe1w</t>
  </si>
  <si>
    <t xml:space="preserve">Департамент внутренней политики Ханты-Мансийского автономного округа - Югры </t>
  </si>
  <si>
    <t>муниципальные образования автономного округа</t>
  </si>
  <si>
    <t>Общее количество граждан, проживающих на территории где были реализованы проекты ИБ, туристы (методики в МО отсутствуют)</t>
  </si>
  <si>
    <t>протоколы собрания граждан (инициативной группы), видеозаписи собраний</t>
  </si>
  <si>
    <t>регистрация в журналах поселений</t>
  </si>
  <si>
    <t>журнал входящей корреспонденции</t>
  </si>
  <si>
    <t>13 критериев оценки участников конкурсного отбора проектов</t>
  </si>
  <si>
    <t>Предусматривает возможность участия всех муниципальных образований, но при условии наступления юбилейной даты в отдельном населенном пункте, входящем в состав городского округа или муниципального района (юбилейная дата каждые 10 лет) в конкретном финансовом году.</t>
  </si>
  <si>
    <t xml:space="preserve">С 7 муниципальными районами заключены соглашения, в рамках которых реализованы проекты в 20 административно-территориальных единицах (городских и сельских поселений) </t>
  </si>
  <si>
    <t>https://www.instagram.com/p/B-Ex-_LKZYh/;            https://ok.ru/selskoepos; 
https://www.youtube.com/channel/UCGdpyToy8AOnijRkLCNbr9A; https://vk.com/@berezovoinfo;
http://www.admoil.ru/novosti-dnya;
https://vk.com/public172755478;
https://ok.ru/group/54408960737454;
http://www.admsingapaj.ru/deyatelnost/byudzhet-i-finansy/narodnyy-byudzhet/narodnyy-byudzhet_2019.php</t>
  </si>
  <si>
    <t>http://www.admoil.ru/finans/narodni-budget/logotip.rar</t>
  </si>
  <si>
    <t>Объявления на информационных стендах при проведении собраний трудовых коллективов. 
Информационные листовки, размещение объявлений, статей о конкурсе Народная инициатива на официальных сайтах администрации района. 
Ящики для сбора проектных идей.
В средствах массовой информации, на стендах в МФЦ, а также в учреждениях образования, культуры и спорта. 
Также к работе по развитию ИБ были привлечены Общественные советы поселений.  
Обсуждение в коллективах, объявления, информационные письма.</t>
  </si>
  <si>
    <t>В информационных документах, в простой, понятной любому жителю форме. Инфографика не используется.
Памятка участникам конкурсного отбора "Народный бюджет" в Сургутском районе https://cloud.mail.ru/public/3Bte/3Gn3wHY16</t>
  </si>
  <si>
    <t>консультации по телефону специалистов муниципальных образований Ханты-Мансийского автономного округа - Югры</t>
  </si>
  <si>
    <t>по мере обращений специалистов муниципальных образований Ханты-Мансийского автономного округа - Югры</t>
  </si>
  <si>
    <t>Бутерус Тамара Александровна, начальник отдела сопровождения государственных программ Административного управления Департамента внутренней политики Ханты-Мансийского автономного округа - Югры</t>
  </si>
  <si>
    <t>(8 346 7) 35-04-07</t>
  </si>
  <si>
    <t xml:space="preserve">ButerusTA@admhmao.ru </t>
  </si>
  <si>
    <t>Субсидии местным бюджетам на реализацию муниципальных программ, направленных на реализацию проектов благоустройства территорий поселений и городских округов, отобраных на конкурсной основе,предложенных территориальным общественным самоуправлением</t>
  </si>
  <si>
    <t>Субсидии для территориального общественного самоуправления (ТОС)</t>
  </si>
  <si>
    <t xml:space="preserve">Постановление администрации Липецкой области от 31.08.2017 N 408 "Об утверждении государственной программы Липецкой области "Формирование современной городской среды в Липецкой области" (подпрограмма, основное мероприятие 6 задачи подпрограммы: предоставление субсидий местным бюджетам на реализацию муниципальных программ, направленных на реализацию проектов, отобранных на конкурсной основе, предложенных территориальным общественным самоуправлением)
</t>
  </si>
  <si>
    <t>Постановление администрации Липецкой области от 28.03.2019 N 162 "О внесении изменений в постановление администрации Липецкой области от 31 августа 2017 года N 408 "Об утверждении государственной программы Липецкой области "Формирование современной городской среды в Липецкой области"</t>
  </si>
  <si>
    <t>http://publication.pravo.gov.ru/Document/View/4800201904040004?index=0&amp;rangeSize=1</t>
  </si>
  <si>
    <t xml:space="preserve">Закон Липецкой области от 17 декабря 2019 года № 318-ОЗ "Об областном бюджете на 2020 год и на плановый период 2021 и 2022 годов"
</t>
  </si>
  <si>
    <t>Постановление администрации Липецкой области от 19 апреля 2019 года № 210 "06 утверждении Порядка предоставления субсидий местным бюджетам на реализацию муниципальных программ, направленных на реализацию проектов, отобранных на конкурсной основе, предложенных
территориальным общественным самоуправлением, на 2019 год"</t>
  </si>
  <si>
    <t xml:space="preserve">http://publication.pravo.gov.ru/Document/View/4800201904250006?index=0&amp;rangeSize=1 </t>
  </si>
  <si>
    <t>Управление жилищно-коммунального  хозяйства Липецкой области</t>
  </si>
  <si>
    <t>Управление жилищно - коммунального хозяйства Липецкой области</t>
  </si>
  <si>
    <t>Городские округа, городские и сельские поселения Липецкой области</t>
  </si>
  <si>
    <t>Количество благополучателей приравнивается к количеству населения, проживающему на территории  городских округов, городских и сельских поселений Липецкой области, в которых реализованы проекты</t>
  </si>
  <si>
    <t>Протокол органов ТОС</t>
  </si>
  <si>
    <t>Решение (протокол) муниципальной конкурсной комиссии . Трёхуровневый отбор: на уровне ТОС, на уровне МО, на региональном уровне.</t>
  </si>
  <si>
    <t>Предусматривает участие городских округов, городских и сельских поселений Липецкой области</t>
  </si>
  <si>
    <t xml:space="preserve">В соответствии с частью 1 статьи 27 Федерального закона от 6 октября 2003 года № 131 - ФЗ "Об общих принципах организации местного самоуправления в Российской Федерации"  территориальное общественное самоуправление (далее в этом пункте - ТОС) это самоорганизация граждан по месту их жительства на части территории поселения, городского округа. В связи с тем, что ИБ осуществляется через ТОС муниципальные районы не участвуют в распределении субсидий. </t>
  </si>
  <si>
    <t xml:space="preserve">http://admlip.ru/authorities/administratsiya-lipetskoy-oblasti/struktury/upravlenie-org-raboty/zonalnye-seminary-dlya-organov-mestnogo-samoupravleniya/?sphrase_id=1207464;  </t>
  </si>
  <si>
    <t>http://admlip.ru/news/igor_artamonov_vstretilsya_s_aktivistami_tosov_oktyabrskogo_okruga_lipetska/?sphrase_id=1208681</t>
  </si>
  <si>
    <t>http://admlip.ru/news/igor_artamonov_glavnyy_pokazatel_effektivnosti_raboty_vlasti_udovletvorennost_lyudey/?sphrase_id=1208682</t>
  </si>
  <si>
    <t>Круглые столы с главами городских и сельских поселений области (28, 29 марта; 4, 5 апреля 2019г.) - свыше 300 участников</t>
  </si>
  <si>
    <t xml:space="preserve"> Петров Виктор Александрович</t>
  </si>
  <si>
    <t>8(4742)22-64-23</t>
  </si>
  <si>
    <t>PetrovVA@admlr.lipetsk.ru</t>
  </si>
  <si>
    <r>
      <t xml:space="preserve">Разработка и отбор инициативных предложений происходит на заседаниях </t>
    </r>
    <r>
      <rPr>
        <b/>
        <sz val="10"/>
        <color rgb="FF000000"/>
        <rFont val="Times New Roman"/>
        <family val="1"/>
        <charset val="204"/>
      </rPr>
      <t>бюджетной комиссии*</t>
    </r>
    <r>
      <rPr>
        <sz val="10"/>
        <color rgb="FF000000"/>
        <rFont val="Times New Roman"/>
        <family val="1"/>
        <charset val="204"/>
      </rPr>
      <t xml:space="preserve">, состоящей из местных жителей. По ссылке размещена видеозапись заседания в пгт Вахруши в 2018 году https://vk.com/narodnijbudjet.vaxrushi?w=wall-147883966_113 </t>
    </r>
  </si>
  <si>
    <r>
      <t xml:space="preserve">Инициативные предложения, которые в дальнейшем будут реализованы, выбираются путем </t>
    </r>
    <r>
      <rPr>
        <b/>
        <sz val="10"/>
        <color rgb="FF000000"/>
        <rFont val="Times New Roman"/>
        <family val="1"/>
        <charset val="204"/>
      </rPr>
      <t>голосования бюджетной комиссии**</t>
    </r>
  </si>
  <si>
    <r>
      <rPr>
        <sz val="10"/>
        <rFont val="Times New Roman"/>
        <family val="1"/>
        <charset val="204"/>
      </rPr>
      <t xml:space="preserve">раздел "Самообложение" на официальном сайте министерства финансов Кировской области </t>
    </r>
    <r>
      <rPr>
        <u/>
        <sz val="10"/>
        <color rgb="FF0563C1"/>
        <rFont val="Times New Roman"/>
        <family val="1"/>
        <charset val="204"/>
      </rPr>
      <t>http://www.minfin.kirov.ru/otkrytyy-byudzhet/dlya-spetsialistov/narodniy-byudzhet/self-imposition/</t>
    </r>
  </si>
  <si>
    <r>
      <rPr>
        <sz val="10"/>
        <color rgb="FF2F75B5"/>
        <rFont val="Times New Roman"/>
        <family val="1"/>
        <charset val="204"/>
      </rPr>
      <t>www.ryazagro.ru.</t>
    </r>
    <r>
      <rPr>
        <sz val="10"/>
        <color rgb="FF000000"/>
        <rFont val="Times New Roman"/>
        <family val="1"/>
        <charset val="204"/>
      </rPr>
      <t>Сайт министерства сельского хозяйства Рязанской области</t>
    </r>
  </si>
  <si>
    <r>
      <t>http://nvraion.ru/ekonomika-i-finansy/initsiativnoe-byudzhetirovanie/; http://www.adminvata.ru/pamyatnik-vov.html;   http://admlariak.ru/otchet-za-2019-god.html;
http://admbel.ru/info/news/?ELEMENT_ID=65817</t>
    </r>
    <r>
      <rPr>
        <u/>
        <sz val="10"/>
        <color rgb="FF000000"/>
        <rFont val="Times New Roman"/>
        <family val="1"/>
        <charset val="204"/>
      </rPr>
      <t xml:space="preserve">;
http://саранпауль-адм.рф/initciativnoe-byudzhetirovanie.html; http://hulimsunt.ru/economy/budget/budgeting/; http://berezovo.ru/activity/finance/initsiativnoe-byudzhetirovanie/;
http://admmul.ru/narodnyy-byudzhet.html; http://www.admkonda.ru/narodnyy-byudzhet-sp-leushi.html;
 http://www.admoil.ru/narodnyj-byudzhet </t>
    </r>
  </si>
  <si>
    <r>
      <t xml:space="preserve">Вся информация о самообложении граждан освещается </t>
    </r>
    <r>
      <rPr>
        <b/>
        <sz val="10"/>
        <color rgb="FF000000"/>
        <rFont val="Times New Roman"/>
        <family val="1"/>
        <charset val="204"/>
      </rPr>
      <t xml:space="preserve">в разделе "Новости" </t>
    </r>
    <r>
      <rPr>
        <sz val="10"/>
        <color rgb="FF000000"/>
        <rFont val="Times New Roman"/>
        <family val="1"/>
        <charset val="204"/>
      </rPr>
      <t xml:space="preserve">на официальном сайте министерства финансов Кировской области  http://www.minfin.kirov.ru/novosti-i-anonsy/dokhody/9528/?sphrase_id=63045, http://www.minfin.kirov.ru/novosti-i-anonsy/dokhody/9630/?sphrase_id=63045, http://www.minfin.kirov.ru/novosti-i-anonsy/byudzhet/9744/?sphrase_id=63045, http://www.minfin.kirov.ru/novosti-i-anonsy/raskhody/9787/?sphrase_id=63045
Также информация  о самообложении граждан публикуется </t>
    </r>
    <r>
      <rPr>
        <b/>
        <sz val="10"/>
        <color rgb="FF000000"/>
        <rFont val="Times New Roman"/>
        <family val="1"/>
        <charset val="204"/>
      </rPr>
      <t xml:space="preserve">на официальном сайте Правительства Кировской области </t>
    </r>
    <r>
      <rPr>
        <sz val="10"/>
        <color rgb="FF000000"/>
        <rFont val="Times New Roman"/>
        <family val="1"/>
        <charset val="204"/>
      </rPr>
      <t>https://www.kirovreg.ru/news/detail.php?ID=79615&amp;sphrase_id=494692</t>
    </r>
  </si>
  <si>
    <r>
      <t>1. Организационное собрание для муниципальных образований - участников проекта. Собрание проводится с целью методологической помощи в организации проекта в муниципальных образованиях. В собрании принимают участие сотрудники администрации и</t>
    </r>
    <r>
      <rPr>
        <b/>
        <sz val="10"/>
        <color rgb="FF000000"/>
        <rFont val="Times New Roman"/>
        <family val="1"/>
        <charset val="204"/>
      </rPr>
      <t xml:space="preserve"> модераторы проекта***</t>
    </r>
    <r>
      <rPr>
        <sz val="10"/>
        <color rgb="FF000000"/>
        <rFont val="Times New Roman"/>
        <family val="1"/>
        <charset val="204"/>
      </rPr>
      <t xml:space="preserve"> от муниципальных образований.
2. Презентация проекта в муниципальном образовании с целью информирования населения о проекте. Проводится с участием представителей администрации муниципального образования и министерства финансов Кировской области.</t>
    </r>
  </si>
  <si>
    <t>Проект "Команда Губернатора: Мы вместе - Народный бюджет"</t>
  </si>
  <si>
    <t>Государственная программа "Управление региональными финансами Вологодской области на 2015-2020 годы", подпрограмма "Поддержание устойчивого исполнения местных бюджетов и повышение качества управления муниципальными финансами на 2015-2020 годы", основное мероприятие "Оценка качества управления муниципальными финансами",  направление - субсидии на реализацию проекта "Народный бюджет"</t>
  </si>
  <si>
    <t>Постановление Правительства области от 05.11.2014 года № 990 "Об утверждении государственной программы Вологодской области "Управление региональными финансами Вологодской области на 2015 - 2020 годы"</t>
  </si>
  <si>
    <t>https://df.gov35.ru/dokumenty-strategicheskogo-planirovaniya/gosudarstvennaya-programma-departamenta-finansov/aktualnaya-versiya-gosudarstvennoy-programmy/</t>
  </si>
  <si>
    <t>Департамент внутренней политики Правительства области, Департамент финансов области</t>
  </si>
  <si>
    <t>Правительство области (Департамент внутренней политики Правительства области и Департамент управления делами Правительства области)</t>
  </si>
  <si>
    <t>Субсидия на реализацию проекта "Народный бюджет"</t>
  </si>
  <si>
    <t>Муниципальные районы, городские и сельские поселения Вологодской области</t>
  </si>
  <si>
    <t>Количество благополучаталей - жителей, вовлеченных в реализацию проекта - указывается в составе заявок, представленных на конкурс. 
Методика расчета доли вовлеченных в проект определена постановлением Правительства области от 05.11.2014 года № 990</t>
  </si>
  <si>
    <t>https://vologdastat.gks.ru/storage/mediabank/-%D0%9E%D1%86%D0%B5%D0%BD%D0%BA%D0%B0%20%D1%87%D0%B8%D1%81%D0%BB%D0%B5%D0%BD%D0%BD%D0%BE%D1%81%D1%82%D0%B8%20(%D1%80%D0%B0%D0%B9%D0%BE%D0%BD%D1%8B%20%D0%B8%20%D0%93%D0%9E).htm</t>
  </si>
  <si>
    <t>Протокол по итогам рассмотрения представленных в ответственный орган заявок муниципальных образований. Для прохождения конкурсного отбора заявка МО должна соответствовать параметрам, указанным в постановлении Правительства области от 05.11.2014 года № 990. Решение принимает региональная конкурсная комиссия.</t>
  </si>
  <si>
    <t>99% (за исключением городских окугов)</t>
  </si>
  <si>
    <t>Получателями субсидии в рамках конкурса "Народный бюджет" в Вологодской области являются городские и сельские поселения. А также все муниципальные районы области в случаях решения вопроса, предусмотренного абзацем 11 пункта 1.6 увержденного Положения о конкурсном отборе.
Получателями субсидии - то есть участниками регионального конкурса - не могут стать городские округа (их в области два - город Вологда и город Череповец). На их территории отдельно реализуются проекты по инициативному бюджетированию за счет средств бюджетов городских округов.</t>
  </si>
  <si>
    <t>https://okuvshinnikov.ru/prog/programma_gubernatora_narodnyj_byudzhet/</t>
  </si>
  <si>
    <t>Регулярные публикации в средствах массовой информации - региональная газета Красный Север:
http://krassever.ru/tag?keyword=%C2%AB%D0%9D%D0%B0%D1%80%D0%BE%D0%B4%D0%BD%D1%8B%D0%B9%20%D0%B1%D1%8E%D0%B4%D0%B6%D0%B5%D1%82%C2%BB</t>
  </si>
  <si>
    <t>Новости на официальных сайтах органов государственной власти региона. Пример, официальный сайт Департамента финансов: 
https://df.gov35.ru/deyatelnost/novosti/5/10765/
Использование средств массовой информации. Пример, региональная газета Красный Север:
http://krassever.ru/article/narodnyye-initsiativy-vnov-profinansiruyut</t>
  </si>
  <si>
    <t>В рамках подготовки визитов Губернатора области в каждый район Департаментом внутренней политики области былиподготовлены буклеты, где отражались наименования проектов в данном районе и размеры субсидий за период с 2015 по 2019 гг. Буклеты распространялись среди жителей соответствующего района с целью информирования их о ходе реализации и возможном участии в проекте Народный бюджет.</t>
  </si>
  <si>
    <t>Коновалова Екатерина Александровна, ведущий консультант управления бюджета и межбюджетных отношений Департамента финансов Вологодской области</t>
  </si>
  <si>
    <t>8 (8172) 23-01-50 доб. 4222</t>
  </si>
  <si>
    <t>KonovalovaEA@df.gov35.ru</t>
  </si>
  <si>
    <t>Реализация общественно значимых проектов, основанных на местных инициативах, в рамках проекта «Молодежный бюджет»</t>
  </si>
  <si>
    <t>«Молодежный бюджет»</t>
  </si>
  <si>
    <t>Государственная программа «Управление государственными финансами Сахалинской области», основное мероприятие "Развитие инициативного бюджетирования в Сахалинской области"</t>
  </si>
  <si>
    <t>Постановление Правительства Сахалинской области от 29.08.2017 № 400 "Об отдельных вопросах реализации в Сахалинской области общественно значимых проектов, основанных на местных инициативах в рамках проекта "Молодежный бюджет"</t>
  </si>
  <si>
    <t>https://pib.sakhminfin.ru/show/mb
Постановление Правительства Сахалинской области от 29.08.2017 N 400 (ред. от 15.08.2019) "Об отдельных вопросах реализации в Сахалинской области общественно значимых проектов, основанных на местных инициативах в рамках проекта "Молодежный бюджет" (вместе с "Положением о проекте "Молодежный бюджет", "Порядком предоставления и расходования субсидии из областного бюджета бюджетам муниципальных образований на реализацию в Сахалинской области общественно значимых проектов, основанных на местных инициативах в рамках проекта "Молодежный бюджет") {КонсультантПлюс}</t>
  </si>
  <si>
    <t>Распоряжение Правительства Сахалинской области от 22.02.2017 № 107-р "Об утверждении программы развития инициативного бюджетирования Сахалинской области на 2017-2025 годы", с учетом внесенных изменений от 02.07.2018 № 365-р, срок действия Программы развития инициативного бюджетирования в субъекте РФ до 2025 года</t>
  </si>
  <si>
    <t>https://pib.sakhminfin.ru/show/ppi</t>
  </si>
  <si>
    <t>Министерство финансов Сахалинской области</t>
  </si>
  <si>
    <t>Молодежный совет заблаговременно информирует всех старшеклассников-участников голосования о месте и времени проведения голосования, а также о правилах учета голосов.
При проведении голосования каждому его участнику предоставляется возможность выбрать два проектных предложения из перечня предложений, вынесенных на голосование. 
Для организации подсчета голосов в соответствии с установленным порядком проведения общешкольного голосования назначается счетная комиссия. По итогам голосования утверждает рейтинг проектных предложений.
Победителями голосования объявляются проектные предложения, набравшие наибольшее количество голосов, общая оценочная стоимость реализации которых не превышает 3030,4 тыс. рублей.</t>
  </si>
  <si>
    <t>Предусмотрена подача и обработка заявок, информационное сопровождение заявленных проектов их координаторами на портале инициативного бюджетирования   https://pib.sakhminfin.ru/projects?MembersCategoryId=1</t>
  </si>
  <si>
    <t>https://pib.sakhminfin.ru
https://pib.sakhminfin.ru/show/mb</t>
  </si>
  <si>
    <t>http://sakhminfin.ru/ 
https://www.facebook.com/budget65   
https://instagram.com/sakhminfin?igshid=j0ocuoxtiagz
https://www.youtube.com/channel/UCLnSucUVz43wAq-6y9PwHzg</t>
  </si>
  <si>
    <t>Рекламная кампания проводилась в СМИ и непосредственно в школах. На YouTube-канале размещены информационные и обучающие ролики.
https://www.youtube.com/watch?v=DNii10B8ujw 
https://www.youtube.com/watch?v=Zzaz4R3Tcoc
https://www.youtube.com/watch?v=9gnVVQuTOyg
https://www.youtube.com/watch?v=vd46iE-ygC8
https://www.youtube.com/watch?v=qMjB4wsaL_A</t>
  </si>
  <si>
    <t>Брошюры, лифлеты, сертификаты 
https://yadi.sk/d/uWkKQGPwE_uIJw</t>
  </si>
  <si>
    <t>Обучающие тренинги для представителей органов местного самоуправления, учителей и учащихся старших классов островных школ. Мероприятия проводились в 17 муниципальных образованиях Сахалинской области.</t>
  </si>
  <si>
    <t>Сидорова Юлия Николаевна, ведущий аналитик департамента бюджетной политики в сфере открытости бюджета министерства финансов Сахалинской области</t>
  </si>
  <si>
    <t>8(4242)670499</t>
  </si>
  <si>
    <t>y.sidorova@sakhminfin.ru</t>
  </si>
  <si>
    <t>Реализация общественно значимых проектов, основанных на местных инициативах, в сфере капитального строительства</t>
  </si>
  <si>
    <t>Развитие территорий</t>
  </si>
  <si>
    <t>Постановление Правительства Сахалинской области от 15.03.2018 № 90 "Об отдельных вопросах реализации в Сахалинской области общественно значимых проектов, основанных на местных инициативах, в сфере капитального строительства"</t>
  </si>
  <si>
    <t>https://pib.sakhminfin.ru/show/rt
Постановление Правительства Сахалинской области от 15.03.2018 N 90 (ред. от 15.08.2019) "Об отдельных вопросах реализации в Сахалинской области общественно значимых проектов, основанных на местных инициативах, в сфере капитального строительства" (вместе с "Положением о проекте инициативного бюджетирования "Реализация общественно значимых проектов в сфере капитального строительства") {КонсультантПлюс}</t>
  </si>
  <si>
    <t>Министерство образования Сахалинской области;  министерство культуры и архивного дела Сахалинской области; министерство спорта Сахалинской области, министерство жилищно-коммунального хозяйства Сахалинской области, министерство строительства Сахалинской области</t>
  </si>
  <si>
    <t>Количество жителей населенных пунктов, которые могут пользоваться объектом</t>
  </si>
  <si>
    <t>https://gks.ru/compendium/document/13282</t>
  </si>
  <si>
    <t>Видеозаписи собраний, протоколы собраний, регистрационные листы</t>
  </si>
  <si>
    <t>https://pib.sakhminfin.ru/vote</t>
  </si>
  <si>
    <t>процедура очного голосования (по ведомостям) используется в населенных пунктах, где отсутствует интернет</t>
  </si>
  <si>
    <t>https://pib.sakhminfin.ru/
https://pib.sakhminfin.ru/show/rt</t>
  </si>
  <si>
    <t>http://sakhminfin.ru
https://www.facebook.com/budget65   
https://instagram.com/sakhminfin
https://www.youtube.com/channel/UCLnSucUVz43wAq-6y9PwHzg</t>
  </si>
  <si>
    <t>Проведена информационная компания, охватившая все муниципалитеты области. Информация размещена в СМИ, использовались наружные рекламные конструкции, радио и ТВ реклама, мобильный информационный центр, распространялись буклеты и сувенирная продукция с символикой проекта. Видеосюжеты выходили на местных телеканалах, в электронных СМИ.
https://www.youtube.com/watch?v=HlqIlUexYPQ
https://www.youtube.com/watch?v=afJbo2yVpE4
https://www.youtube.com/watch?v=W90-xE-97aQ</t>
  </si>
  <si>
    <t>https://yadi.sk/d/CpocWYq0qV7ydA</t>
  </si>
  <si>
    <t xml:space="preserve">Семинары-совещания для представителей администрации муниципальных образований и представителей общественных организаций; международный семинар-совещание на тему "Развитие практик инициативного (партисипаторного) бюджетирования: мировой и российский опыт" с участием представителей министерства финансов Южной Кореи, представителей органов исполнительной власти Сахалинской области и муниципалных образований </t>
  </si>
  <si>
    <t xml:space="preserve">Сидорова Юлия Николаевна, ведущий аналитик департамента бюджетной политики в сфере открытости бюджета министерства финансов Сахалинской области
</t>
  </si>
  <si>
    <t>Реализация общественно значимых проектов, основанных на местных инициативах</t>
  </si>
  <si>
    <t>Поддержка местных инициатив (ППМИ)</t>
  </si>
  <si>
    <t>Постановление Правительства Сахалинской области от 08.02.2017 № 52 "Об отдельных вопросах реализации в Сахалинской области общественно значимых проектов, основанных на местных инициативах"</t>
  </si>
  <si>
    <t>https://pib.sakhminfin.ru/show/ppi 
Постановление Правительства Сахалинской области от 08.02.2017 N 52 (ред. от 19.12.2019) "Об отдельных вопросах реализации в Сахалинской области общественно значимых проектов, основанных на местных инициативах" (вместе с "Порядком проведения конкурсного отбора на предоставление бюджетам муниципальных образований Сахалинской области субсидии из областного бюджета на реализацию в Сахалинской области общественно значимых проектов, основанных на местных инициативах", "Положением о конкурсной комиссии по проведению конкурсного отбора на предоставление бюджетам муниципальных образований Сахалинской области субсидии из областного бюджета на реализацию в Сахалинской области общественно значимых проектов, основанных на местных инициативах", "Порядком предоставления и расходования субсидии из областного бюджета бюджетам муниципальных образований на реализацию в Сахалинской области общественно значимых проектов, основанных на местных инициативах") {КонсультантПлюс}</t>
  </si>
  <si>
    <t>данные берутся из заявок от муниципальных образований</t>
  </si>
  <si>
    <t>Заполненные опросные листы (анкеты), которые были представлены муниципальными образованиями на конкурсный отбор</t>
  </si>
  <si>
    <t>Видеозаписи собраний,протоколы собраний</t>
  </si>
  <si>
    <t xml:space="preserve">http://adm-tomari.ru/vote/vote_result.php?VOTE_ID=12 </t>
  </si>
  <si>
    <t>http://sakhminfin.ru/index.php/news/3293-o-rezultatakh-konkursnogo-otbora-na-predostavlenie-v-2020-godu-byudzhetam-munitsipalnykh-obrazovanij-sakhalinskoj-oblasti-subsidii-iz-oblastnogo-byudzheta-na-realizatsiyu-v-sakhalinskoj-oblasti-obshchestvenno-znachimykh-proektov-osnovannykh-na-mestnykh-in</t>
  </si>
  <si>
    <t>Оценка и ранжирование проектов на основе формальных критериев</t>
  </si>
  <si>
    <t>Предусмотрена подача и обработка заявок, информационное сопровождение заявленных проектов их координаторами на портале инициативного бюджетирования  https://pib.sakhminfin.ru/projects?MembersCategoryId=0, автоматическая обработка итогов консурсного отбора и их публикация, интеграция с подсистемой госзакупки (предусмотрена возможность отследить информацию по проводимым закупкам в рамках проекта)</t>
  </si>
  <si>
    <t>Неоплачиваемый  вклад  включает  использование   строительных   материалов, оборудования, инструмента, уборку мусора, благоустройство и пр.</t>
  </si>
  <si>
    <t>https://pib.sakhminfin.ru
https://pib.sakhminfin.ru/show/ppi</t>
  </si>
  <si>
    <t>В рамках проекта проведены информационные и итоговые собраний с жителями населенных пунктов всех муниципальных образований Сахалинской области. Анонсы и итоги этих встреч кратко освещались на портале инициативного бюджетирования в разделе мероприятия https://pib.sakhminfin.ru/events/seminars. Муниципальные образования самостоятельно распространяли информацию в СМИ.</t>
  </si>
  <si>
    <t>Буклеты, брошюры https://yadi.sk/d/zn8f23T-Oysjgw</t>
  </si>
  <si>
    <t xml:space="preserve">Международный семинар-совещание на тему "Развитие практик инициативного (партисипаторного) бюджетирования: мировой и российский опыт" с участием представителей министерства финансов Южной Кореи, представителей органов исполнительной власти Сахалинской области и муниципалных образований </t>
  </si>
  <si>
    <r>
      <t xml:space="preserve">Предусмотрена подача и обработка заявок, информационное сопровождение заявленных проектов их координаторами на портале инициативного бюджетирования   </t>
    </r>
    <r>
      <rPr>
        <u/>
        <sz val="10"/>
        <color rgb="FF000000"/>
        <rFont val="Times New Roman"/>
        <family val="1"/>
        <charset val="204"/>
      </rPr>
      <t xml:space="preserve">https://pib.sakhminfin.ru/territories-development, </t>
    </r>
    <r>
      <rPr>
        <sz val="10"/>
        <color rgb="FF000000"/>
        <rFont val="Times New Roman"/>
        <family val="1"/>
        <charset val="204"/>
      </rPr>
      <t xml:space="preserve"> и их публикация, интеграция с подсистемой госзакупки (предусмотрена возможность отследить информацию по проводимым закупкам в рамках проекта)</t>
    </r>
  </si>
  <si>
    <t>Реализация проектов развития общественной инфраструктуры, основанных на местных инициативах</t>
  </si>
  <si>
    <t>"Наша инициатива" 
Слоган "Родниковый край - расцветай!"</t>
  </si>
  <si>
    <t>Государственная программа "Управление государственными финансами", подпрограмма "Повышение эффективности расходов бюджета Удмуртской Республики", мероприятие "Развитие инициативного бюджетирования в Удмуртской Республике"</t>
  </si>
  <si>
    <t>Постановление Правительства Удмуртской Республики от 21 мая 2019 года № 196 "О реализации в Удмуртской Республике проектов развития общественной инфраструктуры, основанных на местных инициативах"</t>
  </si>
  <si>
    <t>http://www.udmurt.ru/regulatory/index.php?typeid=31183294&amp;regnum=196&amp;sdate=21.05.2019&amp;edate=&amp;sdatepub=&amp;edatepub=&amp;q=&amp;doccnt=</t>
  </si>
  <si>
    <t>Министерство финансов Удмуртской Республики</t>
  </si>
  <si>
    <t>Администрации муниципальных образований Удмуртской Республики, чьи проекты стали победителями конкурсного отбора</t>
  </si>
  <si>
    <t>Численность жителей населенного пункта, которые регулярно будут пользоваться результатами выполненного проекта</t>
  </si>
  <si>
    <t>https://udmstat.gks.ru/folder/51924</t>
  </si>
  <si>
    <t>Автономное учреждение дополнительного образования "Центр финансового просвещения"</t>
  </si>
  <si>
    <t>Бюджет Удмуртской Республики</t>
  </si>
  <si>
    <t xml:space="preserve">Заполненные анкеты на бумажном носителе с подписью заполнявшего анкету.
Ссылка на информационный портал об инициативном бюджетировании в Удмуртской Республике  http://ib.mfur.ru/
</t>
  </si>
  <si>
    <t>Фотографии +Реестр участников собраний с подписями участников.
Ссылка на информационный портал об инициативном бюджетировании в Удмуртской Республике http://ib.mfur.ru/</t>
  </si>
  <si>
    <t>Протоколы итоговых собраний жителей населенных пунктов, входящих в состав муниципальных образований на территории Удмуртской Республики. Протоколы прикреплены к каждой заявки участника конкурсного отбора в информационном портале. Ссылка на информационный портал http://ib.mfur.ru/</t>
  </si>
  <si>
    <t xml:space="preserve">Протокол заседания конкурсной комиссии по проведению ежегодного конкурсного отбора 
проектов развития общественной инфраструктуры, 
основанных на местных инициативах. Ссылка http://www.mfur.ru/news/3190/
</t>
  </si>
  <si>
    <t>Предварительная подача заявок и их проверка в электронном виде через информационный портал, посвященный инициативному бюджетированию</t>
  </si>
  <si>
    <t>Неденежный вклад населения и спонсоров  в форме работы, материалов, оборудования, привлечения техники и транспортных средств</t>
  </si>
  <si>
    <t>http://ib.mfur.ru/</t>
  </si>
  <si>
    <t>https://vk.com/public184274800</t>
  </si>
  <si>
    <t>https://cloud.mail.ru/public/WEih/2g8FYmMBH/</t>
  </si>
  <si>
    <t>Участие в телевизионной программе "Экспертное мнение", регулярные новостные сюжеты на региональном телевидении  о ходе реализации проекта, репортажи с участием инициативных граждан на местах реализации проектов, участие в передачах на радио, посвященных инициативному бюджетированию, публикации в региональных газетах, пресс-конференции для журналистов с дальнейшей публикацией статей в региональных СМИ</t>
  </si>
  <si>
    <t>Обучение сотрудников администраций муниципальных образований, глав муниципальных образований и инициативных граждан в начале очередного раунда.
В 2019 году прошли обучающие мероприятия для раунда 2019 год и 2020 года.</t>
  </si>
  <si>
    <t>Кулакова Мария Владимировна-заместитель начальника отдела организации сводного бюджетного планирования Бюджетного управления Министерства финансов Удмуртской Республики</t>
  </si>
  <si>
    <t>8(341)2-497-390</t>
  </si>
  <si>
    <t>Kulakova_MaV@mf.udmr.ru</t>
  </si>
  <si>
    <t>от 29.11.2019 № 578 "Об утверждении Положения о проекте "Народный бюджет" в Тульской области"</t>
  </si>
  <si>
    <t>http://npatula.ru/storage/files/132969520-132986687.pdf</t>
  </si>
  <si>
    <t xml:space="preserve">от 24.09.2015 № 433 "Об утверждении Правила предоставления субсидий из бюджета Тульской области бюджетам муниципальных образований Тульской области в целях софинансирования расходных обязательств в рамках реализации проекта "Народный бюджет" </t>
  </si>
  <si>
    <t>http://npatula.ru/storage/files/41506548-41509680.pdf</t>
  </si>
  <si>
    <t>Министерство внутренней политики и развития местного самоуправления в Тульской области</t>
  </si>
  <si>
    <t>Министерство жилищно-коммунального хозяйства Тульской области, министерство транспорта и дорожного хозяйства Тульской области</t>
  </si>
  <si>
    <t>Муниципальные образования Тульской области</t>
  </si>
  <si>
    <t>Количество благополучателей рассчитывается по каждой заявке при ее формировании администрацией муниципального образования (например, если заявка на ремонтные работы в МКД - то в расчет берется количество жителей МКД, ремонт спорт. зала в школе - количество учеников).</t>
  </si>
  <si>
    <t xml:space="preserve">Согласно данным, размещенным на сейте службы статистики региона, число жителей по состоянию на 01.01.2019 составляет 1 479 тыс.чел. </t>
  </si>
  <si>
    <t>Протокол собрания жителей, реестр подписей участников собрания</t>
  </si>
  <si>
    <t>Интернет -голосование за заявки через портал "Открытый регион 71" (www.or71.ru) через адрес электронной почты</t>
  </si>
  <si>
    <t xml:space="preserve">Заседание конкурсной комиссии по подведению итогов конкурсного отбора (порядок работы утвержден ППТО от 29.11.2019 № 578 "Об утверждении Положения о проекте "Народный бюджет" в Тульской области") </t>
  </si>
  <si>
    <t>Отбор проектов осуществляется на основании критериев, утвержденноых приказом министерства внутренней политики и развития местного самоуправления в Тульской области от 26.06.2019 № 33 «О реализации проекта «Народный бюджет» в Тульской области»: уровень софинансирования мероприятия со стороны населения и благотворителей; уровень софинансирования мероприятия со стороны муниципального образования; актуальность (острота) проблемы; количество подписей, собранных в поддержку проекта (согласно реестру подписей); соотношение количества голосов к количеству человек, указанных в реестре подписей; организационная форма инициативной группы</t>
  </si>
  <si>
    <t>Подача заявок осуществляется через портал "Открытый регион": администрацией муниципального образования при подачи заявке заполняется вся основная информация (количественные показатели, адрес, копии документов, фотографии текущего состояния объекта). Интернет-голосование осуществляется также через указанный выше портал с использованием адреса электронной почты. Также разработана удаленная система мониторинга текущей стадии реализации заявки</t>
  </si>
  <si>
    <t>https://or71.ru/primi_uchastie/narodniy_budjet_new/</t>
  </si>
  <si>
    <t>https://my-files.ru/juxqsm</t>
  </si>
  <si>
    <t>Рекламная капмания осуществлялась посредствам инетрнет-источников (официальных сайтов Правительства Тульской области, муниципальных образований Тульской области, социальных сетей), на собраниях жителей с представителями администраций муниципальных образований</t>
  </si>
  <si>
    <t>Буклет "Народный бюджет",  https://my-files.ru/krzdhl</t>
  </si>
  <si>
    <t>Николаева Анна Андреевна, главный консультант</t>
  </si>
  <si>
    <t>8 (980) 589 90 03</t>
  </si>
  <si>
    <t>Anna.Nikolaeva3@tularegion.ru</t>
  </si>
  <si>
    <t>Круглов Сергей Николаевич, начальник отдела</t>
  </si>
  <si>
    <t>8 (4872) 24 52 37</t>
  </si>
  <si>
    <t>Sergey.Kruglov@tularegion.ru</t>
  </si>
  <si>
    <t>Поддержка государственных программ (подпрограмм)  субъектов Российской Федерации и муниципальных  программ формирования современной городской среды </t>
  </si>
  <si>
    <t>Благоустройство дворовых и общственных территорий</t>
  </si>
  <si>
    <t>Постановление администрации Костромской области от 28.08.2017 г. № 316-а "Об утверждении государственной программы Костромской области "Формирование современной городской среды"</t>
  </si>
  <si>
    <t>Постановление Администрации Костромской области от 28.08.2017 N 316-а (ред. от 09.12.2019) "Об утверждении государственной программы Костромской области "Формирование современной городской среды" {КонсультантПлюс}</t>
  </si>
  <si>
    <t>Департамент строительства, ЖКХ и ТЭК Костромской области</t>
  </si>
  <si>
    <t>Администрации муниципальных образований Костромской области</t>
  </si>
  <si>
    <t>Государственная программа  Российской  Федерации  «Обеспечение  доступным  и комфортным  жильем  и  коммунальными  услугами  граждан  Российской  Федерации»</t>
  </si>
  <si>
    <t>Минстрой России</t>
  </si>
  <si>
    <t>сходы, собрания граждан</t>
  </si>
  <si>
    <t>при проведении местных выборов на избирательных участках</t>
  </si>
  <si>
    <t>http://gkh.adm44.ru/sov_sreda/</t>
  </si>
  <si>
    <t>Кляпов А.Н., Конина Н.А.</t>
  </si>
  <si>
    <t>(4942) 47 10 12</t>
  </si>
  <si>
    <t>story@adm44.ru</t>
  </si>
  <si>
    <t>Гущин Иван Сергеевич</t>
  </si>
  <si>
    <t>(4942) 77-80-86</t>
  </si>
  <si>
    <t>dolg@depfin.adm44.ru</t>
  </si>
  <si>
    <t>"О конкурсном отборе муниципальных образований Костромской области в целях реализации проектов развития, основанных на общественных инициативах"</t>
  </si>
  <si>
    <t>Дорожная деятельность</t>
  </si>
  <si>
    <t>Постановление администрации Костромской области от 25 февраля 2014 года № 61-а "Об утверждении государственной программы Костромской области "Развитие транспортной системы Костромской области"</t>
  </si>
  <si>
    <t>Постановление администрации Костромской области от 26 апреля 2017 года № 176-а "О внесении изменений в постановление администрации Костромской области от 25.02.2014 № 61-а"</t>
  </si>
  <si>
    <t>Постановление Администрации Костромской области от 26.04.2017 N 176-а "О внесении изменения в постановление администрации Костромской области от 25.02.2014 N 61-а" (вместе с "Государственной программой Костромской области "Развитие транспортной системы Костромской области") {КонсультантПлюс}</t>
  </si>
  <si>
    <t>Департамент транспорта и дорожного хозяйства Костромской области</t>
  </si>
  <si>
    <t>Судсидии</t>
  </si>
  <si>
    <t>социальные сети, сайты муниципальных образований, местные СМИ</t>
  </si>
  <si>
    <t>договор на безвозмездное выполнение услуг, работ, спонсорская помощь</t>
  </si>
  <si>
    <t>http://trans.adm44.ru/</t>
  </si>
  <si>
    <t>репортажи на региональном телевидении и районных газетах</t>
  </si>
  <si>
    <t>Алипатов Илья Андреевич</t>
  </si>
  <si>
    <t>(4942) 49-24-16</t>
  </si>
  <si>
    <t>dtdh@adm44.ru</t>
  </si>
  <si>
    <t>О конкурсном отборе муниципальных образований Костромской области в целях реализации проектов развития, основанных на общественных инициативах</t>
  </si>
  <si>
    <t>Общественные инициативы</t>
  </si>
  <si>
    <t>Постановление администрации Костромской области от 30.01.2014 № 13-а "Об утверждении Государственной программы Костромской области "Государственная поддержка социально ориентированных некоммерческих организаций и содействие развитию местного самоуправления на территории Костромской области"</t>
  </si>
  <si>
    <t>Постановление администрации Костромской области от 06.08.2015 № 281-а "О внесении изменений в постановление администрации Костромской области от 30.01.2014 № 13-а"</t>
  </si>
  <si>
    <t>Постановление Администрации Костромской области от 06.08.2015 N 281-а "О внесении изменений в постановление администрации Костромской области от 30.01.2014 N 13-а" (вместе с "Порядком предоставления субсидий бюджетам муниципальных образований Костромской области на реализацию муниципальных программ развития административных центров сельских поселений Костромской области", "Порядком предоставления субсидий из областного бюджета бюджетам муниципальных образований Костромской области на софинансирование расходных обязательств муниципальных образований Костромской области, возникших при реализации проектов развития территорий сельских и городских поселений, включая городские округа Костромской области, и сельских населенных пунктов Костромской области, основанных на местных инициативах") {КонсультантПлюс}</t>
  </si>
  <si>
    <t>Администрация Костромской области</t>
  </si>
  <si>
    <t>По количеству проживающих на данной территории</t>
  </si>
  <si>
    <t>по количеству анкетных данных, в соцсетях, сайты муниципальных образований, местных СМИ</t>
  </si>
  <si>
    <t>количество участвующих указано в протоколе схода (собрания) граждан</t>
  </si>
  <si>
    <t>в соцсетях, сайты муниципальных образований, местных СМИ, скриншот, ссылка на страницу в сети "Интернет"</t>
  </si>
  <si>
    <t>количество в листе регистрации участников</t>
  </si>
  <si>
    <t>договор на безвозмездное выполнение услуг, работ, спонсорская помощь, трудовое участие население, волонтеров и др. организаций, предоставление материалов и прочих составляющих в неденежной форме для реализации проектов</t>
  </si>
  <si>
    <t>http://adm44.ru/Local/razvitie_sp-np/</t>
  </si>
  <si>
    <t>Никешин Владимир Сергеевич</t>
  </si>
  <si>
    <t>(4942) 31-54-94</t>
  </si>
  <si>
    <t>uprvp@adm44.ru</t>
  </si>
  <si>
    <t>Государственная программ Чувашской Республики "Развитие сельского хозяйства и регулирование рынка сельскохозяйственной продукции, сырья и продовольствия Чувашской Республики" (подпрограмма "Устойчивое развитие сельских территорий Чувашской Республики") 
Государственная программа Чувашской Республики "Формирование современной городской среды на территории Чувашской Республики" на 2018 - 2022 годы (подпрограмма  "Благоустройство дворовых и общественных территорий муниципальных образований Чувашской Республики")</t>
  </si>
  <si>
    <t xml:space="preserve">Постановление Кабинета Министров Чувашской Республики от 22 февраля 2017 г. №71 "О реализации на территории Чувашской Республики проектов развития общественной инфраструктуры, основанных на местных инициативах"
Постановление Кабинета Министров Чувашской Республики от 26 октября 2018 г. № 433
Постановление Кабинета Министров Чувашской Республики от 31.08.2017 N 343
</t>
  </si>
  <si>
    <t>http://agro.cap.ru/action/activity/ http://minstroy.cap.ru/action/activity/</t>
  </si>
  <si>
    <t xml:space="preserve">Постановление Кабинета Министров Чувашской Республики от 27 февраля 2019 г. № 49 «О распределении в 2019 году субсидий из республиканского бюджета Чувашской Республики бюджетам муниципальных районов на реализацию проектов развития общественной инфраструктуры, основанных на местных инициативах»
Постановление Кабинета Министров Чувашской Республики от 3 июня 2019 года № 187 " О распределении в 2019 году субсидий из республиканского бюджета Чувашской Республики бюджетам городских округов на реализацию проектов развития общественной инфраструктуры, основанных на местных инициативах
</t>
  </si>
  <si>
    <t>http://www.cap.ru/doc/laws/2019/06/03/ruling_338278 http://www.cap.ru/doc/laws/2019/12/27/ruling-609</t>
  </si>
  <si>
    <t xml:space="preserve">Указ Главы Чувашской Республики от 2 июля 2018 г. № 70 "Об основных направлениях бюджетной политики Чувашской Республики на 2019 год и на плановый период 2020 и 2021 годов" (действует с 11.07.2018 - бессрочно)
Указ Главы Чувашской Республики от 30 января 2017 года №7 "О реализации на территории Чувашской Республики проектов развития общественной инфраструктуры, основанных на местных инициативах" (действует с 30.01.2017 - бессрочно)
</t>
  </si>
  <si>
    <t xml:space="preserve">http://www.cap.ru/doc/laws/2018/07/02/decree_311127/ http://www.cap.ru/doc/laws/2017/01/30/decree_270072
</t>
  </si>
  <si>
    <t xml:space="preserve">Постановление Кабинета Министров Чувашской Республики от 22 февраля 2017 г. № 71 "О реализации на территории Чувашской Республики проектов развития общественной инфраструктуры, основанных на местных инициативах"
</t>
  </si>
  <si>
    <t xml:space="preserve">http://agro.cap.ru/action/activity/iniciativnoe-byudzhetirovanie/postanovlenie-71
</t>
  </si>
  <si>
    <t xml:space="preserve">Министерство сельского хозяйства Чувашской Республики
Министерство строительства, архитектуры и жилищно-коммунального хозяйства Чувашской Республики
</t>
  </si>
  <si>
    <t>Министерство сельского хозяйства Чувашской Республики
Министерство строительства, архитектуры и жилищно-коммунального хозяйства Чувашской Республики</t>
  </si>
  <si>
    <t>Субсидии местным бюджетам</t>
  </si>
  <si>
    <t xml:space="preserve">Бюджеты муниципальных районов, Администрации городских округов Чувашской Республики , бюджеты городских и сельских поселений (бюджеты муниципальных образований)
</t>
  </si>
  <si>
    <t>При расчете данного показателя учитывается численность прямых благополучателей, которые регулярно будут пользоваться результатами реализованного проекта (например, в случае ремонта улицы благополучатели - это жители этой и прилегающих к ней улиц,       которые регулярно ходят или ездят по отремонтированной улице). Расчет благополучателей по проекту инициативного бюджетирования администрациями муниципальных образований  осуществляется на основании статистических данных о численности жителей того населенного пункта, в котором планируется реализовать проект.</t>
  </si>
  <si>
    <t>https://chuvash.gks.ru/demog</t>
  </si>
  <si>
    <t>нет, функции выполняют представители органов исполнительной власти Чувашской Республики</t>
  </si>
  <si>
    <t>Протоколы собраний участников очных встреч</t>
  </si>
  <si>
    <t>1 этап. В целях реализации  проекта общественной инфраструктуры с участием граждан проводятся предварительные собрания и встречи, где обсуждаются проблемы и возможности реализации проекта. Результаты предварительных собраний фиксируются в протоколах собраний и встреч.                                                                                                                                                                                                                                                                  2 этап. На заключительном собрании граждан населенного пункта с учетом актуальности реализуемого проекта определяются параметры проекта и на основании очного голосования граждан принимается решение о реализации проекта на территории населенного пункта, составляется протокол заключительного собрания жителей.</t>
  </si>
  <si>
    <t>3 этап. Органы местного самоуправления на основании протокола заключительного собрания жителей представляют комплект документов к участию в конкурсном отборе проектов на конкурсную комиссию по проведению конкурсного отбора проектов развития общественной инфраструктуры, основанных на местных инициативах, на территории городских и сельских поселений, муниципальных районов (далее - конкурсная комиссия), состав которой утверждается распоряжением Кабинета Министров Чувашской Республики.
4 этап. В состав конкурсной комиссии включаются представители органов исполнительной власти Чувашской Республики, а также по согласованию депутаты Государственного Совета Чувашской Республики, члены Общественной палаты Чувашской Республики, представители иных общественных организаций Чувашской Республики. Для участия в заседаниях конкурсной комиссии могут приглашаться независимые эксперты.Члены конкурсной комиссии рассмотривают заявки на участие в конкурсном отборе и осуществляют оценку проектов исходя из заданных критериев отбора (степень участия населения, юридических лиц и индивидуальных предпринимателей в определении и решении проблемы; социально-экономическая эффективность проекта; софинансирование проекта за счет средств местного бюджета, внебюджетных источников), а также  принимают участие в формировании рейтинга проектов по балльной шкале оценки, определяют перечень проектов, подлежащих финансированию из республиканского бюджета Чувашской Республики. Процедура проведения конкурсного отбора проектов регламентирована порядком проведения конкурсного отбора и исключает субъективный подход к принятию решений конкурсной комиссией. Решение конкурсной комиссии по итогам рассмотрения проектов принимается открытым голосованием простым большинством голосов.  По результатам заседания конкурсной комиссии в трехдневный срок составляется протокол, который подписывается всеми присутствовавшими на заседании членами конкурсной комиссии. Протокол заседания конкурсной комиссии является основанием для разработки проекта решения Кабинета Министров Чувашской Республики о распределении субсидий. Информационное сообщение о результатах конкурсного отбора на основании протокола заседания конкурсной комиссии размещается на официальном сайте организатора конкурсного отбора (орган исполнительной власти Чувашской Республики) на Портале органов власти Чувашской Республики в информационно-телекоммуникационной сети "Интернет" не позднее следующего рабочего дня после подписания протокола конкурсной комиссии.</t>
  </si>
  <si>
    <t>Независимая оценка проектов на основе заданных критериев конкурсного отбора</t>
  </si>
  <si>
    <t xml:space="preserve">Информация о проектах  инициативного бюджетирования размещается на официальных сайтах в сети интернет органами местного самоуправления, публикуются фотографии в формате "до" и "после". Также реализованные проекты освещаются  национальной телерадиокомпаниией Чувашии и  средствами массовой информации. Информация о проектах инициативного бюджетирования публикуется на официальных сайтах органов власти и социальных сетях. 
https://chgtrk.ru/novosti/programmy-iniciativnogo-byudjetirovaniya-v-chuvashii-poluchat-v-3-raza-bolshe-sredstv-po-sravneniyu-s-proshlym-godom/
http://www.agro.cap.ru/news/2019/01/24/v-batirevskom-rajone-poyavilasj-hokkejnaya-korobkab/
http://www.agro.cap.ru/news/2019/03/11/zhiteli-sela-v-morgaushskom-rajone-v-skladchinu-plani/                http://www.agro.cap.ru/news/2019/07/29/v-yanshihovo-norvashskom-seljskom-poselenii-sdelal /                                                                                                           </t>
  </si>
  <si>
    <t>Ильина Наталия Александровна, ведущий специалист-экспрт</t>
  </si>
  <si>
    <t>8(8352)56-52-00 (доб. 2163)</t>
  </si>
  <si>
    <t>finance4603@cap.ru</t>
  </si>
  <si>
    <t xml:space="preserve">Тихонов Александр Иванович, начальник отдела строительства и реализации программы переселения граждан из аварийного жилищного фонда;
Кузьмина Виктория Валерьевна, главный специалист - эксперт
</t>
  </si>
  <si>
    <t>8(8352)64-22-10
8(8352)64-22-44</t>
  </si>
  <si>
    <t xml:space="preserve">minstroy_str@cap.ru
agro32@cap.ru
</t>
  </si>
  <si>
    <t>http://www.agro.cap.ru/action/activity/iniciativnoe-byudzhetirovanie  http://minstroy.cap.ru/action/activity/zhilischno-kommunaljnoe-hozyajstvo/iniciativnoe-byudzhetirovanie</t>
  </si>
  <si>
    <t>Решение вопросов местного значения, осуществляемое с привлечением средств самообложения граждан</t>
  </si>
  <si>
    <t>Самообложение граждан</t>
  </si>
  <si>
    <t>непрограммные мероприятия</t>
  </si>
  <si>
    <t>Постановление Кабинета Министров Республики Татарстан от 22 ноября 2013 №909 "«Об утверждении Порядка предоставления из бюджета Республики Татарстан иных межбюджетных трансфертов бюджетам муниципальных образований Республики Татарстан на решение вопросов местного значения, осуществляемое с привлечением средств самообложения граждан»</t>
  </si>
  <si>
    <t>http://pravo.tatarstan.ru/rus/npa_kabmin/post?npa_id=283319</t>
  </si>
  <si>
    <t>Закон Республики Татарстан от 21 ноября 2018 года №88-ЗРТ "О бюджете Республики Татарстан на 2019 год и на плановый период 2020 и 2021 годов"</t>
  </si>
  <si>
    <t>http://minfin.tatarstan.ru/rus/byudzhet-2019.htm?pub_id=2188106</t>
  </si>
  <si>
    <t>Министерство финансов Республики Татарстан</t>
  </si>
  <si>
    <t>43 муниципальных района республики</t>
  </si>
  <si>
    <t>количество жителей, проживающих на территории городских и сельских поселений, участвующих в реализации практики самообложения граждан</t>
  </si>
  <si>
    <t>https://tatstat.gks.ru/naselenie</t>
  </si>
  <si>
    <t>протоколы ТИК и Решения ТИК о результатах местных референдумов</t>
  </si>
  <si>
    <t>https://www.kommersant.ru/doc/4163655</t>
  </si>
  <si>
    <t>Обучающие мероприятия в рамках программы повышения квалификации глав сельских поселений, реализуемой  Высшей школой государственного и муниципального управления КФУ</t>
  </si>
  <si>
    <t>Сабирзянова Мадина Рифкатовна, заместитель начальника отдела по взаимоотношениям с бюджетами регионов Министерства финансов Республики Татарстан</t>
  </si>
  <si>
    <t>8(843)264-79-84</t>
  </si>
  <si>
    <t>Madina.Sabirzyanova@tatar.ru</t>
  </si>
  <si>
    <t xml:space="preserve">Предоставление грантов некоммерческим организациям, реализующим социально значимые проекты на территории Республики Татарстан </t>
  </si>
  <si>
    <t>Республиканский конкурс на получение грантов Кабинета Министров Республики Татарстан для некоммерческих организаций, участвующих в реализации социально значимых проектов</t>
  </si>
  <si>
    <t>Государственная программа "Экономическое развитие и инновационная экономика Республики Татарстан на 2014 - 2024 годы" (подпрограмма "Поддержка социально ориентированных некоммерческих организаций в Республике Татарстан на 2014 - 2024 годы")</t>
  </si>
  <si>
    <t>Постановление Кабинета Министров Республики Татарстан от 31.10.2013 № 823 "Об утверждении Государственной программы "Экономическое развитие и инновационная экономика Республики Татарстан на 2014 - 2024 годы" (подпрограмма "Поддержка социально ориентированных некоммерческих организаций в Республике Татарстан на 2014 - 2024 годы")</t>
  </si>
  <si>
    <t>Официальный портал правовой информации Республики Татарстан http://pravo.tatarstan.ru, 
"СБОРНИК постановлений и распоряжений Кабинета Министров Республики Татарстан и нормативных актов республиканских органов исполнительной власти", 12.11.2013, №83, ст. 2783,
КонсультантПлюс</t>
  </si>
  <si>
    <t>Распоряжение Кабинета Министров Республики Татарстан от 06.04.2019 N 720-р
Постановление Кабинета Министров Республики Татарстан  от 08.06.2009 № 373 «О предоставлении государственной поддержки некоммерческим организациям в Республике Татарстан, реализующим социально значимые проекты»</t>
  </si>
  <si>
    <t>"СБОРНИК постановлений и распоряжений Кабинета Министров Республики Татарстан и нормативных актов республиканских органов исполнительной власти", 24.06.2009, N 24, ст. 0986,
КонсультантПлюс</t>
  </si>
  <si>
    <t>грантодатель - Кабинет Министров Республики Татарстан, осуществляющий через уполномоченный орган исполнительной власти Республики Татарстан предоставление грантов некоммерческим организациям;   
Уполномоченный орган - Министерство труда, занятости и социальной защиты Республики Татарстан, осуществляющий организационные функции по проведению Конкурса, до которого в соответствии с бюджетным законодательством Российской Федерации как до получателя бюджетных средств доведены в установленном порядке лимиты бюджетных обязательств на предоставление грантов на соответствующий финансовый год</t>
  </si>
  <si>
    <t xml:space="preserve">Министерство труда, занятости и социальной защиты Республики Татарстан </t>
  </si>
  <si>
    <t>гранты</t>
  </si>
  <si>
    <t xml:space="preserve">Региональные некоммерческие организации (НКО) </t>
  </si>
  <si>
    <t>Учтена численность жителей муниципальных образований Республики Татарстан, в которых осуществляется реализация социально значимых проектов.</t>
  </si>
  <si>
    <t>экспертные листы</t>
  </si>
  <si>
    <t>http://mtsz.tatarstan.ru  во вкладке "Конкурсы и акции"</t>
  </si>
  <si>
    <t>http://oprt.tatar  - сайт Общественной палаты Республики Татарстан</t>
  </si>
  <si>
    <t>Региональные СМИ в пределах своих компетенции размещают информацию о конкурсе.</t>
  </si>
  <si>
    <t>29 апреля 2019 года в 15.00 в Общественной палате Республике Татарстан организован информационно-методический семинар для некоммерческих организаций по участию в Конкурсе. Место проведения семинара: г.Казань, ул. Батурина, д.7, каб. 137, 3 часа, 200 чел.</t>
  </si>
  <si>
    <t>Рубинская Тамара Александровна, начальник отдела по работе с общественными организациями Министерства труда, занятости и социальной защиты Республики Татарстан</t>
  </si>
  <si>
    <t>8(843) 557 21 21</t>
  </si>
  <si>
    <t>Tamara.Rubinskaya@tatar.ru</t>
  </si>
  <si>
    <t>Чистополова Марина Юрьевна, ведущий советник отдела бюджетной политики в отраслях бюджетной сферы Министерства финансов Республики Татарстан</t>
  </si>
  <si>
    <t>8(843) 264 78 89</t>
  </si>
  <si>
    <t>Marina.Chistopolova@tatar.ru</t>
  </si>
  <si>
    <t xml:space="preserve">Предоставление на конкурсной основе субсидий некоммерческим организациям, реализующим социально значимые проекты на территории муниципальных образований Республики Татарстан </t>
  </si>
  <si>
    <t xml:space="preserve">Субсидии некоммерческим организациям, реализующим социально значимые проекты на территории муниципальных образований Республики Татарстан </t>
  </si>
  <si>
    <t>Распоряжение Кабинета Министров Республики Татарстан от 20.05.2019 № 1070-р
Постановление Кабинета Министров Республики Татарстан от 08.08.2017 № 565 «Об утверждении Порядка предоставления на конкурсной основе субсидий из бюджета Республики Татарстан некоммерческим организациям, реализующим социально значимые проекты»</t>
  </si>
  <si>
    <t>Официальный портал правовой информации Республики Татарстан http://pravo.tatarstan.ru, 15.08.2017,
«Собрание законодательства Республики Татарстан», 25.08.2017, № 64, ст. 2265,
КонсультантПлюс</t>
  </si>
  <si>
    <t xml:space="preserve">Министерство экономики Республики Татарстан </t>
  </si>
  <si>
    <t>Региональные некоммерческие организации (НКО)</t>
  </si>
  <si>
    <t>0,012%</t>
  </si>
  <si>
    <t>Экспертные листы</t>
  </si>
  <si>
    <t>Все муниципальные образования в равных условиях для участия в конкурсе НКО, находящихся на территории Республики Татарстан</t>
  </si>
  <si>
    <t>В 2019 г. поступили заявки от 42 муниципальных образований, что составляет 93% от общего количества муниципальных образований в Республике Татарстан</t>
  </si>
  <si>
    <t>http://mert.tatarstan.ru/rus/konkurs-so-nko-na-pravo-polucheniya-subsidii-iz-3748217.htm</t>
  </si>
  <si>
    <t>Мухамедьярова Зульфия Ильясовна, начальник отдела развития отраслей экономики и социальной сферы Министерства экономики Республики Татарстан</t>
  </si>
  <si>
    <t>8(843) 524 91 85</t>
  </si>
  <si>
    <t>Z.Muhamedyarova@tatar.ru</t>
  </si>
  <si>
    <t>Государственная программа Тюменской области «Развитие агропромышленного комплекса» на 2013 — 2025 годы»
Подпрограмма «Устойчивое развитие сельских территорий»  на 2014 – 2025 годы»
Задача «Активизация участия граждан, проживающих в сельской местности, в реализации общественно значимых проектов»
Мероприятие «Предоставление грантов»</t>
  </si>
  <si>
    <t>№ 699-п от 30.12.2014</t>
  </si>
  <si>
    <t>https://admtyumen.ru/ogv_ru/finance/programs/program.htm?id=1190@egTargetGrant</t>
  </si>
  <si>
    <t>Постановление Правительства Тюменской области от 22.05.2017 N 170-п (ред. от 20.07.2018) "Об утверждении Положения о порядке предоставления субсидий на грантовую поддержку местных инициатив граждан, проживающих в сельской местности" {КонсультантПлюс}</t>
  </si>
  <si>
    <t>Департамент агропромышленного комплекса Тюменской области</t>
  </si>
  <si>
    <t>Сельское поселение или орган территориального общественного самоуправления сельского поселения</t>
  </si>
  <si>
    <t>Государственная программа развития сельского хозяйства и регулирования рынков сельскохозяйственной продукции, сырья и продовольствия, утвержденная постановлением Правительства Российской Федерации от 14.07.2012 № 717</t>
  </si>
  <si>
    <t>Информация о количестве граждан, получивших пользу от реализации проектов представлена органами местного самоуправления, реализовавшими проекты</t>
  </si>
  <si>
    <t>https://tumstat.gks.ru/storage/mediabank/Численность%20населения.htm</t>
  </si>
  <si>
    <t>Протокол собрания (схода) граждан</t>
  </si>
  <si>
    <t>Участие принимают органы местного самоуправления сельских поселений</t>
  </si>
  <si>
    <t>Денежные средства, трудовое участие, предоставление помещений, технических средств</t>
  </si>
  <si>
    <t>Марков Павел Петрович</t>
  </si>
  <si>
    <t>(3452) 50-79-64</t>
  </si>
  <si>
    <t>MarkovPP@72to.ru</t>
  </si>
  <si>
    <t>Кондаков Владимир Георгиевич</t>
  </si>
  <si>
    <t>8 (3452) 42-68-80</t>
  </si>
  <si>
    <t>KondakovVG@72to.ru</t>
  </si>
  <si>
    <t>Реализация проектов общественной инфраструктуры муниципальных образований Калужской области, основанных на местных инициативах</t>
  </si>
  <si>
    <t>Программа поддержки местных инициатив Калужской области</t>
  </si>
  <si>
    <t xml:space="preserve">Ведомственная целевая программа  "Совершенствование
системы управления общественными финансами Калужской
области" - Предоставление межбюджетных субсидий на мероприятие
"Реализация проектов развития общественной инфраструктуры муниципальных образований, основанных на местных инициативах" (Раздел II, задача 1, пунткт п))                                                                 
</t>
  </si>
  <si>
    <t xml:space="preserve">Постановление Правительства Калужской области от 21.04.2017 N 232 (ред. от 26.03.2019)
"Об утверждении Положения о порядке предоставления бюджетам муниципальных образований Калужской области субсидий на реализацию проектов развития общественной инфраструктуры муниципальных образований, основанных на местных инициативах, в рамках ведомственной целевой программы "Совершенствование системы управления общественными финансами Калужской области"
</t>
  </si>
  <si>
    <t>Постановление Правительства Калужской области от 21.04.2017 N 232 (ред. от 26.03.2019) "Об утверждении Положения о порядке предоставления бюджетам муниципальных образований Калужской области субсидий на реализацию проектов развития общественной инфраструктуры муниципальных образований, основанных на местных инициативах, в рамках ведомственной целевой программы "Совершенствование системы управления общественными финансами Калужской области" {КонсультантПлюс}</t>
  </si>
  <si>
    <t>Приказ Министерства финансов Калужской обл. от 12.05.2017 N 50 (ред. от 24.12.2018) "О реализации постановления Правительства Калужской области от 21.04.2017 N 232 "Об утверждении Положения о порядке предоставления бюджетам муниципальных образований Калужской области субсидий на реализацию проектов развития общественной инфраструктуры муниципальных образований, основанных на местных инициативах, в рамках ведомственной целевой программы "Совершенствование системы управления общественными финансами Калужской области" (вместе с "Формой заявки на получение субсидии на реализацию проектов развития общественной инфраструктуры муниципальных образований, основанных на местных инициативах", "Перечнем документов, прилагаемых к заявке на получение субсидии на реализацию проектов развития общественной инфраструктуры муниципальных образований, основанных на местных инициативах", "Порядком проведения конкурсного отбора проектов развития общественной инфраструктуры муниципальных образований, основанных на местных инициативах") (Зарегистрировано в администрации Губернатора Калужской обл. 15.05.2017 N 6836) {КонсультантПлюс}</t>
  </si>
  <si>
    <t>Министерство финансов Калужской области</t>
  </si>
  <si>
    <t>Городские и сельские поселения,  реализующие проекты развития общественной инфраструктуры муниципальных образований, основанные на местных инициативах, и прошедшие отбор проектов в соответствии с порядком, утвержденным министерством финансов Калужской области</t>
  </si>
  <si>
    <t>Подсчет благополучателей осуществляется непосредственно местными администрациями поселений, получателями субсидии. В зависимости от направления проекта в число благополучателей могут быть включены как отдельные группы населения одного населенного пункта, входящего в состав поселения, так и жители всего поселения или даже муниципального района.</t>
  </si>
  <si>
    <t xml:space="preserve">http://kalugastat.old.gks.ru/wps/wcm/connect/rosstat_ts/kalugastat/ru/statistics/population/ </t>
  </si>
  <si>
    <t>Сопровождением мероприятий практики инициативного бюджетирования занимаются сотрудники отдела межбюджетных отношений управления по бюджетной политике министерства финансов Калужкой области</t>
  </si>
  <si>
    <t>Разработка анкет, распространение анкет, подведение итогов</t>
  </si>
  <si>
    <t>фотофиксация, в отдельных случаях</t>
  </si>
  <si>
    <t>не подсчитано</t>
  </si>
  <si>
    <t>Лист регистрации</t>
  </si>
  <si>
    <t xml:space="preserve">Участники программы городские и сельские поселения области </t>
  </si>
  <si>
    <t xml:space="preserve">Основные критерии выбора участников:  более низкий уровень социально-экономического развития поселений в сравнении с городскими округами (налоговые и неналоговые доходы округов позволяют выполнять принятые бюджетные обязательства), большая часть населения области проживает в поселениях. </t>
  </si>
  <si>
    <t xml:space="preserve">1. В форме безвозмездного выполнения работ (оказания услуг);
2. В форме продукции, товаров, материалов и т.д.;
3. В форме предоставления техники и оборудования.
</t>
  </si>
  <si>
    <t>http://admoblkaluga.ru/sub/finan/inciativ.php</t>
  </si>
  <si>
    <t>Социальные сети, проведение обучающих семинаров с органами местного самоуправления, консультативная помощь</t>
  </si>
  <si>
    <t>Зубова Светлана Борисовна</t>
  </si>
  <si>
    <t>(4842) 56-38-52</t>
  </si>
  <si>
    <t>zubovasb@adm.kaluga.ru</t>
  </si>
  <si>
    <t>Коровина Наталья Александровна</t>
  </si>
  <si>
    <t xml:space="preserve"> mbo_mfko@adm.kaluga.ru  </t>
  </si>
  <si>
    <t>Реализация мероприятий по вовлечению граждан (жителей Санкт-Петербурга) в бюджетный процесс Санкт-Петербурга посредством использования практик инициативного бюджетирования</t>
  </si>
  <si>
    <t>«Твой бюджет»</t>
  </si>
  <si>
    <t>Государственная программа Санкт-Петербурга "Создание условий для обеспечения общественного согласия в Санкт-Петербурге" (подпрограмма 4 "Информационная деятельность исполнительных органов государственной власти Санкт-Петербурга и взаимодействие со средствами массовой информации" , мероприятие 1.14 "Реализация мероприятий по вовлечению граждан в бюджетный процесс Санкт-Петербурга")</t>
  </si>
  <si>
    <t>Постановление Правительства Санкт-Петербурга от 04.06.2014 № 452</t>
  </si>
  <si>
    <t>http://gov.spb.ru/law?d&amp;nd=822403529&amp;nh=0</t>
  </si>
  <si>
    <t>Комитет финансов Санкт-Петербурга</t>
  </si>
  <si>
    <t>Администрация Василеостровского района Санкт-Петербурга, Администрация Невского района Санкт-Петербурга, Администрация Приморского района Санкт-Петербурга, Администрация Пушкинского района Санкт-Петербурга, Администрация Фрунзенского района Санкт-Петербурга, Администрация Центрального района Санкт-Петербурга, Комитет по благоустройству Санкт-Петербурга, Комитет по развитию транспортной инфраструктуры Санкт-Петербурга.</t>
  </si>
  <si>
    <t>За счет бюджетных ассигнований, выделенных на реализацию инициатив, предусмотренных главному распорядителю бюджетных средств в ведомственной структуре расходов бюджета Санкт-Петербурга: 
(а) за счет субсидий бюджетным учреждениям (субсидии ГБУ, подведомственным ИОГВ СПб, на выполнение госзадания или на иные цели); 
(б) за счет бюджетных средств, предоставляемых на финансовое обеспечение для осуществления оказания государственных услуг (муниципальных) услуг, выполнения работ и (или) исполнения государственных (муниципальных) функций  казенным учреждениям , находящимся в ведении ГРБС .</t>
  </si>
  <si>
    <t xml:space="preserve">1. государственные бюджетные учреждения:
ГБОУ Школа № 691 с углубленным изучением иностранных языков Невского района Санкт-Петербурга "Невская школа"; ГБУ ДО ДДЮТ Фрунзенского района Санкт-Петербурга; СПб ГБУ "Мостотрест"; СПб ГБУК ЦБС Василеостровского района; СПб ГБУ СОН "СРЦН Фрунзенского района Санкт-Петербурга"; ГБДОУ детский сад № 37 Фрунзенского района Санкт-Петербурга; ГБОУ школы № 93, № 552, № 645, № 464, № 449, № 403, № 511 Пушкинского района Санкт-Петербурга; СПб ГБУ "Дом молодежи "Царскосельский"; СПб ГБУ "Центр ФКСиЗ"
2. государственные казенные учреждения:
Администрация Московского района Санкт-Петербурга, Администрация Невского района Санкт-Петербурга,  Администрация Приморского района Санкт-Петербурга, Администрация Пушкинского района Санкт-Петербурга, Администрация Фрунзенского района Санкт-Петербурга,  СПб государственное казенное учреждение  "Дирекция транспортного строительства",  СПб государственное казенное учреждение "Жилищное агентство Приморского района Санкт-Петербурга", Санкт-Петербургское государственное казенное учреждение "Центр комплексного благоустройства", Санкт-Петербургское государственное казенное учреждение "Управление благоустройства и коммунального обслуживания Пушкинского района".  </t>
  </si>
  <si>
    <t xml:space="preserve">
</t>
  </si>
  <si>
    <t>https://petrostat.gks.ru/storage/mediabank/СПб%20числ%20на%2001.01.2019%20.pdf</t>
  </si>
  <si>
    <t>1. Ведомственный проектный офис на базе Аналитического отдела Комитета финансов Санкт-Петербурга
 2. Автономная некоммерческая организация "Институт научных исследований Европейского Университета в Санкт-Петербурге"(контракт СПб № 1/19 от 06.02.2019)</t>
  </si>
  <si>
    <t xml:space="preserve">1.текущее содержание исполнительного органа государственной власти (финансирование проектного офиса на базе Аналитического отдела Комитета финансов Санкт-Петербурга).
2. ассигнования на закупку товаров, работ, услуг для обеспечения государственных (муниципальных) нужд (оплата экспертного сопровождения мероприятий проекта "Твой бюджет -2019").
</t>
  </si>
  <si>
    <t xml:space="preserve"> В проекте «Твой бюджет- 2019 года» были заняты 6 сотрудников Комитета финансов Санкт-Петербурга, в том числе:  1 начальник отдела;  2 сотрудника (полностью);  2 сотрудника (частично) и 1 советник (частично).</t>
  </si>
  <si>
    <t>Информация о поданных завках в онлайн режиме отражалась на сайте проекта по каждому району-участнику, на главной странице отражалась динамика подачи заявок в формате графика: https://tvoybudget.spb.ru/</t>
  </si>
  <si>
    <t xml:space="preserve">Среди лиц, подавших заявки на участие в проекте от 6 районов- участников, проводится жеребьевка, после чего из инициативных граждан формируются бюджетные комиссии по 20 человек (20 резервистов). Деятельность  бюджетных  комиссий  регулируется специальными регламентами, с которыми можно ознакомиться на официальном сайте проекта «Твой бюджет» - https://tvoybudget.spb.ru/materials. 
По итогам проведения заседаний, члены бюджетных комиссий в июне 2019 года проголосовали за 17 инициатив, прошедших экспертизу в профильных комитетах Администрации Санкт-Петербурга. Результаты голосования размещены во вкладке «Инициативы» на сайте «Твой бюджет». </t>
  </si>
  <si>
    <t>100%, 18 районов</t>
  </si>
  <si>
    <t xml:space="preserve"> Проект реализуется на региональном уровне – городе федерального значения Санкт-Петербурге, на территории которого существуют 18 районов, не являющихся муниципальными образованиями. По правилам проекта "Твой бюджет" из 18 районов отбираются 6 районов Санкт-Петербурга, которые набрали наибольшее количество заявок от жителей. После завершения приема заявок, посредством телефонного опроса,  проводится  их проверка с целью исключения "фейковых заявок".
На текущий момент среди 111 внутригородских муниципальных образований Санкт-Петербурга практики инициативного бюджетирования не используются.</t>
  </si>
  <si>
    <t xml:space="preserve">6 из 18
</t>
  </si>
  <si>
    <t xml:space="preserve">Сайт проекта "Твой бюджет" https://tvoybudget.spb.ru/ представляет собой цифровую платформу для информирования о реализации проектов инициативного бюджетирования. На ресурсе автоматически вычисляется и фиксируется статистика по проекту, содержатся актуальные материалы и новости по проекту. На сайте имеется возможность подать заявку с использованием интерактивной карты и обозначением локации инициативы, а также кратким ее описанием. Осуществляется контроль процедур, механизмы отбора проектов и мониторинг статуса реализации проектов. Сайт позволяет отслеживать изменение инициативы от изначально поданной идеи до реализованного проекта. Сайт позволяет следить за расписанием заседаний бюджетных комиссий и образовательного блока, содержит презентационные материалы лекторов и ссылки на видео лекций. 
</t>
  </si>
  <si>
    <t>Нефинансовый вклад возможен, однако он не является критерием при отборе проектов (участников). В основном, имеет место трудовое участие на этапе разработки проекта (концепция, чертежи, опросы общественного мнения, привлечение спонсоров, информационная поддержка проекта и т.д.)</t>
  </si>
  <si>
    <t xml:space="preserve">https://tvoybudget.spb.ru/ </t>
  </si>
  <si>
    <t>https://vk.com/tvbspb, https://www.instagram.com/tvoybudget/, https://www.youtube.com/channel/UCUhbY6qQWH7_YXr5u839TzQ, https://www.facebook.com/tvoybudget/</t>
  </si>
  <si>
    <t xml:space="preserve">https://tvoybudget.spb.ru/press </t>
  </si>
  <si>
    <t>В основе проекта - использование современных цифровых технологий, часть работы ведется дистанционно посредством социальных сетей. Для иллюстрации и представления информации по проекту использовалась следующие материалы: айдентика https://drive.google.com/open?id=18cAeUrBCWtfOfUhP1qgTv0-RjjHUhSKi, материалы https://drive.google.com/open?id=1rnUxG1wUORBCGARZZC3e0z4ZdyWXB3-M</t>
  </si>
  <si>
    <t xml:space="preserve">1. https://tvoybudget.spb.ru/news/221
https://tvoybudget.spb.ru/news/222
https://tvoybudget.spb.ru/news/225
https://tvoybudget.spb.ru/news/229
https://tvoybudget.spb.ru/news/230
2. Лекции:
https://www.youtube.com/watch?v=jO3DzEhlEUU&amp;t=12s
https://www.youtube.com/watch?v=oyYr_aoRViw&amp;t=1s
https://www.youtube.com/watch?v=r2-Ra5iv8sI&amp;t=1s
https://www.youtube.com/watch?v=eUU1T8irquw&amp;t=23s
https://www.youtube.com/watch?v=yPvEXJM3c7k&amp;t=19s
https://www.youtube.com/watch?v=cP0Gpv7jDts&amp;t=22s
https://www.youtube.com/watch?v=F-fYciQIuuQ&amp;t=29s
https://www.youtube.com/watch?v=OIH4bWjQJlc&amp;t=55s
 + лекция по 44 фз  https://vk.com/videos-163095424?z=video-163095424_456239047%2Fclub163095424%2Fpl_-163095424_-2.
3. Разработана и впервые запущена ежегодная программа повышения квалификации для государственных служащих исполнительных органов государственной власти Санкт-Петербурга «Инициативное бюджетирование как инструмент вовлечения граждан в создание комфортной городской среды»  ( продолжительность обучения - 24 часа). 
4. Организация и проведение в Санкт-Петербурге Международного форума общественного участия (IPPF) (период проведения: 18-19 апреля 2019 года, кол-во участников - свыше 400 чел.).
</t>
  </si>
  <si>
    <t>1354 человек
( в том числе: 24 чел. - по программе повышениия квалификации «Инициативное бюджетирование как инструмент вовлечения граждан в создание комфортной городской среды»)</t>
  </si>
  <si>
    <t>Горбунова Ольга Анатольевна, главный специалист Аналитического отдела Комитета финансов Санкт-Петербурга; Сахартова Маргарита Григорьевна, советник председателя Комитета финансов Санкт-Петербурга</t>
  </si>
  <si>
    <t>8 (812) 246-23-24; 8 (812) 576-59-15</t>
  </si>
  <si>
    <t>gorod@kfin.gov.spb.ru; sakhartova@kfin.gov.spb.ru</t>
  </si>
  <si>
    <t>Лукьянова Наталия Германовна, заместитель председателя Комитета финансов Санкт-Петербурга</t>
  </si>
  <si>
    <t>8 (812) 246-13-26</t>
  </si>
  <si>
    <t>lukyanova@kfin.gov.spb.ru</t>
  </si>
  <si>
    <t>Субсидии на реализацию мероприятий перечня проектов народных инициатив</t>
  </si>
  <si>
    <t>проект "Народные инициативы"</t>
  </si>
  <si>
    <t xml:space="preserve">   государственная программа «Экономическое развитие и инновационная экономика» на 2019-2024 годы
   подпрограмма «Государственная политика в сфере экономического развития Иркутской области» на 2019-2024 годы
    мероприятие «Субсидии на реализацию мероприятий перечня проектов народных инициатив»</t>
  </si>
  <si>
    <t>постановление Правительства Ирктуской области 
от 12.11.2018 г. № 828-пп</t>
  </si>
  <si>
    <t>https://irkobl.ru/sites/economy/targeted/departmental/state-programs/</t>
  </si>
  <si>
    <t>Отсутствует</t>
  </si>
  <si>
    <t>https://irkobl.ru/sites/economy/razvitie-municipalnyh-obrazovaniy/initiatives/</t>
  </si>
  <si>
    <t>министерство экономического развития Иркутской области</t>
  </si>
  <si>
    <t xml:space="preserve">субсидии </t>
  </si>
  <si>
    <t>бюджет муниципального образования/финансовый орган муниципального образования</t>
  </si>
  <si>
    <t>Не предоставлялись</t>
  </si>
  <si>
    <t xml:space="preserve">В настоящее время в Иркутской области функции Проектного центра выполняет Комиссия по реализации проектов народных инициатив (далее – Комиссия). 
В состав Комиссии (утвержден  распоряжением Правительства Иркутской области от 14 мая 2012 года № 248-рп) входят представители министерства финансов Иркутской области, министерства жилищной политики, энергетики и транспорта Иркутской области, других исполнительных органов государственной власти Иркутской области, аппарата Губернатора Иркутской области и Правительства Иркутской области, Законодательного Собрания Иркутской области, Контрольно-счетной палаты Иркутской области, Ассоциации муниципальных образований Иркутской области, Главного управления Министерства Российской Федерации по делам гражданской обороны, чрезвычайным ситуациям и ликвидации последствий стихийных бедствий по Иркутской области. 
В соответствии с Положением о Комиссии основными функциями Комиссии являются определение категорий получателей субсидий, рассмотрение и одобрение перечней мероприятий, решение спорных вопросов, возникающих в ходе реализации проектов, формирование предложений по совершенствованию нормативно-правовой базы и другие.
</t>
  </si>
  <si>
    <t>решение Думы или обращение Думы</t>
  </si>
  <si>
    <t>Перечень муниципальных образований определяется в соответствии с критериями</t>
  </si>
  <si>
    <t xml:space="preserve">Критериями отбора муниципальных образований для
предоставления субсидий являются:
1) на территорию муниципального образования не распространяется действие Закона Иркутской области от 9 июля 2015 года № 68-03 «О дополнительной мере социальной поддержки граждан, проживающих в
рабочем поселке Горно-Чуйский Мамско-Чуйского района Иркутской области» и Закона Иркутской области от 9 июля 2015 года № 69-03 «О дополнительной мере социальной поддержки граждан, проживающих в рабочем поселке Согдиондон Мамско-Чуйского района Иркутской области»;
2) численность постоянного населения муниципального образования по состоянию на 1 января года, предшествующего году предоставления субсидий, составляет более 30 человек;
3) населенный пункт, входящий в состав территории муниципального образования, не упразднен или не признан закрывающимся (для муниципального образований, в состав территории которых входит единственный населенный пункт).
</t>
  </si>
  <si>
    <t>Сайт министерства экономического развития Иркутской области: http://irkobl.ru/sites/economy/razvitie-municipalnyh-obrazovaniy/initiatives/ 
ИАС "Живой регион": http://expert.irkobl.ru</t>
  </si>
  <si>
    <t>Отсутствуют</t>
  </si>
  <si>
    <t>Информация о реализации проекта "Народные инициативы" на системной основе размещалась в областных и муниципальных СМИ, на официальных сайтах Правительства Иркутской области, министерства экономического развития Иркутской области, Законодательного Собрания Иркутской области, муниципальных образований региона, ИАС "Живой регион".</t>
  </si>
  <si>
    <t xml:space="preserve">1. Ежегодное проведение семинаров с муниципальными образованиями Иркутской области. В 2019 году сотрудники министерства экономичнского развития Иркутской области приняли участие в 6 семинарах.
  2. Круглый стол в рамках форума «Земля Иркутская»,   количество участников - 42 муниципальных образования 2-го уровня;
</t>
  </si>
  <si>
    <t>Дырдо А.Г.</t>
  </si>
  <si>
    <t>8 (3952) 286631</t>
  </si>
  <si>
    <t>a.dyrdo@govirk.ru</t>
  </si>
  <si>
    <t>Порядок предоставления иных межбюджетных трансфертов из бюджета Республики Карелия бюджетам муниципальных образований в Республике Карелия на поддержку развития территориального общественного самоуправления</t>
  </si>
  <si>
    <t>Поддержка территориального общественного самоупарвления (ТОС), 
конкурс социально значимых проектов ТОС</t>
  </si>
  <si>
    <t>Государственная программа Республики Карелия «Развитие институтов гражданского общества и развитие местного самоуправления, защита прав и свобод человека и гражданина»; подпрограмма 4 «Содействие развитию муниципальной службы, территориального общественного самоуправления и иных форм осуществления местного самоуправления в Республике Карелия», мероприятие "Поддержка ТОС в Республике Карелия" (Программа утверждена постановлением Правительства Республики Карелия от 19 декабря 2013 г. № 365-П).</t>
  </si>
  <si>
    <t>постановление Правительства Республики Карелия от 15 июля 2019 г. № 294-П "О внесении изменений в постановление Правительства Республики Карелия от 19 декабря 2013 года № 365-П".</t>
  </si>
  <si>
    <t>Официальный интернет-портал правовой информации (pravo.gov.ru): номер опубликования: 1000201907190001, дата опубликования: 19.07.2019</t>
  </si>
  <si>
    <t>1) Закон Республики Карелия от 21 декабря 2017 года № 2205-ЗРК "О бюджете Республики Карелия на 2018 год и на плановый период 2019 и 2020 годов"
2) Постановление Правительства Республики Карелия от 05.06.2019 № 227-П "О распределении на 2019 год иных межбюджетных трансфертов бюджетам муниципальных образований на поддержку развития территориального общественного самоуправления"</t>
  </si>
  <si>
    <t>1) http://minfin.karelia.ru/2018-2020-gody/
2) Официальный интернет-портал правовой информации (pravo.gov.ru): номер опубликования: 1000201906060015, дата опубликования: 06.06.2019</t>
  </si>
  <si>
    <t>1) Постановление Правительства Республики Карелия от 18.01.2018 № 9-П «Об утверждении Порядка предоставления иных межбюджетных трансфертов из бюджета Республики Карелия бюджетам муниципальных образований в Республике Карелия на поддержку развития территориального общественного самоуправления».
2) Приказ Министерства национальной и региональной политики Республики Карелия от 05.08.2019 года № 30 «О реализации постановления Правительства Республики Карелия от 18 января 2018 года №9-П «Об утверждении Порядка предоставления иных межбюджетных трансфертов из бюджета Республики Карелия бюджетам муниципальных образований в Республике Карелия на поддержку развития территориального общественного самоуправления"</t>
  </si>
  <si>
    <t>http://nac.gov.karelia.ru/about/3832/</t>
  </si>
  <si>
    <t>Министерство национальной и региональной политики Республики Карелия</t>
  </si>
  <si>
    <t>иные межбюджетные трансферты</t>
  </si>
  <si>
    <t>муниципальные образования в Республике Карелия</t>
  </si>
  <si>
    <t>Суммарное значение на основании данных, представленных в конкурсных заявках</t>
  </si>
  <si>
    <t>https://krl.gks.ru/folder/31905</t>
  </si>
  <si>
    <t>листы регистрации участников</t>
  </si>
  <si>
    <t>Трудовое участие, предоставление техники и(или) материалов</t>
  </si>
  <si>
    <t>1) http://nac.gov.karelia.ru/about/3832/</t>
  </si>
  <si>
    <t>1) инициативы-карелия.рф
2) асмо-карелия.рф/tos/
3) группа в социальной сети "Вконтакте" "Ассоциация ТОС в Республике Карелия" https://vk.com/tosrk</t>
  </si>
  <si>
    <t>https://vk.com/tosrk?z=photo-169034427_457239153%2Falbum-169034427_0%2Frev</t>
  </si>
  <si>
    <t>Для поддержки движения ТОС в социальной сети «ВКонтакте» продолжает развиваться группа «Ассоциация ТОС в Республике Карелия» (https://vk.com/tosrk), где размещается информации о проектах, деятельности ТОС Республики Карелия и опыте ТОС других регионов. Создан аккаунт в Instagram (https://www.instagram.com/tosrk/?hl=ru)? где размещается информации о проектах, деятельности ТОС Республики Карелия.
2) ТВ: 
2.1) сампо ТВ 360 https://vk.com/wall-28174864_22109?w=wall-28174864_22109
2.2) Вести Карелия https://vk.com/wall-48613829_110423?w=wall-48613829_110423
2.3) Вести Карелия, репортаж на карельском языке http://tv-karelia.ru/karjalan-rahvahan-liitto-tuli-karhumageh/</t>
  </si>
  <si>
    <t>Разработаны буклет «Формы поддержки ТОС в Республике Карелия», брошюра «5 шагов к созданию ТОС», буклет «Территориальное общественное самоуправление в Республике Карелия. Шаг за шагом к большим переменам». На Форум ТОС был подготовлен видеоролик о достижениях ТОС. Для информационного сопровождения первого республиканского Форума ТОС были разработаны стенды о реализованных за 2018-2019 год проектов по пяти направлениям. 
http://nac.gov.karelia.ru/about/3832/
https://m.vk.com/docs?oid=-169034427
https://vk.com/tosrk?w=wall-169034427_145</t>
  </si>
  <si>
    <t xml:space="preserve">Специалисты Министерства проводят и участвуют в выездных семинарах, круглых столах, конференциях о развитии ТОС. Так в рамках «Муниципальной школы-2019» рассмотрен вопрос «О развитии территориального общественного самоуправления в Республике Карелия». На международной научно-практической конференции «Актуальные аспекты социально-экономического развития муниципальных образований» рассматривался вопрос о возможности развития территорий посредством реализации проектов инициативного бюджетирования.
Состоялись выездные встречи с инициативными гражданами, в рамках которых состоялся обмен контактами и распространение информации и возможностях поддержки ТОС и создания ТОС. Проведен круглый стол в г. Петрозаводске по вопросам развития ТОС в Республики Карелия.
20 ноября 2019 года состоялся первый республиканский Форум ТОС. В нем приняли участие более 100 представителей ТОС со всех муниципальных районов Карелии. В рамках Форума обсуждались итоги работы по поддержке ТОС в республике, опыт деятельности наиболее успешных ТОС, вопросы подготовки проектов на конкурс социально значимых проектов, развитие проектной деятельности, юридические вопросы регистрации и деятельности территориального общественного самоуправления (https://vk.com/tosrk?w=wall-134397408_26321)
Специалистом Ассоциации совершались выезды в муниципальные образования республики с целью распространения информации о порядке создания и функционирования ТОС. 
Был организован сбор информации по реализации социально значимых проектов ТОС для публикации в сборнике в рамках проекта Фонда «Петрозаводск» - «Диалог с гражданами». Проект направлен на повышение качества и уровня открытости, доступности и прозрачности информации о деятельности НКО и реализации общественных инициатив на территории Республики Карелия. 
Также во взаимодействии с Региональной общественной организации «Союз карельского народа» в рамках проекта «Вместе мы сила» совершались поездки на круглые столы по вопросам создания ТОС и возможности деятельности ТОС в этнокультурном и этносоциальном направлениях: в селах Крошнозеро и Ведлозеро Пряжинского национального муниципального района, Вешкелица Суоярвского муниципального района, в поселке Ильинский Олонецкого национального муниципального района, городе Медвежьегорск. В рамках совместной работы брошюра «5 шагов к созданию ТОС» была переведена на карельский язык.
</t>
  </si>
  <si>
    <t>Вилаева Дарья Сергеевна, ведущий специалист, Министерство национальной и региональной политики Республики Карелия</t>
  </si>
  <si>
    <t>8(8142) 76-70-44</t>
  </si>
  <si>
    <t>vilaeva.msu@mail.ru</t>
  </si>
  <si>
    <t>Калинина Инна Анатольевна, главный специалист</t>
  </si>
  <si>
    <t>8 (8142) 71-64-16</t>
  </si>
  <si>
    <t>refbud@minfin.karelia.ru</t>
  </si>
  <si>
    <t>Конкурсный отбор проектов для предоставления субсидий по поддержку местных инициатив граждан, проживающих в муниципальных образованиях в Республике Карелия</t>
  </si>
  <si>
    <t>Государственная программа Республики Карелия «Развитие институтов гражданского общества и развитие местного самоуправления, защита прав и свобод человека и гражданина»; подпрограмма 4 «Содействие развитию муниципальной службы, территориального общественного самоуправления и иных форм осуществления местного самоуправления в Республике Карелия», мероприятие "Поддержка местных инициатив граждан, проживающих в муниципальных образованиях в Республике Карелия" (Программа утверждена постановлением Правительства Республики Карелия от 19 декабря 2013 г. № 365-П).</t>
  </si>
  <si>
    <t>постановление Правительства Республики Карелия от 2 апреля 2015 г. № 101-П "О внесении изменений в постановление Правительства Республики Карелия от 19 декабря 2013 года № 365-П".</t>
  </si>
  <si>
    <t>Официальный интернет-портал правовой информации (pravo.gov.ru): номер опубликования: 1000201504020009, дата опубликования: 02.04.2015</t>
  </si>
  <si>
    <t>1) Закон Республики Карелия от 21 декабря 2018 года № 2337-ЗРК "О бюджете Республики Карелия на 2019 год и на плановый период 2020 и 2021 годов"
2) Постановление Правительства Республики Карелия от 18.02.2019 № 75-П "О распределении на 2019 год субсидий бюджетам муниципальных образований на поддержку местных инициатив граждан, проживающих в муниципальных образованиях"</t>
  </si>
  <si>
    <t>1) http://minfin.karelia.ru/2019-2021-gody/
2) Официальный интернет-портал правовой информации (pravo.gov.ru): номер опубликования: 1000201902200003, дата опубликования: 20.02.2019</t>
  </si>
  <si>
    <t xml:space="preserve">1) Постановление Правительства Республики Карелия от 04.04.2014 № 86-П «Об утверждении Порядка проведения конкурсного отбора проектов для предоставления субсидий на поддержку местных инициатив граждан, проживающих в муниципальных образованиях в Республике Карелия».
2) Приказ Администрации Главы Республики Карелия от 28.09.2016 года № 124 «О реализации постановления Правительства Республики Карелия от 04.04.2014г. № 86-П «Об утверждении Порядка проведения конкурсного отбора проектов для предоставления субсидий на поддержку местных инициатив граждан, проживающих в муниципальных образованиях в Республике Карелия».
</t>
  </si>
  <si>
    <t>http://old.gov.karelia.ru/Projects/Initiatives/</t>
  </si>
  <si>
    <t>Количество заполненных анкет</t>
  </si>
  <si>
    <t>в ряде муниципальных образований в группах в социальной сети "Вконтакте" проводились интернет опросы и обсуждения проектов</t>
  </si>
  <si>
    <t>1) http://old.gov.karelia.ru/Projects/Initiatives/
2) http://budget.karelia.ru/prioritety/programma-podderzhki-mestnykh-initsiativ/stranitsa-s-obshchej-informatsiej-po-ppmi</t>
  </si>
  <si>
    <t>инициативы-карелия.рф</t>
  </si>
  <si>
    <t>1) Информационная кампания по ППМИ проводилась на портале информационного агентства«Республика Карелия» (http://rk.karelia.ru/tag/programma-podderzhki-mestnyh-initsiativ/)
2) ТВ: ГТРК Карелия:http://tv-karelia.ru/v-karelii-prinimayut-zayavki-na-uchastie-v-programme-podderzhki-mestnyih-initsiativ/)
3) ТВ Россия 1 Карелия: http://tv-karelia.ru/vyipusk-ot-29-01-2019/
4) ТВ: ГТРК Карелия: http://tv-karelia.ru/v-petrozavodske-proshlo-torzhestvennoe-otkryitie-parka-udega/
5) ТВ: ГТРК Карелия: http://tv-karelia.ru/novyiy-park-otkroetsya-v-odnom-iz-rayonov-petrozavodska/</t>
  </si>
  <si>
    <t xml:space="preserve">Буклет ППМИ
https://yadi.sk/mail/?hash=4wpiqhTPXCL1wf%2BodxqKn23CvzKh0yuOZLU2J9FhzS0%3D
</t>
  </si>
  <si>
    <t xml:space="preserve">Обучение руководителей и специалистов органов местного самоуправления, депутатов представительных органов местного самоупарвления проходило на площадке двух обучающих семинаров "Муниципальная школа".
Дополнительно: выезды специалистов Министерcтва национальной и региональной политики Республики Карелия в муниципальные образования в Республике Карелия на собрания граждан и открытия объектов, оказание дистанционного методического и информационного сопровождения (регулярно), распространение буклетов ППМИ, семинар для инициативных групп
</t>
  </si>
  <si>
    <t>Приоритетный проект "Формирование комфортной городской среды"</t>
  </si>
  <si>
    <t>Государственная программа Калининградской области «Формирование современной городской среды»</t>
  </si>
  <si>
    <t>Постановление Правительства Калининградской области от 31.08.2017 № 465 "Об утверждении государственной программы Калининградской области "Формирование современной городской среды"</t>
  </si>
  <si>
    <t>https://minstroy39.ru/upload/%D0%9F%D0%9F%D0%9A%D0%9E%20465%20%D0%BE%D1%82%2031%2008%202017%20%D0%B3%D0%BE%D1%81%20%D0%BF%D1%80%D0%BE%D0%B3%D1%80%D0%B0%D0%BC%D0%BC%D0%B0.pdf</t>
  </si>
  <si>
    <t>Министерство строительства и жилищно-коммунального хозяйства Калининградской области</t>
  </si>
  <si>
    <t>национальный проект «Жилье и городская среда», Федеральный проект «Формирование комфортной городской среды»</t>
  </si>
  <si>
    <t>https://kaliningrad.gks.ru/population</t>
  </si>
  <si>
    <t>протоколы встреч и собраний, журналы регистрации участников, списки, протоколы рабочих встреч, протоколы собрания собственников жилых помещений</t>
  </si>
  <si>
    <t>подсчет предложений из ящиков</t>
  </si>
  <si>
    <t>электронная почта, официальные сайты администраций муниципальных образований</t>
  </si>
  <si>
    <t>протоколы собраний общественной комиссии, общие собрания собственников помещений</t>
  </si>
  <si>
    <t>протоколы заседания комиссии</t>
  </si>
  <si>
    <t>протокольные решения</t>
  </si>
  <si>
    <t>21 муниципальное образование из 22-х</t>
  </si>
  <si>
    <t>частично</t>
  </si>
  <si>
    <t>официальные сайти муниципальных образований области</t>
  </si>
  <si>
    <t>https://minstroy39.ru/komf_sreda/</t>
  </si>
  <si>
    <t>Сайты муниципальных образований области,
Страницы муниципальных образований в сети Вконтакте</t>
  </si>
  <si>
    <t>социальные сети, муниципальные газеты, видеоролики, наружная реклама, телевидение</t>
  </si>
  <si>
    <t>не проводились</t>
  </si>
  <si>
    <t>Иванова Оксана Олеговна</t>
  </si>
  <si>
    <t>8(4012)576939</t>
  </si>
  <si>
    <t>o.ivanova@minfin39.ru</t>
  </si>
  <si>
    <t>Предоставление субсидий из областного бюджета местным бюджетам на софинансирование расходных обязательств муниципальных образований Калининградской области, направленных на решение вопросов местного значения в сфере жилищно-коммунального хозяйства</t>
  </si>
  <si>
    <t>Муниципальные программы «конкретных дел» (ПКД)</t>
  </si>
  <si>
    <t>государственная программа Калининградской области "Доступное и комфортное жилье"</t>
  </si>
  <si>
    <t>Постановление Правительства Калининградской области от 31.12.2013 № 1026</t>
  </si>
  <si>
    <t xml:space="preserve">http://docs.cntd.ru/document/460267690
</t>
  </si>
  <si>
    <t>фиксация результатов голосования на официальных сайтах администраций, иформация, полученная на электронную почту</t>
  </si>
  <si>
    <t>фиксация результатов голосования на официальных сайтах администраций,</t>
  </si>
  <si>
    <t>определены критерии участия</t>
  </si>
  <si>
    <t>численность населения муниципального образования - до 80 тысяч человек</t>
  </si>
  <si>
    <t>публикации в социальных сетях</t>
  </si>
  <si>
    <t>рейтинговое голосование, голосование подписчиков газеты</t>
  </si>
  <si>
    <t xml:space="preserve">Приоритетный проект "Забайкалье - территория будущего"
</t>
  </si>
  <si>
    <t>Забайкалье - территория будущего</t>
  </si>
  <si>
    <t xml:space="preserve">Государственная программа Забайкальского края "Совершенствование государственного управления Забайкальского края", Подпрограмма "Содействие развитию местного самоуправления в Забайкальском крае", Основное мероприятие "Приоритетный проект "Забайкалье - территория будущего"
</t>
  </si>
  <si>
    <t>Протокол заседания Комиссии Правительства Забайкальского края по проектной деятельности от 20 июня 2018 года № 2 об утверждении паспортов приоритетных проектов</t>
  </si>
  <si>
    <t>Постановление Правительства Забайкальского края от 28.12.2017 № 572 (ред. от 04.07.2018) "Об утверждении Порядка предоставления и расходования субсидий, выделяемых из бюджета Забайкальского края бюджетам муниципальных районов и городских округов Забайкальского края на реализацию мероприятий проекта "Забайкалье - территория будущего"</t>
  </si>
  <si>
    <t xml:space="preserve">http://docs.cntd.ru/document/446625326
</t>
  </si>
  <si>
    <t>Администрация Губернатора Забайкальского края</t>
  </si>
  <si>
    <t>Министерство финансов Забайкальского края</t>
  </si>
  <si>
    <t xml:space="preserve">Субсидии </t>
  </si>
  <si>
    <t xml:space="preserve">Муниципальный район "Сретенский район"
</t>
  </si>
  <si>
    <t>https://chita.gks.ru/storage/mediabank/1_%D0%A7%D0%B8%D1%81%D0%BB%D0%B5%D0%BD%D0%BD%D0%BE%D1%81%D1%82%D1%8C%20%D0%BD%D0%B0%D1%81%D0%B5%D0%BB%D0%B5%D0%BD%D0%B8%D1%8F.htm</t>
  </si>
  <si>
    <t>В 2018 году - Забайкальский форум местного самоуправления, в работе которого приняли участие главы районов, городских и сельских поселений, инициативные жители муниципалитетов, где были представлены презентации социально-значимых проектов</t>
  </si>
  <si>
    <t>Пляскин Семен Геннадьевич</t>
  </si>
  <si>
    <t>8(3022) 35 29 50</t>
  </si>
  <si>
    <t>ref@fin.e-zab.ru</t>
  </si>
  <si>
    <t xml:space="preserve">Государственная программа Тюменской области "Развитие жилищно-коммунального хозяйства" на 2019-2025 г.г./ Региональный проект.
«Формирование комфортной городской среды» в рамках реализации национального проекта «Жилье и городская среда»./ Мероприятие проекта.
Реализация программ формирования современной городской среды.                                                                                                              </t>
  </si>
  <si>
    <t>№527-п от 21.12.2018</t>
  </si>
  <si>
    <t>https://admtyumen.ru/ogv_ru/finance/programs/program.htm?id=1138@egTargetGrant</t>
  </si>
  <si>
    <t>Постановление Правительства Тюменской области от 28.12.2007 N 348-п (ред. от 18.03.2020) "О порядке предоставления субсидий и иных межбюджетных трансфертов местным бюджетам" (вместе с "Порядком предоставления субсидий местным бюджетам на поддержку муниципальных программ формирования современной городской среды")</t>
  </si>
  <si>
    <t>Постановление Правительства Тюменской области от 28.12.2007 N 348-п (ред. от 18.03.2020) "О порядке предоставления субсидий и иных межбюджетных трансфертов местным бюджетам"</t>
  </si>
  <si>
    <t>Департамент жилищно-коммунального хозяйства Тюменской области</t>
  </si>
  <si>
    <t>бюджеты городских округов</t>
  </si>
  <si>
    <t>Государственная программа Тюменской области "Развитие жилищно-коммунального хозяйства" на 2019-2025 г.г./ Региональный проект.
«Формирование комфортной городской среды» в рамках реализации национального проекта «Жилье и городская среда».</t>
  </si>
  <si>
    <t>ориентировочный подсчет: 1. исходя из численности жителей МКД, расположенных на благоустраиваемых дворовых территориях; 2. исходя из проходимости благоустраиваемых скверов (парков).</t>
  </si>
  <si>
    <t>протокол территориальной счетной комиссии</t>
  </si>
  <si>
    <t>Практика предусматривает участие только части муниципальных образований - городских округов</t>
  </si>
  <si>
    <t>Субсидии на поддержку муниципальных программ формирования современной городской среды в рамках реализации подпрограммы "Формирование современной городской среды" государственной программы Тюменской области "Развитие жилищно-коммуналнього хозяйства" предоставляютсямуниципальным образованиям имеющим статус города. (Постановление Правительства Тюменской области от 28.12.2007 № 348-п "О порядке предоставления субсидий и иных межбюджетных трансфертов местным бюджетам")</t>
  </si>
  <si>
    <t>интернет-голосование с использованием системы электронных опросов "Я решаю!"</t>
  </si>
  <si>
    <t>Трудовое участие граждан (высаживание деревьев в парках, скверах, дворах)</t>
  </si>
  <si>
    <t>http://gorodsreda.ru/</t>
  </si>
  <si>
    <t>https://vk.com/tmncomfort</t>
  </si>
  <si>
    <t xml:space="preserve">https://minstroy.49gov.ru/common/upload/25/editor/file/Gorsreda_brandbook_new.pdf </t>
  </si>
  <si>
    <t>Интервью местным телеканалам на тему благоустройства https://www.youtube.com/watch?v=NGqRDPvqv-M
https://www.youtube.com/watch?v=AWPeMnlN5Vw
Публикации в журналах.
Информация в региональных интернет-СМИ
https://t-l.ru/281564.html
https://t-l.ru/278936.html
https://t-l.ru/280235.html
Публикации в социальных сетях
https://stapico.ru/photos/2241365319422024266/info/B8a7eH8B5pK
https://stapico.ru/photos/2247016945721549416/info/B8vAgHGBCJo</t>
  </si>
  <si>
    <t>К проведению Второго Всероссийского форума "Развитие малых городов и исторических поселений 2020", прошедшего в Тюмени 28 февраля был разработан презентационный кейс для участников. Гости и участники форума получили полноценный каталог, где представлены все проекты, победившие на конкурсе. К программе мероприятия также прилагались документы, регламентирующие проведение конкурса. Приятным дополнением стала брендированная футболка, блокнот и пишущие принадлежности. Везде был использован фирменный стиль и атрибутика проекта. 
Хэштег проекта для поиска в сети #городаменяютсядлянас</t>
  </si>
  <si>
    <t>Шиллер Мария Владимировна, главный специалист отдела анализа и планирования Департамента жилищно-коммунального хозяйства Тюменской области</t>
  </si>
  <si>
    <t>8 (3452) 42-79-89</t>
  </si>
  <si>
    <t>ShillerMV@72to.ru</t>
  </si>
  <si>
    <t>Правительства Пензенской области от 01.09.2017 № 414-пП "Об утверждении государственной программы Пензенской области "Формирование комфортной городской среды на территории Пензенской области"</t>
  </si>
  <si>
    <t xml:space="preserve">Региональный проект "Формирование комфортной городской среды" </t>
  </si>
  <si>
    <t>Государственная программа Пензенской области "Формирование комфортной городской среды на территории Пензенской области"</t>
  </si>
  <si>
    <t>Постановление Правительства Пензенской области от 01.09.2017 № 414-пП "Об утверждении государственной программы Пензенской области "Формирование комфортной городской среды на территории Пензенской области"</t>
  </si>
  <si>
    <t>http://docs.cntd.ru/document/450337050</t>
  </si>
  <si>
    <t>Управление жилищно-коммунального хозяйства и гражданской защиты населения Пензенской области</t>
  </si>
  <si>
    <t>Администрации муниципальных образований Пензенской области</t>
  </si>
  <si>
    <t>Федеральный проект "Формирование комфортной городской среды" национального проекта "Жилье и городская среда" в рамках государственной программы Российской Федерации "Обеспечение доступным и комфортным жильем и коммунальными услугами граждан Российской Федерации"</t>
  </si>
  <si>
    <t xml:space="preserve">Министерство строительства и жилищно-коммунального хозяйства Российской Федерации </t>
  </si>
  <si>
    <t>Общее количество жителей населенных пунктов рассчитано на основании данных Росстата</t>
  </si>
  <si>
    <t>http://pnz.old.gks.ru/wps/wcm/connect/rosstat_ts/pnz/ru/statistics/population/</t>
  </si>
  <si>
    <t xml:space="preserve">Протокол заседания общественной муниципальной комиссии по рассмотрению предложений граждан по отбору дворовых и общественных территорий для благоустройства в первоочередном порядке </t>
  </si>
  <si>
    <t xml:space="preserve">Рейтинговое голосование по отбору общественных территорий для благоустройства </t>
  </si>
  <si>
    <t>Участие в реализации регионального проекта "Формирование комфортной городской среды" принимают муниципальные образования, в состав которых входят населенные пункты с численностью населения свыше 1 000 чел.</t>
  </si>
  <si>
    <t>Трудовое участие граждан в реализации проектов благоустройства дворовых и общественных территорий</t>
  </si>
  <si>
    <t>Репортажи на телевидении, статьи в печатных изданиях, интернет-ресурсах</t>
  </si>
  <si>
    <t>ЮСУПОВ Рустам Каримович, главный специалист-эксперт отдела защиты населения и благоустройства Управления жилищно-коммунального хозяйства и гражданской защиты населения Пензенской области</t>
  </si>
  <si>
    <t>8(8412)21-08-59</t>
  </si>
  <si>
    <t>ugkh.pnz@yandex.ru</t>
  </si>
  <si>
    <t>Кривов Сергей Валерьевич, заместитель начальника отдела финансирования строительства, дорожного и жилищно-коммунального хозяйства</t>
  </si>
  <si>
    <t>8(8412)595-422</t>
  </si>
  <si>
    <t>finupr@sura.ru</t>
  </si>
  <si>
    <t>Муниципальное образование</t>
  </si>
  <si>
    <t xml:space="preserve">Название практики </t>
  </si>
  <si>
    <t>Названия нормативно-правовых актов, которые регулируют практику инициативного бюджетирования на территории муниципального образования. Ссылки</t>
  </si>
  <si>
    <t>бюджетные ассигнования на реализацию проектов ИБ из бюджета муниципального образования</t>
  </si>
  <si>
    <t xml:space="preserve">Объем ассигнований из бюджета муниципального образования на финансирование проектов в 2019 году </t>
  </si>
  <si>
    <t>Доля этих средств в общей стоимости проектов инициативного бюджетирования</t>
  </si>
  <si>
    <t>7.B.3.</t>
  </si>
  <si>
    <t>Доля указанных бюджетных ассигнований в бюджете муниципального образования на 2019 год</t>
  </si>
  <si>
    <t>Планы финансирования практики из бюджета муниципального образования на 2020 год</t>
  </si>
  <si>
    <t>Объем бюджетных ассигнований из бюджета муниципального образования, которые запланированы на реализацию проектов в 2020 году</t>
  </si>
  <si>
    <t>Доля указанных бюджетных средств в общем объеме расходов бюджета муниципального образования на 2020 год</t>
  </si>
  <si>
    <t>Доля благополучателей от общего количества жителей муниципального образования. Указать источник статистиски о количестве жителей</t>
  </si>
  <si>
    <t>4.5</t>
  </si>
  <si>
    <t xml:space="preserve">Региональный орган исполнительной власти/местный орган исполнительной власти , ответственный за реализацию практики ИБ </t>
  </si>
  <si>
    <t>Постановление администрации Липецкой области от 13.02.2015 N 74 "О внесении изменений в постановление администрации Липецкой области от 28 октября 2013 года N 485 "Об утверждении государственной программы Липецкой области "Развитие сельского хозяйства и регулирование рынков сельскохозяйственной продукции, сырья и продовольствия Липецкой области"</t>
  </si>
  <si>
    <t xml:space="preserve">Официальный сайт Управления сельского хозяйства Липецкой области в рубрике «Господдержка» / «Государственные программы» / «Государственные программы Липецкой области»
 (http://ush48.ru/support/programs)
</t>
  </si>
  <si>
    <t>Постановление администрации Липецкой области от 07.02.2019г. N 50 "Об утверждении Порядка предоставления субсидий местным бюджетам из областного бюджета на реализацию муниципальных программ, направленных на грантовую поддержку местных инициатив граждан, проживающих в сельской местности, на 2019 год"</t>
  </si>
  <si>
    <t>Официальный сайт Управления сельского хозяйства Липецкой области в рубрике «Направление деятельности» / «Устойчивое развитие сельских территорий» / «Нормативные правовые акты»   (http://ush48.ru/industries/ustoychivoe-razvitie-selskikh-territoriy/ustoychivoe-razvitie-selskikh-territoriy.Grant.php)</t>
  </si>
  <si>
    <t>Управление сельского хозяйства Липецкой области</t>
  </si>
  <si>
    <t>Количество благополучателей приравнивается к количеству населения, проживающему на территории сел, в которых реализованы проекты</t>
  </si>
  <si>
    <t>https://lipstat.gks.ru/storage/mediabank/%D0%AD%D0%BA%D1%81%D0%BF%D1%80%D0%B5%D1%81%D1%81_%D0%BF%D1%80%D0%B5%D0%B4%D0%B22020.pdf</t>
  </si>
  <si>
    <t>Голосование на собрании за принятие решения о реализации проекта в сельской местности и оформление Протокола собрания.</t>
  </si>
  <si>
    <t>Протокол рассмотрения заявок муниципальных образований на предоставление субсидий на реализацию муниципальных программ, направленных на грантовую поддержку местных инициатив граждан, проживающих в сельской местности.</t>
  </si>
  <si>
    <t>Участие предусмотрено для всех МО, расположенных в сельской местнсти, за исключением городских округов, на территории которых находятся административный центр субъекта Российской Федерации.</t>
  </si>
  <si>
    <t xml:space="preserve"> Обязательный вклад граждан и (или) юридических лиц (индивидуальных предпринимателей) в реализацию проекта в различных формах, в том числе в форме, трудового участия, предоставления помещений и технических средств.
</t>
  </si>
  <si>
    <t>Официальный сайт Управления сельского хозяйства Липецкой области в рубрике «Направление деятельности» / «Устойчивое развитие сельских территорий» / «Нормативные правовые акты» / «Архив» (http://ush48.ru/industries/ustoychivoe-razvitie-selskikh-territoriy/arkhiv.php)</t>
  </si>
  <si>
    <t xml:space="preserve"> Виноградов Олег Алексеевич - начальник отдела комплексного развития сельских террий управления сельского хозяйства Липецкой области</t>
  </si>
  <si>
    <t xml:space="preserve">8(4742)30-74-00   </t>
  </si>
  <si>
    <t>o.vinogradov@admlr.lipetsk.ru</t>
  </si>
  <si>
    <t>Алтай, республика (2)</t>
  </si>
  <si>
    <t>Алтай, республика (3)</t>
  </si>
  <si>
    <t>Муниципальное образование "Город Архангельск"</t>
  </si>
  <si>
    <t>Проект "Бюджет твоих возможностей"</t>
  </si>
  <si>
    <t>"Бюджет твоих возможностей"</t>
  </si>
  <si>
    <t>Положение о проекте "Бюджет твоих возможностей", утвержденное постановлением Администрации муниципального образования "Город Архангельск" от 22.05.2018 № 643</t>
  </si>
  <si>
    <t>http://www.arhcity.ru/?page=2373/1</t>
  </si>
  <si>
    <t>Департамент финансов Администрации муниципального образования "Город Архангельск"</t>
  </si>
  <si>
    <t>Департамент образования Администрации муниципального образования "Город Архангельск", департамент транспорта, строительства и городской инфраструктуры  Администрации муниципального образования "Город Архангельск", администрация территориального округа Варавино-Фактория  Администрации муниципального образования "Город Архангельск"</t>
  </si>
  <si>
    <t>Бюджетные ассигнования предоставляются непосредственно главному распорядителю средств местного бюджета (при реализации инициативы им), а также в форме субсидий на иные цели муниципальным бюджетным и автономным учреждениям  (при реализации инициативы учреждением)</t>
  </si>
  <si>
    <t>Муниципальные общеобразовательные учреждения муниципального образования "Город Архангельск", департамент транспорта, строительства и городской инфраструктуры  Администрации муниципального образования "Город Архангельск", администрация территориального округа Варавино-Фактория  Администрации муниципального образования "Город Архангельск"</t>
  </si>
  <si>
    <t>Количество благополучателей определено исходя из данных, указанных в заявках на участие в проекте, содержащих инициативы, которые были реализованы в 2019 году</t>
  </si>
  <si>
    <t>http://www.arhcity.ru/?page=31/2</t>
  </si>
  <si>
    <t>Команда проекта "Бюджет твоих возможностей"</t>
  </si>
  <si>
    <t>В рамках текущей деятельности и на добровольных началах</t>
  </si>
  <si>
    <t>http://www.arhcity.ru/?page=2371/1</t>
  </si>
  <si>
    <t>https://бюджеттвоихвозможностей.рф/  и http://www.arhcity.ru/?page=2371/1</t>
  </si>
  <si>
    <t>более 60 тыс. голосов</t>
  </si>
  <si>
    <t>На официальном информационном Интернет - портале муниципального образования "Город Архангельск" функционирует раздел "Бюджет твоих возможностей", где реализован следующий функционал: новости, документы, сбор заявок на участие в проекте, информация об отборе инициатив общественными советами и экспертизе инициатив, голосование, информация о реализации  инициатив (дорожные карты, сбор мнений жителей). Кроме того, в 2019 году с учетом пожеланий горожан голосование проходило на новой платформе – сайте бюджеттвоихвозможностей.рф, которая позволила повысить объективность учета голосов, а также каждому голосующему составить по-настоящему свой бюджет возможностей. Ведь проголосовать можно было сразу за несколько инициатив в пределах средств, предусмотренных на проект.При этом допуск к голосованию производится на основании номера мобильного телефона голосующего и за весь период проведения голосования возможно только одно голосование с одного номера. Одновременно была реализована мобильная версия сайта, что сделало голосование с мобильного телефона удобным.</t>
  </si>
  <si>
    <t>https://vk.com/btv29</t>
  </si>
  <si>
    <t>Информационное освещение проекта осуществлялось путем публикации новостных материалов в газетах "Архангельск – город воинской славы" и "Правда Севера", на официальном информационном Интернет-портале муниципального образования "Город Архангельск" (www.arhcity.ru), в группах Вконтакте "Бюджет Архангельска" и "Бюджет твоих возможностей", на новостных порталах: www.news29.ru, www.29.ru. Кроме того, выходили сюжеты о проекте на телевидении в утренней передаче "Доброе утро, Поморье!", эфир передачи "Открытая среда" на радио "Поморье", эфир передачи "Вечерний Архангельск".
https://vk.com/btv29?w=wall-178985470_245 
https://vk.com/btv29?w=wall-178985470_136</t>
  </si>
  <si>
    <t>Для информационной кампании проекта были разработаны брошюра, видео, листовки, контент для социальных сетей. Примеры работ:
https://vk.com/btv29?w=wall-178985470_258
https://vk.com/btv29?w=wall-178985470_131
https://vk.com/btv29?w=wall-178985470_106
https://vk.com/btv29?w=wall-178985470_26
https://vk.com/btv29?w=wall-178985470_24
https://vk.com/btv29?w=wall-178985470_10
https://vk.com/btv29?w=wall-178985470_8</t>
  </si>
  <si>
    <t>Встреча с участниками проекта "Бюджет твоих возможностей", состоявшаяся 13.06.2019 года. Состав участников: участники проекта, подавшие заявки; представители Администрации муниципального образования "Город Архангельск", члены команды проекта "Бюджет твоих возможностей"; представители средств массовой информации</t>
  </si>
  <si>
    <t>Более 100 человек</t>
  </si>
  <si>
    <t>Булатова Ксения Алексеевна, главный специалист департамента финансов</t>
  </si>
  <si>
    <t>8(8182) 607-361</t>
  </si>
  <si>
    <t>bulatovaka@arhcity.ru</t>
  </si>
  <si>
    <t>Новоселова Мария Николаевна, директор департамента финансов</t>
  </si>
  <si>
    <t>8(8182) 607-145</t>
  </si>
  <si>
    <t>novoselova@arhcity.ru</t>
  </si>
  <si>
    <t>МО "Красноярский район"</t>
  </si>
  <si>
    <t>Муниципальная программа "Формирование комфортной среды на териитории МО "Красноярский район" на 2018-2022гг".</t>
  </si>
  <si>
    <t>Ежегодный конкурс на лучший проект ТОС МО "Красноярский  район"</t>
  </si>
  <si>
    <t>Постановление об утверждени положения об ежегодном конкурсе на лучший проект ТОС МО "Красноярский район" от 20.07.2018 №936</t>
  </si>
  <si>
    <t>http://krasniyar.ru/document/document/view/18457</t>
  </si>
  <si>
    <t xml:space="preserve"> МО "Бузанский сельсовет", МО "Байбекский сельсовет"</t>
  </si>
  <si>
    <t>По возрастному ограничению</t>
  </si>
  <si>
    <t>по данным похозяйственного учета</t>
  </si>
  <si>
    <t xml:space="preserve">Сход граждан </t>
  </si>
  <si>
    <t>Шинкевич Юлия Владимировна</t>
  </si>
  <si>
    <t>8(85146)91-3-16</t>
  </si>
  <si>
    <t>ведущий специалист Митрофанова Наталья Юрьевна</t>
  </si>
  <si>
    <t>8(85146)91-0-38</t>
  </si>
  <si>
    <t>anischenko@krasniyar.ru</t>
  </si>
  <si>
    <t>Журнал консультаций; Формирование инициативных групп, их участие в ярмарках, выставках, ВКС, совещаниях, групповых консультациях, индивидуальных консультациях</t>
  </si>
  <si>
    <t>Муниципальный район Бакалинский район Республики Башкортостан</t>
  </si>
  <si>
    <t>Муниципальный район Балтачевский район Республики Башкортостан</t>
  </si>
  <si>
    <t>Муниципальный район Бураевский район Республики Башкортостан</t>
  </si>
  <si>
    <t>Муниципальный район Илишевский район Республики Башкортостан</t>
  </si>
  <si>
    <t>Муниципальный район Калтасинский район Республики Башкортостан</t>
  </si>
  <si>
    <t>Муниципальный район Миякинский район Республики Башкортостан</t>
  </si>
  <si>
    <t>Муниципальный проект инициативного бюджетирования «Наше село»</t>
  </si>
  <si>
    <t>Наше село</t>
  </si>
  <si>
    <t>Постановление Администрации муниципального района Бураевский район РБ от 4 апреля 2018 года № 397 «О реализации на территории муниципального района Бураевский район РБ муниципальных проектов инициативного бюджетирования «Наше село» в поселениях Бураевского района РБ».</t>
  </si>
  <si>
    <t>Администрация муниципального района Бакалинский район Республики Башкортостан</t>
  </si>
  <si>
    <t>Администрация муниципального района Балтачевский район Республики Башкортостан</t>
  </si>
  <si>
    <t>Администрация мунициального района Бураевский район Республики Башкортостан</t>
  </si>
  <si>
    <t>Администрация муниципального района Илишевский район Республики Башкортостан</t>
  </si>
  <si>
    <t>Администрация муниципального района Калтасинский район Республики Башкортостан</t>
  </si>
  <si>
    <t>Администрация муниципального района Миякинский район Республики Башкортостан</t>
  </si>
  <si>
    <t>Финансовое управление Администрации муниципального района Балтачевский район Республики Башкортостан</t>
  </si>
  <si>
    <t>Финансовое управление Администрации муниципального района Бураевский района Республики Башкортостан</t>
  </si>
  <si>
    <t>Финансовое управление Администрации муниципального района Илишевский район Республики Башкортостан</t>
  </si>
  <si>
    <t>Финансовое управление Администрации муниципального района Калтасинский район Республики Башкортостан</t>
  </si>
  <si>
    <t>Финансовое управление Администрации муниципального района Миякинский район Республики Башкортостан</t>
  </si>
  <si>
    <t>Сельские поселения</t>
  </si>
  <si>
    <t>70,08%</t>
  </si>
  <si>
    <t>75,24%</t>
  </si>
  <si>
    <t>79,10%</t>
  </si>
  <si>
    <t>74,66%</t>
  </si>
  <si>
    <t>83,32%</t>
  </si>
  <si>
    <t>57,69%</t>
  </si>
  <si>
    <t>0,06%</t>
  </si>
  <si>
    <t>0,38%</t>
  </si>
  <si>
    <t>0,07%</t>
  </si>
  <si>
    <t>0,21%</t>
  </si>
  <si>
    <t>0,03%</t>
  </si>
  <si>
    <t>17,75%</t>
  </si>
  <si>
    <t>18,46%</t>
  </si>
  <si>
    <t>13,04%</t>
  </si>
  <si>
    <t>12,67%</t>
  </si>
  <si>
    <t>8,94%</t>
  </si>
  <si>
    <t>20,04%</t>
  </si>
  <si>
    <t>12,17%</t>
  </si>
  <si>
    <t>6,30%</t>
  </si>
  <si>
    <t>7,86%</t>
  </si>
  <si>
    <t>7,74%</t>
  </si>
  <si>
    <t>22,27%</t>
  </si>
  <si>
    <t>0,200</t>
  </si>
  <si>
    <t>0,26%</t>
  </si>
  <si>
    <t>Подсчет благополучателей осуществлен по данным из конкурсных заявок</t>
  </si>
  <si>
    <t>10,64%</t>
  </si>
  <si>
    <t>3,76%</t>
  </si>
  <si>
    <t>9,82%</t>
  </si>
  <si>
    <t>1,21%</t>
  </si>
  <si>
    <t>6,63%</t>
  </si>
  <si>
    <t>4,30%</t>
  </si>
  <si>
    <t>Анкетная ведомость</t>
  </si>
  <si>
    <t>1 300</t>
  </si>
  <si>
    <t>Протокол собрания</t>
  </si>
  <si>
    <t>1 933</t>
  </si>
  <si>
    <t>1 700</t>
  </si>
  <si>
    <t>1 575</t>
  </si>
  <si>
    <t>Протокол заседания конкурсной комиссии</t>
  </si>
  <si>
    <t>Привлечение техники, инвентаря населения и спонсоров, организация субботников по очистке и уборке территорий</t>
  </si>
  <si>
    <t>Предоставление техники и транспортных средств, очистка и уборка территорий</t>
  </si>
  <si>
    <t>Привлечение техники и транспортных средств, вклад материалами, безвозмездный труд.</t>
  </si>
  <si>
    <t>Предоставление грузовой техники, безвозмездный труд.</t>
  </si>
  <si>
    <t>Предоставление транспортных средст, скашивание обочин, выравнивание канав.</t>
  </si>
  <si>
    <t>Организация субботников по очистке и уборке территорий</t>
  </si>
  <si>
    <t>Размещение информации на официальном сайте сельских поселений муниципального района, размещение наружной рекламы http://bakaly-sp.ru/category/news/next/7</t>
  </si>
  <si>
    <t>Размещение информации на официальном сайте муниципального района, размещение наружной рекламы https://ilesh.bashkortostan.ru/presscenter/news/198858/</t>
  </si>
  <si>
    <t>Размещение информации на официальном сайте муниципального района, в социальных сетях, наружная реклама https://kaltasin.bashkortostan.ru/presscenter/events/9918/ https://vk.com/public172739690?w=wall-172739690_1116</t>
  </si>
  <si>
    <t>Проводились сходы граждан, опросы населения в сельских поселениях</t>
  </si>
  <si>
    <t>Сотрудниками Центра изучения гражданских инициатив ГАНУ «Институт стратегических исследований Республики Башкортостан»ежегодно для представителей муниципальных образований и инициативных групп проводятся обучающие мероприятия</t>
  </si>
  <si>
    <t>Сотрудниками Центра изучения гражданских инициатив ГАНУ «Институт стратегических исследований Республики Башкортостан» ежегодно для представителей муниципальных образований проводятся обучающие мероприятия</t>
  </si>
  <si>
    <t>Ирниченко Елена Юрьевна, заместитель начальника управления – начальник бюджетного отдела финансового управления Администрации муниципального района Миякинский район Республики Башкортостан</t>
  </si>
  <si>
    <t>8(34742)3-42-72</t>
  </si>
  <si>
    <t>8(34753)2-13-92</t>
  </si>
  <si>
    <t>8(34756)21026</t>
  </si>
  <si>
    <t>8(34762)5-18-21</t>
  </si>
  <si>
    <t>8(34779)4-23-80</t>
  </si>
  <si>
    <t>8(34788)2-12-66</t>
  </si>
  <si>
    <t>8(347)280-95-30</t>
  </si>
  <si>
    <t>Белгородский район</t>
  </si>
  <si>
    <t>Губкинский городской округ</t>
  </si>
  <si>
    <t>Проект "Внедрение инициативного (партиципаторного) бюджетирования в Белгородском районе"</t>
  </si>
  <si>
    <t>Постановление администрации Губкинского городского округа от 06 мая 2019 года № 730-па "О проведении конкурса на лучший значимый проект территориального общественного самоуправления"</t>
  </si>
  <si>
    <t>Внедрение инициативного (партиципаторного) бюджетирования в Белгородском районе</t>
  </si>
  <si>
    <t>проекты ТОС</t>
  </si>
  <si>
    <t>Проект "Внедрение инициативного (партиципаторного) бюджетирования в Белгородском районе", Распоряжение администрации Белгородского района от 05.04.2017г. № 462 "Об утверждении команды проекта "Внедрение инициативного (партиципаторного ) бюджетирования  в Белгородском районе", Методические рекомендации по внедрению приципов инициативного (партиципаторного)  бюджетирования</t>
  </si>
  <si>
    <t>http://www.budget-belrn.ru/images/Zakon/Belgorodskiy_rayon/metod_rekom_particip_bud.pdf</t>
  </si>
  <si>
    <t>http://gubkinadm.ru/</t>
  </si>
  <si>
    <t>Администрация Белгородского района, Комитет финансов и бюджетной политики администрации Белгородского района, Администрации городских и сельских поселений</t>
  </si>
  <si>
    <t xml:space="preserve">Администрация Губкинского городского округа </t>
  </si>
  <si>
    <t>Администрации городских и сельских поселений</t>
  </si>
  <si>
    <t xml:space="preserve">Управление жилищно-коммунального комплекса и систем жизнеобеспечения администрации Губкинского городского округа </t>
  </si>
  <si>
    <t>финанирование в рамках бюджетной сметы</t>
  </si>
  <si>
    <t>Администрации городских и сельских поселений, Управление культуры администрации Белгородского района</t>
  </si>
  <si>
    <t>Жители Белгородского района, которые непосредственно пользуются результатами реализованных проектов</t>
  </si>
  <si>
    <t>опросные листы, заявки</t>
  </si>
  <si>
    <t>сходы граждан</t>
  </si>
  <si>
    <t>заявки</t>
  </si>
  <si>
    <t>явочные листы, протоколы собрания</t>
  </si>
  <si>
    <t>пртоколы общественных слушаний</t>
  </si>
  <si>
    <t>протоколы</t>
  </si>
  <si>
    <t>Трудовое участие со сторны граждан в виде уборки территории, озеленения, посадки насаждений</t>
  </si>
  <si>
    <t>трудовое участие населения</t>
  </si>
  <si>
    <t>http://belrn.ru/</t>
  </si>
  <si>
    <t>https://vk.com/belrn</t>
  </si>
  <si>
    <t>https://gubtrk.ru/news/society/9695-211119</t>
  </si>
  <si>
    <t>http://belrn.ru/2017/05/05/iniciativnoe-participatornoe-byudzhe/;</t>
  </si>
  <si>
    <t>Материалы в городских информационно-общественных газетах «Новое время», «Эфир Губкина», сюжеты Губкинского телерадиокомитета</t>
  </si>
  <si>
    <t>Да. Проведение семинара (консультации) с сотрудниками структурных подразделений администрации Белгородского района, администраций городских и сельских поселений по обучению принципам партиципаторного (инициатинвого) бюджетирования.</t>
  </si>
  <si>
    <t>Красильников Алексей Николаевич</t>
  </si>
  <si>
    <t>Горбач Ирина Ивановна</t>
  </si>
  <si>
    <t>(4722) 26-69-72</t>
  </si>
  <si>
    <t>(47241) 2-24-76</t>
  </si>
  <si>
    <t>belrn@bk.ru</t>
  </si>
  <si>
    <t>ufins@mail.ru</t>
  </si>
  <si>
    <t>Леонова Оксана Михайловна</t>
  </si>
  <si>
    <t>(4722) 26-02-58</t>
  </si>
  <si>
    <t>городской округ Нальчик</t>
  </si>
  <si>
    <t>Установка детских игровых (спортивных) площадок на территории муниципального образования городского округа Нальчик</t>
  </si>
  <si>
    <t>Установка детской игровой (спортивной) площадки в сквере Ореховая роща в г.о.Нальчик</t>
  </si>
  <si>
    <t xml:space="preserve">Постановление Местной администрации городского округа Нальчик КБР от 21.01.2019 N 26 (ред. от 04.09.2019) "Об обеспечении правового регулирования реализации подпрограммы "Установка детских игровых (спортивных) площадок на территории муниципального образования городской округ Нальчик" муниципальной программы "Обеспечение доступным и комфортным жильем и коммунальными услугами жителей городского округа Нальчик"
</t>
  </si>
  <si>
    <t>consultantplus://offline/ref=7E7306BE598EE74F78349580DCDBA13892FAB1EB5FB8E14765253C2259088452B4DAD8668079597EBB068C26319C3F893FA0E3819AE1393B8F09042D1AF419u4g0N                 
https://admnalchik.ru/wp-content/uploads/21_01_2019-Postanovlenie-26.pdf</t>
  </si>
  <si>
    <t>Местная админитсрация городского округа Нальчик</t>
  </si>
  <si>
    <t>МКУ "Управление жилищно-коммунального хозяйства и благоустройства - служба заказчика" Местной админитсрации городского округа Нальчик</t>
  </si>
  <si>
    <t>иные</t>
  </si>
  <si>
    <t>https://stavstat.gks.ru/folder/29768?print=1</t>
  </si>
  <si>
    <t>путем записи предпочтений и пожеланий, озвученных жителями микрорайона при очной встрече</t>
  </si>
  <si>
    <t>ПАО "Ростелеком" установлена "Умная опора", оснащенная камерами видеонаблюдения, публичной точкой доступа wi-fi, а также современными светильниками. Архитектурное бюро "Даха" предоставлен дизайн-проект по благоустройству общественной территории</t>
  </si>
  <si>
    <t>https://www.instagram.com/p/B3cU87rIsm6/?igshid=1eywunj46ylh6</t>
  </si>
  <si>
    <t>Апеков Алимбек Дмитриевич</t>
  </si>
  <si>
    <t>(8662) 42-33-97</t>
  </si>
  <si>
    <t>aad80@rambler.ru</t>
  </si>
  <si>
    <t>Махиева Лейла Абдул-Хамитовна, главный специалсит-эксперт ОМБО</t>
  </si>
  <si>
    <t>(8662) 420866 (173)</t>
  </si>
  <si>
    <t>makhieva.l@gmail.com</t>
  </si>
  <si>
    <t>результаты голосования на сайтах, подсчет записей в журналах; рейтинговое голосование, голосование подписчиков газеты, журналы предложений, размещенные в местах массового пребывания граждан</t>
  </si>
  <si>
    <r>
      <rPr>
        <sz val="10"/>
        <rFont val="Times New Roman"/>
        <family val="1"/>
        <charset val="204"/>
      </rPr>
      <t>Постановление Администрации муниципального района Бакалинский район Республики Башкортостан от 30 января 2018 года № 92
«О реализации на территории Бакалинского района Республики Башкортостан муниципальных проектов инициативного бюджетирования «Наше село» в сельских поселениях муниципального района Бакалинский район Республики
Башкортостан».</t>
    </r>
  </si>
  <si>
    <r>
      <rPr>
        <u/>
        <sz val="10"/>
        <color rgb="FF0462C1"/>
        <rFont val="Times New Roman"/>
        <family val="1"/>
        <charset val="204"/>
      </rPr>
      <t>https://bakaly.bashkortostan.ru/documents/active/164587/</t>
    </r>
  </si>
  <si>
    <r>
      <rPr>
        <u/>
        <sz val="10"/>
        <color rgb="FF0462C1"/>
        <rFont val="Times New Roman"/>
        <family val="1"/>
        <charset val="204"/>
      </rPr>
      <t>https://bashstat.gks.ru/folder/25491</t>
    </r>
  </si>
  <si>
    <r>
      <rPr>
        <sz val="10"/>
        <rFont val="Times New Roman"/>
        <family val="1"/>
        <charset val="204"/>
      </rPr>
      <t>Анкетная ведомость и фотофиксация https://clck.ru/MwitH
http://taktagul.ru/page/anketirovanie-naselenija-po-nashe-selo-1</t>
    </r>
  </si>
  <si>
    <r>
      <rPr>
        <sz val="10"/>
        <rFont val="Times New Roman"/>
        <family val="1"/>
        <charset val="204"/>
      </rPr>
      <t>Протоколы собраний и фотофиксация
https://clck.ru/MwjFu https://vk.com/id403355842?w=wall403355842_35%2Fall</t>
    </r>
  </si>
  <si>
    <r>
      <rPr>
        <sz val="10"/>
        <rFont val="Times New Roman"/>
        <family val="1"/>
        <charset val="204"/>
      </rPr>
      <t>Протоколы собраний и фотофиксация https://clck.ru/MwjFu
https://vk.com/id403355842?w=wall403355842_35%2Fall</t>
    </r>
  </si>
  <si>
    <r>
      <rPr>
        <sz val="10"/>
        <rFont val="Times New Roman"/>
        <family val="1"/>
        <charset val="204"/>
      </rPr>
      <t>Протокол заседания конкурсной комиссии
https://bakaly.bashkortostan.ru/documents/active/226483/</t>
    </r>
  </si>
  <si>
    <r>
      <rPr>
        <sz val="10"/>
        <rFont val="Times New Roman"/>
        <family val="1"/>
        <charset val="204"/>
      </rPr>
      <t>Сотрудниками Центра изучения гражданских инициатив ГАНУ «Институт стратегических исследований Республики Башкортостан» ежегодно для представителей муниципальных образований проводятся обучающие
мероприятия</t>
    </r>
  </si>
  <si>
    <r>
      <rPr>
        <sz val="10"/>
        <rFont val="Times New Roman"/>
        <family val="1"/>
        <charset val="204"/>
      </rPr>
      <t>Хасанова Марьям Зульфановна, руководитель муниципального казенного учреждения «Централизованная бухгалтерия администраций сельских
поселений муниципального района Бакалинский район Республики
Башкортостан»</t>
    </r>
  </si>
  <si>
    <r>
      <rPr>
        <u/>
        <sz val="10"/>
        <color rgb="FF0462C1"/>
        <rFont val="Times New Roman"/>
        <family val="1"/>
        <charset val="204"/>
      </rPr>
      <t>cent.buh@mail.ru</t>
    </r>
  </si>
  <si>
    <r>
      <rPr>
        <sz val="10"/>
        <rFont val="Times New Roman"/>
        <family val="1"/>
        <charset val="204"/>
      </rPr>
      <t>Юнусова Лейсян Раисовна, главный специалист-эксперт отдела
реформирования бюджетного процесса Управления бюджетной политики Министерства финансов Республики Башкортостан</t>
    </r>
  </si>
  <si>
    <r>
      <rPr>
        <u/>
        <sz val="10"/>
        <color rgb="FF0462C1"/>
        <rFont val="Times New Roman"/>
        <family val="1"/>
        <charset val="204"/>
      </rPr>
      <t>Yunusova.lr@bashkortostan.ru </t>
    </r>
  </si>
  <si>
    <r>
      <rPr>
        <sz val="10"/>
        <rFont val="Times New Roman"/>
        <family val="1"/>
        <charset val="204"/>
      </rPr>
      <t>Постановление Администрации муниципального района Балтачевский район Республики Башкортостан от 20 марта 2019 года № 371/03 «О реализации на территории муниципального района Балтачевский район Республики
Башкортостан муниципальных проектов инициативного бюджетирования
«Наше село» в сельских поселениях муниципального района Балтачевский район Республики Башкортостан».</t>
    </r>
  </si>
  <si>
    <r>
      <rPr>
        <u/>
        <sz val="10"/>
        <color rgb="FF0462C1"/>
        <rFont val="Times New Roman"/>
        <family val="1"/>
        <charset val="204"/>
      </rPr>
      <t>https://baltachevo.bashkortostan.ru/documents/active/278917/</t>
    </r>
  </si>
  <si>
    <r>
      <rPr>
        <sz val="10"/>
        <rFont val="Times New Roman"/>
        <family val="1"/>
        <charset val="204"/>
      </rPr>
      <t>Размещение информации на официальном сайте сельских поселений
муниципального района, размещение наружной рекламы. http://starojanb-bal.ru/obyavlenie-5/ http://karish.ru/obyavlenie-4/ http://tuchubaevo.ru/page/vnimanie</t>
    </r>
  </si>
  <si>
    <r>
      <rPr>
        <sz val="10"/>
        <rFont val="Times New Roman"/>
        <family val="1"/>
        <charset val="204"/>
      </rPr>
      <t>Мустафина Ирина Фанисовна, бухгалтер муниципального казенного учреждения «Централизованная бухгалтерия сельских поселений
муниципального района Балтачевский район Республики Башкортостан»</t>
    </r>
  </si>
  <si>
    <r>
      <rPr>
        <u/>
        <sz val="10"/>
        <color rgb="FF0462C1"/>
        <rFont val="Times New Roman"/>
        <family val="1"/>
        <charset val="204"/>
      </rPr>
      <t>mkusp@yandex.ru</t>
    </r>
  </si>
  <si>
    <r>
      <rPr>
        <u/>
        <sz val="10"/>
        <color rgb="FF0462C1"/>
        <rFont val="Times New Roman"/>
        <family val="1"/>
        <charset val="204"/>
      </rPr>
      <t>https://buraevo.bashkortostan.ru/documents/active/160764/</t>
    </r>
  </si>
  <si>
    <r>
      <rPr>
        <sz val="10"/>
        <rFont val="Times New Roman"/>
        <family val="1"/>
        <charset val="204"/>
      </rPr>
      <t>Протоколы собраний и фотофиксация
https://vk.com/club154959684?w=wall-154959684_1532%2Fall</t>
    </r>
  </si>
  <si>
    <r>
      <rPr>
        <sz val="10"/>
        <rFont val="Times New Roman"/>
        <family val="1"/>
        <charset val="204"/>
      </rPr>
      <t>Протоколы собраний и фотофиксация https://vk.com/club154959684?w=wall- 154959684_1532%2Fall
https://buraevo.bashkortostan.ru/presscenter/news/190316/</t>
    </r>
  </si>
  <si>
    <r>
      <rPr>
        <sz val="10"/>
        <rFont val="Times New Roman"/>
        <family val="1"/>
        <charset val="204"/>
      </rPr>
      <t>Размещение информации на официальном сайте муниципального района, размещение наружной рекламы
http://spburaevski.ru/2017/02/1435/
https://alga-rb.rbsmi.ru/articles/obshchestvo/big-n-yd-uram-b-yr-me-uzdy/</t>
    </r>
  </si>
  <si>
    <r>
      <rPr>
        <sz val="10"/>
        <rFont val="Times New Roman"/>
        <family val="1"/>
        <charset val="204"/>
      </rPr>
      <t>Садриева Эльвира Анифовна, заместитель начальника финансового управления Администрации муниципального района Бураевский район Республики
Башкортостан</t>
    </r>
  </si>
  <si>
    <r>
      <rPr>
        <u/>
        <sz val="10"/>
        <color rgb="FF0462C1"/>
        <rFont val="Times New Roman"/>
        <family val="1"/>
        <charset val="204"/>
      </rPr>
      <t>bur_rfu@ufamts.ru</t>
    </r>
  </si>
  <si>
    <r>
      <rPr>
        <sz val="10"/>
        <rFont val="Times New Roman"/>
        <family val="1"/>
        <charset val="204"/>
      </rPr>
      <t>Постановление Администрации муниципального района Илишевский район Республики Башкортостан от 10 мая 2018 года № 413
«О реализации на территории муниципального района Илишевский район Республики Башкортостан муниципальных проектов инициативного
бюджетирования «Наше село» в сельских поселениях муниципального района Илишевский район Республики Башкортостан».</t>
    </r>
  </si>
  <si>
    <r>
      <rPr>
        <u/>
        <sz val="10"/>
        <color rgb="FF0000FF"/>
        <rFont val="Times New Roman"/>
        <family val="1"/>
        <charset val="204"/>
      </rPr>
      <t>https://ilesh.bashkortostan.ru/documents/active/226376/</t>
    </r>
  </si>
  <si>
    <r>
      <rPr>
        <sz val="10"/>
        <rFont val="Times New Roman"/>
        <family val="1"/>
        <charset val="204"/>
      </rPr>
      <t>Ахметшина Ильмира Радиковна, главный специалист финансового управления Администрации муниципального района Илишевский район Республики
Башкортостан</t>
    </r>
  </si>
  <si>
    <r>
      <rPr>
        <sz val="10"/>
        <color rgb="FF0000FF"/>
        <rFont val="Times New Roman"/>
        <family val="1"/>
        <charset val="204"/>
      </rPr>
      <t>ilishtfu@ufamts.ru</t>
    </r>
  </si>
  <si>
    <r>
      <rPr>
        <sz val="10"/>
        <rFont val="Times New Roman"/>
        <family val="1"/>
        <charset val="204"/>
      </rPr>
      <t>Постановление Администрации муниципального района Калтасинский район Республики Башкортостан от 9 апреля 2018 года № 365 «О реализации на территории муниципального района Калтасинский район Республики
Башкортостан муниципальных проектов инициативного бюджетирования
«Наше село» в сельских поселениях муниципального района Калтасинский район Республики Башкортостан».</t>
    </r>
  </si>
  <si>
    <r>
      <rPr>
        <u/>
        <sz val="10"/>
        <color rgb="FF0462C1"/>
        <rFont val="Times New Roman"/>
        <family val="1"/>
        <charset val="204"/>
      </rPr>
      <t>https://kaltasin.bashkortostan.ru/documents/active/147977/</t>
    </r>
    <r>
      <rPr>
        <sz val="10"/>
        <color rgb="FF0462C1"/>
        <rFont val="Times New Roman"/>
        <family val="1"/>
        <charset val="204"/>
      </rPr>
      <t xml:space="preserve"> </t>
    </r>
    <r>
      <rPr>
        <u/>
        <sz val="10"/>
        <color rgb="FF0462C1"/>
        <rFont val="Times New Roman"/>
        <family val="1"/>
        <charset val="204"/>
      </rPr>
      <t>https://kaltasin.bashkortostan.ru/upload/uf/595/542.pdf</t>
    </r>
  </si>
  <si>
    <r>
      <rPr>
        <sz val="10"/>
        <rFont val="Times New Roman"/>
        <family val="1"/>
        <charset val="204"/>
      </rPr>
      <t>Протокол заседания конкурсной комиссии
https://kaltasin.bashkortostan.ru/documents/active/233347/</t>
    </r>
  </si>
  <si>
    <r>
      <rPr>
        <sz val="10"/>
        <rFont val="Times New Roman"/>
        <family val="1"/>
        <charset val="204"/>
      </rPr>
      <t>Идрисова Райна Габдлбариевна, заместитель главы администрации по
финансовым вопросам – начальник финансового управления Администрации муниципального района Калтасинский район Республики Башкортостан</t>
    </r>
  </si>
  <si>
    <r>
      <rPr>
        <u/>
        <sz val="10"/>
        <color rgb="FF0462C1"/>
        <rFont val="Times New Roman"/>
        <family val="1"/>
        <charset val="204"/>
      </rPr>
      <t>fu.kaltas@bashkortostan.ru</t>
    </r>
  </si>
  <si>
    <r>
      <rPr>
        <sz val="10"/>
        <color rgb="FF21242C"/>
        <rFont val="Times New Roman"/>
        <family val="1"/>
        <charset val="204"/>
      </rPr>
      <t>Постановление Администрации муниципального района Миякинский район Республики Башкортостан от 5 марта 2018 года № 202 «О реализации на территории муниципального района Миякинский район Республики
Башкортостан муниципальных проектов инициативного бюджетирования
«Наше село» в сельских поселениях муниципального района Миякинский район Республики Башкортостан».</t>
    </r>
  </si>
  <si>
    <r>
      <rPr>
        <u/>
        <sz val="10"/>
        <color rgb="FF0462C1"/>
        <rFont val="Times New Roman"/>
        <family val="1"/>
        <charset val="204"/>
      </rPr>
      <t>https://miyaki.bashkortostan.ru/documents/active/174961/  </t>
    </r>
  </si>
  <si>
    <r>
      <rPr>
        <sz val="10"/>
        <rFont val="Times New Roman"/>
        <family val="1"/>
        <charset val="204"/>
      </rPr>
      <t>Размещение объявлений в районной газете «Октябрь»,
на официальном сайте Администрации муниципального района https://miyaki.bashkortostan.ru/presscenter/news/207884/</t>
    </r>
  </si>
  <si>
    <r>
      <rPr>
        <u/>
        <sz val="10"/>
        <color rgb="FF0462C1"/>
        <rFont val="Times New Roman"/>
        <family val="1"/>
        <charset val="204"/>
      </rPr>
      <t>fu.miaki@bashkortostan.ru
miaki_rfu@ufamts.ru</t>
    </r>
  </si>
  <si>
    <r>
      <t xml:space="preserve">1. Закон Иркутской области от 17.12.2018 № 131-ОЗ «Об областном бюджете на 2019 и на плановый период 2020 и 2021 годов»;
2. Положение о предоставлении и расходовании субсидий из областного бюджета местным бюджетам в целях софинансирования расходных обязательств муниципальных образований Иркутской области на реализацию мероприятий перечня проектов народных инициатив (постановление Правительства Ирктуской области от 14.02.2019 г. № 108-пп);
3. Положение о Комиссии по реализации проектов народных инициатив (постановление Правительства Иркутской области от 16.05.2014 г. № 247-пп);
4.  Комиссия по реализации проектов народных инициатив (распоряжение Правительства Иркутской области от 14.05.2012 г. № 248-рп);
</t>
    </r>
    <r>
      <rPr>
        <sz val="10"/>
        <rFont val="Times New Roman"/>
        <family val="1"/>
        <charset val="204"/>
      </rPr>
      <t>5. Форма соглашения о предоставлении и расходовании  субсидий из областного бюджета местным бюджетам в целях софинансирования расходных обязательств муниципальных образований Иркутской области на реализацию мероприятий перечня проектов народных инициатив (постановление Правительства Иркутской области от 24.09.2018 года № 675-пп).</t>
    </r>
  </si>
  <si>
    <t>Муниципальный район "Малоярославецкий район"</t>
  </si>
  <si>
    <t>Город Калуга</t>
  </si>
  <si>
    <t>Муниципальное образование "Боровский район"</t>
  </si>
  <si>
    <t>Реализация проектов развития общественной инфраструктуры муниципальных образований, основанных на местных инициативах,в рамках муниципальной программы "Совершенствование системы управления финансами муниципального района "Малоярославекий район"</t>
  </si>
  <si>
    <t xml:space="preserve">Конкурсный отбор проектов инициативного бюджетирования в муниципальном образовании  «Город Калуга» в 2019 году </t>
  </si>
  <si>
    <t>Реализация проектов развития общественной инфраструктуры муниципальных образований</t>
  </si>
  <si>
    <t>Постановление №101 от 05.02.2019 года "Об утверждении Положения о порядке предоставления бюджетам муниципальных образований Малоярославецкого района иных межбюджетных трансфертов на реализацию проектов развития общественной инфраструктуры муниципальных образований, основанных на местных инициативах, в рамках муниципальной программы "Совершенствование системы управления финансами муниципального района "Малоярославекий район"</t>
  </si>
  <si>
    <t>Решение Городской Думы города Калуги от 05.12.2018 № 262 «О реализации инициативного бюджетирования в муниципальном образовании «Город Калуга», постановление Городской Управы города Калуги от 26.12.2018 № 458-п «Об утверждении Порядка проведения конкурсного отбора проектов инициативного бюджетирования в муниципальном образовании «Город Калуга», постановление Городской Управы города Калуги от 31.01.2019 № 794-пи «О проведении конкурсного отбора проектов инициативного бюджетирования в муниципальном образовании «Город Калуга» в 2019 году», постановление Городской Управы города Калуги от 26.02.2019 № 1161-пи «Об утверждении порядка взаимодействия между органами Городской Управы города Калуги при реализации проектов инициативного бюджетирования в муниципальном образовании «Город Калуга»</t>
  </si>
  <si>
    <t>Постановление от 29.05.2017 года № 607 "Об утверждении Положения о порядке предоставления бюджетам муниципальных образований Боровского района иных межбюджетных трансфертов на реализацию проектов развития общественной униципальных образований, основанных на местных инициативах, в рамках муниципальной программы «Совершенствование системы муниципального управления муниципального образования муниципального района «Боровский район»</t>
  </si>
  <si>
    <t>http://maloyar.ru/wp-content/uploads/2020/03/Постановление-от-5-02-2019-N101.pdf</t>
  </si>
  <si>
    <t>https://www.kaluga-gov.ru/?q=%D0%B8%D0%BD%D1%84%D0%BE%D1%80%D0%BC%D0%B0%D1%86%D0%B8%D1%8F-%D0%BE%D1%82-%D0%BF%D0%BE%D0%B4%D1%80%D0%B0%D0%B7%D0%B4%D0%B5%D0%BB%D0%B5%D0%BD%D0%B8%D1%8F/%D1%80%D0%B5%D1%88%D0%B5%D0%BD%D0%B8%D0%B5-%D0%B3%D0%BE%D1%80%D0%BE%D0%B4%D1%81%D0%BA%D0%BE%D0%B9-%D0%B4%D1%83%D0%BC%D1%8B-%D0%B3%D0%BE%D1%80%D0%BE%D0%B4%D0%B0-%D0%BA%D0%B0%D0%BB%D1%83%D0%B3%D0%B8-%D0%BE%D1%82-05122018-%E2%84%96-262-%D0%BE-%D1%80%D0%B5%D0%B0%D0%BB%D0%B8%D0%B7%D0%B0%D1%86%D0%B8%D0%B8https://www.kaluga-gov.ru/?q=%D0%B8%D0%BD%D1%84%D0%BE%D1%80%D0%BC%D0%B0%D1%86%D0%B8%D1%8F-%D0%BE%D1%82-%D0%BF%D0%BE%D0%B4%D1%80%D0%B0%D0%B7%D0%B4%D0%B5%D0%BB%D0%B5%D0%BD%D0%B8%D1%8F/%D1%80%D0%B5%D1%88%D0%B5%D0%BD%D0%B8%D0%B5-%D0%B3%D0%BE%D1%80%D0%BE%D0%B4%D1%81%D0%BA%D0%BE%D0%B9-%D0%B4%D1%83%D0%BC%D1%8B-%D0%B3%D0%BE%D1%80%D0%BE%D0%B4%D0%B0-%D0%BA%D0%B0%D0%BB%D1%83%D0%B3%D0%B8-%D0%BE%D1%82-05122018-%E2%84%96-262-%D0%BE-%D1%80%D0%B5%D0%B0%D0%BB%D0%B8%D0%B7%D0%B0%D1%86%D0%B8%D0%B8                                                  https://www.kaluga-gov.ru/?q=%D0%B8%D0%BD%D1%84%D0%BE%D1%80%D0%BC%D0%B0%D1%86%D0%B8%D1%8F-%D0%BE%D1%82-%D0%BF%D0%BE%D0%B4%D1%80%D0%B0%D0%B7%D0%B4%D0%B5%D0%BB%D0%B5%D0%BD%D0%B8%D1%8F/%D1%80%D0%B5%D1%88%D0%B5%D0%BD%D0%B8%D0%B5-%D0%B3%D0%BE%D1%80%D0%BE%D0%B4%D1%81%D0%BA%D0%BE%D0%B9-%D1%83%D0%BF%D1%80%D0%B0%D0%B2%D1%8B-%D0%B3%D0%BE%D1%80%D0%BE%D0%B4%D0%B0-%D0%BA%D0%B0%D0%BB%D1%83%D0%B3%D0%B8-%D0%BE%D1%82-26122018-%E2%84%96-458-%D0%BF-%D0%BE%D0%B1    https://www.kaluga-gov.ru/?q=%D0%B8%D0%BD%D1%84%D0%BE%D1%80%D0%BC%D0%B0%D1%86%D0%B8%D1%8F-%D0%BE%D1%82-%D0%BF%D0%BE%D0%B4%D1%80%D0%B0%D0%B7%D0%B4%D0%B5%D0%BB%D0%B5%D0%BD%D0%B8%D1%8F/%D0%BF%D0%BE%D1%81%D1%82%D0%B0%D0%BD%D0%BE%D0%B2%D0%BB%D0%B5%D0%BD%D0%B8%D0%B5-%D0%B3%D0%BE%D1%80%D0%BE%D0%B4%D1%81%D0%BA%D0%BE%D0%B9-%D1%83%D0%BF%D1%80%D0%B0%D0%B2%D1%8B-%D0%B3%D0%BE%D1%80%D0%BE%D0%B4%D0%B0-%D0%BA%D0%B0%D0%BB%D1%83%D0%B3%D0%B8-%D0%BE%D1%82-31012019-%E2%84%96-794-%D0%BF-%D0%BE</t>
  </si>
  <si>
    <t>http://www.borovskr.ru/documenty/normacty/?ELEMENT_ID=10576&amp;sphrase_id=7765</t>
  </si>
  <si>
    <t>Малоярославецкая районная администрация муниципального района "Малоярославецкий район"</t>
  </si>
  <si>
    <t>Городская Управа города Калуги</t>
  </si>
  <si>
    <t>Администрация муниципального образования</t>
  </si>
  <si>
    <t>Управление городского хозяйства города Калуги; управление по работе с населением на территориях</t>
  </si>
  <si>
    <t>Администрация муниципального образования муниципального района "Боровский район"</t>
  </si>
  <si>
    <t>Субсидия; иные</t>
  </si>
  <si>
    <t>ГП "Город Малоярославец", СП "Поселок Детчино", СП "Деревня Березовка", СП "Деревня Воробьево", СП "Село Недельное",СП "Село Кудиново",  СП "Село Спас-Загорье", СП "Деревня Шумятино"</t>
  </si>
  <si>
    <t>Муниципальное бюджетное учреждение «Калугаблагоустройство»; управление по работе с населением на территориях</t>
  </si>
  <si>
    <t>Администрация муниципального образования сельского поселения деревня Асеньевское, Администрация муниципального образования сельского поселения деревня Кривское,Администрация муниципального образования сельского поселения деревня Совьяки,Администрация муниципального образования сельского поселения село Совхоз "Боровский",Администрация муниципального образования городского поселения город Боровск,Администрация муниципального образования городского поселения город Ермолино,Администрация муниципального образования городского поселения город Балабаново</t>
  </si>
  <si>
    <t>0.46%</t>
  </si>
  <si>
    <t>Общее количество благополучателей всех проектов ИБ</t>
  </si>
  <si>
    <t>численность благополучателей складывается их тех, кто непосредственно или косвенно получит пользу от реализации проекта</t>
  </si>
  <si>
    <t>Количество детей и молодежи, проживающих в населенных пунктах.Количество жителей, использующих результаты от реализации проектов ИБ.</t>
  </si>
  <si>
    <t>http://kalugastat.old.gks.ru/wps/wcm/connect/rosstat_ts/kalugastat/ru/statistics/population/</t>
  </si>
  <si>
    <t>https://admoblkaluga.ru/sub/minsocial/soczash/semia/dem_atlas/chislennost-naseleni.php</t>
  </si>
  <si>
    <t xml:space="preserve">подсчет </t>
  </si>
  <si>
    <t>Оформляется протокол собрания граждан или протокол заседания Совета ТОС</t>
  </si>
  <si>
    <t>регистрация граждан в ведомости, являющейся приложением к протоколу собрания граждан</t>
  </si>
  <si>
    <t>Информационные доски, объявления в СМИ</t>
  </si>
  <si>
    <t>ведомость участников собраний, приложенная к протоколу</t>
  </si>
  <si>
    <t>работы по уборке территории, опиловка деревьев и кустарников, демонтаж старого обррудования, предоставление техники, автомобилей.</t>
  </si>
  <si>
    <t>трудовое участие населения (субботники)</t>
  </si>
  <si>
    <t>Индивидуальные предприниматели выделяют материалы для работы (краску, пиломатериал, оборудование). Население принимает участие в субботниках по подготовке и уборке территорий.</t>
  </si>
  <si>
    <t>http://admmaloyaroslavec.ru/ru/programma-podderzhki-mestnyh-iniciativ, http://berezovka-adm.ru/programma-podderzhki-mestnyh-iniciativ.html, http://admdetchino.ru/category/ppmi/, http://selokudinovo.ru/programma-podderzhki-mestnyh-iniciativ.html, http://shumyatino.ru/obsuzhdenie-proekta-blagoustroystva-obschestvennoy-infrastruktury-sp-derevnya-shumyatino-osnovannyh-na-mestnyh-iniciativah.html</t>
  </si>
  <si>
    <t>https://www.kaluga-gov.ru/?q=%D0%B8%D0%BD%D0%B8%D1%86%D0%B8%D0%B0%D1%82%D0%B8%D0%B2%D0%BD%D0%BE%D0%B5-%D0%B1%D1%8E%D0%B4%D0%B6%D0%B5%D1%82%D0%B8%D1%80%D0%BE%D0%B2%D0%B0%D0%BD%D0%B8%D0%B5_442365699</t>
  </si>
  <si>
    <t>https://vk.com/tos.kaluga</t>
  </si>
  <si>
    <t>размещение информационного материала на стендах зданий администраций, магазинах, ФАПАХ, почтовых отделений.</t>
  </si>
  <si>
    <t>официальный сайт Городской Управы города Калуги, социальные сети, газета «Калужская неделя» https://www.kaluga-gov.ru/?q=%D0%B8%D0%BD%D0%B8%D1%86%D0%B8%D0%B0%D1%82%D0%B8%D0%B2%D0%BD%D0%BE%D0%B5-%D0%B1%D1%8E%D0%B4%D0%B6%D0%B5%D1%82%D0%B8%D1%80%D0%BE%D0%B2%D0%B0%D0%BD%D0%B8%D0%B5_442365699</t>
  </si>
  <si>
    <t>объявления в СМИ</t>
  </si>
  <si>
    <t>Буклеты      https://www.kaluga-gov.ru/?q=%D1%81%D1%82%D0%B0%D1%82%D1%8C%D1%8F/%D0%BF%D1%80%D0%B8%D0%B5%D0%BC-%D0%BF%D1%80%D0%BE%D0%B5%D0%BA%D1%82%D0%BE%D0%B2-%D0%B8%D0%BD%D0%B8%D1%86%D0%B8%D0%B0%D1%82%D0%B8%D0%B2%D0%BD%D0%BE%D0%B3%D0%BE-%D0%B1%D1%8E%D0%B4%D0%B6%D0%B5%D1%82%D0%B8%D1%80%D0%BE%D0%B2%D0%B0%D0%BD%D0%B8%D1%8F-%D0%BF%D1%80%D0%BE%D0%B4%D0%BE%D0%BB%D0%B6%D0%B0%D0%B5%D1%82%D1%81%D1%8F_535892050            https://www.kaluga-gov.ru/?q=%D1%81%D1%82%D0%B0%D1%82%D1%8C%D1%8F/%D0%BF%D1%80%D0%B8%D0%B5%D0%BC-%D0%B4%D0%BE%D0%BA%D1%83%D0%BC%D0%B5%D0%BD%D1%82%D0%BE%D0%B2-%D0%BF%D1%80%D0%BE%D0%B4%D0%BE%D0%BB%D0%B6%D0%B0%D0%B5%D1%82%D1%81%D1%8F_1233561331      https://www.kaluga-gov.ru/?q=%D1%81%D1%82%D0%B0%D1%82%D1%8C%D1%8F/%D0%B8%D0%BD%D0%B8%D1%86%D0%B8%D0%B0%D1%82%D0%B8%D0%B2%D0%BD%D0%BE%D0%BC%D1%83-%D0%B1%D1%8E%D0%B4%D0%B6%D0%B5%D1%82%D0%B8%D1%80%D0%BE%D0%B2%D0%B0%D0%BD%D0%B8%D1%8E-%D0%B1%D1%8B%D1%82%D1%8C_1282191637</t>
  </si>
  <si>
    <t>Заседание Совета по территориальному общественному самоуправлению при Городской Управе города Калуги. Участники: председатели и активисты ТОС, сотрудники профильных управлений Городской Управы города Калуги</t>
  </si>
  <si>
    <t>Заведующий финансовым отделом Лысцева Оксана Александровна</t>
  </si>
  <si>
    <t>Грибанская Инга Анатольевна, начальник управления по работе с населением</t>
  </si>
  <si>
    <t>Сапоцкая Нина Николаевна</t>
  </si>
  <si>
    <t>(848431)2-14-28</t>
  </si>
  <si>
    <t>+7 (4842) 70-11-55</t>
  </si>
  <si>
    <t>(48438)4-33-56</t>
  </si>
  <si>
    <t>fomaloyar@adm.kaluga.ru</t>
  </si>
  <si>
    <t>yudina_sa@kaluga-gov.ru</t>
  </si>
  <si>
    <t>foborovsk@adm.kaluga.ru</t>
  </si>
  <si>
    <t>Иванова Екатерина Евгеньевна, заместитель Городского Головы — начальник управления финансов города Калуги</t>
  </si>
  <si>
    <t>Горячева Анна Владимировна</t>
  </si>
  <si>
    <t>+7 (4842) 70-11-99</t>
  </si>
  <si>
    <t>(48438)4-19-44</t>
  </si>
  <si>
    <t>ivanova_ee@kaluga-gov.ru</t>
  </si>
  <si>
    <t>Тип практики: ИБ, смежная</t>
  </si>
  <si>
    <t>Вид смежной практики</t>
  </si>
  <si>
    <t>Источник финансирования: фед,суб,мун</t>
  </si>
  <si>
    <t>Типология проектов: широкая - вопросы местного значения (ВМЗ); узкая (2-3 вида проектов); специализированная - (1 тип проектов)</t>
  </si>
  <si>
    <t>Типология охвата: охват 100%; сельские поселения, все МО без ГО, пилотная территория, МО 1000+</t>
  </si>
  <si>
    <t>СУБ</t>
  </si>
  <si>
    <t>МУН</t>
  </si>
  <si>
    <t>Фед.округ</t>
  </si>
  <si>
    <t>Новороссийск</t>
  </si>
  <si>
    <t>Постановление администрации муниципального образования город Новороссийск №2555 от 07 июня 2019 г. "Об утверждении Порядка применения инициативного бюджетирования в муницпальном образовании город Новороссийск"
Постановление администрации муниципального образования город Новороссийск от 30.12.2016г. N 11003 "Об утверждении муниципальной программы муниципального образования город Новороссийск "Комплексное развитие городского хозяйства на территории муниципального образования город Новороссийск" на 2017 - 2019 годы" (в действующей редакции)
Постановление администрации муниципального образования город Новороссийск от 23.11.2016г. N 9630 "Об утверждении муниципальной программы "Развитие отрасли "Культура" в городе Новороссийске на 2017 - 2019 годы" (в действующей редакции)</t>
  </si>
  <si>
    <t>"От идей к решению"</t>
  </si>
  <si>
    <t>Постановление администрации муниципального образования город Новороссийск №2555 от 07 июня 2019 г. "Об утверждении Порядка применения инициативного бюджетирования в муницпальном образовании город Новороссийск"</t>
  </si>
  <si>
    <t xml:space="preserve">https://admnvrsk.ru/dokumenty/dokumenty-administratsii/normativnye-pravovye-akty/postanovlenija/document-20190620114643-159789/?sphrase_id=10454 </t>
  </si>
  <si>
    <t>Администрация муниципального образования город Новороссийск</t>
  </si>
  <si>
    <t>Управление культуры, МКУ "Управление жилищно-коммунального хозяйства"</t>
  </si>
  <si>
    <t>количество благополучателей проектов ИБ / общее количество граждан, проживающих в МО в 2018 году * 100%.</t>
  </si>
  <si>
    <t>Лист регистрации участников собрания</t>
  </si>
  <si>
    <t>Уборка и расчистка территории, вывоз мусора, передача собственных книг в "Культурный троллейбус", канцелярские товары, карандаши, альбомы, краски несли все в "Сказочный троллейбус". Жители сами укладывают «давальческий» бетон, для чего приобретают дерево и арматуру за свой счет, а также затрачивая силы на работы.</t>
  </si>
  <si>
    <t>https://admnvrsk.ru/initsiativnoe-byudzhetirovanie/</t>
  </si>
  <si>
    <t>На официальной странице главы МО г. Новороссийск в Instagram https://www.instagram.com/tv/B8eZqJzoprs/?igshid=1hpi1obwouks5
На официальной странице финансового управления МО г. Новороссийск в Instagram 
https://www.instagram.com/tv/B-B1zIyJ4hW/?igshid=11ku2jywdzjzu
Также ролики выходили в эфире телеканала "Новороссийское телевидение"</t>
  </si>
  <si>
    <t>Видеоролики</t>
  </si>
  <si>
    <t>Обучающий семинар</t>
  </si>
  <si>
    <t>Управление культуры (Матвейчук Вячеслав Васильевич, Ивунина Светлана Геннадьевна), 
МКУ "Управление жилищно-коммунального хозяйства" (Джавадова Евгения Николаевна, Дроганова Наталья Викторовна)</t>
  </si>
  <si>
    <t>Управление культуры (8 (8617) 61-31-06, 8 (8617) 61-00-21), 
МКУ "Управление жилищно-коммунального хозяйства" (8 (8617) 61-00-14, 8 (8617) 77-99-48)</t>
  </si>
  <si>
    <t>Управление культуры (kultura@mo-novorossiysk.ru), 
МКУ "Управление жилищно-коммунального хозяйства" (genzak@mail.ru)</t>
  </si>
  <si>
    <t>город Красноярск</t>
  </si>
  <si>
    <t>Инициативное бюджетирование в городе Красноярске</t>
  </si>
  <si>
    <t xml:space="preserve">Реализация проектов ИБ в 2019 году осуществлялась на основе следующих нормативно-правовых актов:
 - постановление администрации г. Красноярска от 25.05.2018 № 357 "Об инициативном бюджетировании в городе Красноярске". Документ отражает порядок реализации ИБ в городе, в том числе порядок проведения конкурсного отбора проектов, порядок организации и проведения общественного обсуждения в форме рейтингового голосования по проектам ИБ. Согласно порядку, проекты отбираются конкурсной комиссией на 2 года и на стадии предварительного отбора проходят этап общественных обсуждений в форме рейтингового голосования среди жителей.
 - распоряжение администрации г. Красноярска от 01.11.2017 № 313-р "О создании межведомственной консультативной комиссии по вопросам реализации инициативного бюджетирования в городе Красноярске". Документ утверждает  состав и положение о вышеуказанной комиссии. Комиссия оказывает консультативную помощь инициативным группам по вопросам формирования проектов ИБ и дальнейшей их реализации.
 - распоряжение администрации г. Красноярска от 28.05.2018 № 206-р "О проведении конкурсного отбора проектов инициативного бюджетирования в городе Красноярске, реализация которых будет осуществляться в 2019–2020 годах". Распоряжением устанавливаются: дата конкурсного отбора, объем финансирования, состав конкурсной комиссии, форма подаваемой для участия в конкурсе документации от инициативных групп, критерии оценки проектов ИБ.- распоряжение администрации г. Красноярска от 20.08.2018 № 308-р
"О проведении общественного обсуждения в форме рейтингового голосования по проектам инициативного бюджетирования в городе Красноярске в 2018 году". Документом определяются даты и место для проведения голосования.
  - постановление администрации г. Красноярска от 01.11.2017 № 718
"Об утверждении муниципальной программы "Повышение эффективности деятельности городского самоуправления по формированию современной городской среды" на 2018 - 2024 годы". Расходы на реализацию проектов ИБ включены в данную муниципальную программу, являются программными расходами;     </t>
  </si>
  <si>
    <t>Справочная правовая система "КонсультантПлюс":
http://www.consultant.ru/</t>
  </si>
  <si>
    <t>Департамент финансов администрации города Красноярска</t>
  </si>
  <si>
    <t>Администрации районов в городе Красноярске</t>
  </si>
  <si>
    <t>Бюджетные ассигнования на закупку товаров, работ, услуг для обеспечения государственных (муниципальных) нужд</t>
  </si>
  <si>
    <t>Поставщики (подрядчики, исполнители) по муниципальным контрактам, определенные в порядке, предусмотренном
Федеральным законом от 05.04.2013 № 44-ФЗ "О контрактной системе в сфере закупок товаров, работ, услуг для обеспечения государственных и муниципальных нужд"</t>
  </si>
  <si>
    <t>Предварительное обсуждение жителями идей и предложений на собраниях. 
Затем инициативные группы, образованные из физических лиц, индивидуальных предпринимателей, юридических лиц, направляют свои предложения в администрации районов в городе Красноярске</t>
  </si>
  <si>
    <t>Представители инициативных групп осуществляли подомовой обход с целью сбора подписных листов в поддержку проекта ИБ</t>
  </si>
  <si>
    <t xml:space="preserve">Отбор проектов ИБ конкурсной комиссией проходил в 2 этапа:
1 этап - принятие решения конкурсной комиссией о допуске (об отказе в допуске) заявок инициативных групп для участия в конкурсном отборе;
2 этап - конкурсный отбор проектов ИБ:
а) проведение общественного обсуждения в форме рейтингового голосования жителей города по проектам ИБ в целях определения востребованности проектов ИБ, допущенных к конкурсному отбору;
б) очная презентация проектов ИБ конкурсной комиссии представителем инициативной группы;
в) оценка проектов ИБ конкурсной комиссией в соответствии с критериями оценки проектов ИБ по балльной системе. 
Формирование конкурсной комиссией рейтинга (перечня) проектов ИБ путем присвоения порядкового номера. 
Отбор проектов ИБ, занявших первое и последующие в порядке убывания места в рейтинге, общая сумма стоимости реализации которых за счет средств бюджета города не превышает объем средств бюджета города, предусмотренный распоряжением администрации г. Красноярска от 28.05.2018 № 206-р "О проведении конкурсного отбора проектов инициативного бюджетирования в городе Красноярске, реализация которых будет осуществляться в 2019–2020 годах" 
</t>
  </si>
  <si>
    <t>Трудовое участие: уборка территории, дополнительная посадка деревьев и цветов, организация праздников на объектах и др.</t>
  </si>
  <si>
    <t>http://budget.admkrsk.ru/budgeting/Pages/memo.aspx</t>
  </si>
  <si>
    <t xml:space="preserve">https://www.facebook.com/krskfin/ 
https://www.instagram.com/krskfin/
</t>
  </si>
  <si>
    <t>С целью информирования были использованы следующие механизмы:
- публикации в газете города "Городские новости";
- публикации на сайте администрации города Красноярска, страницах социальных сетей департамента финансов администрации города Красноярска Facebook и Instagram;
- размещение баннеров с логотипом изображения названия практики на объектах (мероприятиях) проектов ИБ</t>
  </si>
  <si>
    <t>Департаментом финансов администрации города Красноярска была подготовлена памятка "Как инициативной группе из Красноярска реализовать свою идею через проекты инициативного бюджетирования". 
Она отражала этапы реализации проектов ИБ в городе и была размещена на сайте Открытый бюджет города Красноярска в разделе Инициативное бюджетирование/ Памятка для населения (http://budget.admkrsk.ru/budgeting/Pages/memo.aspx)</t>
  </si>
  <si>
    <t>Заседания межведомственной консультативной комиссии по вопросам реализации инициативного бюджетирования в городе Красноярске.
Рабочие встречи с представителями администраций районов в городе Красноярске по вопросам проведения предварительного отбора предложений, а также реализации проектов ИБ на территории районов</t>
  </si>
  <si>
    <t>Бугаева Виктория Вениаминовна</t>
  </si>
  <si>
    <t xml:space="preserve">8 (391) 226-10-34 </t>
  </si>
  <si>
    <t>fin@admkrsk.ru</t>
  </si>
  <si>
    <t>Ленинский муниципальный район Московской области</t>
  </si>
  <si>
    <t>Внедрение практики инициативного бюджетирования на территории Ленинского муниципального района Московской области</t>
  </si>
  <si>
    <t>Решение Совета депутатов Ленинского муниципального района от 21.03.2018 №2/10 «Об утверждении Порядка реализации мероприятий по внедрению практики инициативного бюджетирования на территории Ленинского муниципального района Московской области»; Постановление администрации Ленинского муниципального района от 10.04.2018 №1073 «О внедрении практики и реализации проектов инициативного бюджетирования на территории Ленинского муниципального района Московской области»; Постановление администрации Ленинского муниципального района от 02.07.2018 №1955 «О создании Муниципальной конкурсной комиссии по проведению конкурсного отбора проектов инициативного бюджетирования»</t>
  </si>
  <si>
    <t>http://www.adm-vidnoe.ru/blog/2018-04-10-3757
http://www.adm-vidnoe.ru/blog/2018-04-12-3772
http://www.adm-vidnoe.ru/blog/2018-07-03-4062
http://www.adm-vidnoe.ru/blog/1-0-50</t>
  </si>
  <si>
    <t>Финансовое управление администрации Ленинского муниципального района</t>
  </si>
  <si>
    <t>Администрация Ленинского муниципального района</t>
  </si>
  <si>
    <t>Иные субсидии</t>
  </si>
  <si>
    <t>МБУ "Дорсервис"</t>
  </si>
  <si>
    <t>Протокол собрания, фотофиксация</t>
  </si>
  <si>
    <t>Протокол заседания комиссии.
Конкурсная комиссия рассматривает поданные заявки и проводит оценку проектов по установленным критериям с учетом весовых коэффициентов критериев и приоритетности критериев. В результате определяется суммарный балл. Оценка проводится по следующим критериям:
1. Ориентированность проекта на поддержку молодежи и инвалидов;
2. Доля благополучателей в общей численности населения населенного пункта, на территории которого реализуется проект;
3. Наличие ресурсов, в т.ч. для дальнейшего содержания и эксплуатации;
4. Уровень софинансирования из внебюджетных источников;
5. Вклад в реализацию проекта в неденежной форме;
6. Уровень софинансирования из средств местного бюджета</t>
  </si>
  <si>
    <t>http://www.adm-vidnoe.ru/index/0-500</t>
  </si>
  <si>
    <t>Газета "Видновские вести" №54 от 02.08.2019</t>
  </si>
  <si>
    <t>Хованюк Нина Васильевна, заместитель начальника Финансового управления</t>
  </si>
  <si>
    <t>8(495)541-68-77</t>
  </si>
  <si>
    <t>budget@fin-vidnoe.ru</t>
  </si>
  <si>
    <t>Гранты в форме субсидий некоммерческим организациям на разработку и выполнение общественно полезных проектов на территории города Омска</t>
  </si>
  <si>
    <t>Департамент общественных отношений и социальной политики Администрации города Омска</t>
  </si>
  <si>
    <t>Гранты в форме субсидии</t>
  </si>
  <si>
    <t>Социально ориентированные некоммерческие организации города Омска</t>
  </si>
  <si>
    <t>Официальный сайт Администрации города Омска
http://www.admomsk.ru/web/guest/government/divisions/62/social-relations/org</t>
  </si>
  <si>
    <t>Информационно-методические семинары для СО НКО</t>
  </si>
  <si>
    <t>78-77-63</t>
  </si>
  <si>
    <t>evn_adm@mail.ru</t>
  </si>
  <si>
    <t>Красногвардейский район</t>
  </si>
  <si>
    <t>Курманаевский район</t>
  </si>
  <si>
    <t>Новоорский район</t>
  </si>
  <si>
    <t>Оренбургский район</t>
  </si>
  <si>
    <t>Пономаревский район</t>
  </si>
  <si>
    <t>Светлинский район</t>
  </si>
  <si>
    <t>Тоцкий район</t>
  </si>
  <si>
    <t>город Бузулук</t>
  </si>
  <si>
    <t>Сорочинский городской округ</t>
  </si>
  <si>
    <t>Муниципальное образование Ясненский городской округ Оренбургской области</t>
  </si>
  <si>
    <t>МО Акбулакский район</t>
  </si>
  <si>
    <t>Асекеевкий район</t>
  </si>
  <si>
    <t>Бузулукский район</t>
  </si>
  <si>
    <t>Грачевский район</t>
  </si>
  <si>
    <t>Народный бюджет</t>
  </si>
  <si>
    <t>Проведение конкурса на предоставление грантов в форме дотации на реализацию проекта "Народный бюджет" на территории мо Курманаевский район"</t>
  </si>
  <si>
    <t xml:space="preserve">О реализации на территории Новоорского района Оренбургской области
проектов Народный бюджет, основанных на местных инициативах
</t>
  </si>
  <si>
    <t xml:space="preserve">отбор проектов «Народный бюджет» на территории муниципального образования Оренбургский район  </t>
  </si>
  <si>
    <t xml:space="preserve">Реализация на территории Пономаревского района проектов развития сельских поселений района, основанных на местных инициативах
</t>
  </si>
  <si>
    <t xml:space="preserve">Постановление от 14.09.2016 № 581-п "Об утверждении Положения о проекте «Народный бюджет» в муниципальном образовании Красногвардейский район Оренбургской области", Постановление от 30.01.2017 № 85-п "О реализации на территории муниципального образования </t>
  </si>
  <si>
    <t>постановление Администрации Курманаевского района от 06.12.2016 № 902-п "Об утверждении Положения о порядке проведения конкурса на предоставление грантов в форме дотации на реализацию проекта "Народный бюджет" на территории мо Курманаевский район", распоряжение Администрации Курманаевского района от 11.05.2017 №162-р "О создании конкурсной комиссии по рассмотрению и оценке проектов, представленных на конкурс по предоставлению грантов в форме дотации на реализацию проекта "Народный бюджет" на территории МО Курманаевский район", постановление Администрации Курманаевского района от 08.05.2018 № 248-п "О внесении изменений в постановление от 06.12.2016 № 902-п ",постановление Администрации Курманаевского района от 27.06.2018 № 363-п "Об определении размера общего фонда грантов на реализацию проекта "народный бюджет" на территории МО Курманаевский район в 2018 году", постановление Администрации Курманаевского района от 28.06.2019 № 371-п "Об определении размера общего фонда грантов на реализацию проекта "Народный бюджет на территории МО Курманаевский район в 2019 году".</t>
  </si>
  <si>
    <t>Постановление администрации муниципального образования Новоорский район Оренбургской области №578-П от 10.06.2019 ( с изм от 27.02.2020 №196-П, от 24.03.2020 №290-П)</t>
  </si>
  <si>
    <t xml:space="preserve">постановление администрации МО Оренбургский район от 23.07.2018 № 1554-п "О конкурсном отборе проектов «Народный бюджет» на территории муниципального образования Оренбургский район",  постановление администрации МО  Оренбургский район от 05.08.2019 № 1662-п "О внесении изменений в и постановление администрации МО Оренбургский район от 23.07.2018 № 1554-п "О конкурсном отборе проектов «Народный бюджет» на территории муниципального образования Оренбургский район".
</t>
  </si>
  <si>
    <t xml:space="preserve">Решение Совета депутатов № 92 от 26.04.2017 года  «О реализации на территории Пономаревского района проектов развития сельских поселений района, основанных на местных инициативах»
Постановление администрации № 460-п от 24.08.2017 года «Об утверждении методики балльной оценки значения критериев конкурсного отбора проектов развития сельских поселений Пономаревского района , основанных на местных инициативах»
</t>
  </si>
  <si>
    <t>Постановление администрации МО Коскульский сельсовет от 27.07.2018 № 19-п; Постановление администрации МО Коскульский сельсовет от 27.07.2018 № 20-п</t>
  </si>
  <si>
    <t>Постановление администрации Тоцкого района Оренбургской области от 20.03.2017 г. № 237-П "Об утверждении положения о проекте "Народный бюджет" в Тоцком районе Оренбургской области"</t>
  </si>
  <si>
    <t>Постановление администрации города Бузулука от 18.04.2016 № 869-п «Об утверждении Положения о проекте «Народный бюджет» в городе Бузулуке» (ред. 20.08.2019 № 1253-п)</t>
  </si>
  <si>
    <t xml:space="preserve">Постановление администрации Сорочинского городского округа Оренбургской областиот 18.04.2016 № 554-п "Об утверждении положения о проекте "Народный бюджет" в муниципальном образовании Сорочинский городской округ Оренбургской области" (с изм. От 27.10.2017 № 1839-п, от 16.10.2018 № 1647-п) </t>
  </si>
  <si>
    <t>Постановление администрации от 25.01.2019 года №86-п «Об утверждении Положения о проекте «Народный бюджет»</t>
  </si>
  <si>
    <t>Постановление администрации МО Акбулакский район от 06.04.2017г.№ 316-п "Об утверждении положения о проекте "Народный бюджет"в МО Акбулакский район</t>
  </si>
  <si>
    <t>Постановление администрации Асекеевского района от 16.03.2016 №104-п "Об утверждении положения о проекте «Народный бюджет»"</t>
  </si>
  <si>
    <t xml:space="preserve">Постановление администрации Бузулукского района от  19.06.2017г №930-п «О реализации на территории муниципального образования Бузулукский район проекта «Народный бюджет»» (с изменениями от 30.03.2018г №384, от 17.02.2020г №104-п). 
Приказ финансового отдела  от 19.06.2017г №22 «Об отдельных вопросах реализации проектов развития сельпоссоветов муниципального образования Бузулукский район, основанных на местных инициативах»
</t>
  </si>
  <si>
    <t>Постановление администрации МО Грачевский район от 08.02.2017 № 71-п</t>
  </si>
  <si>
    <t>http://mo-ko.orb.ru/simplepage/1595</t>
  </si>
  <si>
    <t>http://kurfin.ru/народный-бюджет/народный-бюджет-нпа/</t>
  </si>
  <si>
    <t>http://finotdnovoorsk.ru/postanovlenie-o-narodnom-byudzhete</t>
  </si>
  <si>
    <t>http://fin-or.ru/ckfinder/userfiles/files/PostNarBUD.pdf</t>
  </si>
  <si>
    <t>http://m.orb.ru/document/94/6/e/6ec5d89468a46327873df8d7b94fdaa3.zip</t>
  </si>
  <si>
    <t>http://fintotsk.ru/file/download/224</t>
  </si>
  <si>
    <t>http://бузулук.рф/sites/default/files/files/2016/1510/20.08.2019_no1253-p.docx</t>
  </si>
  <si>
    <t>http://www.sorochinsk56.ru/index.php?id=1041</t>
  </si>
  <si>
    <t>Источник: https://xn----ftbqpin5e3a.xn--p1ai/dir/64-1-0-2426</t>
  </si>
  <si>
    <t>https://yadi.sk/i/fwJ-40gj3NnnN5</t>
  </si>
  <si>
    <t>Финансовый отдел администрации муниципального образования Красногвардейский район Оренбургской области</t>
  </si>
  <si>
    <t>Финансовый отдел администрации Курманаевского района</t>
  </si>
  <si>
    <t>финансовый отдел администрации Новоорского района</t>
  </si>
  <si>
    <t>Финансовое управление администрации МО Оренбургский район</t>
  </si>
  <si>
    <t xml:space="preserve">Финансовый отдел администрации Пономаревского района </t>
  </si>
  <si>
    <t>Администрация муниципального образования Коскульский сельсовет Светлинского района Оренбургской области</t>
  </si>
  <si>
    <t>Финансовый отдел администрации Тоцкого района Оренбургской области</t>
  </si>
  <si>
    <t>Финансовое управление администрации города Бузулука</t>
  </si>
  <si>
    <t>Управление финансов администрации Сорочинского городского округа Оренбургской области</t>
  </si>
  <si>
    <t>Администрация муниципального образования Ясненский городской округ Оренбургской области</t>
  </si>
  <si>
    <t>Финансовый отдел администрации Акбулакского района</t>
  </si>
  <si>
    <t>Финансовый отдел администрации МО "Асекеевский район"</t>
  </si>
  <si>
    <t>Финансовый отдел администрации Бузулукского района</t>
  </si>
  <si>
    <t>Финансовый отдел администрации Грачевского района</t>
  </si>
  <si>
    <t>Управление жилищно-коммунального хозяйства и транспорта администрации города и  Управление градообразования и капитального строительства города Бузулука</t>
  </si>
  <si>
    <t>Отдел по работе с сельскими территориями администрации Сорочинского городского округа Оренбургской области</t>
  </si>
  <si>
    <t>Гранд в фрме дотации</t>
  </si>
  <si>
    <t>Средства собственного бюджета</t>
  </si>
  <si>
    <t>Иная форма (Прямое финансирование ГРБС)</t>
  </si>
  <si>
    <t>иные закупки товаров, работ и услуг для обеспечения муниципальных нужд</t>
  </si>
  <si>
    <t>Иные дотации</t>
  </si>
  <si>
    <t>межбюджетные трансферты</t>
  </si>
  <si>
    <t>Муниципальные образования сельские поселения Красногвардейского района</t>
  </si>
  <si>
    <t>Муниципальные образования сельские поселения района</t>
  </si>
  <si>
    <t>муниципальные образования поселения Новоорского района</t>
  </si>
  <si>
    <t>муниципальные образования сельских поселений, находящиеся на территории МО Оренбургский район</t>
  </si>
  <si>
    <t>Администрации муниципальных образований сельских поселений района</t>
  </si>
  <si>
    <t>Сельские советы</t>
  </si>
  <si>
    <t>МО сельские поселения</t>
  </si>
  <si>
    <t xml:space="preserve">Методика балльной оценки значения критериев </t>
  </si>
  <si>
    <t xml:space="preserve">а) доля благополучателей в общей численности населения:
количество начисляемых баллов равно доле благополучателей в общей численности населения, процентов;
в случае если численность благополучателей превосходит численность населения, начисляется 100 баллов;
</t>
  </si>
  <si>
    <t xml:space="preserve">Доля участников, которые вносят свой вклад в реализацию проекта, в общем количестве благополучателей: 
- до 10% – 1 балл;
- от 10% до 20% – 4 балла;
- от 20% до 40% – 6 баллов;
- от 40% до 60%  – 8 баллов;
- более 60% – 10 баллов.
</t>
  </si>
  <si>
    <t>количество жителей в сельских поселениях учавствующих в проекте</t>
  </si>
  <si>
    <t>1. Детские площадки: дети до 14 лет и их близкие родственники, посещающие площадки с детьми.
2. Спортивные площадки: население, проживающее в непосредственной близости от площадки возрастом от 3 до 60 лет
3. Водоснабжение: все население села.</t>
  </si>
  <si>
    <t xml:space="preserve">по протоколу </t>
  </si>
  <si>
    <t>голосование на собрании</t>
  </si>
  <si>
    <t>Количество благополучателей рассчитывается в зависимости от реализуемого проекта, учитываются данные статистики и похозяйственной книги</t>
  </si>
  <si>
    <t>Указано общее количество проживающих в селах, где будет ремонт памятников и общее количество проживающих в домах, где будет ремонт дворов</t>
  </si>
  <si>
    <t>Сведения о количестве жителей предоставлены администрациями сельских поселений</t>
  </si>
  <si>
    <t xml:space="preserve"> нет</t>
  </si>
  <si>
    <t>функция отдела по вопросам развития местного самоуправления и общим вопросам</t>
  </si>
  <si>
    <t>бюджет МО</t>
  </si>
  <si>
    <t xml:space="preserve">  нет</t>
  </si>
  <si>
    <t>опросные листы для определения приоритетного проекта инициативного бюджетирования</t>
  </si>
  <si>
    <t>анкетирование населения</t>
  </si>
  <si>
    <t>протокол собрания</t>
  </si>
  <si>
    <t>собрания населения (инициативной группы) об участии в конкурсном отборе проектов «Народный бюджет» на территории муниципального образования Оренбургский район</t>
  </si>
  <si>
    <t xml:space="preserve">Протоколы, листы регистрации участников, фотографии сходов граждан </t>
  </si>
  <si>
    <t>Список присутствующих</t>
  </si>
  <si>
    <t>информационные встречи с жителями, протокол слбрания жителей села</t>
  </si>
  <si>
    <t>протоколы собрания жителей населенных пунктов</t>
  </si>
  <si>
    <t>протоколы собрания</t>
  </si>
  <si>
    <t>протокол схода граждан</t>
  </si>
  <si>
    <t>Журнал</t>
  </si>
  <si>
    <t>интернет заявка</t>
  </si>
  <si>
    <t>http://www.sorochinsk56.ru/index.php?id=1046</t>
  </si>
  <si>
    <t>Журнал приема граждан</t>
  </si>
  <si>
    <t>web-форма, http://fintotsk.ru/news/item/71</t>
  </si>
  <si>
    <t>http:бузулук.рф/опрос/как-вы-считаете-в-каком-из-перечисленных-районов-города-бузулука-необходимо-реализовать-проект</t>
  </si>
  <si>
    <t>http://finotdel-akbulak.ru/index.php?option=com_acepolls&amp;view=poll&amp;id=3&amp;Itemid=138</t>
  </si>
  <si>
    <t xml:space="preserve"> да </t>
  </si>
  <si>
    <t>протокол № 1 от 20.03.2019</t>
  </si>
  <si>
    <t>голосование на сходе граждан</t>
  </si>
  <si>
    <t>http://finotdnovoorsk.ru/protokolyi-komissii</t>
  </si>
  <si>
    <t>решение комиссии</t>
  </si>
  <si>
    <t>протокол заседания конкурсной комиссии по реализации проекта "Народный бюджет"</t>
  </si>
  <si>
    <t>Организзовано голосование по отбору проектов на форуме финансового отдела администрации Тоцкого района Оренбургской области. http://fintotsk.ru/news/item/71</t>
  </si>
  <si>
    <t>Проведение интернет голосования отбора проектов, публикация информации на всех эапах реализации проекта на официальном сайте администрации города Бузулука</t>
  </si>
  <si>
    <t>подача заявки в электронном виде
http://www.sorochinsk56.ru/index.php?id=1046</t>
  </si>
  <si>
    <t xml:space="preserve"> голосование http://finotdel-akbulak.ru/index.php?option=com_acepolls&amp;view=poll&amp;id=3&amp;Itemid=138</t>
  </si>
  <si>
    <t>организация субботника по благоустройству территории</t>
  </si>
  <si>
    <t>трудовое участие населения, предоставление спец.техники субъектами предпринимательства</t>
  </si>
  <si>
    <t>Трудовое участие граждан</t>
  </si>
  <si>
    <t>Безвозмездные работы по уборки территории, предоставление техники</t>
  </si>
  <si>
    <t>проведение субботника не территории детской спортивно-игровой площадки</t>
  </si>
  <si>
    <t>Завоз материалов, технические работы, уборка и охрана территории</t>
  </si>
  <si>
    <t>уборка, очистка кладбища</t>
  </si>
  <si>
    <t>Вклад населения, организаций и других внебюджетных источников в реализацию проекта в неденежной форме является неоплачиваемый труд, предоставление строительных материалов, техники и другие формы.</t>
  </si>
  <si>
    <t>помощь жителей в установке ограды клабдища</t>
  </si>
  <si>
    <t>http://mo-ko.orb.ru/simplepage/1595       http://mo-ko.orb.ru/</t>
  </si>
  <si>
    <t>http://finotdnovoorsk.ru/kadrovoe-obespechenie</t>
  </si>
  <si>
    <t>http://fin-or.ru/content/narodnyy-byudzhet</t>
  </si>
  <si>
    <t>http://fintotsk.ru/hearing/12</t>
  </si>
  <si>
    <t>http://xn--90amjd2bbb.xn--p1ai/content/%D0%BD%D0%B0%D1%80%D0%BE%D0%B4%D0%BD%D1%8B%D0%B9-%D0%B1%D1%8E%D0%B4%D0%B6%D0%B5%D1%82</t>
  </si>
  <si>
    <t>http://www.sorochinsk56.ru/index.php?id=1039</t>
  </si>
  <si>
    <t>http://finotdel-akbulak.ru/index.php?option=com_content&amp;view=article&amp;id=202&amp;Itemid=117</t>
  </si>
  <si>
    <t>https://ok.ru/group/55033267880141/topic/144179921808333</t>
  </si>
  <si>
    <t>http://fintotsk.4adm.ru/viewforum.php?f=17
https://vk.com/fintotsk
https://twitter.com/fintotsk</t>
  </si>
  <si>
    <t>https://vk.com/buzuluk_town?w=wall-120041745_4604</t>
  </si>
  <si>
    <t>https://bz.orb.ru/files/documents/narod-budget-itogi.rar, http://old-bz.ru/index.php?option=com_k2&amp;view=item&amp;id=7675:soczialno-ekonomicheskoe-razvitie-selpossoveta&amp;Itemid=1, https://vk.com/id515606284?w=wall515606284_111%2Fall, https://vk.com/id515606284?w=wall515606284_204%2Fall</t>
  </si>
  <si>
    <t>Районная газета "Красногвардеец"</t>
  </si>
  <si>
    <t>через собрания граждан</t>
  </si>
  <si>
    <t>Социальные сети, размещение объявлений в доступных местах, размещение материала в Новоорской газете, сайт Финансового отдела, сайт Администрации Новоорского района</t>
  </si>
  <si>
    <t xml:space="preserve"> сайт муниципального образования Оренбургский район, расклейка объявлений в учреждениях культуры, почтовых отделениях </t>
  </si>
  <si>
    <t>Раздача листовок и расклейка на информационных щитах объявлений, объявления в соцсетях на уровне заинтересованных населенных пунктов</t>
  </si>
  <si>
    <t xml:space="preserve">Публикации информации о проекте на официальном сайте администрации города, в газете, социальных сетях, при проведении уроков финансовой грамотности в учреждениях города. Специалистами Финансового управления администрации города Бузулука  ежегодно проводится большая работа по повышению финансовой грамотности населения в различных учреждениях города. на которых разъясняется механизм реализации и участия в данном проекте. </t>
  </si>
  <si>
    <t>Информация о поекте ирезультатах реализации проекта опубликовывалась в газете "Степные зори" ,  ролик транслировался муниципальным телевидением ЮГ-информ</t>
  </si>
  <si>
    <t xml:space="preserve">Информация (видео и фото) о проекте регулярно публикуется на сайте администрации Бузулукского района, в газете "Российская Провинция", в социальных сетях вконтакте и одноклассники. Видео публикуется на Ютуб канале. </t>
  </si>
  <si>
    <t xml:space="preserve">размещение статьи в районной газете "Призыв", слайдов по проекту "Народный бюджет" </t>
  </si>
  <si>
    <t>Объявление на стендах о сходе граждан для проведения процедуры сбора проектных идей от граждан</t>
  </si>
  <si>
    <t>Объявления, листовки</t>
  </si>
  <si>
    <t>Финансовым отделом разработаны буклеты, для размещения на информационных досках в каждом сельском совете, приложено.</t>
  </si>
  <si>
    <t>видеоролик, буклеты http://fin-otdel.ru/byudzhet-i-otchetnost/byudzhet-dlya-grazhdan/видео%20народный%20бюджет+.rar   http://fin-otdel.ru/byudzhet-i-otchetnost/byudzhet-dlya-grazhdan/буклеты.rar</t>
  </si>
  <si>
    <t>Совещание с главами сельских поселений</t>
  </si>
  <si>
    <t>Совещания с главами сельских поселений района по вопросу реализации "Народного бюджета" на территории района</t>
  </si>
  <si>
    <t xml:space="preserve">При проведении в поселениях дня информации, совещание администрации района с главами поселений  </t>
  </si>
  <si>
    <t>1 раз в год (население жителей сельсовета)</t>
  </si>
  <si>
    <t>2 семинара-совещания, количество участников 17 чел. (главы сельских поселенйи района)</t>
  </si>
  <si>
    <t>В 2019 году мероприятия проводились в формате аппаратных совещаний с главами адпинистраций сельских советов в количестве 8 общей продолжительносатью 8 часов с количеством участников 22 человека.</t>
  </si>
  <si>
    <t>поведение встреч, оказание методической и консультативной помощи  инициативным  группам  участникам проекта,  по мере необходимости но не реже 6 раз за период реализации проекта.</t>
  </si>
  <si>
    <t>Обучающие сименары, два раза в год</t>
  </si>
  <si>
    <t>совещание, проводилось ежеквартально с участием глав и специалситов сельских поселений и финансового отдела</t>
  </si>
  <si>
    <t>совещания</t>
  </si>
  <si>
    <t>Начиная с 2017 года, один раз в квартал проводятся совещания с главами сельских советов, на которых освещается вопрос по народному бюджету. На данном мероприятии проводим обучение глав и специалистов о правилах подготовки заявок, представляемых на рассмотрение конкурсных комиссий; о проведении собраний граждан, на которых обсуждаются предполагаемые проекты народного бюджета; о формировании инициативной группы. На данных совещаниях присутствуют главы и специалисты  сельских советов.</t>
  </si>
  <si>
    <t>в декабре 2018 и в феврале 2019 на совещании глав поселений проводилась разъяснительная работа  по участию в проекте "Народный бюджет"</t>
  </si>
  <si>
    <t>Раисов Валерий Жумагалеевич</t>
  </si>
  <si>
    <t>Алякскина Елена Викторовна заместитель начальника финансового отдела МО Курманаевский район</t>
  </si>
  <si>
    <t>Костродымова Светлана Анатольевна заместитель главы администрации по финансово-экономическим вопросам-начальник финансового отдела</t>
  </si>
  <si>
    <t>Липова Ольга Николаевна - начальник отдела бюджетной политики и межбюджетных отношений</t>
  </si>
  <si>
    <t>Чурсина С.А.- заместитель главы администрации по финансовым и экономическим вопросам, заведующая финансовым отделом</t>
  </si>
  <si>
    <t>Бутаева Надежда Михайловна / Бурмистрова Галина Сергеевна</t>
  </si>
  <si>
    <t>Игнатов Владимир Александрович главный специалист финансового отдела администрации Тоцкого района Оренбургской области</t>
  </si>
  <si>
    <t>Попова Ирина Александровна</t>
  </si>
  <si>
    <t>Ковалева Лариса Викторовна - начальник бюджетного отдела</t>
  </si>
  <si>
    <t>Половеева Ольга Иосифовна</t>
  </si>
  <si>
    <t>Толкачева Елена Ивановна- ведущий специалист по менеджменту и анализу</t>
  </si>
  <si>
    <t>Тавеева Елена Анатольевна</t>
  </si>
  <si>
    <t>Назарова О.Е.</t>
  </si>
  <si>
    <t>главный специалист Дончук Лариса Юрьевна</t>
  </si>
  <si>
    <t>8 35341 2 11 36</t>
  </si>
  <si>
    <t>8 (35 363) 77040</t>
  </si>
  <si>
    <t>8(35357)2-10-47</t>
  </si>
  <si>
    <t>83536623535 / 83536621502</t>
  </si>
  <si>
    <t>8 (35349) 2-14-53</t>
  </si>
  <si>
    <t>8-35342-35242</t>
  </si>
  <si>
    <t>8(35346)4-29-26</t>
  </si>
  <si>
    <t>835368-21303</t>
  </si>
  <si>
    <t>8(35335)216-66</t>
  </si>
  <si>
    <t>(835351)21931</t>
  </si>
  <si>
    <t>8 (35342)74166</t>
  </si>
  <si>
    <t>8-35344-2-12-89</t>
  </si>
  <si>
    <t>krasnogvard_fo@mail.ru</t>
  </si>
  <si>
    <t>kurfin@mail.ru</t>
  </si>
  <si>
    <t>finotd_sak@mail.orb.ru</t>
  </si>
  <si>
    <t>onl-or@mail.ru</t>
  </si>
  <si>
    <t>ponomrf@mail.ru</t>
  </si>
  <si>
    <t>finotd_sv@mail.orb.ru</t>
  </si>
  <si>
    <t>raifo@esoo.ru</t>
  </si>
  <si>
    <t>popova@buzuluk-town.ru</t>
  </si>
  <si>
    <t>gorfo@esoo.ru</t>
  </si>
  <si>
    <t>poi@ys.orb.ru</t>
  </si>
  <si>
    <t>foa_adm@mail.ru</t>
  </si>
  <si>
    <t>asfin@inbox.ru</t>
  </si>
  <si>
    <t>ktn@bz-orb.ru</t>
  </si>
  <si>
    <t>fin-otdel@esoo.ru</t>
  </si>
  <si>
    <t>город Пенза</t>
  </si>
  <si>
    <t>Городской конкурс на право получения грантов в виде субсидий на реализацию социально значимых проектов, направленных на развитие территориального общественного самоуправления и инициатив жителей в городе Пензе</t>
  </si>
  <si>
    <t xml:space="preserve"> Конкурс социально значимых проектов</t>
  </si>
  <si>
    <t>Постановление администрации города Пензы от 27.02.2015 № 223 «Об утверждении муниципальной программы «Развитие территориального общественного самоуправления в городе Пензе и поддержка местных инициатив на 2015-2021 годы»;  Постановление администрации города Пензы от 06.05.2019 №812 "О проведении городского конкурса социально значимых проектов, направленных на развитие территориального общественного самоуправления в городе Пензе в 2019 году";  Порядок предоставления грантов в виде субсидий на реализацию социально значимых проектов, направленных на развитие территориального общественного самоуправления в городе Пензе (утвержден постановлением администрации города Пензы от 12.05.2015 № 650, редакция от 06.05.2019 № 799/9)</t>
  </si>
  <si>
    <t>https://penza-gorod.ru/line_of_activity/public_self_government/konkurs-sotsialno-znachimykh-proektov-napravlennykh-na-razvitie-territorialnogo-obshchestvennogo-sam/2019-god/</t>
  </si>
  <si>
    <t>Администрация города Пензы
Администрация Железнодорожного района города Пензы
Администрация Ленинского района города Пензы
Администрация Октябрьского района города Пензы
Администрация Первомайского района города Пензы</t>
  </si>
  <si>
    <t xml:space="preserve"> гранты в виде субсидий</t>
  </si>
  <si>
    <t xml:space="preserve"> Подсчет производился в соответствии с количеством благополучателей, указанных гражданами в пасторте  проекта</t>
  </si>
  <si>
    <t>https://www.gks.ru/scripts/db_inet2/passport/table.aspx?opt=567010002019</t>
  </si>
  <si>
    <t xml:space="preserve"> да</t>
  </si>
  <si>
    <t xml:space="preserve"> Журнал регистрации заявок</t>
  </si>
  <si>
    <t>журналы регистраций</t>
  </si>
  <si>
    <t xml:space="preserve">трудовое участие граждан в реализации основного, дополнительного перечней работ </t>
  </si>
  <si>
    <t xml:space="preserve"> https://penza-gorod.ru/line_of_activity/public_self_government/konkurs-sotsialno-znachimykh-proektov-napravlennykh-na-razvitie-territorialnogo-obshchestvennogo-sam/2019-god/</t>
  </si>
  <si>
    <t xml:space="preserve"> https://penza-gorod.ru/line_of_activity/public_self_government/news/s_pomoshchyu_grantov_zhiteli_blagoustraivayut_svoi_doma_i_dvory/, https://penza-gorod.ru/line_of_activity/public_self_government/news/granty_pozvolyayut_sdelat_zhizn_gorozhan_komfortnee45/, https://penza-gorod.ru/line_of_activity/public_self_government/news/granty_na_sotsialno_znachimye_proekty_uspeshno_realizuyutsya/, https://penza-gorod.ru/line_of_activity/public_self_government/news/granty_na_sotsialno_znachimye_proekty_uspeshno_realizuyutsya/, https://penza-gorod.ru/line_of_activity/public_self_government/news/v_penze_realizuyutsya_proekty_po_grantovoy_podderzhke_/, https://penza-gorod.ru/line_of_activity/public_self_government/news/v_penze_startoval_gorodskoy_konkurs_sotsialno_znachimykh_proektov/</t>
  </si>
  <si>
    <t xml:space="preserve"> Информирование на официальном сайте МО, репортажи на региональном ТВ, радио, муниципальной газете "Пенза"</t>
  </si>
  <si>
    <t>Начальник отдела реализации социальной политики, развития местного самоуправления и внешних связей администрации города Пензы Чернецова Светлана Алексеевна</t>
  </si>
  <si>
    <t xml:space="preserve"> (8412) 68-15-61</t>
  </si>
  <si>
    <t xml:space="preserve"> chernecova@penza-gorod.ru</t>
  </si>
  <si>
    <t>Главный специалист отдела финансирования хозяйственных организаций Финансового управления города Пензы                                                       Андреева Ксения Андреевна</t>
  </si>
  <si>
    <t xml:space="preserve"> (8412) 68-46-01</t>
  </si>
  <si>
    <t>AndreevaKA@penza-gorod.ru</t>
  </si>
  <si>
    <t xml:space="preserve">Чертковское сельское поселение </t>
  </si>
  <si>
    <t>Муниципальное образование "Октябрьский район"</t>
  </si>
  <si>
    <t>Светлые улицы – светлый поселок</t>
  </si>
  <si>
    <t>Социальные проекты инициатив местных сообществ</t>
  </si>
  <si>
    <t>Постановление Администрации Чертковского сельского поселения от 29.12.2016 №298 "Об утверждении муниципального проекта «Светлые улицы – светлый поселок»"</t>
  </si>
  <si>
    <t>Распоряжение № 214 от 13.04.2016 г.</t>
  </si>
  <si>
    <t>http://old-chertkov.donland.ru/Data/Sites/34/media/сельскиепоселения/чертково/мунпроект/постановление№298от29.12.2016светлаяулица.doc</t>
  </si>
  <si>
    <t>Администрация Чертковского сельского поселения</t>
  </si>
  <si>
    <t>Администрация Октябрьского района</t>
  </si>
  <si>
    <t xml:space="preserve">Если взять в среднем что установлено 50 светильников на 4 двора, в котором проживает семья из 3-х человек, то получается примерно 600 человек. </t>
  </si>
  <si>
    <t>Портал мониторинга деятельности органов местного самруправления в Ростовской области</t>
  </si>
  <si>
    <t>http://monitoring61.ru/</t>
  </si>
  <si>
    <t>протокол собрания жителей</t>
  </si>
  <si>
    <t>Обращения граждан</t>
  </si>
  <si>
    <t>Личный прием граждан</t>
  </si>
  <si>
    <t>Заявки</t>
  </si>
  <si>
    <t>Экспертный совет грантового конкурса социальных проектов инициатив местных сообществ</t>
  </si>
  <si>
    <t xml:space="preserve">Трудовое участие со стороны граждан и индивидуальных предпринимателей. </t>
  </si>
  <si>
    <t xml:space="preserve"> https://ok.ru/chertkovom</t>
  </si>
  <si>
    <t>Работа по информировании о муниципальном проекте проводилась через социальную группу "Чертково-мой поселек! Россия-моя страна!" в социальной сети "Одноклассники"</t>
  </si>
  <si>
    <t>Безгина Татьяна Михайловна</t>
  </si>
  <si>
    <t>Евдокимова Галина Николаевна</t>
  </si>
  <si>
    <t>8(86387) 2-16-71</t>
  </si>
  <si>
    <t>8(86360)2-05-61</t>
  </si>
  <si>
    <t>sp42443@mail.ru</t>
  </si>
  <si>
    <t>feu-budjet7@mail.ru</t>
  </si>
  <si>
    <t>Приходько Анна Григорьевна</t>
  </si>
  <si>
    <t>8 (863) 240-54-52</t>
  </si>
  <si>
    <t>prikhodko@minfin.donland.ru</t>
  </si>
  <si>
    <t>Железнодорожный внутригородской район г.о. Самара</t>
  </si>
  <si>
    <t>Кировский внутригородской район городского округа Самара</t>
  </si>
  <si>
    <t>Красноглинский внутригородской район городского округа Самара Самарской области</t>
  </si>
  <si>
    <t>Куйбышевский внутригородской район г.о. Самара</t>
  </si>
  <si>
    <t>Администрация Ленинского внутригородского района городского округаСамара</t>
  </si>
  <si>
    <t>Октябрьский внутригородской район городского округа Самара</t>
  </si>
  <si>
    <t>Промышленный внутригородской район городского округа Самара</t>
  </si>
  <si>
    <t>Самарский внутригородской район городского округа Самара</t>
  </si>
  <si>
    <t>Советский внутригородской район городского округа Самара</t>
  </si>
  <si>
    <t>Городской округ Сызрань</t>
  </si>
  <si>
    <t>городской округ Новокуйбышевск</t>
  </si>
  <si>
    <t>Городской округ Похвистнево</t>
  </si>
  <si>
    <t>Городской округ Отрадный</t>
  </si>
  <si>
    <t>муниципальный район Безенчукский</t>
  </si>
  <si>
    <t>Конкурс по отбору общественных инициатив "ТВОЙ КОНСТРУКТОР ДВОРА"</t>
  </si>
  <si>
    <t>Проект "Твой конструктор двора"</t>
  </si>
  <si>
    <t>Конкурс по отбору общественных инициатив "Твой конструктор двора"</t>
  </si>
  <si>
    <t>"Твой конструктор двора"</t>
  </si>
  <si>
    <t xml:space="preserve">Конкурс по отбору общественных инициатив "Твой конструктор двора" </t>
  </si>
  <si>
    <t xml:space="preserve">Конкурс по отбору общественных инициатив "Твой конструктор двора" на создание комфортных условий для проживания граждан на территории Промышленного внутригородского района городского округа Самара </t>
  </si>
  <si>
    <t>Конкурс по отбору общественных инициатив "Твой конструктор двора"на создание комфортных условий для проживания граждан на территории Самарского внутригородского района городского округа Самара</t>
  </si>
  <si>
    <t>Конкурс социальных инициатив по месту жительства</t>
  </si>
  <si>
    <t>Делегирование права распределения бюджетных средств с целью благоустройства придомовых территорий 13 общественным советам микрорайонов</t>
  </si>
  <si>
    <t>Городской конкурс 
социальных проектов по развитию
территории городского округа 
Похвистнево в 2019 году, проводимый в рамках муниципальной программы «Поддержка общественных инициатив граждан и социально ориентированных некоммерческих организаций в городском округе Похвистнево» на 2016-2020 годы, утвержденной постановлением Администрации городского округа Похвистнево от 16.10.2015 №1505</t>
  </si>
  <si>
    <t>Городской конкурс проектов и идей "Отрадный - территория развития"</t>
  </si>
  <si>
    <t>подпрограмма "Благоустройство дворовой территории городского поселения Безенчук муниципального района Безенчукский Самарской области на 2019-2020 муниципальной программы «Благоустройство, озеленение и обеспечение безопасности дорожного движения территории городского поселения Безенчук муниципального района Безенчукский Самарской области на 2018-2020 гг</t>
  </si>
  <si>
    <t>"ТВОЙ КОНСТРУКТОР ДВОРА"</t>
  </si>
  <si>
    <t>ТКД</t>
  </si>
  <si>
    <t>Городской конкурс 
социальных проектов по развитию
территории городского округа 
Похвистнево</t>
  </si>
  <si>
    <t>ПОСТАНОВЛЕНИЕ АДМИНИСТРАЦИИ ЖЕЛЕЗНОДОРОЖНОГО ВНУТРИГОРОДСКОГО РАЙОНА ГОРОДСКОГО ОКРУГА САМАРА
от 12 июля 2018 г. N 129 "ОБ УТВЕРЖДЕНИИ ПОЛОЖЕНИЯ О ПОРЯДКЕ ПРОВЕДЕНИЯ КОНКУРСА ПО ОТБОРУ ОБЩЕСТВЕННЫХ ИНИЦИАТИВ "ТВОЙ КОНСТРУКТОР ДВОРА" ПО СОЗДАНИЮ КОМФОРТНЫХ УСЛОВИЙ ДЛЯ ПРОЖИВАНИЯ ГРАЖДАН НА ТЕРРИТОРИИ ЖЕЛЕЗНОДОРОЖНОГО ВНУТРИГОРОДСКОГО РАЙОНА ГОРОДСКОГО ОКРУГА САМАРА НА 2018 - 2019 ГОДЫ";                                                             ПОСТАНОВЛЕНИЕ АДМИНИСТРАЦИИ ЖЕЛЕЗНОДОРОЖНОГО ВНУТРИГОРОДСКОГО РАЙОНА ГОРОДСКОГО ОКРУГА САМАРА
от 26 августа 2019 г. N 157 "ОБ УТВЕРЖДЕНИИ ПОЛОЖЕНИЯ О ПОРЯДКЕ ПРОВЕДЕНИЯ КОНКУРСА ПО ОТБОРУ ОБЩЕСТВЕННЫХ ИНИЦИАТИВ "ТВОЙ КОНСТРУКТОР ДВОРА" ПО СОЗДАНИЮ КОМФОРТНЫХ УСЛОВИЙ ДЛЯ ПРОЖИВАНИЯ ГРАЖДАН НА ТЕРРИТОРИИ ЖЕЛЕЗНОДОРОЖНОГО ВНУТРИГОРОДСКОГО РАЙОНА ГОРОДСКОГО ОКРУГА САМАРА НА 2019 - 2020 ГОДЫ"</t>
  </si>
  <si>
    <t>Постановление Администрации Кировского внутригородского района городского округа Самара от 12.07.2018 №55 "Об утверждении Положения о порядке проведения конкурса по отбору общественных инициатив "Твой конструктор двора" на получение муниципальных грантов в форме субсидий на создание комфортных условий для проживания граждан на территории Кировского внутригородского района городского округа Самара на 2018-2019 годы"</t>
  </si>
  <si>
    <t xml:space="preserve"> Постановление Администрации Красноглинского внутригородского района г.о.Самара от 12.07.2018 № 289 "Об утверждении Положения о проведении конкурса по отбору общественных инициатив «Твой конструктор двора» на создание комфортных условий для проживания граждан на территории Красноглинского внутригородского района городского округа Самара";                                                                         Постановление Администрации Красноглинского внутригородского района городского округа Самара от 14.07.2019 года № 303 "Об утверждении Положения о проведении конкурса по отбору общественных инициатив "Твой конструктов двора" на создание комфортных условий для проживания граждан на территории Красноглинского внутригородского района городского округа Самара на 2019-2020 годы"</t>
  </si>
  <si>
    <t xml:space="preserve">ПОСТАНОВЛЕНИЕ АДМИНИСТРАЦИИ КУЙБЫШЕВСКОГО ВНУТРИГОРОДСКОГО РАЙОНА ГОРОДСКОГО ОКРУГА САМАРА
от 13 июля 2018 г. N 197 "ОБ УТВЕРЖДЕНИИ ПОЛОЖЕНИЯ О ПРОВЕДЕНИИ КОНКУРСА ПО ОТБОРУ ОБЩЕСТВЕННЫХ ИНИЦИАТИВ "ТВОЙ КОНСТРУКТОР ДВОРА"ДЛЯ ПРОВЕДЕНИЯ  РАБОТ ПО БЛАГОУСТРОЙСТВУ ЗА СЧЁТ СРЕДСТВ БЮДЖЕТА  КУЙБЫШЕВСКОГО  ВНУТРИГОРОДСКОГО РАЙОНА ГОРОДСКОГО ОКРУГА САМАРА".                                                                                                                                                         Постановление Администрации Куйбышевского внутригородского района г.о. Самара № 141 от 30.05.19 "О внесении изменений в Положение о проведении конкурса по отбору общественных инициатив «Твой конструктор двора» для проведения работ по благоустройству за счет бюджета Куйбышевского внутригородского района городского округа Самара, утвержденное постановлением Администрации Куйбышевского внутригородского района городского округа Самара от 13.07.2018 №197".                                                                                                                                                                                                                   Постановление Администрации Куйбышевского внутригородского района городского округа Самара от 14.09.18 № 265 «Об утверждении перечня общественных инициатив, ставших победителем по каждому микрорайону Куйбышевского внутригородского района городского округа Самара по итогам голосования 09 сентября 2018 г.».                                                                                                                                                      Протокол заседания комиссии об итогах голосования по реализации конкурса общественных иницивтив " Твой конструктор двора " по созданию комфортных условий проживания (дворовой территории / уличного пространства) Куйбышевского внутригородского района г.о.Самара от 10.09.18
Протокол заседания комиссии по рассмотрению заявок для отбора общественных инициатив "Твой конструктор двора" для проведения общественного голосования с целью выявления победителей конкусра от 07.09.18
Постановление Администрации Куйбышевского внутригородского района г.о. Самара № 241 от 23.08.18 "О проведении общественного голосования по выбору общественных инициатив на создание комфортных условий для проживания граждан на территории Куйбышевского внутригородского района городского округа Самара в рамках конкурса «Твой конструктор двора»"
Постановление Администрации Куйбышевского внутригородского района г.о. Самара №197 от 13.07.18 "Об утверждении Положения о проведении конкурса по отбору общественных инициатив "Твой конструктор двора"  на получение субсидий по возмещению затрат на создание комфортных условий для проживания граждан на территории Куйбышевского внутригородского района городского округа Самара за счет средств бюджета Куйбышевского внутригородского района городского округа Самара"
 </t>
  </si>
  <si>
    <t xml:space="preserve">Постановление Администрации Ленинского внутригородского района городского округа Самара "Об утверждении Положения о порядке проведения конкурса по отбору общественных инициатив «Твой конструктор двора» на получение муниципальных грантов (субсидий) по созданию комфортных условий для проживания граждан на территории Ленинского внутригородского района городского округа Самара на 2018-2019 годы" от 16.07.2018г. №67 </t>
  </si>
  <si>
    <t>Постановление № 211 от 12.07.2018 "Об утверждении Положения о проведении конкурса по отбору общественных инициатив "Твой конструктор двора" на создание комфортных условий для проживания граждан на территории Октябрьского внутригородского района городского округа Самара"
Постановление № 03 от 14.01.2019 "Об утверждении Порядка определения объема и предоставления субсидий из бюджета Октябрьского внутригородского района городского округа Самара юридическим лицам (за исключением субсидий государственным (муниципальным) учреждениям), индивидуальным предпринимателям, а также физическим лицам – производителям товаров, работ, услуг, в целях возмещения затрат, связанных  с выполнением работ на создание комфортных условий для проживания граждан на территории Октябрьского внутригородского района городского округа Самара по реализации проекта «Твой конструктор двора»</t>
  </si>
  <si>
    <t xml:space="preserve">Постановление Администрации Промышленного внутригородского района городского округа Самара № 166 от 12.07.2018 "Об утверждении Положения о порядке проведения конкурса по отбору общественных инициатив «Твой конструктор двора» на получение субсидий по возмещению затрат на создание комфортных условий  для проживания граждан на территории Промышленного внутригородского района городского округа Самара"
Постановление Администрации Промышленного внутригородского района городского округа Самара № 338 от 10.10.2019 "Об утверждении Положения о порядке проведения конкурса по отбору общественных инициатив «Твой конструктор двора» для проведения работ по благоустройству за счет средств бюджета Промышленного внутригородского района городского округа Самара"
Постановление Администрации Промышленного внутригородского района городского округа Самара № 411 от 10.12.2019 "О внесении изменений в Постановление Администрации Промышленного внутригородского района городского округа Самара от 10.10.2019 № 338 «Об утверждении Положения о порядке проведения конкурса по отбору общественных инициатив «Твой конструктор двора» для проведения работ по благоустройству за счет средств бюджета Промышленного внутригородского района городского округа Самара" 
Постановление Администрации Промышленного внутригородского района городского округа Самара от 23.08.2018 № 209  «О назначении общественного голосования по отбору общественных инициатив "Твой конструктор двора"   на территории Промышленного  внутригородского района городского округа Самара"
Постановление Администрации Промышленного внутригородского района городского округа Самара № 231 от 17.09.2018 "Об утверждении победителей конкурса по отбору общественных инициатив «Твой конструктор двора»" на получение субсидий по возмещению затрат на создание комфортных условий для проживания граждан на территории Промышленного внутригородского района городского округа Самара за счет бюджета Промышленного внутригородского округа Самара"
</t>
  </si>
  <si>
    <t xml:space="preserve">Постановление Администрации Самарского внутригородского района городского округа Самара № 72 от 13.07.2018 "Об утверждении Положения о проведении конкурса по отбору общественных инициатив «Твой конструктор двора» на получение субсидий по возмещению затрат на создание комфортных условий для проживания граждан на территории Самарского внутригородского района городского округа Самара за счет средств бюджета Самарского внутригородского района городского округа Самара"
Постановление Администрации Самарского внутригородского района городского округа Самара № 75 от 19.07.2018 "Об утверждении состава конкурсной комиссии по отбору претендентов на допущение  общественных инициатив к общественному голосованию  и определению победителей конкурсного отбора по результатам общественного голосования"
Постановление Администрации Самарского внутригородского района городского округа Самара от 10.08.2018 № 85  «О проведении общественного голосования по выбору общественных инициатив на создание комфортных условий для проживания граждан на территории Самарского внутригородского района городского округа Самара в рамках конкурса «Твой конструктор двора»
Постановление Администрации Самарского внутригородского района городского округа Самара № 93 от 13.09.2018 "Об утверждении победителей конкурса общественных инициатив «Твой конструктор двора»"
 Постановление Администрации Самарского внутригородского района городского округа Самара № 112 от 29.10.2018 "Об утверждении Порядка предоставления субсидий из бюджета Самарского внутригородского района городского округа Самара  в 2019 году юридическим лицам (за исключением субсидий государственным (муниципальным) учреждениям), индивидуальным предпринимателям, а также физическим лицам – производителям товаров, работ, услуг, в целях возмещения затрат в связи с выполнением работ на создание комфортных условий для проживания граждан на территории Самарского внутригородского района городского округа Самара в рамках проведения конкурса по отбору общественных инициатив «Твой конструктор двора»"
</t>
  </si>
  <si>
    <t xml:space="preserve">Постановление Администрации Советского внутригородского района городского округа Самара № 220 от 12.07.2018 "Об утверждении Положения о проведении конкурса  общественных инициатив «Твой конструктор двора»,направленных на создание комфортных условий для проживания граждан на территории Советского внутригородского района городского округа Самара "
Постановление Администрации Советского внутригородского района городского округа Самара № 229 от 20.07.2018 "О создании комиссии по отбору претендентов на допущение общественных инициатив к общественному голосованию и определению по результатам общественного  голосования победителей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23.08.2018 № 261  «О проведении общественного голосования в целях определения победителей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16.10.2019 №288  "Об утверждении перечня победителей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 413 от17.12.2018 "Об утверждении Порядка предоставления субсидий из бюджета Советского внутригородского района городского округа Самара  в 2019 году юридическим лицам (за исключением субсидий государственным (муниципальным) учреждениям), индивидуальным предпринимателям, а также физическим лицам – производителям товаров, работ, услуг, в целях возмещения затрат, связанных с реализацией общественных инициатив, победивших в конкурсе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t>
  </si>
  <si>
    <t xml:space="preserve">Постановление Администрации городского округа Сызрань Самарской области от 02.11.18 № 3193 "О внесении изменений в ведомственную целевую программу городского округа Сызрань "Содействие развитию общественного самоуправления в городском округе Сызрань Самарской области на 2016 - 2021 годы";                                                                             
 </t>
  </si>
  <si>
    <t>Постановление администрации г.о. Новокуйбышевск № 492 от 25.02.2013 г. Об утверждении Типового Положения об общественном совете микрорайона г.о.Новокуйбышевск;                                                                   Распоряжение № 315-р "О создании муниципального бюджетного учреждения";                                                                                                              Регламент ощественного совета микрорайона «Центр содействия самоуправлению районов»</t>
  </si>
  <si>
    <t xml:space="preserve">1. Государственная программа Самарской области "Поддержка социально ориентированных некоммерческих организаций в Самарской области" на 2014 - 2021 годы;                                                                                             2.  Муниципальная программа «Поддержка общественных инициатив граждан и социально ориентированных некоммерческих организаций в городском округе Похвистнево» на 2016-2020 годы, утвержденной постановлением Администрации городского округа Похвистнево от 16.10.2015 №1505 (с изм. и доп. от 11.04.2016 №551; от 15.12.2016 №1772; от 25.01.2017 № 54; от 10.01.2019 №4; от 30.07.2019; от 30.12.2019 №1396) ;                                                                                                              3.  Постановление Администрации городского окргуа Похвистнекво № 87 от 05.02.2019 года " О проведении городского конкурса социальных проектов по развитию территории городского окрга Похвистнево" </t>
  </si>
  <si>
    <t xml:space="preserve">Постановление Администрации городского округа Отрадный Самарской области № 169 от 11.02.2019 "О проведении городского конкурса социальных проектов и идей «Отрадный – территория развития» в 2019 год"
</t>
  </si>
  <si>
    <t>Постановление Администрации городского поселения Безенчук муниципального района Безенчукский Самарской области от 29.04.2019г № 245</t>
  </si>
  <si>
    <t xml:space="preserve">http://zdsamara.ru/regulatory/munitsipalnye-pravovye-akty/2430/ 
http://www.zdsamara.ru/documents/%D0%9F%D0%BE%D1%81%D1%82%D0%B0%D0%BD%D0%BE%D0%B2%D0%BB%D0%B5%D0%BD%D0%B8%D0%B5%D0%BE%D1%8212072018_129.pdf </t>
  </si>
  <si>
    <t>https://yadi.sk/d/yvtSuEdJjxahiA</t>
  </si>
  <si>
    <t>https://samadm.ru/upload/iblock/c39/postanovlenie-konstruktor-dvora.docx                                                                                                   https://samadm.ru/upload/iblock/ee8/post.347_347.pdf                                                                                https://samadm.ru/upload/iblock/7ef/post.373_373.pdf</t>
  </si>
  <si>
    <t>https://www.kuibsamara.ru/allfiles/201906/post____(2112-Vwb6E).pdf, https://www.kuibsamara.ru/allfiles/201906/post____(2112-Vwb6E).pdf, https://www.kuibsamara.ru/allfiles/201809/post______pdf_io_(1664-JizgW).pdf, https://www.kuibsamara.ru/allfiles/201809/Protokol(1665-MebHD).pdf, https://www.kuibsamara.ru/allfiles/201809/Protokol_zasedaniya_komissii_TKD(1651-30C2W).pdf, https://www.kuibsamara.ru/allfiles/201808/post______pdf_io_(1600-bkRyk).pdf, https://www.kuibsamara.ru/allfiles/201808/post_____ot____________(1578-JWUi).pdf, https://www.kuibsamara.ru/allfiles/201808/rasp______pdf_io_(1585-V7wim).pdf</t>
  </si>
  <si>
    <t>https://www.samadm.ru/docs/official-publication/15628/</t>
  </si>
  <si>
    <t>https://www.samadm.ru/authority/octobyarsky_district/your-builder-yard-october/</t>
  </si>
  <si>
    <t>https://www.samadm.ru/authority/industrial-inner-city/for-the-population-industrial/       (архив материалов по ТКД 2018)
https://samadm.ru/docs/official-publication/21680/
https://samadm.ru/upload/iblock/b1d/Postanovlenie-411-ot-10.12.19-_na-sayt.pdf</t>
  </si>
  <si>
    <t>https://samadm.ru/docs/official-publication/15682/
https://samadm.ru/docs/official-publication/16481/
https://samadm.ru/docs/official-publication/16091/
https://samadm.ru/docs/official-publication/16484/
https://samadm.ru/docs/official-publication/16781/</t>
  </si>
  <si>
    <t>http://sovadmsamara.ru/tvoj_konstruktor_dvora/</t>
  </si>
  <si>
    <t xml:space="preserve">Постановление Администрации городского округа Сызрань Самарской области от 18.10.18 № 3005 "Об утверждении порядка определения объема и предоставления в 2018-2020 году субсидий из бюджета городского округа Сызрань некоммерческим организациям, не являющимся государственными(муниципальными) учреждениями, на организацию и проведение конкурса социальных инициатив по месту жительства".
</t>
  </si>
  <si>
    <t>http://otradny.org/upload/iblock/0fd/0fd47293909eaf3036faa48f0f4c0ae3.rar</t>
  </si>
  <si>
    <t>bezenchukgp.ru/file_download/3582/Vestnik 10 (154) 22.05....</t>
  </si>
  <si>
    <t>Администрация Железнодорожного внутригородского района городского округа Самара</t>
  </si>
  <si>
    <t>Администрация Кировского внутригородского района городского округа Самара</t>
  </si>
  <si>
    <t>Администрация Красноглинского внутригородского района городского округа Самара</t>
  </si>
  <si>
    <t>Администрация Куйбышевского внутригородского района городского округа Самара</t>
  </si>
  <si>
    <t>Администрация Ленинского внутригородского района городского округа Самара</t>
  </si>
  <si>
    <t>Администрация Октябрьского внутригородского района городского округа Самара</t>
  </si>
  <si>
    <t>Администрация Промышленного внутригородского района городского округа Самара</t>
  </si>
  <si>
    <t>Администрация Самарского внутригородского района городского округа Самара</t>
  </si>
  <si>
    <t>Администрация Советского внутригородского района городского округа Самара</t>
  </si>
  <si>
    <t>Администрация городского округа Сызрань</t>
  </si>
  <si>
    <t>департамент городского хозяйства администрации городского округа Новокуйбышевск</t>
  </si>
  <si>
    <t>Управление по экономике и финансами Администрации городског округа Похвистнево.                                                                                                                        Отдел по реализации стратегии и общественных проектов.</t>
  </si>
  <si>
    <t>Конкурс организует муниципальное казенное учреждение "Дом общественных организаций" городского округа Отрадный</t>
  </si>
  <si>
    <t>Администрация городского поселения Безенчук Самарской области</t>
  </si>
  <si>
    <t>Железнодорожный внутригородской район городского округа Самара</t>
  </si>
  <si>
    <t>Куйбышевский внутригородской район городского округа Самара</t>
  </si>
  <si>
    <t>администрация городского округа Новокуйбышевск</t>
  </si>
  <si>
    <t xml:space="preserve">Управление по экономике и финансами Администрации городского округа Похвистнево.                                               </t>
  </si>
  <si>
    <t xml:space="preserve">Администрация городского округа Отрадный  </t>
  </si>
  <si>
    <t>Муниципальный контракт</t>
  </si>
  <si>
    <t>субсидии на иные цели</t>
  </si>
  <si>
    <t>Проведение конкурсных процедур на основании ФЗ от 05.04.2013 "О контрактной системе в сфере закупок товаров, работ,услуг для обеспечения государственных нужд"</t>
  </si>
  <si>
    <t>Средства на оплату товаров, работ, услуг по муниципальным контрактам</t>
  </si>
  <si>
    <t>закупки для муниципальных нужд</t>
  </si>
  <si>
    <t>гранты в форме субсидии на реализацию социальных проектов</t>
  </si>
  <si>
    <t>прямые договора с подрядными организациями</t>
  </si>
  <si>
    <t>Общества с ограниченной ответственностью, Индивидуальные предприниматели, Товарищества собственников жилья, Жилищно-строительные кооперативы, Товарищества собственников недвижимости</t>
  </si>
  <si>
    <t>ООО "Солнечная долина", ООО "Берсо", ООО "Плиткин двор"</t>
  </si>
  <si>
    <t>Муниципальное бюджетное учреждение "Красноглинское"</t>
  </si>
  <si>
    <t>Получатель бюджетных ассигнований - ФКУ ИК-5 УФСИН Росии по Самарской области</t>
  </si>
  <si>
    <t>Юридические лица, некоммерческие организации и физические лица</t>
  </si>
  <si>
    <t>Юридические лица и некоммерческие организации</t>
  </si>
  <si>
    <t>Общество с ограниченной ответственностью "Самарастальстрой", ИП Бухарова</t>
  </si>
  <si>
    <t>Общество с ограниченной ответсвенностью "РОНА-С"</t>
  </si>
  <si>
    <t xml:space="preserve">Общество с ограниченной ответсвенностью  Управляющая компания " Служба эксплуатации зданий", ООО "Наша семья", ТСЖ "Советский-100", ООО"АУК" </t>
  </si>
  <si>
    <t>Некоммерческая организация "Фонд развития муниципального образования г. Сызрань"</t>
  </si>
  <si>
    <t>1. зарегистрированные общественные, благотворительные, некоммерческие организации, осуществляющие свою деятельность на территории городского округа;
2. некоммерческие государственные и муниципальные учреждения, осуществляющие свою деятельность на территории городского округа.; 
3. физические лица, достигшие возраста 18 лет, зарегистрированные и проживающие на территории городского округа.</t>
  </si>
  <si>
    <t xml:space="preserve">социально ориентированные некоммерческие организации, физические лица, государственные и муниципальные учреждения </t>
  </si>
  <si>
    <t>подрядная организация</t>
  </si>
  <si>
    <t>общественное голосование</t>
  </si>
  <si>
    <t>Количество жителей, принявших участие в голосовании</t>
  </si>
  <si>
    <t>количество жителей МКД благоустроенных дворов</t>
  </si>
  <si>
    <t>Подсчет благополучателей осуществлялся из расчета проживающих в МКД дворовой территории, где осуществлялось комплексное благоустройство в рамках программы "Твой конструктор двора"</t>
  </si>
  <si>
    <t>Выявление целевых групп  на основе территориального принципа</t>
  </si>
  <si>
    <t>количество благополучателей проектов ИБ / общее количество граждан, проживающих в районе в 2019 году * 100%.</t>
  </si>
  <si>
    <t>Количество населения, проживающего на территории благоустроенного пространства</t>
  </si>
  <si>
    <t>Подсчет количества благополучателей проектов ИБ проводилось методом сложения данных из отчетов по реализации проектов</t>
  </si>
  <si>
    <t>Количество благополучателей оценивается исходя из того количества граждан, физических/юридических лиц, посетивших мероприятие/воспользовавшихся той или иной услугой, оборудованиеем, в рамках реализуемого социального проекта</t>
  </si>
  <si>
    <t xml:space="preserve">На основании отчетов по проектам (+прилагаемые документы, фото, списки, отзывы благополучателей). </t>
  </si>
  <si>
    <t>Обязательным условием участия в данной подпрограмме является софинансирование проекта. Подпрограмма реализуется за счет средств местного бюджета, а также средства собранные жильцами домов (не менее 50 % от общей стоимости реализации проекта), где производится благоустройство детской площадки</t>
  </si>
  <si>
    <t>http://www.zdsamara.ru/about/info/messages/1662/</t>
  </si>
  <si>
    <t>35.74</t>
  </si>
  <si>
    <t xml:space="preserve">https://ru.wikipedia.org/wiki/%D0%A0%D0%B0%D0%B9%D0%BE%D0%BD%D1%8B_%D0%A1%D0%B0%D0%BC%D0%B0%D1%80%D1%8B </t>
  </si>
  <si>
    <t>http://komitet4.km.duma.gov.ru/upload/site28/10._Samarskaya_Gubernskaya_Duma.pdf</t>
  </si>
  <si>
    <t>https://gks.ru/dbscripts/munst/munst36/DBInet.cgi</t>
  </si>
  <si>
    <t>http://xn----7sbiew6aadnema7p.xn--p1ai/sity_id.php?id=371</t>
  </si>
  <si>
    <t>Муниципальное казенное учреждение городского округа Сызрань "Ресурсный центр поддержки развития местного самоуправления"</t>
  </si>
  <si>
    <t xml:space="preserve">Муниципальное казенное учреждение "Дом общественных организаций" городского округа Отрадный  </t>
  </si>
  <si>
    <t>Бюджет городского округа Сызрань</t>
  </si>
  <si>
    <t xml:space="preserve">Городской бюджет (Муниципальная программа городского округа Отрадный «Поддержка социально ориентированных некоммерческих организаций и объединений, благотворительной деятельности, добровольчества в городском округе Отрадный Самарской области на 2019-2021 годы»)
</t>
  </si>
  <si>
    <t>53 человека (управляющие микрорайоном, сотрудники отдела по работе с общественными объединениями, сотрудники отдела по подготовке технической документации и сопровождению муниципальных программ)</t>
  </si>
  <si>
    <t>Инициативные группы жителей собирали подписи за благоустройство своих дворовых территорий</t>
  </si>
  <si>
    <t>журнал регистрации</t>
  </si>
  <si>
    <t>Проводились собрания c жителями во дворах</t>
  </si>
  <si>
    <t>фотоматериал</t>
  </si>
  <si>
    <t>Протокол общего собрания жителей многоквартирного дома или уличного пространства</t>
  </si>
  <si>
    <t>Журнал регистрации</t>
  </si>
  <si>
    <t>Протокол общего собрания жителей многоквартирного дома/уличного пространства</t>
  </si>
  <si>
    <t>Протоколы заседаний общественных советов микрорайона</t>
  </si>
  <si>
    <t>Журнал проведения очных всетреч и конультаций</t>
  </si>
  <si>
    <t>Предоставление заявок в отдел по работе с общественными объединениями Администрации района</t>
  </si>
  <si>
    <t>Прием заявок осуществлялся по адресу: г.Самара, ул.Краснодонская,32, 2 корпус, каб.218</t>
  </si>
  <si>
    <t>Пункт приема заявок осуществлялся по адресу: г.Самара, ул.Некрасовская,38, каб.24</t>
  </si>
  <si>
    <t>регистрация в журнале заявок</t>
  </si>
  <si>
    <t>Отчёт об исполнении ведомственной целевой программы "Содействие развитию общественного самоуправления городского округа Сызрань Самарской области на 2016 – 2024 годы" в 2019 году, листы регистрации, банк инициатив</t>
  </si>
  <si>
    <t>Обсуждение идей происходит микрорайонах и некоммерческих организациях перед подготовкой и подачей готовых проектных заявок (официально не фиксируется). На защите проектов информация о проведении обсуждения сообщается экспертной комиссии в устной форме.</t>
  </si>
  <si>
    <t>Голосование на Пунктах общественного голосования</t>
  </si>
  <si>
    <t>фотоматериал, подписанные листы регистрации</t>
  </si>
  <si>
    <t>Проводилось очное голосование на 42 пунктах общественного голосования (по бюллетеням)</t>
  </si>
  <si>
    <t>Общественное голосование по выбору общественных инициатив на создание комфортных условий для проживания граждан на территории Октябрьского внутригородского района городского округа Самара в рамках конкурса "Твой конструктор двора"</t>
  </si>
  <si>
    <t>Счетные комиссии на пунктах общественного голосования</t>
  </si>
  <si>
    <t>http://www.zdsamara.ru/documents/%D0%9F%D0%BE%D1%81%D1%82%D0%B0%D0%BD%D0%BE%D0%B2%D0%BB%D0%B5%D0%BD%D0%B8%D0%B5%D0%BE%D1%8212072018_129.pdf</t>
  </si>
  <si>
    <t>https://samadm.ru/upload/iblock/7b4/protokol-zasedaniya-konkursnoy-komissii-ot-24.08.18.pdf                                                           https://samadm.ru/upload/iblock/7ef/post.373_373.pdf</t>
  </si>
  <si>
    <t>https://www.kuibsamara.ru/allfiles/201809/Protokol_zasedaniya_komissii_TKD(1651-30C2W).pdf</t>
  </si>
  <si>
    <t>протокол заседания комиссии</t>
  </si>
  <si>
    <t>Протокол заседания конкурсной комиссии, экспертиза проектных заявок</t>
  </si>
  <si>
    <t xml:space="preserve">Постановление Администрации городского окргуа Похвистнекво № 87 от 05.02.2019 года " О проведении городского конкурса социальных проектов по развитию территории городского окрга Похвистнево" </t>
  </si>
  <si>
    <t>Проведение экспертной комиссии, включающей в себя представителей власти и приглашенных экспертов</t>
  </si>
  <si>
    <t>книга регистрации</t>
  </si>
  <si>
    <t xml:space="preserve">Протоколы общественных комиссий  об итогах общественного голосования </t>
  </si>
  <si>
    <t>Протокол № 1 комиссии № 3201 об итогах общественного голосования на территории 3201;Протокол № 1 комиссии № 3202 об итогах общественного голосования на территории 3202;Протокол № 1 комиссии № 3203 об итогах общественного голосования на территории 3203;Протокол № 1 комиссии № 3204 об итогах общественного голосования на территории 3204;Протокол № 1 комиссии № 3205 об итогах общественного голосования на территории 3205;Протокол № 1 комиссии № 3206 об итогах общественного голосования на территории 3206;Протокол № 1 комиссии № 3207 об итогах общественного голосования на территории 3207;Протокол № 1 комиссии № 3208 об итогах общественного голосования на территории 3208;Протокол № 1 комиссии № 3209 об итогах общественного голосования на территории 3209;Протокол № 1 комиссии № 3210 об итогах общественного голосования на территории 3210;Протокол № 1 комиссии № 3211 об итогах общественного голосования на территории 3211Протокол № 1 комиссии № 3212 об итогах общественного голосования на территории 3212;Протокол № 1 комиссии № 3213 об итогах общественного голосования на территории 3213.</t>
  </si>
  <si>
    <t>Протокол № 1 комиссии № 3301 об итогах общественного голосования на территории 3301;Протокол № 1 комиссии № 3302 об итогах общественного голосования на территории 3302;Протокол № 1 комиссии № 3303 об итогах общественного голосования на территории 3303;Протокол № 1 комиссии № 3304 об итогах общественного голосования на территории 3304;Протокол № 1 комиссии № 3305 об итогах общественного голосования на территории 3305;Протокол № 1 комиссии № 3306 об итогах общественного голосования на территории 3306;Протокол № 1 комиссии № 3307 об итогах общественного голосования на территории 3307;Протокол № 1 комиссии № 3308 об итогах общественного голосования на территории 3308;Протокол № 1 комиссии № 3309 об итогах общественного голосования на территории 3309;Протокол № 1 комиссии № 3310 об итогах общественного голосования на территории 3310;Протокол № 1 комиссии № 3311 об итогах общественного голосования на территории 3311;Протокол № 1 комиссии № 3312 об итогах общественного голосования на территории 3312;Протокол № 1 комиссии № 3313 об итогах общественного голосования на территории 3313;Протокол № 1 комиссии № 3314 об итогах общественного голосования на территории 3314;Протокол № 1 комиссии № 3315 об итогах общественного голосования на территории 3315;Протокол № 1 комиссии № 3316 об итогах общественного голосования на территории 3316;Протокол № 1 комиссии № 3317 об итогах общественного голосования на территории 3317;Протокол № 1 комиссии № 3318 об итогах общественного голосования на территории 3318;Протокол № 1 комиссии № 3319 об итогах общественного голосования на территории 3319;Протокол № 1 комиссии № 3320 об итогах общественного голосования на территории 3320;Протокол № 1 комиссии № 3321 об итогах общественного голосования на территории 3321;Протокол № 1 комиссии № 3322 об итогах общественного голосования на территории 3322;Протокол № 1 комиссии № 3323 об итогах общественного голосования на территории 3323;Протокол № 1 комиссии № 3324 об итогах общественного голосования на территории 3324;Протокол № 1 комиссии № 3325 об итогах общественного голосования на территории 3325;Протокол № 1 комиссии № 3326 об итогах общественного голосования на территории 3326;Протокол № 1 комиссии № 3327 об итогах общественного голосования на территории 3327;Протокол № 1 комиссии № 3328 об итогах общественного голосования на территории 3328;Протокол № 1 комиссии № 3329 об итогах общественного голосования на территории 3329;Протокол № 1 комиссии № 3330 об итогах общественного голосования на территории 3330; Протокол № 1 комиссии № 3331 об итогах общественного голосования на территории 3331;Протокол № 1 комиссии № 3332 об итогах общественного голосования на территории 3332;Протокол № 1 комиссии № 3333 об итогах общественного голосования на территории 3333;Протокол № 1 комиссии № 3334 об итогах общественного голосования на территории 3334;Протокол № 1 комиссии № 3335 об итогах общественного голосования на территории 3335;Протокол № 1 комиссии № 3336 об итогах общественного голосования на территории 3336;Протокол № 1 комиссии № 3337 об итогах общественного голосования на территории 3337;Протокол № 1 комиссии № 3338 об итогах общественного голосования на территории 3338;Протокол № 1 комиссии № 3339 об итогах общественного голосования на территории 3339;Протокол № 1 комиссии № 3340 об итогах общественного голосования на территории 3340;Протокол № 1 комиссии № 3341 об итогах общественного голосования на территории 3341;Протокол № 1 комиссии № 3342 об итогах общественного голосования на территории 3342;</t>
  </si>
  <si>
    <t xml:space="preserve">трудовое участие </t>
  </si>
  <si>
    <t>Трудовое участие жителей, предоставление растений и расходных материалов, хозяйственного инвентаря из личного хозяйственного пользования для целей реализации проектов, использование личной офисной техники, ресурсная помощь партнеров проекта и ресурсная поддержка со стороны органов местного самоуправления, организаций бюджетной сферы (оборудованные помещения, предоставление инвентаря во временное пользование, транспортные услуги, канцтовары, предметы для творчества, инвентарь)</t>
  </si>
  <si>
    <t>трудовое участие граждан (проведение субботников во дворах МКД)</t>
  </si>
  <si>
    <t xml:space="preserve">Трудовое, организационное участие граждан/юридических лиц в реализации социального проекта,привелечение добровльнических/волонтерских групп. </t>
  </si>
  <si>
    <t>Участие добровольцев в реализации проекта</t>
  </si>
  <si>
    <t xml:space="preserve">http://www.zdsamara.ru/dlya-naseleniya/tvoy-konstruktor-dvora/ </t>
  </si>
  <si>
    <t xml:space="preserve">https://www.kuibsamara.ru/konstruktor_dvora/  </t>
  </si>
  <si>
    <t>https://www.samadm.ru/media/news/15936/?sphrase_id=269596</t>
  </si>
  <si>
    <t>https://samadm.ru/authority/industrial-inner-city/</t>
  </si>
  <si>
    <t>https://samadm.ru/authority/samarsky_district/the-formation-of-a-comfortable-urban-environment-sam/</t>
  </si>
  <si>
    <t>http://sovadmsamara.ru/search/?search=%D1%82%D0%B2%D0%BE%D0%B9%20%D0%BA%D0%BE%D0%BD%D1%81%D1%82%D1%80%D1%83%D0%BA%D1%82%D0%BE%D1%80%20%D0%B4%D0%B2%D0%BE%D1%80%D0%B0</t>
  </si>
  <si>
    <t>https://vk.com/rescentrsyz</t>
  </si>
  <si>
    <t>http://www.nvkb.ru/city/cssr/</t>
  </si>
  <si>
    <t>http://www.pohgor.ru/sociosfera/prestige-pricing/image-projects_15.html</t>
  </si>
  <si>
    <t xml:space="preserve">https://ok.ru/video/800948621800
https://vk.com/video-65854460_456242693
http://zdsamara.ru/about/info/news/1621/?sphrase_id=3387 </t>
  </si>
  <si>
    <t xml:space="preserve">https://vmeste-region.ru/news/440  https://twitter.com/orlova_d/status/1182927343561723905  https://twitter.com/orlova_d/status/1182927606070554624 </t>
  </si>
  <si>
    <t xml:space="preserve">     https://twitter.com/kuibadm   
                             </t>
  </si>
  <si>
    <t>https://twitter.com/Leninski_golos 
https://vk.com/leninskiy63?w=wall-168255131_884</t>
  </si>
  <si>
    <t>https://twitter.com/Adm_Okt_Samara/status/1159033256630804480</t>
  </si>
  <si>
    <t xml:space="preserve">https://twitter.com/AdmSamRna/status/1181527169165664256
https://twitter.com/AdmSamRna/status/1163402225789689857
https://twitter.com/AdmSamRna/status/1158672382489518080
https://twitter.com/AdmSamRna/status/1156449391156310018
https://twitter.com/AdmSamRna/status/1156106545261924352
https://twitter.com/AdmSamRna/status/1154648799194865665
https://twitter.com/AdmSamRna/status/1101408764207476736
https://twitter.com/AdmSamRna/status/1096097204727476224
https://twitter.com/AdmSamRna/status/1096046351387934720
https://twitter.com/AdmSamRna/status/1095948925440348160
https://vk.com/wall-118110564_700
https://vk.com/wall-118110564_664
</t>
  </si>
  <si>
    <t xml:space="preserve">http://adm.syzran.ru/  https://vk.com/szradm  http://rcszr.ru/ https://ok.ru/rescentr </t>
  </si>
  <si>
    <t>https://vk.com/club51180168; https://vk.com/osm11_nsk</t>
  </si>
  <si>
    <t>https://vk.com/nkootr?w=wall-170038948_403</t>
  </si>
  <si>
    <t>http://admbezenchuk.ru/</t>
  </si>
  <si>
    <t>https://vmeste-region.ru/news/440</t>
  </si>
  <si>
    <t>https://samadm.ru/upload/iblock/1db/informatsionnoe-soobshchenie-po-provedeniyu-konkursa.docx</t>
  </si>
  <si>
    <t>https://yandex.ru/images/search?text=%D1%82%D0%B2%D0%BE%D0%B9%20%D0%BA%D0%BE%D0%BD%D1%81%D1%82%D1%80%D1%83%D0%BA%D1%82%D0%BE%D1%80%20%D0%B4%D0%B2%D0%BE%D1%80%D0%B0%20%D1%81%D0%B0%D0%BC%D0%B0%D1%80%D0%B0&amp;stype=image&amp;lr=51&amp;source=wiz&amp;pos=35&amp;img_url=https%3A%2F%2Fsun9-61.userapi.com%2Fc849332%2Fv849332482%2F3286a%2F32QWGHOmuYc.jpg&amp;rpt=simage</t>
  </si>
  <si>
    <t>https://vk.com/wall-159089020_990</t>
  </si>
  <si>
    <t>https://www.samadm.ru/authority/industrial-inner-city/for-the-population-industrial/</t>
  </si>
  <si>
    <t>https://samadm.ru/upload/iblock/385/7f9c67391e8bb5eea7c573300942a052.jpg</t>
  </si>
  <si>
    <t>https://yadi.sk/i/S3VNNsdL57pYeg</t>
  </si>
  <si>
    <t>https://vk.com/club51180168?z=photo-51180168_301206419%2Falbum-51180168_0%2Frev</t>
  </si>
  <si>
    <t>социальные сети; объявления на подъездах</t>
  </si>
  <si>
    <t>Через социальные сети (https://twitter.com/), путем размещения объявлений на информационных стендах на территории района</t>
  </si>
  <si>
    <t>социальные сети, объявления на подъездах, на собраниях жителей через управляющих микрорайонами</t>
  </si>
  <si>
    <t xml:space="preserve">социальные сети(Instagram, Вконтакте, Twitter); Волжская коммуна, объявления на подъездах.https://twitter.com/kuibadm/status/1025082968157704194, https://twitter.com/tac2606/status/1024714838411550720, https://www.vkonline.ru/content/view/204346/sdelaj-sam, https://twitter.com/gordeevaiv1/status/1024566876926554112, https://twitter.com/kuibadm/status/1023537263303643136, https://twitter.com/kuibadm/status/1023537263303643136, </t>
  </si>
  <si>
    <t>В социальной сети Твитер аккаунт Твой_Конструктор_Двора_Ленинский_район на  данный момент  охвачен 109 читателями. В этом аккаунте мы выкладываем информацию о ходе реализации практики,  а также на этой платформе у нас проходит онлайн голосование с выявлением победителя. Группа Администрации Ленинского района в социальной сети ВКонтакте на данный момент охвачена 1462 пользователями. В ней размещаются раздаточные материалы по практике, а также информация о ходе реализации практики.</t>
  </si>
  <si>
    <t>Посты в социальных сетях</t>
  </si>
  <si>
    <t>информационные сообщения на сайте Администрации, социальные сети, объявления на информационной доске в домах, разъяснительные беседы на собраниях с собственниками жилья управляющими микрорайонов и председателями ТОС</t>
  </si>
  <si>
    <t>https://www.youtube.com/watch?v=D9iYDJ477d8
https://www.youtube.com/watch?v=QvAp8glA31Q
https://www.youtube.com/watch?v=bRUqohu6uHg
https://www.guberniatv.ru/news/v-samare-izbavyatsya-ot-opasnoy-detskoy-ploshchadki/
https://www.youtube.com/watch?v=IDye6reiqa4</t>
  </si>
  <si>
    <t>Информационная кампания проводилась через все возможные источники информации: социальные сети, СМИ, городские новостные порталы и ресурсы. Наибольший эффект по распространению информации получен в социальных сетях - количество просмотров публикаций по тематике конкурса достигает более 20 тысяч. Примеры публикаций:                                                      https://vk.com/rescentrsyz?w=wall-124511519_1889                https://vk.com/rescentrsyz?w=wall-124511519_2091                       https://vk.com/rescentrsyz?w=wall-124511519_2226                                  https://vk.com/rescentrsyz?w=wall-124511519_2272                     https://www.mysyzran.ru/stal-izvesten-pobeditel-konkursa-sotsialnyh-initsiativ-syzrani/                                                                 https://www.syzran-small.ru/news-41238                                           http://sonko.samregion.ru/news/catalog/8553                                               https://sizran.bezformata.com/listnews/sizrani-podderzhala-sotcialnie-initciativi/76968960/                                                                            http://adm.syzran.ru/index.php?id=229&amp;tx_news_pi1%5Bnews%5D=3529&amp;cHash=633fa8e4d10d04e9284c3ee91b4314c0</t>
  </si>
  <si>
    <t>В течении года на постоянной основе в различных группах социальных сетей (страницы муниципальных предприятий, сайт новокуйбышевского телевидения, МБУ "ЦССР", "Новокуйбышевск официальный" и др.) размещались видео-сюжеты, новостные материалы о прошедших или предстоящих событиях, выполненных или запланированных работах по благоустройству дворовых территорий, проведенных или планируемых субботниках и т.д.                                                                                                                  Видео-сюжеты - https://vk.com/videos-51180168; https://vk.com/tvn163?w=wall-74400350_32415; https://vk.com/tvn163?w=wall-74400350_32397; https://vk.com/tvn163?w=wall-74400350_32393.                                            Новости - https://vk.com/nvkbofficial?w=wall-161278487_499; https://vk.com/club51180168?w=wall-51180168_1656%2Fall; https://vk.com/club51180168?w=wall-51180168_1653%2Fall; https://vk.com/club51180168?w=wall-51180168_1652%2Fall; https://vk.com/club51180168?w=wall-51180168_1651%2Fall; https://vk.com/club51180168?w=wall-51180168_1646%2Fall; https://vk.com/club51180168?w=wall-51180168_1643%2Fall;https://vk.com/club51180168?w=wall-51180168_1637%2Fall</t>
  </si>
  <si>
    <t>Информирование о предстоящем конкурсе социальных проектов/подведении итогов/реализации каждого социального проекта проводилось через социальные сети, газету "Похвистневский вестник", через официальный сайт Администрации городского округа Похвистнево.</t>
  </si>
  <si>
    <t>Размещение информации в социальных сетях, газете "Рабочая трибуна", на телеканале "ТРК-Отрадный"      http://www.otradny24.ru/news-short/38817/?sphrase_id=382502 
https://vk.com/nkootr?z=video-178516669_456239356%2F63f5e99eaa0c44fbad%2Fpl_post_-170038948_219
https://vk.com/nkootr?z=video-178516669_456239327%2F46203e2b168e42070b%2Fpl_post_-170038948_214</t>
  </si>
  <si>
    <t>не имелось</t>
  </si>
  <si>
    <t>Листовки, буклеты</t>
  </si>
  <si>
    <t>https://twitter.com/RjnTvmVFS4vBtTm/status/1022895466944647168, https://twitter.com/EVelichkoTOS/status/1022372696800325633</t>
  </si>
  <si>
    <t>https://yandex.ru/images/search?text=%D1%82%D0%B2%D0%BE%D0%B9%20%D0%BA%D0%BE%D0%BD%D1%81%D1%82%D1%80%D1%83%D0%BA%D1%82%D0%BE%D1%80%20%D0%B4%D0%B2%D0%BE%D1%80%D0%B0%20%D1%81%D0%B0%D0%BC%D0%B0%D1%80%D0%B0&amp;stype=image&amp;lr=51&amp;source=wiz&amp;p=2&amp;pos=90&amp;rpt=simage&amp;img_url=https%3A%2F%2Fpbs.twimg.com%2Fmedia%2FDjmk5u-X4AEleY4.jpg%3Alarge</t>
  </si>
  <si>
    <t>Буклеты, каталоги, плакаты, листовки</t>
  </si>
  <si>
    <t>https://samadm.ru/upload/iblock/5e6/Informatsionnoe-soobshchenie.pdf
https://www.samadm.ru/authority/industrial-inner-city/for-the-population-industrial/       (архив материалов по ТКД 2018)</t>
  </si>
  <si>
    <t xml:space="preserve">Используются листовки и буклеты, ссылки на образцы: https://yadi.sk/i/93qMldtAnPqC8A              https://yadi.sk/i/BsoFWwoLvrFVHw                                                        </t>
  </si>
  <si>
    <t>В социальной сети Вконтакт на странице МБУ "ЦССР" регулярно в течении года размещалась информация о проводимых мероприятиях ввиде пригласительной листовки (например праздник Двора), на которых жители могли высказать свои пожеоания по благоустройству дворовых территорий и оценить результат выполненных работ.         https://vk.com/club51180168?w=wall-51180168_1684%2Fall; https://vk.com/club51180168?w=wall-118232974_819; https://vk.com/club51180168?w=wall-118232974_818; https://vk.com/club51180168?w=wall-51180168_1622%2Fall</t>
  </si>
  <si>
    <t>Методические рекомендации по подготовке конкурсной заявки.</t>
  </si>
  <si>
    <t xml:space="preserve">Формат: 1.обучение управляющих микрорайонами; 2.семинары-встречи, собрания. Периодичность: ежедневно по графику встреч с 16.07.2018 г. по 16.08.2018 г. </t>
  </si>
  <si>
    <t>Обучение управляющих микрорайоном и председателей ТОС</t>
  </si>
  <si>
    <t>"Школа садоводов-огородников: труд и знания в дело!", «Неделя экологии» - круглый стол,. Региональная общественная приемная политической партии «Единая Россия», Форум «Национальные проекты России», Расширенное заседание Совета Общественной палаты г.о.Самара. Дума городского округа Самара, Совещание на тему о нововведении в правила благоустройства на территории г.о.Самара и принятия их Думой г.о.Самара., Общественные слушания по изменению правил благоустройства г.о.Самара, Форум гражданских инициатив, Экологический тур. слет  "Осень- 2019", Эко субботник, «Уютный двор»-мероприятие  по благоустройству,Общественные слушания по изменению правил благоустройства г.о.Самара</t>
  </si>
  <si>
    <t>Семинары, заседания членов Советов ТОС Ленинского района г.о. Самара</t>
  </si>
  <si>
    <t>Обучающие мероприятия с жителями во дворе дома по ул. Авроры, 122, ЦПКиО им М.Горького. Разъяснительные встречи с управляющими компаниями, товарищества собственников жилья, товарищества собственниками недвижимости, управляющими микрорайонами.</t>
  </si>
  <si>
    <t>Разъяснительные встречи с членами общественных советов микрорайонов, органами территориального общественного самоуправления, собственниками жилых помещений многоквартирных домов</t>
  </si>
  <si>
    <t>разъяснительная встреча с председателями Советов  МКД, председателями ТСЖ</t>
  </si>
  <si>
    <t>В рамках подготовки проектных заявок на участие в конкурсе было проведены обучающие семинары по социальному проектированию, медиамастерской и написанию отчетности по проекту.</t>
  </si>
  <si>
    <t>Школа жилищного просвещения</t>
  </si>
  <si>
    <t xml:space="preserve">Проводились консультационные семминары по написанию и подготовке конкурсных заявок. Участие в семминарах принимали: общественные, благотворительные, некоммерческие учреждения, некоммерческие государственные и муниципальные учреждения, осуществляющие свою деятельность на территории г.о. Похвистнево, а также физические лица проживающие на территории городского округа.     </t>
  </si>
  <si>
    <t>Проектные школы</t>
  </si>
  <si>
    <t>Куликова Екатерина Дмитриевна - заместитель Главы Администрации Железнодорожного внутригородского района по вопросам социальной сферы, работе с общественными объединениями</t>
  </si>
  <si>
    <t>Орлова Дарья Григорьевна</t>
  </si>
  <si>
    <t>Акритова Виолетта Тариеловна - начальник отдела по взаимодействию с общественными объединениями и СМИ Красноглинского внутригородского района городского округа Самара</t>
  </si>
  <si>
    <t>Аскерова Эмилия Юрьевна - заместитель Главы Администрации Куйбышевского внутригородского района</t>
  </si>
  <si>
    <t>Лунев Артем Владимирович - Заместитель главы Администрации Ленинского внутригородского района г.о.Самара</t>
  </si>
  <si>
    <t>Кришталь Марина Алексеевна, заместитель главы Администрации Октябрьского внутригородского района городского округа Самара</t>
  </si>
  <si>
    <t>Горшкова Ирина Владимировна - начальник отдела по работе с населением и общественными объединениями Администрации Промышленного внутригородского района городского округа Самара</t>
  </si>
  <si>
    <t>Быстрова Екатерина Александровна - начальник отдела финансового планирования Администрации Самарского внутригородского района городского округа Самара, Голубева Ольга Владимировна - начальник отдела по работе с населением и общественными объединениями Администрации Самарского внутригородского района городского округа Самара</t>
  </si>
  <si>
    <t>Семенюк татьяна Анатольевна - начальник отдела финансового планирования и экономики Администрации Советского внутригородского района городского округа Самара</t>
  </si>
  <si>
    <t>Сетежев Валерий Павлович, Руководитель муниципального казенного учреждения "Ресурсный центр поддержки развития местного самоуправления"</t>
  </si>
  <si>
    <t>Малофеева Лариса Юрьевна заместитель директора МБУ "Центр ССР"</t>
  </si>
  <si>
    <t>Герасимова Елена Михайловна</t>
  </si>
  <si>
    <t>Шевалье Марина Александровна, директор муниципального казенного учреждения "Дом общественных организаций" городского округа Отрадный Самарской области</t>
  </si>
  <si>
    <t>8 (846) 339-01-07</t>
  </si>
  <si>
    <t>(846)933-15-17</t>
  </si>
  <si>
    <t>8(846) 9500252</t>
  </si>
  <si>
    <t>8 (846) 330-06-06</t>
  </si>
  <si>
    <t>8(846)339-27-22</t>
  </si>
  <si>
    <t>8(846)3356808</t>
  </si>
  <si>
    <t>8 (846)995 99 08</t>
  </si>
  <si>
    <t>8 (846)332-16-51, 8 (846)332-43-51</t>
  </si>
  <si>
    <t xml:space="preserve">8 (846)262 27 64, </t>
  </si>
  <si>
    <t>8 (8464) 35-83-70</t>
  </si>
  <si>
    <t>код города: 884635 тел: 6-92-51</t>
  </si>
  <si>
    <t>8(846) 56 2-63-31</t>
  </si>
  <si>
    <t>8(84661)3-07-27</t>
  </si>
  <si>
    <t>KulikovaED@samadm.ru</t>
  </si>
  <si>
    <t>Orlova-d@yandex.ru</t>
  </si>
  <si>
    <t xml:space="preserve"> AkritovaVT@samadm.ru</t>
  </si>
  <si>
    <t>AskerovaEJu@samadm.ru</t>
  </si>
  <si>
    <t>LunevAV@samadm.ru</t>
  </si>
  <si>
    <t xml:space="preserve">oktadm@samadm.ru </t>
  </si>
  <si>
    <t>promtos63@mail.ru</t>
  </si>
  <si>
    <t>BystrovaEA@samadm.ru       GolubevaOV@samadm.ru</t>
  </si>
  <si>
    <t>Semenjukta@samadm.ru</t>
  </si>
  <si>
    <t xml:space="preserve">resursnyicentr-syzran@yandex.ru </t>
  </si>
  <si>
    <t xml:space="preserve">cssr-nsk@bk.ru </t>
  </si>
  <si>
    <t>invest-pokhvistnevo@yandex.ru</t>
  </si>
  <si>
    <t>nkootr@bk.ru</t>
  </si>
  <si>
    <t>Власова Ирина Мулевна - заместитель Главы Администрации Железнодорожного внутригородского района по финансово-экономическим вопросам</t>
  </si>
  <si>
    <t>Соловьева Оксана Евгеньевна</t>
  </si>
  <si>
    <t>Емельянова Татьяна Николаевна - начальник отдела экономического анализа и финансового планирования Красноглинского внутригородского района городского округа Самара</t>
  </si>
  <si>
    <t>Когдин Артём Андреевич - заместитель Главы Администрации Куйбышевского внутригородского района</t>
  </si>
  <si>
    <t>Чегодайкина Людмила Владимировна - Начальник финансово-экономического отдела Администрации Ленинского внутригородского района г.о.Самара</t>
  </si>
  <si>
    <t>Антонова Ирина Петровна, начальник отдела по работе с населением и общественными объединениями Администрации Октябрьского внутригородского района городского округа Самара</t>
  </si>
  <si>
    <t>Маслова Евгения Владимировна - начальник финансово-экономического отдела Администрации Промышленного внутригородского района городского округа Самара</t>
  </si>
  <si>
    <t>Голубева Ольга Владимировна - начальник отдела по работе с населением и общественными объединениями Администрации Самарского внутригородского района городского округа Самара</t>
  </si>
  <si>
    <t>Таран Наталья Сергеевна - начальник отдела по работе с населением и общественными объединениями Администрации Советского внутригородского района городского округа Самара</t>
  </si>
  <si>
    <t>Попова Елена Николаевна, руководитель финансового управления администрации городского округа Новокуйбышевск</t>
  </si>
  <si>
    <t>Герасимичева Светлана Николаевна</t>
  </si>
  <si>
    <t>Глава г.п. Безенчук - Райская Наталья Владимировна</t>
  </si>
  <si>
    <t>8 (846) 339-01-15</t>
  </si>
  <si>
    <t>(846) 995-13-06</t>
  </si>
  <si>
    <t>8(846) 9505374</t>
  </si>
  <si>
    <t>8 (846) 330-32-52</t>
  </si>
  <si>
    <t>8(846)339-27-85</t>
  </si>
  <si>
    <t>8(846)3340424</t>
  </si>
  <si>
    <t>8 (846)995 92 98</t>
  </si>
  <si>
    <t>8 (846)332-43-51</t>
  </si>
  <si>
    <t>8 (846)262 28 72</t>
  </si>
  <si>
    <t>8(846)56 2-24-55</t>
  </si>
  <si>
    <t xml:space="preserve">8(84676)2-12-55, +7 937 660 24 74, </t>
  </si>
  <si>
    <t>VlasovaIM@samadm.ru</t>
  </si>
  <si>
    <t>SolovevaOE@samadm.ru</t>
  </si>
  <si>
    <t>EmeljanovaTN@samadm.ru</t>
  </si>
  <si>
    <t>KogdinAA@samadm.ru</t>
  </si>
  <si>
    <t>ChegodaikinaLV@samadm.ru</t>
  </si>
  <si>
    <t>econom.promadm@gmail.com</t>
  </si>
  <si>
    <t>GolubevaOV@samadm.ru</t>
  </si>
  <si>
    <t>Taranns@samadm.ru</t>
  </si>
  <si>
    <t>econom@nvkb.ru</t>
  </si>
  <si>
    <t>pohgor@samtel.ru</t>
  </si>
  <si>
    <t>gp-bezenchukso@yandex.ru</t>
  </si>
  <si>
    <t>муниципальное образование Алапаевское</t>
  </si>
  <si>
    <t>Новоуральский городской округ</t>
  </si>
  <si>
    <t>город Екатеринбург</t>
  </si>
  <si>
    <t>муниципальный проект "Народный бюджет"</t>
  </si>
  <si>
    <t>Инициативное бюджетирование на территории муниципального образования "город Екатеринбург"</t>
  </si>
  <si>
    <t xml:space="preserve">постановление Администрации муниципального образования Алапаевское от 26.02.2019 № 123 «Об  утверждении типового положения о Порядке проведения конкурсного отбора проектов инициативного бюджетирования в сельских (поселковой) администрациях Администрации муниципального образования Алапаевское»  </t>
  </si>
  <si>
    <t>Постановление Администрации Новоуральского городского округа от 05.07.2016 № 1471-а "О подготовке и реализации муниципального проекта "Народный бюджет 2016-2019"</t>
  </si>
  <si>
    <t>Постановление Администрации города Екатеринбурга от 21.09.2018 № 2345 "Об утверждении Положения о реализации проектов инициативного бюджетирования на территории муниципального образования "город Екатеринбург"</t>
  </si>
  <si>
    <t>Администрация муниципального образования Алапаевское</t>
  </si>
  <si>
    <t>Администрация Новоуральского городского округа</t>
  </si>
  <si>
    <t>Департамент финансов Администрации города Екатеринбурга</t>
  </si>
  <si>
    <t>Комитет по жилищно-коммунальному хозяйству и жилищной политике  Новоуральского городского округа, Комитет по делам молодежи, семьи, спорту и социальным программам  Администрации Новоуральского городского округа</t>
  </si>
  <si>
    <t>Департамент образования Администрации города Екатеринбурга, Управление культуры Администрации города Екатеринбурга, Управление по физической культуре и спорту Администрации города Екатеринбурга, Администрация Ленинского района города Екатеринбурга, Администрация Орджоникидзевского района города Екатеринбурга, Администрация Железнодорожного района города Екатеринбурга, Администрация Кировского района города Екатеринбурга</t>
  </si>
  <si>
    <t>финансовое обеспечение казенных учреждений по бюджетной смете, предоставление субсидий юридическим лицам и некоммерческим организациям</t>
  </si>
  <si>
    <t>Субсидии на иные цели, смета казенного учреждения</t>
  </si>
  <si>
    <t>Верхнесинячихинская поселковая администрация Администрации муниципального образования Алапаевское, Муниципальное учреждение культуры "Верхнесинячихинское клубное объединение" муниципального образования Алапаевское.</t>
  </si>
  <si>
    <t>ГРБС - КМСиСП, ГРБС - КЖКХ, МКУ "Управление капитального строительства"</t>
  </si>
  <si>
    <t>МКУ "Служба заказчика Орджоникидзевского района", Администрация Железнодорожного района города Екатеринбурга, Муниципальное автономное общеобразовательное учреждение - гимназия №13, Муниципальное автономное общеобразовательное учреждение Гимназия № 210 "Корифей", Муниципальное автономное общеобразовательное учреждение средняя общеобразовательная школа № 76 с углубленным изучением отдельных предметов, Муниципальное автономное учреждение культуры "Культурно-досуговый центр "Дружба", Муниципальное автономное учреждение культуры "Центр культуры "Эльмаш" имени Глазкова Юрия Петровича", Муниципальное бюджетное дошкольное образовательное учреждение - детский сад комбинированного вида № 464,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воспитанников № 28 "Теремок", Муниципальное бюджетное общеобразовательное учреждение - средняя общеобразовательная школа № 55, Муниципальное бюджетное учреждение дополнительного образования "Детско-юношеский центр "Юность", Муниципальное бюджетное учреждение дополнительного образования "Центр внешкольной работы  "Социум", Муниципальное бюджетное учреждение спортивная школа "Виктория", Муниципальное бюджетное учреждение спортивная школа "Юность", Муниципальное бюджетное учреждение спортивная школа олимпийского резерва горных видов спорта, Муниципальное бюджетное учреждение спортивная школа олимпийского резерва по футболу "ВИЗ", Муниципальное бюджетное общеобразовательное учреждение средняя общеобразовательная школа №18</t>
  </si>
  <si>
    <t>По домовым книгам</t>
  </si>
  <si>
    <t>792 человека - обучающиеся в школе д. Починок, 4 272 человек -уязвимые социальные группы и граждане с ограниченными возможностями</t>
  </si>
  <si>
    <t>По опросами населения города Екатеринбурга</t>
  </si>
  <si>
    <t>2.2%</t>
  </si>
  <si>
    <t>итоги переписи населения 2010 года, численность пгт.Верхняя Синячиха - 9999 чел.</t>
  </si>
  <si>
    <t>количество жителей на 01.01.2020- 82700 человек</t>
  </si>
  <si>
    <t>https://sverdl.gks.ru/</t>
  </si>
  <si>
    <t>Муниципальный проектный комитет по проведению конкурсного отбора проектов инициативного бюджетирования, реализауемых на территории муниципального образования "город Екатеринбург"</t>
  </si>
  <si>
    <t>бюджет муниципального образования "город Екатеринбург"</t>
  </si>
  <si>
    <t>2, в дополнение к имеющимся обязанностям</t>
  </si>
  <si>
    <t>подсчет количества заявок и подписей на них (при наличии)</t>
  </si>
  <si>
    <t>создан электронный ресурс narodngo@mail.ru для приема предложений и инициатив</t>
  </si>
  <si>
    <t>заявка на участие в конкурсном отборе</t>
  </si>
  <si>
    <t>онлайн голосование в социальной сети «ВКонтакте», открытая группа «Новоуральск - территория диалога»</t>
  </si>
  <si>
    <t>протокол комиссии</t>
  </si>
  <si>
    <t xml:space="preserve">проведено интернет- голосование по 1 262 инициативам по  6 направлениям </t>
  </si>
  <si>
    <t>был создан электронный ресурс narodngo@mail.ru для приема предложений и инициатив</t>
  </si>
  <si>
    <t>http://финансы.екатеринбург.рф/initsiativnoe-byudjetirovanie/</t>
  </si>
  <si>
    <t>http://adm-ngo.ru/term_finance/166</t>
  </si>
  <si>
    <t>в период с 07.07.2016 по 01.10.2016 был обеспечен анонс и информационное сопровождение в городских СМИ и на информационном портале Новоуральского городского округа , размещена наружная реклама (афиши, баннеры и др.), в постоянном режиме работали 13 пунктов по приему предложений и инициатив, был создан электронный ресурс narodngo@mail.ru для приема предложений и инициатив, ежедневно работала  «горячая»  телефонная линия на базе МБУ ДО «ДЮЦ»</t>
  </si>
  <si>
    <t>В сети интернет</t>
  </si>
  <si>
    <t>Презентация на встречах с гражданами</t>
  </si>
  <si>
    <t>личные встречи представителей администрации муниципального образованияс гражданами, совещания с руководителями бюджетных организаций, с сельскими главами, депутатами Думы муниципального образования  Алапаевское</t>
  </si>
  <si>
    <t>не проводятся</t>
  </si>
  <si>
    <t>не проводилось</t>
  </si>
  <si>
    <t>Ганиева Светлана Александровна, начальник отдела экономики Администрации МО Алапаевское</t>
  </si>
  <si>
    <t>Баранова Лариса Михайловна, начальник бюджетного отдела Горфинуправления</t>
  </si>
  <si>
    <t>Хоробрых Алена Викторовна, заместитель бюджетного управления Департамента финансов Екатеринбурга</t>
  </si>
  <si>
    <t>8(34370)7-09-94</t>
  </si>
  <si>
    <t>8 (343)-304-15-21</t>
  </si>
  <si>
    <t>admin_amo@ mail.ru</t>
  </si>
  <si>
    <t>l.baranova@adm-ngo.ru</t>
  </si>
  <si>
    <t>horobrih@efbu.ru</t>
  </si>
  <si>
    <t>в рамках мониторинга выполнения муниципальными образованиями  целевой модели  по организации общественного участи, а также вовлечению бизнеса и граждан в реализацию проектов благоустройства городской среды, одобренной Протоколом заседания проектного комитета по основному направлению стратегического развития Российской Федерации «ЖКХ и городская среда» от 11.04.2017 № 24 (форумы, опросы, интервьюирование, картирование, проведение фокус-групп, работа с отдельными группами пользователей, организация проектных семинаров, организация проектных мастерских (воркшопов), проведение дизайн-игр с участием взрослых и детей,  организация проектных мастерских со школьниками и студентами, школьные проекты (рисунки, сочинения, пожелания, макеты, проведение оценки эксплуатации территории, консультирование); форумы, опросы, интервьюирование, картирование, проведение фокус-групп, работа с отдельными группами пользователей, организация проектных семинаров, организация проектных мастерских (воркшопов), проведение дизайн-игр с участием взрослых и детей,  организация проектных мастерских со школьниками и студентами, школьные проекты (рисунки, сочинения, пожелания, макеты, проведение оценки эксплуатации территории, консультирование</t>
  </si>
  <si>
    <t>Ипатовский городской округ Ставропольского края</t>
  </si>
  <si>
    <t>Новоалександровский городской округ</t>
  </si>
  <si>
    <t>Муниципальная программа «Малое село Ипатовского городского округа Ставропольского края»</t>
  </si>
  <si>
    <t xml:space="preserve">Первоочередные расходы территориальных отделов администрации Новоалександровского городского округа Ставропольского края в области благоустройства территорий, с учетом привлечения безвозмездных поступлений </t>
  </si>
  <si>
    <t>Программа "Пятьдесят на пятьдесят"</t>
  </si>
  <si>
    <t xml:space="preserve"> Постановление администрации Ипатовского городского округа Ставропольского края от 25 декабря 2018 г. № 1675</t>
  </si>
  <si>
    <t xml:space="preserve">Постановление администрации Новоалександровского городского округа Ставропольского края от 18 февраля 2020 г. № 232 "Об утверждении Порядка предоставления и расходования средств бюджета Новоалександровского городского округа Ставропольского края на финансирование первоочередных расходов территориальных отделов администрации Новоалександровского городского округа Ставропольского края в области благоустройства территорий, с учетом привлечения безвозмездных поступлений" </t>
  </si>
  <si>
    <t>http://www.ipatovo.org/userfiles/file/2019/yanvar/post_1675_1_.rar</t>
  </si>
  <si>
    <t>http://newalexandrovsk.ru/upload/iblock/da3/da3836c2c102e07f37151d847ab25a69.pdf</t>
  </si>
  <si>
    <t>Администрация Ипатовского городского округа Ставропольского края</t>
  </si>
  <si>
    <t>администрация Новоалександровского городского округа Ставропольского края</t>
  </si>
  <si>
    <t>Управление по работе с территориями администрации Ипатовского городского округа Ставропольского края</t>
  </si>
  <si>
    <t>Территориальные отделы администрации Новоалександровского городского округа Ставропольского края</t>
  </si>
  <si>
    <t>Прочие расходы</t>
  </si>
  <si>
    <t>Иные</t>
  </si>
  <si>
    <t xml:space="preserve">Численность населения по поселениям-участникам практики на 01.01.2018г (Ген.план ИГО), всего-1,853тыс. чел. В том числе село Лесная Дача-0,493тыс. чел; село Красная Поляна-0,585тыс. чел; аул Нижний Барханчак-0,342тыс. чел; аул Верхний Барханчак-0,433тыс. чел. Численность населения Ипатовского ГО в среднем за 2018 год (данные Сев-КавСтата) - 57,454 тыс. чел.     </t>
  </si>
  <si>
    <t>https://stavstat.gks.ru/storage/mediabank/Численность%20населения%20на%2001.01.2019%20г.%20и%20в%20среднем%20за%202018%20год.rar
https://yadi.sk/d/b1_c9EhzNVpKCw</t>
  </si>
  <si>
    <t>анкеты</t>
  </si>
  <si>
    <t>Голосование в зале</t>
  </si>
  <si>
    <t>идеи принимаются во время приёма граждан</t>
  </si>
  <si>
    <t>Протоколы собраний граждан: с. Красная Поляна -Протокол №1от 07.05.2019г; с. Лесная Дача-Протокол №1 от 07.05.2019г; а.Нижний Барханчак-Протокол №1 от 18.04.2019г; а. Верхний Барханчак-Протокол №1 от 18.04.2019г</t>
  </si>
  <si>
    <t>Протокол №1 от 16.05.2019г</t>
  </si>
  <si>
    <t>комиссия конкурсного отбора</t>
  </si>
  <si>
    <t>субботники</t>
  </si>
  <si>
    <t>Предумотрено участие физических лиц, а также индивидуальных предпринимателей и организаций, как в денежной, так и в натуральной форме (в форме безвозмездного оказания услуг, выполнения работ, приобретения основных средств и материалов)</t>
  </si>
  <si>
    <t>http://newalexandrovsk.ru/press-tsentr/novosti/obyavlenie-o-provedenii-konkursa/</t>
  </si>
  <si>
    <t>объявления, анкеты; обращение в соцсети "Одноклассники" с призывом об участии в проекте</t>
  </si>
  <si>
    <t>Попов Владимир Николаевич,заместитель начальника  управления - начальник отдела жилищно-коммунального хозяйства и благоустройства</t>
  </si>
  <si>
    <t>Неровнов Игорь Владиславович, заместитель начальника финансового управления Администрации Новоалександровского городского округа</t>
  </si>
  <si>
    <t>+7 (905)419-03-93; 8(865 42) 5-72-32</t>
  </si>
  <si>
    <t>8 (86544) 6-06-58</t>
  </si>
  <si>
    <t xml:space="preserve"> &lt;popov.aimr@yandex.ru&gt;</t>
  </si>
  <si>
    <t>fiupravlenie@yandex.ru</t>
  </si>
  <si>
    <t>"Глазовский район"</t>
  </si>
  <si>
    <t>муниципальное образование "Завьяловский район"</t>
  </si>
  <si>
    <t>Кизнерский район</t>
  </si>
  <si>
    <t>Можгинский район</t>
  </si>
  <si>
    <t>город Сарапул</t>
  </si>
  <si>
    <t xml:space="preserve">Постановление Администрации муниципального образования "Глазовский район" от  01 марта 2019 года № 1.28 "О реализации муниципальных проектов инициативного бюджетирования «Наше село»на территории муниципальных образований –сельских поселений  Глазовского района"
</t>
  </si>
  <si>
    <t>О поддержке проектов местных инициатив на территории муниципального образования "Завьяловский район"</t>
  </si>
  <si>
    <t>Поддержка проектов местных инициатив</t>
  </si>
  <si>
    <t xml:space="preserve">муниципальный проект инициативного бюджетирования среди  сельских поселений Можгинского района  «Наше село»  </t>
  </si>
  <si>
    <t>Проект инициативного бюджетирования "Наше село"</t>
  </si>
  <si>
    <t>Поддержка проектов местных инициатив, местные инициативы</t>
  </si>
  <si>
    <t xml:space="preserve">Постановление Администрации муниципального образования "Глазовский район" от  01 марта 2019 года № 1.28 "О реализации муниципальных проектов инициативного бюджетирования «Наше село»на территории муниципальных образований –сельских поселений  Глазовского района"
</t>
  </si>
  <si>
    <t>Постановление Администрации муниципального образования "Завьяловский район" от 21.02.2019 № 276 "О поддержке проектов местных инициатив на территории муниципального образования "Завьяловский район"</t>
  </si>
  <si>
    <t>Постановление №729 от 07.12.2018 г. Об утверждении Порядка поддержки проектов местных инициатив на территории муниципального образования «Кизнерский район»</t>
  </si>
  <si>
    <t xml:space="preserve">постановление Администрации муниципального образования «Можгинский район» от 1 февраля 2019 года № 48 «О реализации на территории Можгинского района муниципальных проектов инициативного бюджетирования среди  сельских поселений Можгинского района  «Наше село»  
</t>
  </si>
  <si>
    <t>Постановление Администрации города Сарапула №2382 от 13.09.2017 года "Об утверждении Порядка поддержки проектов местных инициатив на территории города Сарапула"</t>
  </si>
  <si>
    <t>http://glazrayon.ru/city/fin/podderzhka/norm/</t>
  </si>
  <si>
    <t>http://завьяловский.рф/about/initsiativnoe-byudzhetirovanie/</t>
  </si>
  <si>
    <t>http://www.mozhga-rayon.ru/about/info/initsiativnoe-byudzhetirovanie-nashe-selo/</t>
  </si>
  <si>
    <t>http://www.adm-sarapul.ru/city/finansy/podderzhka-proektov-mestnykh-initsiativ/norm_doc</t>
  </si>
  <si>
    <t>Администрация муниципального образования "Глазовский район", муниципальные образования -сельские поселения Глазовского района</t>
  </si>
  <si>
    <t>Управление экономического развития Администрации муниципального образования "Завьяловский район</t>
  </si>
  <si>
    <t>Администрация муниципального образования "Кизнерский район"</t>
  </si>
  <si>
    <t>Администрация муниципального образования "Можгинский район"</t>
  </si>
  <si>
    <t>Администрация города, управление жилищно-коммунального хозяйства</t>
  </si>
  <si>
    <t>Администрация муниципального образования "Глазовский район"</t>
  </si>
  <si>
    <t>Управление финансов Завьяловского района Удмуртской Республики</t>
  </si>
  <si>
    <t xml:space="preserve">Администрация МО "Верхнебемыжское", Администрация МО "Короленковское" </t>
  </si>
  <si>
    <t>Администрация города</t>
  </si>
  <si>
    <t>бюджетные ассигнования, лимиты бюджетных обязательств</t>
  </si>
  <si>
    <t>иные субсидии, иные формы</t>
  </si>
  <si>
    <t>Администрации муниципальных образований-сельских поселений Глазовского района</t>
  </si>
  <si>
    <t>Бюджеты муниципальных образований - сельских поселений</t>
  </si>
  <si>
    <t xml:space="preserve"> Администрации муниципальных образований "Верхнебемыжское", "Короленковское"</t>
  </si>
  <si>
    <t>МУ "Управление благоустройства", МУ "Служба заказчика по строительству, реконструкции и капитальному ремонту"</t>
  </si>
  <si>
    <t>По данным инициативной группы. Методика отсутствует.</t>
  </si>
  <si>
    <t>Количество жителей населенных пунктов по данным Росстата на начало года реализации проектов</t>
  </si>
  <si>
    <t>Доля благополучателей в общей численности населения населенного пункта (% от общего числа зарегистрированных жителей в населенном пункте) * 0,1</t>
  </si>
  <si>
    <t>Бальная оценка проектов в соответствии с критериями, утвержденными постановлением Администрации города от 13.09.2017г. №2382</t>
  </si>
  <si>
    <t>http://www.adm-sarapul.ru/city/finansy/podderzhka-proektov-mestnykh-initsiativ/index.php</t>
  </si>
  <si>
    <t>http://glazrayon.ru/city/economica/statistika/naselenie/</t>
  </si>
  <si>
    <t>Численность постоянного населения Кизнерского района по данным Росстата</t>
  </si>
  <si>
    <t>Заполненные анкеты</t>
  </si>
  <si>
    <t>Подомовой обход с анкетными листами</t>
  </si>
  <si>
    <t>Очные встречи граждан фиксировались протоколом собраний инициативных групп граждан с приложением фотофиксации. Протоколы и фото предоставлялись в комиссию по проведению конкурсного отбора проектов</t>
  </si>
  <si>
    <t>Протоколы сходов жителей ул. Мододежная д. Верхний Бемыж от 21.02, 25.03, 26.04 (70 человек); протоколы сходов жителей МО "Короленковское" 29.04, 23.10 (71 человек)</t>
  </si>
  <si>
    <t>Собрания граждан</t>
  </si>
  <si>
    <t>Очное голосование на собраниях и встречах граждан фиксировались протоколом собраний инициативных групп граждан с приложением фотофиксации. Протоколы и фото предоставлялись в комиссию по проведению конкурсного отбора проектов</t>
  </si>
  <si>
    <t>Протокол очного голосования жителей на собрании</t>
  </si>
  <si>
    <t>протокол заседания конкурсной комиссии  http://glazrayon.ru/city/fin/podderzhka/konkurs/</t>
  </si>
  <si>
    <t>КРИТЕРИИ оценки проекта местной инициативы
1 Освещение информации о проекте местной инициативы,  а также приглашение к участию местных жителей посредством СМИ,  социальных сетей, мессенджеров и т.д. 
(до собрания граждан) Нет  0   Да  5
2 Проведение мероприятий, посвященных предварительному обсуждению проекта (подписные листы, анкеты, предварительные собрания, подомовой обход, в группе в социальных сетях и т.д.) Отсутствие  предварительного обсуждения 0
 Наличие  предварительного обсуждения 5
3 Степень участия населения в определении проблемы, заявленной в проекте (%-ное соотношение количества подписей в поддержку проекта к количеству зарегистрированных граждан в населенном пункте*)                   До 1 % включительно 1
  От 1,01 до 5 % 3
  Свыше 5 % 5
4 Уровень финансирования проекта за счет средств населения в денежной форме от общей потребности в финансировании проекта местной инициативы                                                                                                                     До 30 % включительно    1
  От 30,01 % до 50 % включительно    5
  Свыше 50 %   10
5 Уровень финансирования проекта за счет юридических лиц, индивидуальных предпринимателей, общественных организаций в денежной форме от общей потребности в финансировании проекта местной инициативы Нет  0
  До 10 % включительно 3
  Свыше 10 % 5
6 Удельный вес населения, получающего выгоду от реализации проекта (прямых благополучателей) (процентов от зарегистрированных граждан в населенном пункте) ** До 1 % включительно 1
  От 1,01 % до 5 % включительно 3
  Свыше 5 % 5
7 Срок эксплуатации результатов проекта (лет) До 1 года 1
  Свыше 1 года до 5 лет 3
  Свыше 5 лет 5
8 Участие населения (неоплачиваемый труд, материалы и др.) в реализации проекта при наличии соответствующего документального подтверждения (калькуляция, смета, другое) Не  предусматривается 0
  Предусматривается  1
9 По итогам реализации проекта предусмотрено мероприятие: «Торжественное открытие с установлением таблички и освещением в СМИ» (СМИ: сеть Интернет, периодические издания) *** Не предусмотрено  0
  Предусмотрено  1</t>
  </si>
  <si>
    <t>http://www.mozhga-rayon.ru/about/the-department-of-the-registry-office/%D0%BF%D1%80%D0%BE%D1%82%D0%BE%D0%BA%D0%BE%D0%BB%20%E2%84%961%20%D0%B7%D0%B0%D1%81%D0%B5%D0%B4.%20%D0%BA%D0%BE%D0%BD%D0%BA%D1%83%D1%80%D1%81.%20%D0%BA%D0%BE%D0%BC.pdf</t>
  </si>
  <si>
    <t>протокол общественной комиссии</t>
  </si>
  <si>
    <t>Этапы конкурсных процедур,  документация необходимая для участия в проекте, протоколы заседаний конкурсной комисии, нормативный акт о распределении бюджетных ассигнований между проектами, отчеты об реализации проектов размещаются на официальном сайте муниципального образования "Можгинский район"</t>
  </si>
  <si>
    <t>субботник, выравнивание мелких ям,выбоин,благоустройство территории</t>
  </si>
  <si>
    <t>Предоставление техники, оборудования, материалов, ручной труд</t>
  </si>
  <si>
    <t>трудовое участие граждан (организация субботников, подрезка кустарников и т.д.)</t>
  </si>
  <si>
    <t>http://завьяловский.рф/about/initsiativnoe-byudzhetirovanie/index.php</t>
  </si>
  <si>
    <t>http://mykizner.ru</t>
  </si>
  <si>
    <t>официальный сайт города Сарапула http://www.adm-sarapul.ru/city/finansy/podderzhka-proektov-mestnykh-initsiativ/index.php</t>
  </si>
  <si>
    <t>http://www.glazrayon.ru/poseleniya/mo_adamskoe/?SHOWALL_1=1    http://glazrayon.ru/poseleniya/mo_gulekovskoe/ http://glazrayon.ru/poseleniya/mo_kozhilskoe/index.php https://vk.com/id136073766 http://glazrayon.ru/poseleniya/mo_kuregovskoe/ http://glazrayon.ru/poseleniya/mo_urakovskoe/index.php?ELEMENT_ID=51175  https://vk.com/wall-175881648_253</t>
  </si>
  <si>
    <t>https://vk.com/andreikoniashin</t>
  </si>
  <si>
    <t>https://vk.com/kiznerdom</t>
  </si>
  <si>
    <t>https://vk.com/mozhraion</t>
  </si>
  <si>
    <t>Информация доводилась на сходах граждан, размещение информации на сайте МО "Завьяловский район" и в социальных сетях руководителей ОМСУ МО "Завьяловский район"</t>
  </si>
  <si>
    <t xml:space="preserve"> информация размещалась на информационном сайте муниципального образования "Можгинский район", через социальную сеть Вконтакте, проведение с населением культурно-массовых мероприятий, связанных с реализацией проекта</t>
  </si>
  <si>
    <t>Извещение на официальном сайте города Сарапула</t>
  </si>
  <si>
    <t>Главам муниципальных образований, инициативным группам и заинтересованным гражданам раздавались памятки по алгоритму действий в подаче заявки</t>
  </si>
  <si>
    <t>использование листовок</t>
  </si>
  <si>
    <t>На совещаниях с главами муниципальных образований сельских поселений</t>
  </si>
  <si>
    <t>Поздеева Надежда Николаевна</t>
  </si>
  <si>
    <t>Овсянникова Оксана Викторовна, заместитель начальника управления экономического развития по стратегическому развитию Администрации МО "Завьяловский район"</t>
  </si>
  <si>
    <t>Горбунов Павел Борисович</t>
  </si>
  <si>
    <t xml:space="preserve">Заглядина Светлана Константиновна- начальник Управления финансов Администрации муниципального образования «Можгинский район» </t>
  </si>
  <si>
    <t>Маркасова Ольга Вениаминовна</t>
  </si>
  <si>
    <t>(3412)62-17-60</t>
  </si>
  <si>
    <t>(34154)31765</t>
  </si>
  <si>
    <t>8 (34139) 3-21-40</t>
  </si>
  <si>
    <t>zavadm@yandex.ru</t>
  </si>
  <si>
    <t>kizner@inbox.ru</t>
  </si>
  <si>
    <t>budget.raifo@gmail.com</t>
  </si>
  <si>
    <t>zkh@saradmin.udmnet.ru</t>
  </si>
  <si>
    <t>Кулакова Мария Владимировна</t>
  </si>
  <si>
    <t>Барышское городское поселение Барышского района</t>
  </si>
  <si>
    <t>«Бекетовское сельское поселение» Вешкаймского района</t>
  </si>
  <si>
    <t>Вешкаймский район</t>
  </si>
  <si>
    <t>«Вешкаймское городское поселение» Вешкаймского района</t>
  </si>
  <si>
    <t xml:space="preserve"> город    Димитровград  </t>
  </si>
  <si>
    <t>город Новоульяновск</t>
  </si>
  <si>
    <t>город Ульяновск</t>
  </si>
  <si>
    <t>«Ермоловское сельское поселение» Вешкаймского района</t>
  </si>
  <si>
    <t>"Инзенское городское поселение" Инзенского района</t>
  </si>
  <si>
    <t xml:space="preserve"> «Каргинское сельское поселение» Вешкаймского района</t>
  </si>
  <si>
    <t xml:space="preserve">"Карсунское городское поселение" Карсунского района </t>
  </si>
  <si>
    <t>"Майнское городское поселение" Майнского района</t>
  </si>
  <si>
    <t>Мелекесский район</t>
  </si>
  <si>
    <t>Новоспасское городское поселение Новоспасского района</t>
  </si>
  <si>
    <t>Павловское городское поселение Павловского района</t>
  </si>
  <si>
    <t>Радищевское городское поселение Радищевского района</t>
  </si>
  <si>
    <t>Сенгилеевский район</t>
  </si>
  <si>
    <t>Старокулаткинское городское поселение Старокулаткинского района</t>
  </si>
  <si>
    <t>«Стемасское сельское поселение» Вешкаймского района</t>
  </si>
  <si>
    <t>Тереньгульское городское поселение Тереньгульского района</t>
  </si>
  <si>
    <t xml:space="preserve">Ульяновский район </t>
  </si>
  <si>
    <t xml:space="preserve">Муниципальное образование «Чердаклинский район» </t>
  </si>
  <si>
    <t xml:space="preserve">Чуфаровское городское поселение Вешкаймского района </t>
  </si>
  <si>
    <t>Базарносызганского городского поселения Базарносызганского района</t>
  </si>
  <si>
    <t>Большенагаткинское сельское поселение Цильнинского района</t>
  </si>
  <si>
    <t>"Кузоватовское городское поселение" Кузоватовского района</t>
  </si>
  <si>
    <t xml:space="preserve">Чердаклинское городское поселение Чердаклинского района </t>
  </si>
  <si>
    <t>Проект «Народный бюджет»</t>
  </si>
  <si>
    <t>«Народный бюджет»</t>
  </si>
  <si>
    <t>Постановление администрации города Димитровграда Ульяновской области от 04.04.2018 №607 "О реализации проекта "Народный бюджет - 2019"</t>
  </si>
  <si>
    <t>«Народный бюджет-2019»</t>
  </si>
  <si>
    <t>«Народный бюджет -2019»</t>
  </si>
  <si>
    <t xml:space="preserve">Народный бюджет </t>
  </si>
  <si>
    <t xml:space="preserve"> "Народный бюджет"</t>
  </si>
  <si>
    <t>Постановление администрации муниципального образования образования "Барышский район"  от 22.05.2015 № 490-А "О реализации проекта "Народный бюджет" в муниципальном образовании "Барышское городское поселение"</t>
  </si>
  <si>
    <t>Постановление администрации муниципального образования «Бекетовское сельское поселение» от 10.12.2018 № 70 «Об утверждении Положения о проекте «Народный бюджет».</t>
  </si>
  <si>
    <t xml:space="preserve">Постановление администрации муниципального образования «Вешкаймский район» от 27.10.2016 № 786 «Об утверждении Положения о проекте «Народный бюджет».
Постановление администрации муниципального образования «Вешкаймский район» от 24.04.2017 № 306 «Об утверждении Положения о проекте «Народный бюджет»
</t>
  </si>
  <si>
    <t>Постановление администрации муниципального образования «Вешкаймский район» от 24.04.2017  № 306 «Об утверждении Положения о проекте «Народный бюджет».</t>
  </si>
  <si>
    <t>постановление администрации города Димитровграда Ульяновской области от 04.04.2018 №607 "О реализации проекта "Народный бюджет - 2019"</t>
  </si>
  <si>
    <t>постановление администрации муниципального образования "город Новоульяновск" Ульяновской области от 29.06.2017 №529-П "Об утверждении Положения о проекте «Народный бюджет»</t>
  </si>
  <si>
    <t>Постановление администрации города Ульяновска "Об утверждении Положения о проекте «Народный бюджет» от 04.05.2016 № 1478 (с изменениями от 03.03.2017 № 448, от 20.03.2018 № 376, от 14.12.2018 № 2644, от 22.04.2019 № 837)</t>
  </si>
  <si>
    <t>Постановление администрации муниципального образования «Ермоловское сельское поселение» от 14.09.2018 № 38 «Об утверждении Положения о проекте «Народный бюджет».</t>
  </si>
  <si>
    <t>Постановление администрации муниципального образования "Инзенский район" от 26.05.2017г. №322 "О реализации проекта "Народный бюджет"</t>
  </si>
  <si>
    <t>Постановление администрации муниципального образования «Каргинское сельское поселение» от 01.02.2019 № 69 «Об утверждении Положения о проекте «Народный бюджет».</t>
  </si>
  <si>
    <t>Постановление администрации муниципального образования "Карсунский район" Ульяновской области от 27.06.2016 " 285 "Об утверждении Положения о проекте "Народный бюджет"</t>
  </si>
  <si>
    <t>Постановление администрации МО «Майнский район» от 17.08.2016 №723 «Об утверждении Положения о проекте «Народный бюджет»</t>
  </si>
  <si>
    <t>Постановление Администрации муниципального образования "Мелекесский район" Ульяновской области от 07.05.2019 №484</t>
  </si>
  <si>
    <t xml:space="preserve">постановление администрации от </t>
  </si>
  <si>
    <t>постановление Администрации муниципального образования "Павловский район"  Об утверждении Положения о реализации проекта "Народный бюджет" на территории муниципального образования Павловское городское поселение от04.04.2019г. №169   "Об утверждении Положения о реализации  проекта «Народный бюджет - 2019» на территории муниципального образования Павловское городское поселение Павловского района Ульяновской области"</t>
  </si>
  <si>
    <t xml:space="preserve">Постановление администрации МО "Радищевский район" Ульяновской области от 25.07.2019 № 501 </t>
  </si>
  <si>
    <t>Постановление № 455-п от 01.10.2018 года "Об утверждении Положения о проекте "Народный бюджет - 2019"</t>
  </si>
  <si>
    <t>Постановление  администрации муниципального образования  "Старокулаткинский район" №381 от 25.06.2015</t>
  </si>
  <si>
    <t>Постановление администрации муниципального образования «Стемасское сельское поселение» от 01.11.2018 № 45 «Об утверждении Положения о проекте «Народный бюджет».</t>
  </si>
  <si>
    <t>Постановление №358 от 03.08.2018 "О реализации проекта "Народный бюджет"-2019"</t>
  </si>
  <si>
    <t>Постановление администрации МО "Ульяновский район" от 16.03.2017 №204</t>
  </si>
  <si>
    <t>Постановление администрации муниципального образования «Чердаклинский район» Ульяновской области от 29.07.2016г. № 626 «Об утверждении Положения о реализации проекта «Народный бюджет»», 29.07.2016г.; Постановление администрации муниципального образования «Чердаклинский район» Ульяновской области от 29.07.2019г. № 930 «О внесении изменений в постановление администрации муниципального образования «Чердаклинский район» Ульяновской области от 29.07.2016г. № 626 «Об утверждении Положения о реализации проекта «Народный бюджет»»», 29.07.2019г.</t>
  </si>
  <si>
    <t>Постановление администрации муниципального образования Чуфаровское городское поселение от 16.08.2018 № 110 «Об утверждении Положения о проекте «Народный бюджет».</t>
  </si>
  <si>
    <t>Постановление администрации муниципального образования «Базарносызганский район» №190-П от 31.10.2017г. «О реализации проекта «Народный бюджет»</t>
  </si>
  <si>
    <t>Постановление Администрации муниципального образования «Большенагаткинское сельское поселение» Цильнинского района Ульяновской области №111 28.08.2017</t>
  </si>
  <si>
    <t>Постановление администрации МО «Кузоватовский район»  № 479 от 17.08.2015 г.  О реализации проекта Народный бюджет</t>
  </si>
  <si>
    <t xml:space="preserve">Постановление администрации муниципального образования «Чердаклинский район» Ульяновской области от 31.07.2019г. № 937  «О внесении изменений в постановление администрации муниципального образования «Чердаклинский район» Ульяновской области от 29.07.2016г. № 628 «Об утверждении Положения о реализации проекта «Народный бюджет» на территории муниципального образования «Чердаклинское городское поселение» Чердаклинского района Ульяновской области»», 31.07.2019г. </t>
  </si>
  <si>
    <t>http://barysh.org/regulatory/Post2015/490.pdf</t>
  </si>
  <si>
    <t>https://mo-veshkaima.ru/view_news.php?id=14236</t>
  </si>
  <si>
    <t>http://dimitrovgradpress.ru/index.php?option=com_content&amp;view=article&amp;id=2583:607&amp;catid=9&amp;Itemid=103</t>
  </si>
  <si>
    <t>http://novulsk.ru/administraciya/finansovyy-otdel/dokumenty/2062?attempt=1</t>
  </si>
  <si>
    <t>http://ulmeria.ru/ru/content/1478-04052016</t>
  </si>
  <si>
    <t>http://inza.ulregion.ru/74/1184/20536/20526/12114/</t>
  </si>
  <si>
    <t>http://karsunmo.ru/normdocnarbudget.html</t>
  </si>
  <si>
    <t xml:space="preserve">http://maina-admin.ru/about/statistics/butget </t>
  </si>
  <si>
    <t xml:space="preserve">http://adm-melekess.ru/strukturnye-podrazdelenija/narodnyi-byudzhet.html
</t>
  </si>
  <si>
    <t>http://novospasskoe.ulregion.ru/ekonomika/142/budjet_mo_novospasskoe_gor_poselenie.html</t>
  </si>
  <si>
    <t>http://pavlovka.ulregion.ru/laws/npa_2019/post_2019_1/12109/</t>
  </si>
  <si>
    <t>http://www.radishevo.ulregion.ru/165/4218/15180/</t>
  </si>
  <si>
    <t>http://sengilej.ru/filemanager.aspx?fileid=8032</t>
  </si>
  <si>
    <t>http://stkulatka.ulregion.ru/mz/marat/1933.html</t>
  </si>
  <si>
    <t xml:space="preserve">  http://www.terenga.ru/node/10494</t>
  </si>
  <si>
    <t>http://ulraion.ru/page/230</t>
  </si>
  <si>
    <t>https://cherdakli.com/?p=424;    https://cherdakli.com/?p=426;   https://cherdakli.com/?page_id=620</t>
  </si>
  <si>
    <t>http://bsizgan.ulregion.ru/npa/par-2017/6990.html</t>
  </si>
  <si>
    <t>http://www.b-nagatkinskoe.ru/</t>
  </si>
  <si>
    <t>http://kuzovatovo.ulregion.ru/5886/norma/6793/7975/</t>
  </si>
  <si>
    <t>администрация муниципального образования "Барышский район"</t>
  </si>
  <si>
    <t>администрации муниципального образования «Бекетовское сельское поселение»</t>
  </si>
  <si>
    <t>Администрации муниципального образования «Вешкаймский район»</t>
  </si>
  <si>
    <t>Управление финансов и муниципальных закупок города Димитровграда  Ульяновской области</t>
  </si>
  <si>
    <t>Финансовый отдел муниципального образования "город Новоульяновск"</t>
  </si>
  <si>
    <t>Финансовое управление администрации города Ульяновска</t>
  </si>
  <si>
    <t>Администрации муниципального образования «Ермоловское сельское поселение»</t>
  </si>
  <si>
    <t>администрация муниципального образования "Инзенский район"</t>
  </si>
  <si>
    <t>Администрации муниципального образования «Каргинское сельское поселение»</t>
  </si>
  <si>
    <t>администрация муниципального образования "Карсунский район" Ульяновской области</t>
  </si>
  <si>
    <t>администрация муниципального образования "Майнский район"</t>
  </si>
  <si>
    <t>Администрация муниципального образования "Мелекесский район" Ульяновской области</t>
  </si>
  <si>
    <t xml:space="preserve"> МО "Новоспасское городское поселение" Новоспасского района Ульяновской области</t>
  </si>
  <si>
    <t>Администрация муниципального образования "Павловский район"</t>
  </si>
  <si>
    <t>Отдел финансов Администрации муниципального образования"Радищевский район"</t>
  </si>
  <si>
    <t>Финансовое управление Администрации МО "Сенгилеевский район"</t>
  </si>
  <si>
    <t>Администрация муниципального образования "Старокулаткинский район"</t>
  </si>
  <si>
    <t>Администрации муниципального образования «Стемасское сельское поселение»</t>
  </si>
  <si>
    <t>Муниципальное учреждение Администрация муниципального образования «Тереньгульский район»</t>
  </si>
  <si>
    <t>Администрация МО "Ульяновский район"</t>
  </si>
  <si>
    <t>Муниципальное учреждение управление финансов муниципального образования "Чердаклинский район" Ульяновской области</t>
  </si>
  <si>
    <t>Администрация МО "Чуфаровское городское поселение"</t>
  </si>
  <si>
    <t>администрация муниципального образования «Базарносызганский район»</t>
  </si>
  <si>
    <t>Муниципальное учреждение Администрация муниципального образования «Большенагаткинское сельское поселение» Цильнинского района Ульяновской области</t>
  </si>
  <si>
    <t>администрация муниципального образования «Кузоватовский район»</t>
  </si>
  <si>
    <t xml:space="preserve">Администрация муниципального образования «Вешкаймский район»; </t>
  </si>
  <si>
    <t>Администрация муниципального образования «Вешкаймский район»</t>
  </si>
  <si>
    <t>Комитет по ЖКК города Димитровграда Ульяновской области,Управление образования города Димитровграда Ульяновской области,Комитет по физической культуре и  спорту Администрации города Димитровграда Ульяновской области</t>
  </si>
  <si>
    <t>Администрация муниципального образования "город Новоульяновск"</t>
  </si>
  <si>
    <t>Администрация города Ульяновска, Управление администрации города Ульяновска</t>
  </si>
  <si>
    <t>Финансовое управление администрации муниципального образования "Мелекесский район" Ульяновской области</t>
  </si>
  <si>
    <t>Администрация МО "Новоспасский район" Ульяновской области</t>
  </si>
  <si>
    <t>Отдел культуры и организация досуга населения Администрации МО"Радищевский район"</t>
  </si>
  <si>
    <t>Управление образования Администрации муниципального образования "Сенгилеевский район"</t>
  </si>
  <si>
    <t>МУ "Управление образования МО "Ульяновский район"</t>
  </si>
  <si>
    <t>бюджетные ассигнования</t>
  </si>
  <si>
    <t>бюджетные  средства</t>
  </si>
  <si>
    <t>бюджетные субсидии</t>
  </si>
  <si>
    <t>в форме субсидий бюджетным, автономным учреждениям и иным некоммерческим организациям</t>
  </si>
  <si>
    <t>Средства бюджета муниципального образования Карсунское городское поселение</t>
  </si>
  <si>
    <t>Средства бюджета муниципального образования "Мелекесский район" Ульяновской области</t>
  </si>
  <si>
    <t>финансирование</t>
  </si>
  <si>
    <t>средства бюджета МО "Сенгилеевский район"</t>
  </si>
  <si>
    <t>бюджетные средства</t>
  </si>
  <si>
    <t>Местный бюджет (бюджетные ассигнования)</t>
  </si>
  <si>
    <t>Бюджетные ассигнования</t>
  </si>
  <si>
    <t>средства бюджета (бюджетные ассигнования)</t>
  </si>
  <si>
    <t>Средства бюджета муниципального образования "Чердаклинское городское поселение" Чердаклинского района Ульяновской области</t>
  </si>
  <si>
    <t xml:space="preserve">МУ Управление образования муниципального образования  "Вешкаймский район" </t>
  </si>
  <si>
    <t>Общественная организация "Димитровградская местная татарская национально-культурная автономия"/МКУ "Гордские дороги"; МБОУ "Университетский лицей"/Управление образования города Димитровграда  Ульяновской области; МАУ   СК "Нейтрон"/Комитет по физической культуре и спорту Администрации города Димитроваграда  Ульяновской области;Общественная организация "Федерация спортивного и боевого самбо"/Комит по физической культуре и спорту Администрации города Димитроваграда  Ульяновской области</t>
  </si>
  <si>
    <t>муниципальное бюджетное учреждение "Стройзаказчик", муниципальные бюджетные дошкольные образовательные учреждения, детско-юношеские спортивные школы "Старт" и "Заволжье", муниципальное бюджетное учреждение культуры "Централизованная библиотечная система", муниципальное бюджетное учреждение "Централизованная клубная система"  МО "город Ульяновск"</t>
  </si>
  <si>
    <t>ООО "Техно Лаб"</t>
  </si>
  <si>
    <t>ООО "Карсун строй сервис"</t>
  </si>
  <si>
    <t>Управление образования муниципального образования "Мелекесский район" Ульяновской области</t>
  </si>
  <si>
    <t>муниципальное бюджетное учреждение "Культурно-досуговый комплекс"</t>
  </si>
  <si>
    <t>подрядчик</t>
  </si>
  <si>
    <t>МУК "Радищевский районный Дом культуры" Радищевского района Ульяновской области</t>
  </si>
  <si>
    <t>Муниципальное дошкольное образовательное учреждение детский сад "Светлячок"</t>
  </si>
  <si>
    <t>Муниципальное учреждение культуры "Централизованная клубная система"</t>
  </si>
  <si>
    <t>администрация муниципального образования "Тереньгульский район"</t>
  </si>
  <si>
    <t>МОУ Ишеевский многопрофильный лицей</t>
  </si>
  <si>
    <t>Муниципальное учреждение дополнительного образования Детская школа искусств № 1 Чердаклинского района Ульяновской области; Муниципальное учреждение дополнительного образования Детская школа искусств № 2 Чердаклинского района Ульяновской области; Муниципальное бюджетное общеобразовательное учреждение Чердаклинская средняя школа № 1 имени доктора Леонида Михайловича Рошаля; Муниципальное дошкольное образовательное учреждение Чердаклинский детский сад №4 "Родничок", Муниципальное образовательное учреждение Крестовогородищенская средняя школа имени героя Советского Союза Михаила Федоровича Вахрамеева</t>
  </si>
  <si>
    <t xml:space="preserve">администрация муниципального образования  «Большенагаткинское сельское поселение» </t>
  </si>
  <si>
    <t>ООО "Стройинженеринг"</t>
  </si>
  <si>
    <t xml:space="preserve"> Муниципальное казённое учреждение «Благоустройство и обслуживание населения Чердаклинского городского поселения» Чердаклинского района Ульяновской области</t>
  </si>
  <si>
    <t>количество человек, проживающих на данной территории</t>
  </si>
  <si>
    <t>статистический бюллетень</t>
  </si>
  <si>
    <t>При подсчете количества  благополучателей   применялись статистические данные  о численности населения  муниципального образования "Старокулаткинский район" , в том числе по р.п. Старая Кулатка</t>
  </si>
  <si>
    <t>Количество благополучателей проектов ИБ  (количество воспитанников, их родителей и сотрудников учреждений: МУ ДО Детская школа искусств № 1 Чердаклинского района; МУ ДО Детская школа искусств № 2 Чердаклинского района; МДОУ Чердаклинский детский сад №4 "Родничок", МБОУ Чердаклинская СШ №1; МОУ Крестовогородищенская СШ,  / общее количество граждан, проживающих в МО «Чердаклинский район" в 2019 году * 100%.</t>
  </si>
  <si>
    <t>Количество благополучателей проектов ИБ / общее количество граждан, проживающих в МО</t>
  </si>
  <si>
    <t>Количество благополучателей проектов ИБ  ( количество жителей пгт Чердаклы ул.2-ой микрорайон, ул.Октябрьская, ул.Калинина, ул.Рабочая, ул.Центральная) / общее количество граждан, проживающих в МО «Чердаклинский район" в 2019 году * 100%.</t>
  </si>
  <si>
    <t>0,02% (0,073/3,5*100): где 0,073 тыс.чел.-благополучателей проекта; 3,5 тыс.чел.-количество жителей МО "Рязановское сельское поселение" Мелекесского района Ульяновской области</t>
  </si>
  <si>
    <t>https://uln.gks.ru/folder/40275</t>
  </si>
  <si>
    <t>http://uln.old.gks.ru/wps/wcm/connect/rosstat_ts/uln/ru/statistics/population/</t>
  </si>
  <si>
    <t>Форма 0309 сельские населенные пункты Ульяновской области и численность проживающего в них населения</t>
  </si>
  <si>
    <t>https://uln.gks.ru/</t>
  </si>
  <si>
    <t>Данные территориального органа Государственной статистики по Ульновской области в Радищевском районе</t>
  </si>
  <si>
    <t>https://www.gks.ru/scripts/db_inet2/passport/pass.aspx?base=munst73&amp;r=73652000</t>
  </si>
  <si>
    <t>https://www.gks.ru/scripts/db_inet2/passport/table.aspx?opt=736021002019</t>
  </si>
  <si>
    <t>_</t>
  </si>
  <si>
    <t>протоколирование</t>
  </si>
  <si>
    <t xml:space="preserve">протокол заседания </t>
  </si>
  <si>
    <t>ведение протокола встречи граждан</t>
  </si>
  <si>
    <t>Заявка на участие в проекте, инициативное предложение с кратким описанием вопроса, рисунки, схемы</t>
  </si>
  <si>
    <t xml:space="preserve">Собрания граждан </t>
  </si>
  <si>
    <t>протокол встречи</t>
  </si>
  <si>
    <t xml:space="preserve">протокол </t>
  </si>
  <si>
    <t>составлен протокол встречи</t>
  </si>
  <si>
    <t xml:space="preserve">Зафиксировано протоколом собрания комиссии </t>
  </si>
  <si>
    <t>письменная регистрация</t>
  </si>
  <si>
    <t>протокол встреч</t>
  </si>
  <si>
    <t>собрание в зале заседания администрации МО "Кузоватовский район"</t>
  </si>
  <si>
    <t xml:space="preserve">Заявку на участие в проекте можно подать до 17.00 часов 18.10.2019 года по форме согласно приложению № 1 и №2 к информационному сообщению о начале реализации проекта «Народный бюджет-2020» на территории муниципального образования Павловское городское поселение Павловского района Ульяновской области  одним из следующих способов: по адресу: ул.Калинина, 24, р.п.Павловка, 433970    или    по факсу: 2-25-08                    </t>
  </si>
  <si>
    <t>завка на участие в проекте</t>
  </si>
  <si>
    <t xml:space="preserve"> Проекты инициативных предложений первично рассматриваются на заседаниях окружных палат, в состав которых ввходят представители ТОС, ТСЖ, ГСК и национально-культурных автономий. К участию в проекте допукаются жители, чьи проекты получили одобрение со стороны окружных палат. Участники  отбираются путем проведения процедуры жребия. Всего отбираются 15 человек в члены бюджетной комиссии, затем 15 в члены резерва. В случае необходимости резервисты заменяют членов комиссии в порядке их отбора во время жеребьёвки. Каждый член бюджетной комиссии вносит не более одного инициативного предложения, после чего соответствующим отраслевым органом администрации города даётся экспертное заключение на каждое из них.</t>
  </si>
  <si>
    <t>Открытое голосование,  занесение результатов голосования в протокол</t>
  </si>
  <si>
    <t>протокол голосования</t>
  </si>
  <si>
    <t>протокол  по реализации инициативных предложений в рамках проекта "Народный бюджет"</t>
  </si>
  <si>
    <t xml:space="preserve"> По итогам конкурсного отбора составлен протокол</t>
  </si>
  <si>
    <t>фиксация в протоколе собрания</t>
  </si>
  <si>
    <t>Бюджетная комиссия</t>
  </si>
  <si>
    <t>Члены бюдженой комиссии путём голосования отбирают инициативы для включения средств на их реализацию в проект бюджета города и реализации в очередном финансовом году</t>
  </si>
  <si>
    <t xml:space="preserve">Создается  бюджетная комиссия. </t>
  </si>
  <si>
    <t>Протокол заседания бюджетной комиссии</t>
  </si>
  <si>
    <t>Проект «Народный бюджет» реализуется путем создания бюджетной комиссии из числа граждан посредством жеребьевки поданных заявок в администрацию муниципального образования «Чердаклинский район».Члены основного состава бюджетной комиссии представляют инициативное предложение по распределению части бюджетных средств. По одобренным инициативным предложениям проводится отбор для их включения в местный бюджет. Членам бюджетной комиссии раздаются листы с перечисленными внесёнными на рассмотрение проектами. Каждый участник проставляет баллы от 0 до 10 по каждому объекту, указанному в листе. Подлежат включению в проект местного бюджета и (или) соответствующие муниципальные программы Проекты, набравшие наибольшее количество баллов.</t>
  </si>
  <si>
    <t>Официальный сайт администрации муниципального образования "Мелекесский район" Ульяновской области</t>
  </si>
  <si>
    <t>На официальном сайте администрации муниципального образования «Старокулаткинский район»  размещены: 1. Информационное сообщение,» 2.Постановление  администрации района.3. Отчет о ходе реализации программ.  http://stkulatka.ulregion.ru/mz/marat/1933.html</t>
  </si>
  <si>
    <t xml:space="preserve">подача заявки  http://ulraion.ru/news/5555 </t>
  </si>
  <si>
    <t>уборка помещений от мусора, косметический ремонт, демонтаж оконных проемов</t>
  </si>
  <si>
    <t>волонтерский труд</t>
  </si>
  <si>
    <t>субботники с участием населения</t>
  </si>
  <si>
    <t>http://barysh.org/city/finance/narodnyi_budget/</t>
  </si>
  <si>
    <t>https://www.mo-veshkaima.ru/view_news.php?id=20102</t>
  </si>
  <si>
    <t>http://dimitrovgrad.ru/uprfin/nbudget/</t>
  </si>
  <si>
    <t>http://novulsk.ru</t>
  </si>
  <si>
    <t>http://xn---73-2ddz4b.xn--p1ai/byudzhet/narodnyj-byudzhet.html</t>
  </si>
  <si>
    <t>http://karsunmo.ru/narbudget.html</t>
  </si>
  <si>
    <t>http://www.maina-admin.ru/about/statistics/butget/narodniy%20budget.php</t>
  </si>
  <si>
    <t>http://adm-melekess.ru/strukturnye-podrazdelenija/narodnyi-byudzhet.html</t>
  </si>
  <si>
    <t xml:space="preserve">
http://novospasskoe.ulregion.ru/ekonomika/142/budjet_mo_novospasskoe_gor_poselenie/9016.html</t>
  </si>
  <si>
    <t>http://pavlovka.ulregion.ru/narodni_budjet/7250/</t>
  </si>
  <si>
    <t>https://radishevo.ulregion.ru/165/4218/</t>
  </si>
  <si>
    <t>http://sengilej.ru/filemanager.aspx?folderid=433</t>
  </si>
  <si>
    <t>http://www.terenga.ru/node/10496</t>
  </si>
  <si>
    <t>https://cherdakli.com/?p=18029</t>
  </si>
  <si>
    <t>http://bsizgan.ulregion.ru/econom/bjudzhet_rajona/narod-budzhet.html</t>
  </si>
  <si>
    <t>http://kuzovatovo.ulregion.ru/5906/5914/17247/17253/19345.html</t>
  </si>
  <si>
    <t xml:space="preserve">https://ok.ru/barysh.org/topic/70393281820014 </t>
  </si>
  <si>
    <t>http://melekesskie-vesti.ru/pdf/1/2017052019.pdf;   http://melekesskie-vesti.ru/pdf/1/2307062019.pdf</t>
  </si>
  <si>
    <t>http://www.novospasskoe-city.ru/news/v_kinoteatre_oktjabr_idut_remontnye_raboty/2019-11-13-16813</t>
  </si>
  <si>
    <t xml:space="preserve">В Районной газете "Кумяк кюч"  публикуется информационное сообщение  о проведении конкурсного отбора "Народный бюджет"; публикуется  отчет о реализации  мероприятий на сайте  http://stkulatka.ulregion.ru/mz/marat/1933.html </t>
  </si>
  <si>
    <t>https://ok.ru/profile/569954170553</t>
  </si>
  <si>
    <t>http://xn---73-2ddz4b.xn--p1ai/images/bud_nar.jpg</t>
  </si>
  <si>
    <t>https://cherdakli.com/</t>
  </si>
  <si>
    <t>объявление в газете "Барышские вести" от 14.06.2019 №24</t>
  </si>
  <si>
    <t>Информация о проекте «Народный бюджет» размещается
- на официальном сайте Администрации Димитровграда:
http://dimitrovgrad.ru/
- в официальной группе социальной сети «В контакте»:
https://vk.com/dimitrovgrad_official
- в официальной группе в социальной сети «Facebook»:
https://www.facebook.com/groups/1597671250264603/
https://www.facebook.com
- в городской газете «Димитровград».
http://dpanorama.ru/search</t>
  </si>
  <si>
    <t>http://xn---73-2ddz4b.xn--p1ai/novosti/1293-informatsionnoe-soobshchenie-o-nachale-realizatsii-proekta-narodnyj-byudzhet-26-04-2019.html</t>
  </si>
  <si>
    <t>газета "Карсунский вестник" от 06.07.2018г. №27</t>
  </si>
  <si>
    <t>Объявление в районной газете "Ленинец"</t>
  </si>
  <si>
    <t>Объявления на сайте Администрации муниципального образования "Мелекесский район" Ульяновской области</t>
  </si>
  <si>
    <t>Проект был реализован в МО "Новоспасское городское поселение" в р.п. Новоспасское. Информационное сопровождение проекта осуществлялось телеканалом Сфера-ТВ, информация размещена на оффициальных сайтах Новоспасского района и Новоспасского портала, в сети Viber</t>
  </si>
  <si>
    <t>Объявление в районной газете "Восход"</t>
  </si>
  <si>
    <t>рекламная компания не проводилась</t>
  </si>
  <si>
    <t>Одноклассники.ru</t>
  </si>
  <si>
    <t>газета "Родина Ильича" № 23 от 08 июня 2018г. (официального сайта нет) http://ulraion.ru/news/5555 http://ulraion.ru/news/5690</t>
  </si>
  <si>
    <t>социальные сети (одноклассники),  СМИ (газета Приволжская правда)</t>
  </si>
  <si>
    <t xml:space="preserve">Районная газета «Новое время» </t>
  </si>
  <si>
    <t xml:space="preserve">газета «Большенагаткинское сельское поселение» </t>
  </si>
  <si>
    <t>Объявления, рекламные листовки</t>
  </si>
  <si>
    <t>в процессе проводимых собраний по приёму  и отбору заявок</t>
  </si>
  <si>
    <t xml:space="preserve">Размещение на официальном сайте Администрации города Димитровграда Ульяновской области: Брошюры «Бюджет для граждан»: http://dimitrovgrad.ru/uprfin/opendata/civilian/;
 «Открытый бюджет для граждан»: http://dimitrovgrad.ru/otkrytyy-byudzhet/;
 «О бюджете»: http://dimitrovgrad.ru/uprfin/aboutbudget/;Ежеквартальное проведение на территории муниципального образования «город Димитровград» Ульяновской области акции «Месячник налоговой помощи и финансовой грамотности" </t>
  </si>
  <si>
    <t>Обучение до проведения заседания бюджетной комиссии</t>
  </si>
  <si>
    <t>Обучение участников проекта (члены бюджетной комиссии и члены резерва бюджетной комиссии) по вопросам формирования и исполнения бюджета города, ознакомления с запланированными мероприятиями на следующий год проводится Финансовым управлением администрации города Ульяновска.</t>
  </si>
  <si>
    <t>Проведение обучения членов бюджетной комиссии по основным направлениям деятельности и полномочиям органов местного самоуправления (1 час)</t>
  </si>
  <si>
    <t>Совещания с руководителями бюджетных организаций и глав поселений МО "Мелекесский район"</t>
  </si>
  <si>
    <t>На базе администрации МО "Новоспасский район" проведены 2 обучающих семинара с участием Глав администраций, председателей территориальных общественных самоуправлений и старост сельских населенных пунктов</t>
  </si>
  <si>
    <t xml:space="preserve">В рамках проведения акций « Месячник налоговой помощи» в 2019 году  были проведены  уроки финансовой грамотности:
 1. среди учащихся-10 уроков, количество человек 223;
2. среди  работающего населения-21 урок, количество человек-485;
4. средипенсионеров-3 урока количество человек-55;
5. среди предпринимателей-3 урока, количество человек-35.
 Уроки проводились по 45 минут.
</t>
  </si>
  <si>
    <t>Обучение членов бюджетных комиссий и разъяснения порядка формирования и исполнения бюджета муниципального образования «Чердаклинский район» Ульяновской области осуществляется на первом заседании бюджетной комиссии и по мере необходимости. Продолжительность обучения 30 мин., количество участников обучающего мероприятия 20 человек (10чел. основного состава и 10 чел. резервного состава бюджетной комиссии)</t>
  </si>
  <si>
    <t>Проведены сходы граждан, открытые уроки, дни налоговой и бюджетной грамотности на 197 площадках для бизнес-сообществ, работников организаций и учреждений, граждан пенсионного и пенсионного возраста, учащихся общеобразовательных учреждений, детей дошкольного возраста. Размещены обучающие материалы на сайте в открытом доступе.</t>
  </si>
  <si>
    <t xml:space="preserve">заседание </t>
  </si>
  <si>
    <t>13 (6 чел. основной состав, 6 человек резерв и 1 модератор  комиссии)</t>
  </si>
  <si>
    <t>более 30</t>
  </si>
  <si>
    <t>Охвачено 1983 человек.</t>
  </si>
  <si>
    <t>Климин Сергей Александрович,  Заместитель Главы администрации - начальник управления ТЭР, ЖКХ, строительства и дорожной деятельности</t>
  </si>
  <si>
    <t>Жидова Лариса Викторовна, глава администрации МО "Бекетовское сельское поселение"</t>
  </si>
  <si>
    <t>Стельмах Татьяна Николаевна, глава администрации МО "Вешкаймский район"</t>
  </si>
  <si>
    <t xml:space="preserve">Начальник Управления финансов и муниципальных закупок - Галактионов Николай Владимирович, ведущий экономист отдела планирования и анализа бюджета Управления финансов и закупок Михеева Ольга Геннадьевна  </t>
  </si>
  <si>
    <t>Едышев Вячеслав Александрович</t>
  </si>
  <si>
    <t>Бармин Александр Александрович, заместитель Главы города-начальник Финансового управления администрации города Ульяновска</t>
  </si>
  <si>
    <t>Павлова Елена Александровна, и.о.главы администрации МО "Ермоловское сельское поселение"</t>
  </si>
  <si>
    <t>Вишнякова С.Г.</t>
  </si>
  <si>
    <t>Степанов Александр Геннадьевич , глава администрации МО "Каргинское сельское поселение"</t>
  </si>
  <si>
    <t>Колесова Ольга Ивановна</t>
  </si>
  <si>
    <t>Гордеева Татьяна Викторовна</t>
  </si>
  <si>
    <t>Калашникова Лариса Владимировна</t>
  </si>
  <si>
    <t>Улыбин Дмитрий Анатольевич</t>
  </si>
  <si>
    <t>Подсевалова Светлана Ивановна</t>
  </si>
  <si>
    <t>Мельникова Лидия Николаевна-начальник отдела финансов</t>
  </si>
  <si>
    <t>Рогова Светлан Васильевна</t>
  </si>
  <si>
    <t>Ягудина Ф.Р.</t>
  </si>
  <si>
    <t>Гордеева Наталья Юрьевна, глава администрации МО "Стемасское сельское поселение"</t>
  </si>
  <si>
    <t>Редькин Александр Алексеевич</t>
  </si>
  <si>
    <t>Кумова Ольга Александровна, консультант</t>
  </si>
  <si>
    <t>Лоладзе Людмила Викторовна, заместитель начальника отдела прогнозирования и анализа расходов</t>
  </si>
  <si>
    <t>Семенова С.С., глава администрации МО Чуфаровское городское поселение</t>
  </si>
  <si>
    <t>Чикмарёв В.В.</t>
  </si>
  <si>
    <t xml:space="preserve"> Шайдуллова А.Т.</t>
  </si>
  <si>
    <t>Фадеева Валентина Викторовна</t>
  </si>
  <si>
    <t>8(84253)21550</t>
  </si>
  <si>
    <t>8-84- 243-57-1-17</t>
  </si>
  <si>
    <t>8-84- 243-2-12-12</t>
  </si>
  <si>
    <t>8(84235)-2-69-84</t>
  </si>
  <si>
    <t>8 (425)571896</t>
  </si>
  <si>
    <t>8(8422)41-40-76</t>
  </si>
  <si>
    <t>8-84- 243-59-2-23</t>
  </si>
  <si>
    <t>8-84- 243-54-6-43</t>
  </si>
  <si>
    <t>8(84246)2-46-91</t>
  </si>
  <si>
    <t>8(84244)2-14-84</t>
  </si>
  <si>
    <t>8(84235)26411</t>
  </si>
  <si>
    <t>8-937-277-32-72</t>
  </si>
  <si>
    <t xml:space="preserve"> 84(248)2 10 99                                                                                         </t>
  </si>
  <si>
    <t>8-8422-239-21 3 05</t>
  </si>
  <si>
    <t>8-84-249-2-13-87</t>
  </si>
  <si>
    <t>8-84- 243-51-1-45</t>
  </si>
  <si>
    <t>88423421-5-08</t>
  </si>
  <si>
    <t>8(84254)-2-06-97</t>
  </si>
  <si>
    <t>8 (84231) 21040</t>
  </si>
  <si>
    <t>8-84- 243-3-12-75</t>
  </si>
  <si>
    <t>8 (84-240)21-6-85</t>
  </si>
  <si>
    <t>8(84242) 2-24-82, 2-24-54</t>
  </si>
  <si>
    <t>s.klimin@bk.ru</t>
  </si>
  <si>
    <t>beketovka_mo@mail.ru</t>
  </si>
  <si>
    <t>veshkaim@mail.ru</t>
  </si>
  <si>
    <t>r235kab@yandex.ru</t>
  </si>
  <si>
    <t>novfinotdel@ya.ru</t>
  </si>
  <si>
    <t>fin@ulmeria.ru</t>
  </si>
  <si>
    <t>ermolovka00@mail.ru</t>
  </si>
  <si>
    <t>mo-kargino@mail.ru</t>
  </si>
  <si>
    <t>karsunzakaz1@rambler.ru</t>
  </si>
  <si>
    <t>ob-gordeeva@mail.ru</t>
  </si>
  <si>
    <t>uprobr2@mail.ru</t>
  </si>
  <si>
    <t>56782@mail.ru</t>
  </si>
  <si>
    <t>upfr55@mail.ru</t>
  </si>
  <si>
    <t xml:space="preserve">khvesik86@mail.ru </t>
  </si>
  <si>
    <t>bashar5@mail.ru</t>
  </si>
  <si>
    <t>fin.ot@mail.ru</t>
  </si>
  <si>
    <t>tatstemass@mail.ru</t>
  </si>
  <si>
    <t>upr.fin.ulraion@yandex.ru</t>
  </si>
  <si>
    <t>cherdaklyuf@mail.ru</t>
  </si>
  <si>
    <t>admfalova@mail.ru</t>
  </si>
  <si>
    <t>chek_v@mail.ru</t>
  </si>
  <si>
    <t>b.nagatkino@mail.ru</t>
  </si>
  <si>
    <t>kuz-fu@mail.ru.</t>
  </si>
  <si>
    <t>Советский район</t>
  </si>
  <si>
    <t>Ханты-Мансийск</t>
  </si>
  <si>
    <t>городское поселение Белоярский (без участия софинансирования из бюджета района)</t>
  </si>
  <si>
    <t>сельское поселение Сорум (без участия софинансирования из бюджета района)</t>
  </si>
  <si>
    <t>сельские поселения: Казым, Верхнеказымский, Лыхма, Сосновка, Полноват (с участием софинансирования из бюджета района по результатам конкурсного отбора)</t>
  </si>
  <si>
    <t>Березовский район</t>
  </si>
  <si>
    <t>Городское поселение Междуреченский</t>
  </si>
  <si>
    <t>Городское поселение Кондинское</t>
  </si>
  <si>
    <t>Городское поселение Куминский</t>
  </si>
  <si>
    <t>Городское поселение Мортка</t>
  </si>
  <si>
    <t>Городское поселение Луговой</t>
  </si>
  <si>
    <t>Сельское поселение Леуши</t>
  </si>
  <si>
    <t>Сельское поселение Мулымья</t>
  </si>
  <si>
    <t>Сельское поселение Болчары</t>
  </si>
  <si>
    <t>Сельское поселение Шугур</t>
  </si>
  <si>
    <t>Сельское поселение Половинка</t>
  </si>
  <si>
    <t>Нефтеюганский район</t>
  </si>
  <si>
    <t>Муниципальное образование городской округ город Когалым</t>
  </si>
  <si>
    <t>Муниципальное образование городской округ город Лангепас</t>
  </si>
  <si>
    <t>Городской округ город Мегион</t>
  </si>
  <si>
    <t>город Нефтеюганск</t>
  </si>
  <si>
    <t>Муниципальное образование город Нижневартовск</t>
  </si>
  <si>
    <t>Нижневартовский район</t>
  </si>
  <si>
    <t>Ханты-Мансийский район</t>
  </si>
  <si>
    <t>городской округ город Пыть-Ях</t>
  </si>
  <si>
    <t>Октябрьский район</t>
  </si>
  <si>
    <t>город Радужный</t>
  </si>
  <si>
    <t>городской округ город Сургут Ханты-Мансийского автономного округа - Югры</t>
  </si>
  <si>
    <t>Сургутский район</t>
  </si>
  <si>
    <t>городской округ город Югорск</t>
  </si>
  <si>
    <t>Мы планируем бюджет вместе</t>
  </si>
  <si>
    <t>Реализация проектов инициативного бюджетирования</t>
  </si>
  <si>
    <t>Народный бюджет - 2019</t>
  </si>
  <si>
    <t>Конкурсный отбор проектов "Народный бюджет"</t>
  </si>
  <si>
    <t xml:space="preserve">Проект по поддержке местных инициатив в городе Когалыме "Твоя инициатива"
</t>
  </si>
  <si>
    <t>Постановление администрации города Лангепаса от 02.07.2019 " 1264 " Об утверждении Положения о порядке реализации проекта инициативного бюджетирования в городском округе город Лангепас "Я планирую бюджет""</t>
  </si>
  <si>
    <t>Конкурсный отбор проектов поддержки местных инициатив</t>
  </si>
  <si>
    <t>Муниципальная программа "Реализация проекта "Инициативное бюджетирование" на 2018-2022 годы", утвержденная постановлением от 02.10.2017 №1475</t>
  </si>
  <si>
    <t>Инициативное (партисипаторное)  бюджетирование, Народная инициатива, Формирование комфортной городской среды.</t>
  </si>
  <si>
    <t>Конкурсный отбор проектов инициативного бюджетирования "Твоя инициатива - Твой бюджет"</t>
  </si>
  <si>
    <t>Проект «Место под солнцем», Проект «Здоровым быть здорово!», Проект «Здоровое питание — основа процветания»,  Проект «Универсальная спортивная площадка МБОУСОШ №8".</t>
  </si>
  <si>
    <t>проект инициативного бюджетирования "Бюджет Сургута online"</t>
  </si>
  <si>
    <t xml:space="preserve">Инициативное бюджетирование </t>
  </si>
  <si>
    <t>Инициативное бюджетирование / Народная инициатива</t>
  </si>
  <si>
    <t xml:space="preserve"> "Твоя инициатива"</t>
  </si>
  <si>
    <t>Я планирую бюджет</t>
  </si>
  <si>
    <t>Мой вклад в бюджет</t>
  </si>
  <si>
    <t>"Твоя инициатива - Твой бюджет"</t>
  </si>
  <si>
    <t>"Бюджет Сургута online" https://siapress.ru/news_surgut/91594-surgutyanam-nugno-vibrat-kakie-obekti-budut-postroeni-v-gorode-na-sleduyushchiy-god https://www.instagram.com/p/BypgXEIh9r2/ https://siapress.ru/news/92091-v-surgute-proekt-tsentr-pomoshchi-givotnim-pereprava-voshel-v-gorodskoe-golosovanie-byudget-surguta-online https://sitv.ru/arhiv/news/kak-sdelat-luchshe-surgutyane-raspredelyat-byudzhet-goroda-onlajn/ https://www.instagram.com/p/B4CRFraIZvK/</t>
  </si>
  <si>
    <t>01.07.2018</t>
  </si>
  <si>
    <t>11.08.2018</t>
  </si>
  <si>
    <t>01.05.2019</t>
  </si>
  <si>
    <t>17.09.2019</t>
  </si>
  <si>
    <t>31.12.2019</t>
  </si>
  <si>
    <t>18.10.2019</t>
  </si>
  <si>
    <t>постановление администрации Советского района от 03.06.2019 № 1200/НПА «Об утверждении Порядка проведения конкурсного отбора муниципальной конкурсной комиссией проектов  инициативного бюджетирования в Советском районе»</t>
  </si>
  <si>
    <t>Постановление Администрации города Ханты-Мансийка "Об утверждении Положенияо порядке реализации проектаинициативного бюджетирования в городе Ханты-Мансийске«Мы планируем бюджет вместе» № 12 от 23.01.2019</t>
  </si>
  <si>
    <t>постановление администрации городского поселения Белоярский от 09.11.2018 года № 409 «О реализации проектов инициативного бюджетирования в городском поселении Белоярский»</t>
  </si>
  <si>
    <t>постановление администрации сельского поселения Сорум от 01.11.2017 года № 127 «О реализации проектов инициативного бюджетирования в сельском поселении Сорум»</t>
  </si>
  <si>
    <t xml:space="preserve">постановлением администрации Белоярского района от 16 октября 2017 года № 960
«О предоставлении иных межбюджетных трансфертов из бюджета Белоярского района на софинансирование проектов инициативного бюджетирования» </t>
  </si>
  <si>
    <t xml:space="preserve">Постановление Администрации Березовского района № 49 от 22.01.2018 «О положении о реализации проектов инициативного бюджетирования в Березовском районе» (с изм. от 14.08.2019 года № 947)., Постановление администрации 
сельского поселения Саранпауль
от 13.09.2017г. №77 «Порядок
проведения конкурсного отбора инициативного бюджетирования комиссией сельского поселения Саранпауль»
</t>
  </si>
  <si>
    <t>Постановление администрации городского поселения Междуреченский от 29.07.2019 №137-п "О конкурсном отборе проектов «Народный бюджет» в городском поселении Междуреченский"</t>
  </si>
  <si>
    <t>Постановление администрации городского поселения Кондинское от 25.09.2017 №149 "О конкурсном отборе проектов «Народный бюджет» в городском поселении Кондинское"</t>
  </si>
  <si>
    <t>Постановление администрации городского поселения Куминский от 22.09.2017 года № 273 "о конкурсном отборе проектов "Народный бюджет" в городскои поселении Куминский"</t>
  </si>
  <si>
    <t>Постановление администрации гп. Мортка от 15.05.2019 № 132 "О конкурсном отборе проектов "Народный бюджет" в городском поселении Мортка"</t>
  </si>
  <si>
    <t>Постановление администрации муниципального образования городское поселение Луговой от 19 декабря 2017 года № 312 «О конкурсном отборе проектов "Народный бюджет" в городском поселении Луговой».</t>
  </si>
  <si>
    <t>Постановления администрации сельского поселения Леуши от 25.09.2018 № 301 "О конкурсном отборе проектов "Народный бюджет" в сельском поселении Леуши"</t>
  </si>
  <si>
    <t>Постановление от 28 мая 2018 года № 58 О конкурсном отборе проектов "Народный бюджет" в сельском поселении Мулымья"</t>
  </si>
  <si>
    <t>Постановление администрации сельского поселения Болчары от 20.12.2017 № 132 "О конкурсном отборе проектов "Народный бюджет"</t>
  </si>
  <si>
    <t>Постановление от 17.05.2019 №46 "О конкурсном отборе проектов "Народный бюджет" в сельском поселении Шугур</t>
  </si>
  <si>
    <t>Постановление от 16.05.2018 года №130 "О конкурсном отборе проектов «Народный бюджет» в сельском поселении Половинка"</t>
  </si>
  <si>
    <t>Постановление администрации Нефтеюганского района от 26.04.2017 № 676 «О конкурсном отборе проектов «Народный бюджет» в Нефтеюганском районе» (с изменениями и дополнениями от 16.09.2019)</t>
  </si>
  <si>
    <t xml:space="preserve">Постановление Администрации города Когалыма от 28.07.2017 №1621 "О реализации проекта по поддержке местных инициатив в городе Когалыме "Твоя инициатива"
</t>
  </si>
  <si>
    <t>Постановление администрации города Мегиона от 19.10.2017 №2070 "О конкурсном отборе проектов поддержки местных инициатив";                                                                                                                                                                                            постановление администрации города Мегиона от 19.07.2019 №1475 "О проведении конкурсного отбора проектов поддержки местных инициатив города Мегиона"; постановление администрации города Мегиона от 14.08.2019 №1676 "О проведении конкурсного отбора проектов поддержки местных инициатив города Мегиона";                                                                                                                                                                                                                                                                                       постановление администрации города Мегиона от 07.10.2019 №2076 "О проведении конкурсного отбора проектов поддержки местных инициатив города Мегиона"</t>
  </si>
  <si>
    <t>1.Постановление администрации города Нефтеюганска от 31.07.2017 № 125-нп «Об утверждении Порядка проведения конкурсного отбора проектов инициативного бюджетирования муниципальной конкурсной комиссией города Нефтеюганска»;
2.Постановление администрации города Нефтеюганска от 18.07.2018 № 345-п «Об утверждении состава муниципальной комиссии города Нефтеюганска по конкурсному отбору проектов инициативного бюджетирования»</t>
  </si>
  <si>
    <t>постановление администрации города Нижневартовск "Об утверждении муниципальной программы "Реализация проекта "Инициативное бюджетирование" на 2018-2022 годы" (с изменениями                  от 26.01.2018 №92, от 30.11.2018 №1397, от 27.02.2019 №123, от 31.05.2019 №416, от 20.12.2019 №1015, от 02.03.2020 №173); постановление администрации города Нижневартовск "О порядке конкурсного отбора заявок для участия в муниципальной программе "Реализация проекта "Инициативное бюджетирование" на 2018-2022 годы" (с изменениями от 28.11.2018 №1392, от 26.12.2019 №1033); распоряжение администрации города Нижневартовска "Об утверждении состава конкурсной комиссии по проведению конкурсного отбора заявок для участия в муниципальной программе "Реализация проекта "Инициативное бюджетирование" на 2018-2022 годы" (с изменениями от 13.08.2018 №1120-р, от 20.06.2019 №792-р); распоряжение администрации города Нижневартовска "Об утверждении типовой формы договора пожертвования денежных средств в рамках реализации муниципальной программы "Реализация проекта "Инициативное бюджетирование" на 2018-2022 годы"</t>
  </si>
  <si>
    <t>Постановление "О реализации инициативного (партисипаторное) бюджетирования в Нижневартовском районе"  от 26.04.2019 №926, (с измениями от 30.07.2019 №1532)                                                               Постановление "О  плане мероприятий («дорожной карте») по внедрению и реализации практик и механизмов инициативного бюджетирования в Нижневартовском районе от 29.03.2019 №712</t>
  </si>
  <si>
    <t>Постановление администрации Ханты-Мансийского района от 05.02.2018 № 47 «О конкурсном отборе проектов инициативного бюджетирования в Ханты-Мансийском районе»      Постановление администрации Ханты-Мансийского района от 31.01.2019 № 34 "О внесении изменений в постановление администрации Ханты-Мансийского района от 05.02.2018 № 47 «О конкурсном отборе проектов инициативного бюджетирования в Ханты-Мансийском районе»</t>
  </si>
  <si>
    <t>Постановление  администрации города от 26.09.2017 года № 237-па «О конкурсном отборе проектов инициативного бюджетирования «Твоя инициатива-твой бюджет» в муниципальном образовании городской округ город Пыть-Ях» (в ред. от 11.05.2018 № 105-па, от 12.07.2018 № 200-па, от 28.09.2018 № 298-па, от 27.11.2019 № 474-па)  (дата вступления в силу 5 октября 2017 года)</t>
  </si>
  <si>
    <t>Постановление администрации городского поселния Приобье от 25.04.2018 года № 192 "О конкурсном отборе проектов инициативного бюджетирования в муниципальном образовании городское поселение Приобье"</t>
  </si>
  <si>
    <t>1) Постановление  администрации города Радужный от 10.07.2017г. № 1032 «О рабочей группе по реализации проектов инициативного бюджетирования в городе Радужный»;                                                               2) Постановление администрации города Радужный  от 27.10.2017 г. №1583 «О конкурсном отборе проектов (инициатив) граждан по вопросам местного значения в городе Радужный «Гражданская инициатива»;                       3) Постановление  администрации города Радужный от 29.08.2018 г. № 1397 «О конкурсной комиссии по проведению конкурсного отбора проектов (инициатив) граждан по вопросам местного значения в городе Радужный «Гражданская инициатива».</t>
  </si>
  <si>
    <t>Постановление Администрации города от 20.06.2018 № 4621 "О порядке реализации проекта партисипаторного бюджетирования "Бюджет Сургута Online"</t>
  </si>
  <si>
    <t>Постановление администрации Сургутского района от 23.08.2019 № 3257-нпа «Об утверждении положения о порядке отбора и реализации в Сургутском районе проектов инициативного бюджетирования»           Постановление администрации Сургутского района от 11.12.2019 № 4946-нпа "О внесении изменений в постановление администрации Сургутского района от 23.08.2019 № 3257-нпа"</t>
  </si>
  <si>
    <t>Постановление администрации города Югорска от 19.09.2019 № 2056 "О реализации проектов инициативного бюджетирования в городе Югорске"</t>
  </si>
  <si>
    <t>https://adm.admsov.com/docs/post.php?ELEMENT_ID=28526</t>
  </si>
  <si>
    <t>http://admhmansy.ru/upload/medialibrary/5b3/Poryadok-provedeniya-konkursa-My-planiruem-byudzhet-vmeste.pdf</t>
  </si>
  <si>
    <t>http://admbelgor.ru/gorod/bud/?ELEMENT_ID=64159</t>
  </si>
  <si>
    <t>http://admsorum.ru/admininstration-actions/budget/proactive/#tabs-container2</t>
  </si>
  <si>
    <t>http://admbel.ru/local-control/administration/finans/ini/</t>
  </si>
  <si>
    <t>http://admkonda.ru/normativno-pravovye-akty-nb-mejd.html</t>
  </si>
  <si>
    <t>http://www.admkonda.ru/documents/10031.html</t>
  </si>
  <si>
    <t>http://admkuma.ru/polozhenie-o-provedenii-konkursnogo-otbora-proektov-narodnyy-byudzhet-v-gorodskom-poselenii-kuminskiy.html</t>
  </si>
  <si>
    <t>http://admkonda.ru/konkursnyy-otbor-po-proektu-narodnyy-byudzhet.html</t>
  </si>
  <si>
    <t>http://www.lugovoikonda.ru/normativnye-akty1.html</t>
  </si>
  <si>
    <t>http://admkonda.ru/narodnyy-byudzhet-sp-leushi.html</t>
  </si>
  <si>
    <t>http://admmul.ru/documents/1805.html</t>
  </si>
  <si>
    <t>http://admkonda.ru/normativno-pravovye-akty-nb-bolchary.html</t>
  </si>
  <si>
    <t>http://shugur.ru/narodnyy-byudzhet.html</t>
  </si>
  <si>
    <t>http://adm-polov.ru/npa-1.html</t>
  </si>
  <si>
    <t>www.admoil.ru/finans/narodni-budget/676-pa-26.04.2017.rar</t>
  </si>
  <si>
    <t>Постановление Администрации города Когалыма Ханты-Мансийского автономного округа - Югры от «28» июля 2017 года № 1621 «О реализации проекта по поддержке местных инициатив в городе Когалыме» (в редакции от 31.01.2020)</t>
  </si>
  <si>
    <t>http://admlangepas.ru/open-budget/proactive-budgeting/legal-regulation2870/municipal-legal-acts5266/postanovlenie-1264-ot-02-07-2019/</t>
  </si>
  <si>
    <t>https://admmegion.ru/gov/laws/index.php?ELEMENT_ID=329183 https://admmegion.ru/gov/laws/index.php?ELEMENT_ID=344963 https://admmegion.ru/gov/laws/index.php?ELEMENT_ID=345380 https://admmegion.ru/gov/laws/index.php?ELEMENT_ID=346804</t>
  </si>
  <si>
    <t>http://www.admugansk.ru/category/1496?page=2</t>
  </si>
  <si>
    <t>https://www.n-vartovsk.ru/ibudget/</t>
  </si>
  <si>
    <t>http://nvraion.ru/ekonomika-i-finansy/initsiativnoe-byudzhetirovanie/</t>
  </si>
  <si>
    <t>https://docs.google.com/viewer?url=http://hmrn.ru/upload/iblock/3b7/47.docx https://docs.google.com/viewer?url=http://hmrn.ru/upload/iblock/67a/34.doc</t>
  </si>
  <si>
    <t>https://adm.gov86.org/399/416/2121/2124/_p2_aview_b1176</t>
  </si>
  <si>
    <t>http://priobie.ru/index.php/65-инициативное-бюджетирование</t>
  </si>
  <si>
    <t>http://www.admrad.ru/постановление-администрации-города-43/          http://www.admrad.ru/%d0%bf%d1%80%d0%be%d0%b5%d0%ba%d1%82-%d0%bf%d0%be%d1%81%d1%82%d0%b0%d0%bd%d0%be%d0%b2%d0%bb%d0%b5%d0%bd%d0%b8%d1%8f-%d0%be-%d0%b2%d0%bd%d0%b5%d1%81%d0%b5%d0%bd%d0%b8%d0%b8-%d0%b8%d0%b7%d0%bc%d0%b5-38//       http://www.admrad.ru/постановление-администрации-города-368/</t>
  </si>
  <si>
    <t>http://budget.admsurgut.ru/budget/330738467</t>
  </si>
  <si>
    <t>http://www.admsr.ru/upload/iblock/65b/3257_npa.docx http://www.admsr.ru/legislation/search.php?q=11.12.2019%20%B94946-%ED%EF%E0</t>
  </si>
  <si>
    <t>http://www.adm.ugorsk.ru/regulatory/npa/4985/?arrFilter_ff%5BNAME%5D=&amp;arrFilter_pf%5Bno%5D=2056&amp;arrFilter_pf%5Bst%5D=&amp;arrFilter_pf%5Bpd%5D=&amp;arrFilter_pf%5Brg%5D=&amp;set_filter=%D0%A4%D0%B8%D0%BB%D1%8C%D1%82%D1%80&amp;set_filter=Y</t>
  </si>
  <si>
    <t>администрация Советского района</t>
  </si>
  <si>
    <t>Департамент управления финансами Администрации города Ханты-Мансийска, Управление общественных связей Администарции города Ханты-Мансийска</t>
  </si>
  <si>
    <t>Администрация городского поселения Белоярский</t>
  </si>
  <si>
    <t>Администрация сельского поселения Сорум</t>
  </si>
  <si>
    <t>Администрация сельского поселения Казым, Администрация сельского поселения Верхнеказымский, Администрация сельского поселения Полноват, поселения Сорум, Администрация сельского поселения Лыхма</t>
  </si>
  <si>
    <t xml:space="preserve">Комитет по финансам Администрации Березовского района </t>
  </si>
  <si>
    <t>Администрация городского поселения Междуреченский</t>
  </si>
  <si>
    <t>Администрация городского поселения Кондинское</t>
  </si>
  <si>
    <t>Администрация городского поселения Куминский</t>
  </si>
  <si>
    <t>Администрация городского поселения Мортка</t>
  </si>
  <si>
    <t>Администрация городского поселения Луговой</t>
  </si>
  <si>
    <t>Администрация сельского поселения Леуши</t>
  </si>
  <si>
    <t>Администрация сельского поселения Мулымья</t>
  </si>
  <si>
    <t xml:space="preserve">Администрация сельского поселения Болчары </t>
  </si>
  <si>
    <t>Администрация сельского поселения Шугур</t>
  </si>
  <si>
    <t>Администрация сельского поселения Половинка</t>
  </si>
  <si>
    <t>Департамент финансов Нефтеюгансого района, управление по вопросам местного самоуправления администрации Нефтеюганского района</t>
  </si>
  <si>
    <t>Комитет финансов Администрации города Когалыма</t>
  </si>
  <si>
    <t>департамент финансов администрации города Лангепаса</t>
  </si>
  <si>
    <t>Организатор конкурсного отбора - администрация города Мегиона. Подготовка необходимых документов для проведения конкурсного отбора, организация заседаний Конкурсной комиссии по направлениям ЖКХ, благоустройство - управление жилищно-коммунального хозяйства администрации города Мегиона</t>
  </si>
  <si>
    <t>Департамент экономического развития администрации города Нефтеюганска - уполномоченный орган по организационному сопровождению проектов инициативного бюджетирования в городе Нефтеюганске</t>
  </si>
  <si>
    <t>Департамент строительства администрации города Нижневартовска</t>
  </si>
  <si>
    <t>Администрация Нижневартовского района</t>
  </si>
  <si>
    <t>Администрация Ханты-Мансийского района</t>
  </si>
  <si>
    <t>Администрация  города Пыть-Яха</t>
  </si>
  <si>
    <t>администрация городского поселения Приобье</t>
  </si>
  <si>
    <t xml:space="preserve">Управление экономики и прогнозирования администрации города Радужный </t>
  </si>
  <si>
    <t>департамент финансов Администрации города</t>
  </si>
  <si>
    <t>Департамент финансов администрации Сургутского района</t>
  </si>
  <si>
    <t>Отраслевые (функциональные) органы администрации города Югорска по направлениям деятельности, соответствующим проектам</t>
  </si>
  <si>
    <t>Финансово-экономическое управление администрации Советского района</t>
  </si>
  <si>
    <t xml:space="preserve">Администарция города Ханты-Мансийка, Управление спорта, физической культуры и  молодёжной политики  Администарции города Ханты-Мансийска, Департамент городского хозяйства Администарции города Ханты-Мансийка </t>
  </si>
  <si>
    <t>Администрация Березовского района</t>
  </si>
  <si>
    <t xml:space="preserve">Администрация сельского поселения Леуши </t>
  </si>
  <si>
    <t>Департамент финансов Нефтеюгансого района</t>
  </si>
  <si>
    <t>Администрация города Когалыма, Управление образования Администрации города Когалыма</t>
  </si>
  <si>
    <t>Администрация города Лангепаса</t>
  </si>
  <si>
    <t>Администрация города Мегиона</t>
  </si>
  <si>
    <t>Департамент жилищно-коммунального хозяйства администрации города Нефтеюганска</t>
  </si>
  <si>
    <t>Департамент жилищно-коммунального хозяйства администрации города;
муниципальное бюджетное учреждение "Управление по дорожному хозяйству и благоустройству города Нижневартовска";
департамент образования администрации города;  департамент по социальной политике администрации города;     муниципальное казенное учреждение "Управление капитального строительства города Нижневартовска";
управление по природопользованию и экологии администрации города</t>
  </si>
  <si>
    <t>Отдел жилищно-коммунального хозяйства, энергетики и строительства, администрация городского поселения Излучинск, администрация городского поселения Новоаганск, администрация сельского поселения Аган, администрация сельского поселения Покур, админстрация сельского поселения Ваховск, администрация сельского поселния Вата, администрация сельского поселения Ларьяк, администрация сельского поселения Зайцева Речка</t>
  </si>
  <si>
    <t>Комитет по финансам администрации Ханты-Мансийского района</t>
  </si>
  <si>
    <t>Администрация города Пыть-Яха</t>
  </si>
  <si>
    <t>Управление образования и молодежной политики администрации города Радужный</t>
  </si>
  <si>
    <t>департамент финансов Администрации города, Администрация города</t>
  </si>
  <si>
    <t>1. Департамент финансов администрации Сургутского района                       2. Департамент образования и молодёжной политики администрации Сургутского района</t>
  </si>
  <si>
    <t>Департамент жилищно - коммунального и строительного комплекса администрации города Югорска</t>
  </si>
  <si>
    <t xml:space="preserve">бюджетные ассигнования в рамках мунципальных программ </t>
  </si>
  <si>
    <t>Закупки в рамках 44-фз</t>
  </si>
  <si>
    <t>Предоставляются иные межбюджетные трансфертыиз бюджета Березовского района , на основании заключенных соглашений</t>
  </si>
  <si>
    <t>Иные межбюджетные трансферты, предоставляемые бюджетам городского и сельских поселений Нефтеюганского района</t>
  </si>
  <si>
    <t>Субсидии на иные цели</t>
  </si>
  <si>
    <t>Грант в форме субсидии</t>
  </si>
  <si>
    <t>иные межбюджетные трансферты из бюджета Октябрьского района</t>
  </si>
  <si>
    <t>Субсидии, иное (прочая закупка товаров, работ и услуг)</t>
  </si>
  <si>
    <t>администрации городских и сельского поселений Советского района</t>
  </si>
  <si>
    <t xml:space="preserve">Управление спорта, физической культуры и  молодёжной политики  Администарции города Ханты-Мансийска, Департамент городского хозяйства Администарции города Ханты-Мансийка, МБУ Централизованная беблиотечная система </t>
  </si>
  <si>
    <t>Администрация городского поселения Березово, Администрация сельского поселения Саранпауль</t>
  </si>
  <si>
    <t xml:space="preserve">Муниципальные образования поселений Нефтеюганского района </t>
  </si>
  <si>
    <t>МАУ ДО ДДТ, МАДОУ "Колокольчик", МАУ "Дворец спорта", МБУ "Музейно-выставочный центр", МБУ "Централизованная библиотечная система", МАУ "КДК "АРТ-Праздник", МАУ "МКЦ "Феникс"</t>
  </si>
  <si>
    <t>муниципальные учреждения</t>
  </si>
  <si>
    <t>Юридические лица - некомммерческие организации (за исключением казенных учреждений), территориальное общественное самоуправление при условии его государствпенной регистрации в организационно-правовой форме некоммерчекой организации, товарищества собственников жилья, жлищные и жилищно-строительные кооперативы, осуществляющие свою деятельность на территории города Мегиона, признанные  конкурсной комиссией по отбору проектов поддержки местных инициатив победителями конкурсного отбора</t>
  </si>
  <si>
    <t>Главные распорядители бюджетных средств</t>
  </si>
  <si>
    <t>муниципальные организации в сфере образования;
муниципальные учреждения в сфере культуры;
муниципальные учреждения в сфере физической культуры и спорта;</t>
  </si>
  <si>
    <t>Городское поселение Излучинск, городское поселение Новоаганск, сельское поселение Аган, сельское поселение Покур, сельское поселение Зайцева Речка, сельское поселение Вата, сельское поселение Ваховск, сельское поселение Ларьяк</t>
  </si>
  <si>
    <t>Сельские поселения Ханты-Мансийского района</t>
  </si>
  <si>
    <t>МАДОУ ДС № 16;  МАДОУ ДС № 9; МАДОУ ДС № 10;  МБОУ СОШ № 8.</t>
  </si>
  <si>
    <t>МАУ "Городской парк культуры и отдыха", МАУ СШОР "Олимп", МБУ "Управление лесопаркового хозяйства и экологической безопасности", МКУ "Казна городского хозяйства", МАУ "Наше время"</t>
  </si>
  <si>
    <t>МБОУ "Барсовская СОШ №1", МБОУ "Солнечная СОШ №1",                         МБОУ "Ульт-Ягунская СОШ"</t>
  </si>
  <si>
    <t>99,96%</t>
  </si>
  <si>
    <t>0,04%</t>
  </si>
  <si>
    <t>подсчёт велся в соответствии с информацией, направленной координаторами. Например - дворик детства - жители трёх многоэтажных домов, на  жители которых инициировали строительство детской площадки,  по соревнованиям - количество зрителей и участников и т.д.,</t>
  </si>
  <si>
    <t>учтены граждане по месту жительства в городском поселении Белоярский (ТСН "Соседи" и ТОС "Городок"</t>
  </si>
  <si>
    <t>подсчет благополучателей учтена численность населенных пунктов</t>
  </si>
  <si>
    <t xml:space="preserve">подсчет благополучателей учтена численность населенных пунктов </t>
  </si>
  <si>
    <t>подсчет благополучателей производился на основании того, что к реализованным проектам имеют доступ все жители пгт. Березово и с. Саранпауль</t>
  </si>
  <si>
    <t>Благополучатели от реализации проектов расчитываются путем сложения благополучателей по всем проектам деленным на колличество проектов.</t>
  </si>
  <si>
    <t xml:space="preserve">Благополучателей в заявке указывает инициативная группа </t>
  </si>
  <si>
    <t xml:space="preserve">Количество человек, которые получили (получат) услугу в результате выполненного проекта (инициативы), независимо от того, сколько раз (в день, в месяц, в год) они воспользуются результатом проекта (инициативы)
</t>
  </si>
  <si>
    <t>Проект 1 - «Благоустройство сквера в районе Центральной городской библиотеки» - общее количество жителей  городского округа город Мегион в установленный период; Проект 2 - Обустройство общественной парковки в районе многоквартирного дома №24 по Проспекту Победы в городе Мегионе» - общее количество проживающих в доме 24 и 26 по улице Проспект Победы города Мегиона; Проект 3 «Обустройство пешеходной зоны на территории городского округа город Мегион» -  общее количество проживающих в доме 8,8/1, 10 по улице Свободы и дома 5 по улице Нефтяников города Мегиона</t>
  </si>
  <si>
    <t>Данные управления федеральной службы государственной статистики</t>
  </si>
  <si>
    <t>Количество зарегистрированных по месту регистрации</t>
  </si>
  <si>
    <t>Посколько значительное число инициатив направлено на реализацию на территориях общего пользования и местах массового отдыха населения, количество благополучателей определено как общее количество жителей муниципального образования.</t>
  </si>
  <si>
    <t xml:space="preserve">Руководители добровольческих объединений (30 чел.)+добровольцы Сургутского района (100 чел.)+ жители Сургутского района (3000 чел.)+воспитанники военно-патриотических клубов (10 чел.)+жители Сургутского района (390 чел.) </t>
  </si>
  <si>
    <t>Количество жителей дома №16 по улице Мира</t>
  </si>
  <si>
    <t>45 057/44 550 или 101,1%</t>
  </si>
  <si>
    <t>Проект 1 - 100% жителей города Мегиона; Проект 2 -  2,6% от общего количества проживающих в городском округе; Проект 3 - 1,6% от общего количества проживающих в городском округе.</t>
  </si>
  <si>
    <t>более 20%</t>
  </si>
  <si>
    <t>http://www.statdata.ru/naselenie/naselenie-hmao</t>
  </si>
  <si>
    <t>данные Росстата, на 01.01.2020 - 100 тысяч жителей.</t>
  </si>
  <si>
    <t>https://www.gks.ru/scripts/db_inet2/passport/table.aspx?opt=718161512019</t>
  </si>
  <si>
    <t>https://www.gks.ru/scripts/db_inet2/passport/table.aspx?opt=718161542019</t>
  </si>
  <si>
    <t>https://www.gks.ru/scripts/db_inet2/passport/table.aspx?opt=718161632019</t>
  </si>
  <si>
    <t>https://www.gks.ru/scripts/db_inet2/passport/table.aspx?opt=718161572019</t>
  </si>
  <si>
    <t>https://www.gks.ru/scripts/db_inet2/passport/table.aspx?opt=718164162019</t>
  </si>
  <si>
    <t>https://www.gks.ru/scripts/db_inet2/passport/table.aspx?opt=718164232019</t>
  </si>
  <si>
    <t>https://www.gks.ru/scripts/db_inet2/passport/table.aspx?opt=718164082019</t>
  </si>
  <si>
    <t>https://www.gks.ru/scripts/db_inet2/passport/table.aspx?opt=718164112019</t>
  </si>
  <si>
    <t>https://www.gks.ru/scripts/db_inet2/passport/table.aspx?opt=718164202019</t>
  </si>
  <si>
    <t>https://www.gks.ru/scripts/db_inet2/passport/table.aspx?opt=718830002019</t>
  </si>
  <si>
    <t>https://www.gks.ru/scripts/db_inet2/passport/table.aspx?opt=718720002019</t>
  </si>
  <si>
    <t xml:space="preserve">http://www.admugansk.ru/category/5   </t>
  </si>
  <si>
    <t>http://xn----7sbiew6aadnema7p.xn--p1ai/sity_id.php?id=72</t>
  </si>
  <si>
    <t>https://www.gks.ru/</t>
  </si>
  <si>
    <t>https://tumstat.gks.ru/ofstat_xmao</t>
  </si>
  <si>
    <t>https://tumstat.gks.ru/storage/mediabank/%D0%A7%D0%B8%D1%81%D0%BB%D0%B5%D0%BD%D0%BD%D0%BE%D1%81%D1%82%D1%8C_%D0%A5%D0%9C%D0%90%D0%9E_2019.htm</t>
  </si>
  <si>
    <t>http://www.admsr.ru/region/population/</t>
  </si>
  <si>
    <t>да, с января 2020 г</t>
  </si>
  <si>
    <t>https://www.gks.ru/scripts/db_inet2/passport/table.aspx?opt=718161602019</t>
  </si>
  <si>
    <t>проектный отдел на базе МАУ "Березовский медиацентр"</t>
  </si>
  <si>
    <t>Рабочая группа по вопросам реализации проектов инициативного бюджетирования в городском округе город Мегион, созданная в соответствии с распоряжением администрации города Мегиона от 28.04.2017 №116</t>
  </si>
  <si>
    <t>местный бюджет</t>
  </si>
  <si>
    <t>Расходы местного бюджета в рамках оплаты труда работников администрации города</t>
  </si>
  <si>
    <t>Данные отсутствуют</t>
  </si>
  <si>
    <t>Свод опросных листов</t>
  </si>
  <si>
    <t xml:space="preserve">Протоколы анкетирования/ результаты опроса жителей </t>
  </si>
  <si>
    <t>http://lugovoikonda.ru/byudzhet-dlya-grazhdan.html</t>
  </si>
  <si>
    <t>http://admkogalym.ru/upload/dokumenty-KF/forma-ankety-dlya-uchastiya-v-oprose.pdf   https://docs.google.com/forms/d/e/1FAIpQLSfgh0mmO8M8BiaBgUUQNyXbRuD4OLTWmEXAX2P6KQIntUNISw/viewform</t>
  </si>
  <si>
    <t>https://gp-izluchinsk.ru/obshchestvennoe-obsuzhdenie2/2430-1/</t>
  </si>
  <si>
    <t>Проведено  анкетирование жителей об актуальности размещения универсального спортивного комплекса на ул. Пионеров.</t>
  </si>
  <si>
    <t>Протокол собрания членов ТОС, ТСН</t>
  </si>
  <si>
    <t xml:space="preserve">Протокол собрания граждан </t>
  </si>
  <si>
    <t>Протокол общего собрания граждан по обсуждению вопросов (проектов) на предмет  дальнейшей подачи заявок для участия в конкурсе  по отбору проектов "Народный бюджет" на территории сельского поселения Леуши</t>
  </si>
  <si>
    <t>Собрания граждан записываются на видеозаписи, которые предоставляются совместно с заявкой на участие в конкурсном отборе проектов</t>
  </si>
  <si>
    <t>http://admkogalym.ru/upload/dokumenty-KF/protokoly-obshchikh-sobraniy-initsiativnykh-grupp-grazhdan.pdf</t>
  </si>
  <si>
    <t xml:space="preserve">Обсуждение вопросов в рамках идентификации проблемы в процессе предварительного рассмотрения на собраниях граждан с подсчетом присутствующих и последующим оформлением  протоколов собраний </t>
  </si>
  <si>
    <t>регистрация в журнале поселения</t>
  </si>
  <si>
    <t>протокола</t>
  </si>
  <si>
    <t xml:space="preserve">Протокол собрания населения об участии в кокурсном отборе проектов инициативного бюджетирования "Твоя инициатива - Твой бюджет" https://adm.gov86.org/436/2925/2964/2975/3100/3861/3866/4330/  </t>
  </si>
  <si>
    <t xml:space="preserve">протоколы предварительного обсуждения от 10.05.2018г. и  окончательного обсуждения от 16.08.2018г.  
</t>
  </si>
  <si>
    <t>Очно-заочное собрание собственников, результат зафиксирован в протоколе</t>
  </si>
  <si>
    <t>направление проектов на эл.почту организатора конкурса</t>
  </si>
  <si>
    <t xml:space="preserve">Сбор заявок на участие в проекте "Бюджет Сургута Online" в электронном виде осуществляется в том числе в сети интернет посредством электронной почты </t>
  </si>
  <si>
    <t>Предоставили заявки в администрацию города, ответственным специалистам по инициативному бюджетрованию</t>
  </si>
  <si>
    <t>Завки предоставляются в департамент управления финансами, в составе заявок - решения инициативных групп граждан.</t>
  </si>
  <si>
    <t>Приемная администрации поселения (ведется журнал регистрации поступивщих заявок на участие в конкурсном отборе)</t>
  </si>
  <si>
    <t>личный прием заявок на конкурсный отбор, направление на электронную почту департамента финансов</t>
  </si>
  <si>
    <t>Подсчет голосов по вопросам, поставленным на голосование по Повестке дня, с последующим оформлением модельного протокола</t>
  </si>
  <si>
    <t>Регистрация в журнале регистрации заявок</t>
  </si>
  <si>
    <t xml:space="preserve">Информация в заявке на участие в конкурсном отборе </t>
  </si>
  <si>
    <t xml:space="preserve">Сбор заявок на участие в проекте "Бюджет Сургута Online" в бумажной форме осуществляется в том числе в пунктах по работе с населением территориальных общественных самоуправлений города и МКУ "Наш город" </t>
  </si>
  <si>
    <t>8 инициативных групп граждан</t>
  </si>
  <si>
    <t>https://vk.com/wall-166261622_2643             https://ok.ru/langepasgroup/topic/84286329528320                                            https://docs.google.com/forms/d/e/1FAIpQLScn9vkfDrlCD_P6QCRAKZz5KsqJ0ykAWiLb9EwNlX_a0qbo6w/viewanalytics</t>
  </si>
  <si>
    <t>скриншот результатов голосования</t>
  </si>
  <si>
    <t>Одним из критериев оценки поступивших общественных инициатив является количество голосов, отданных за ту или иную идею жителями города. Голосование за приоритетные общественные инициативы проводится на портале "Бюджет для граждан".
http://budget.admsurgut.ru/budget/320216103</t>
  </si>
  <si>
    <t>http://www.admsr.ru/budget/initsiativnoe-byudzhetirovanie/golosovanie/golos/?ID=73</t>
  </si>
  <si>
    <t>http://admhmansy.ru/upload/medialibrary/360/PROTOKOL-15-marta-2019-g.pdf</t>
  </si>
  <si>
    <t>протоколы собраний жителей поселений</t>
  </si>
  <si>
    <t>Отбор и оценку поступивших общественных инициатив на соответствие установленным требованиям и критериям осуществляет специально созданный коллегиальный орган - "Народный совет", сформированный также из числа жителей города (представителей молодежной палаты при Думе города, малого и среднего предпринимательства, совета при Главе города по организации стратегического управления, территориальных общественных самоуправлений) и представителя от Администрации города.</t>
  </si>
  <si>
    <t>протокол заседания комиссии конкурсного отбора проектов ИБ</t>
  </si>
  <si>
    <t>http://www.admkonda.ru/narodnyy-byudzhet-gp-kondinskoe.html</t>
  </si>
  <si>
    <t>http://admkuma.ru/tinybrowser/files/byudzhet/narodnyi/2019/file..doc</t>
  </si>
  <si>
    <t>http://www.lugovoikonda.ru/2019_narod.html</t>
  </si>
  <si>
    <t>Протокол подведения конкурсного отбора проектов "Народный бюджет" сельского поселени Леуши от 05.07.2019 года</t>
  </si>
  <si>
    <t xml:space="preserve">Протокол №2 заседания конкурсной комиссии от 25.06.2019 г. по проведению конкурсного отбора заявок на участие в проекте "Народный бюджет" в сельском поселении Мулымья; 
Протокол №2 заседания конкурсной комиссии от 10.12.2019 г. по проведению конкурсного отбора заявок на участие в проекте "Народный бюджет" в сельском поселении Мулымья </t>
  </si>
  <si>
    <t>http://admkonda.ru/2019-nb-bol.html</t>
  </si>
  <si>
    <t xml:space="preserve">Протокол заседания конкурсной комиссии от 15.07.2019 г., 14.08.2019 г.,  20.11.2019г.,  по проведению конкурсного отбора на участие в проектов "Народный бюджет";
</t>
  </si>
  <si>
    <t>http://admlangepas.ru/open-budget/proactive-budgeting/attention-the-competition/the-results-of-the-contest/protokol/</t>
  </si>
  <si>
    <t>Протокол заседания муниципальной комиссии города Нефтеюганска по конкурсному отбору проектов инициативного бюджетирования</t>
  </si>
  <si>
    <t>Протокол заседания конкурсной комиссии по конкурсному отбору заявок для участия в муниципальной программе «Реализация проекта «Инициативное бюджетирование» на 2018-2022 годы», https://www.n-vartovsk.ru/ibudget/</t>
  </si>
  <si>
    <t>Протокол комиссии по отбору проектов "Народная инициатива" направленных на реализацию мероприятий по благоустройству поселений Нижневартовского района</t>
  </si>
  <si>
    <t xml:space="preserve">Протокол заседания конкурсной комиссии по отбору проектов инициативного бюджетирования «Твоя инициатива - Твой бюджет» от 15.04.2019 № 1 https://adm.gov86.org/436/2925/2964/2975/3100/3861/3866/3870/ </t>
  </si>
  <si>
    <t xml:space="preserve">Протокол №1
конкурсной комиссии по отбору  проектов инициативного бюджетирования от 11 февраля 2019г.
</t>
  </si>
  <si>
    <t>http://www.admkonda.ru/tinybrowser/files/poseleniya2019/mezhdur/byudzhet/narodnyy-byudzhet/protokol-konkursa-nb-ot-25.09.2019.pdf</t>
  </si>
  <si>
    <t>Прошедшие отбор общественные инициативы оценивались "Народным советом" по критериям, утвержденным порядком реализации проекта "Бюджет Сургута Online"</t>
  </si>
  <si>
    <t>замедание общественной комиссии мунициального образования по обеспечению реализации программы "Комфортной городской среды"</t>
  </si>
  <si>
    <t xml:space="preserve">Протокол заседания конкурсной комиссии по проведению конкурсного отбора проектов (инициатив) граждан по вопросам местного значения в городе Когалыме «Твоя инициатива» </t>
  </si>
  <si>
    <t>анкеты на бумажных носителях</t>
  </si>
  <si>
    <t>Представители общественности в обязательном порядке (не менее 1/3 от общего количества членов Комиссии) входят в состав конкурсной комиссии по отбору проектов поддержки местных инициатив (обозначается в постановлении администрации города Мегиона "О проведении конкурсного отбора проектов поддержки местных инициатив города Мегиона"). Данные лица  указываюся в присутствующих членах Комиссии и подписываюся в протоколах заседаний конкурсной комиссии по отбору проектов поддержки местных инициатив</t>
  </si>
  <si>
    <t>Прошедшие отбор инициативы размещались для проведения общественного интернет-голосования на портале "Бюджет для граждан"</t>
  </si>
  <si>
    <t>Протокол заседания согласительной комиссии Сургутского района от 25.11.2019 № 2. Согласительная комиссия является коллегиальным органом, созданным администрацией Сургутского района для проведения в Сургутском районе конкурсного отбора проектов инициативного бюджетирования с участием представителей общественности Сургутского района, а также представителей органов местного самоуправления Сургутского района и городских и сельских поселений Сургутского района)</t>
  </si>
  <si>
    <t>обсуждение проектов https://crowd.admhmansy.ru/</t>
  </si>
  <si>
    <t>интернет-голосование на официальном сайте органов местного самоуправления города Нефтеюганска ХМАО-Югры / в официальной группе администрации города Нефтеюганска в социальной сети Вконтакте</t>
  </si>
  <si>
    <t xml:space="preserve">голосования за проекты посредством портала «Госуслуги»   https://www.n-vartovsk.ru/ibudget/   </t>
  </si>
  <si>
    <t>интернет-голосование</t>
  </si>
  <si>
    <t xml:space="preserve">Информационное сопровождение практики инициативного бюджетирования в сети интернет отражено на официальном сайте Администрации города Пыть-Яха https://adm.gov86.org/436/2925/2964/2975/   </t>
  </si>
  <si>
    <t>Централизованная система удаленного управления практикой ИБ отсутствует.
На портале "Бюджет для граждан" создан специальный раздел "Бюджет Сургута Online" (http://budget.admsurgut.ru/budget/320216097), в котором содержится актуальная информация о сроках, порядке реализации проекта, поступившие от граждан общественные инициативы и итоги отбора. Вся размещаемая информация представлена в доступной для граждан форме. 
Общественное интернет-голосование, проводящееся среди жителей города с целью определения наиболее актуальных идей, осуществляется на портале testograf.ru, ресурс имеет лицензию и является одним из наиболее распространенных порталов для онлайн-голосования.</t>
  </si>
  <si>
    <t>Онлайн голосование за проекты инициативного бюджетирования Сургутского района, заявленных в рамках реализации проектных молодёжных инициатив в 2019 году размещено на официальном сайте администрации Сургутского района в разделе Деятельность/ Бюджет и финансы / Инициативное бюджетирование /Голосование</t>
  </si>
  <si>
    <t>трудовое участие инициаторов на всех этапах реализации проекта, приемка результатов</t>
  </si>
  <si>
    <t>1) трудовое участие жителей в установке композиций</t>
  </si>
  <si>
    <t xml:space="preserve">1) завоз песка, отсыпка площадки, планировка территории, ревизия тренажеров силами градообразующего предприятия;                                                                    2) установка и бетонирование тренажеров  силами жителей. </t>
  </si>
  <si>
    <t xml:space="preserve">1) проведение неоплачиваемых работ по демонтажу существующего памятника, подготовка площадки для установки нового памятника, проведение работ по очистке территории от строительного мусора;                                                                                 2) проведение строительно-монтажных работ;                                                                                       3) доставка и установка пушки силами градообразующего предприятия.                                                                     </t>
  </si>
  <si>
    <t>трудовое участие, контроль качества производимых работ в ходе реализации проекта</t>
  </si>
  <si>
    <t>Трудовое участие</t>
  </si>
  <si>
    <t>Предоставление материалов, основных средств, материальных запасов и трудовой вклад</t>
  </si>
  <si>
    <t>Трудозатраты, участие на безвозмездной основе (поставка товаров, оказание услуг) и другое участие</t>
  </si>
  <si>
    <t>Трудовое участие граждан, предпринимателей</t>
  </si>
  <si>
    <t>Силами инициативной группы, состоящей из жителей сельского поселения Мулымья установленна новогодняя иллюминация</t>
  </si>
  <si>
    <t xml:space="preserve">Предоставление материалы, трудовое участие </t>
  </si>
  <si>
    <t>Приобретение материалов, трудовое участие помощь</t>
  </si>
  <si>
    <t xml:space="preserve">Трудовое участие граждан, помощь материалами, техникой , инструментами </t>
  </si>
  <si>
    <t>Выполнение работ по подготовке территории к обустройству метеоплощадки (устройство бетонированного покрытия, устройство наливного резинового покрытия). Профилирование и выравнивание подъемов. Передача тренировочных комплектов для соревнований и дистационное обучение педагога. Сбор и редактирование авторских текстов, подготовка вступительной статьи о деятельностигородского пэтического клуба "Вдохновение", подготовка творческой биографии и фотопортретов авторов (членов клуба), художественное оформление сборника рисунками силами преподавателей и обучающихся МАУ ДО "Детская школа искусств".</t>
  </si>
  <si>
    <t>трудовое участие  в количестве 27 чел.</t>
  </si>
  <si>
    <t>выполнение земляных работ (планировка грунта); очистка территории от строительного и иного мусора, загрязнений, посадка насаждений (в рамках организуемых субботников); привлечение на безвозмездной основе специализированной техники для проведения земляных работ</t>
  </si>
  <si>
    <t>Нефинансовый вклад со стороны инициативной группы может выражаться в виде неоплачиваемого труда, предоставления материалов, инструментов, необходимых для реализации проекта.</t>
  </si>
  <si>
    <t>Трудозатраты населения (уборка мусора, демонтаж, расчистка территорий, покраска ит.д.)</t>
  </si>
  <si>
    <t>Выполнение работ по разборке ограждение спортивной площадки, по разборке штакетного забора и теплиц (помощь со стороны граждан)</t>
  </si>
  <si>
    <t>Нефинансовый вклад юрлиц и предпринимателей выражен в предоставлении безвозмездно материалов: цемент, щебень, песок с доставкой до места использования. Вклад от населения выражен в безвозмездном предоставлении автотранспорта, саженцев деревьев и растений, семян для газона и клумб, удобрений, садового инвентаря, земельных составов.</t>
  </si>
  <si>
    <t>Нефинансовым вкладом со стороны населения является трудовое участие:
1. В рамках реализации общественной инициативы "Городская профилактическая акция "Ангел-хранитель" студенты-волонтеры осуществляли распространение листовок о необходимости профилактики выпадения детей из окон (3250 шт.).
2. В рамках реализации общественной иницитивы по посадке деревьев на территории плавательного бассейна на 50 м. жители микрорайона приняли участие в инициативе на добровольной и безвозмездной основе.</t>
  </si>
  <si>
    <t>трудовое участие со стороны граждан в реализации проектов ИБ</t>
  </si>
  <si>
    <t>https://budget.admsov.com/in-bu.php</t>
  </si>
  <si>
    <t>http://admhmansy.ru/rule/admhmansy/adm/department-of-finance-management/new-byudzhet/initsiativnoe-byudzhetirovanie/</t>
  </si>
  <si>
    <t>http://admsorum.ru/admininstration-actions/budget/proactive/#SITE_DIR#/theme/index.php?ID=#IBLOCK_ID#/|tabs-container2</t>
  </si>
  <si>
    <t>http://admbel.ru/local-control/administration/finans/ini/#tabs-container1 (район); http://admlyhma.ru/admininstration-actions/budget/proactive/#tabs-container6 (Лыхма); http://vkazym.ru/admininstration-actions/budget/initiative_budgeting/#tabs-container1 (ВК); http://admkazym.ru/local-control/administtion/budget/proactive/#tabs-container1 (Казым); http://xn--80aafh5akhhb1ab.xn--p1ai/local-control/administtion/budget/proactive/#tabs-container1 (Сосновка); http://polnovat.ru/category/docs/byudzhet-poseleniya/initsiativnoe-byudzhetirovanie/ (Полноват)</t>
  </si>
  <si>
    <t>Санитарная очистка придомовой территории, покос травы, вырубка кустарников, установка сферических зеркал, сварочные работы, сборка металоконструкции автобусной остановки</t>
  </si>
  <si>
    <t>http://admkuma.ru/narodnyy-byudzhet-2019.html</t>
  </si>
  <si>
    <t>http://admkonda.ru/mortka-byudzhet-dlya-naseleniya.html</t>
  </si>
  <si>
    <t>http://www.lugovoikonda.ru/narodnyy-byudzhet.html</t>
  </si>
  <si>
    <t>http://admkonda.ru/realizatciya-proektov-narodnyy-byudzhet-leushi.html</t>
  </si>
  <si>
    <t>http://admmul.ru/narodnyy-byudzhet.html</t>
  </si>
  <si>
    <t>http://admkonda.ru/narodnyy-byudzhet-0.html</t>
  </si>
  <si>
    <t>http://adm-polov.ru/informaciya.html</t>
  </si>
  <si>
    <t>http://www.admoil.ru/narodnyj-byudzhet</t>
  </si>
  <si>
    <t xml:space="preserve">http://admkogalym.ru/economics/budget/initsiativnoe-byudzhetirovanie/
</t>
  </si>
  <si>
    <t>http://admlangepas.ru/open-budget/proactive-budgeting/</t>
  </si>
  <si>
    <t xml:space="preserve">https://admmegion.ru/city/budcitizen/section/3764/                 В разделе обновлена информация о практиках инициативного бюджетирования, добавлены сведения о проектах инициативного бюджетирования и критерии оценки заявок, сведения о подготовке заявок, выборе подрядчика, реализации и мониторинге проекта  на примере других городов, </t>
  </si>
  <si>
    <t>http://www.admugansk.ru/category/1496</t>
  </si>
  <si>
    <t xml:space="preserve">1) http://nvraion.ru/ekonomika-i-finansy/initsiativnoe-byudzhetirovanie/    2)http://www.gp-izluchinsk.ru/budjetgp/initsiativnoe-byudzhetirovanie/ 
3) http://gp-novoagansk.ru/initciativnoe-byudzhetirovanie.html 
4) http://www.аган-адм.рф/iniciativnoe-byudzhetirovanie.html 
5) http://www.adminvata.ru/iniciativnoe-byudzhetirovanie.html
6) http://www.apokur.ru/iniciativnoe-byudzhetirovanie.html
7) http://admlariak.ru/otchet-za-2019-god.html 
8) http://zaik-adm.ru/zayavki-po-iniciativnomu-byudzhetirovaniyu.html 
9) http://adminvah.ru/iniciativnoe-byudzhetirovanie.html </t>
  </si>
  <si>
    <t>https://adm.gov86.org/436/2925/2964/2975/</t>
  </si>
  <si>
    <t>http://www.admrad.ru/komfin-budgetinit/</t>
  </si>
  <si>
    <t>http://budget.admsurgut.ru/budget/320216097</t>
  </si>
  <si>
    <t>http://admsr.ru/budget/initsiativnoe-byudzhetirovanie/</t>
  </si>
  <si>
    <t xml:space="preserve">https://www.youtube.com/watch?v=ctQrBhyhkzM , http://www.alabievo.ru/realizovannye-proekty-iniciativnogo-byudzhetirovaniya.html, https://ok.ru/profile/557783840256/statuses/131119316273152    </t>
  </si>
  <si>
    <t>https://crowd.admhmansy.ru/</t>
  </si>
  <si>
    <t>https://www.youtube.com/channel/UCGdpyToy8AOnijRkLCNbr9A,                                             https://vk.com/berezovoinfo</t>
  </si>
  <si>
    <t>http://admkonda.ru/narodnyy-byudzhet-2019-mejd.html</t>
  </si>
  <si>
    <t>В контакте
https://vk.com/@-183840176-proekt-iniciativnogo-budzhetirovaniya-eto-nado-znat
https://vk.com/@-183840176-proekt-iniciativnogo-budzhetirovaniya-rekonstrukciya-dorogi 
https://vk.com/video-183840176_456239033 
https://vk.com/@-183840176-24-avgusta-2019-goda-na-prazdnovanii-dnya-poselka-byli-nagra                                                                                                                                                      
В одноклассниках 
https://ok.ru/group/60701864427563/topic/70516935994155
https://ok.ru/elena.mityushkina/album/885116721963/885310770731</t>
  </si>
  <si>
    <t xml:space="preserve">Одноклассники
https://ok.ru/group/60701864427563/topic/70516916595499
https://ok.ru/group/60701864427563/topic/70516952443691
https://ok.ru/group/60701864427563/topic/70548852484907
ВКонтакте
https://vk.com/public183840176?w=wall-183840176_2
https://vk.com/public183840176?w=wall-183840176_7
https://vk.com/public183840176?w=wall-183840176_20
https://vk.com/video-183840176_456239017
https://vk.com/public183840176?w=wall-183840176_22
 </t>
  </si>
  <si>
    <t>1) http://www.admoil.ru/novosti-dnya
2) https://vk.com/public172755478
3) https://ok.ru/group/54408960737454</t>
  </si>
  <si>
    <t>http://центр86.рф/2019/12/%D1%80%D0%B5%D0%B0%D0%BB%D0%B8%D0%B7%D0%B0%D1%86%D0%B8%D1%8F-%D0%BF%D1%80%D0%BE%D0%B5%D0%BA%D1%82%D0%B0-%D0%B8%D0%BD%D0%B8%D1%86%D0%B8%D0%B0%D1%82%D0%B8%D0%B2%D0%BD%D0%BE%D0%B3%D0%BE-%D0%B1%D1%8E/</t>
  </si>
  <si>
    <t xml:space="preserve">https://ok.ru/profile/554119427854   https://ok.ru/group/55560356036622  https://www.instagram.com/megion_official/   https://www.instagram.com/deyneka_oleg_megion/    https://vk.com/id182087825          https://vk.com/ofmegion  ГАЗЕТНЫЕ НОМЕРА В ФОРМАТЕ PDF           https://admmegion.ru/upload/iblock/5d3/94.pdf;  https://admmegion.ru/upload/iblock/8c0/90.pdf; https://admmegion.ru/upload/iblock/bfc/86.pdf; https://admmegion.ru/upload/iblock/3a9/78.pdf; https://admmegion.ru/upload/iblock/aca/74.pdf; https://admmegion.ru/upload/iblock/967/72.pdf; https://admmegion.ru/upload/iblock/f12/MN-2019_64.pdf; https://admmegion.ru/upload/iblock/3f1/MN-2019_62.pdf; https://admmegion.ru/upload/iblock/3ce/60.pdf; https://admmegion.ru/upload/iblock/f85/58.pdf; https://admmegion.ru/upload/iblock/1a1/40.pdf; https://admmegion.ru/upload/iblock/950/36.pdf  САЙТ АДМИНИСТРАЦИИ ГОРОДА. www.admmegion.ru. Количество уникальных посетителей - до 2,5 тыс. в сутки. Опубликованы информационные сообщения: Наталья Комарова: Молодые люди – ядро команды Югры https://admmegion.ru/news/348230/?sphrase_id=2898468, 18.12.2019; Мегион в числе городов с развитой практикой инициативного бюджетирования https://admmegion.ru/news/348203/?sphrase_id=2898468, На встрече с Олегом Дейнека жители Высокого спрашивали, предлагали, призывали к действию  https://admmegion.ru/news/347812/?sphrase_id=289846807.12.2019; На встрече с Олегом Дейнека жители Высокого спрашивали, предлагали, призывали к действию 02.12.2019;  https://admmegion.ru/news/347812/?sphrase_id=2898468, 02.12.2019; Инвестсовет: Предварительные итоги работы по привлечению частных инвестиций на реализацию городских проектов https://admmegion.ru/news/347763/?sphrase_id=2898468, 29.11.2019; Инициативное бюджетирование – эффективный инструмент в решении вопросов благоустройства https://admmegion.ru/news/347514/?sphrase_id=2898468, 15.11.2019; Мегионцы приглашаются к участию в конкурсе проектов, проводимом в формате инициативного бюджетирования https://admmegion.ru/news/346809/?sphrase_id=2898468, 08.10.2019; Мегион посетил депутат Думы Югры Василий Филипенко https://admmegion.ru/news/346418/?sphrase_id=2898468, 26.09.2019; Новая модель инициативного бюджетирования будет внедрена в Югре https://admmegion.ru/news/346355/?sphrase_id=2898468, 24.09.2019; ТОС «Победа» - обладатель муниципального гранта на обустройство общественной парковки по Проспекту Победы https://admmegion.ru/news/346230/?sphrase_id=2898468, 16.09.2019; Глава Мегиона контролирует работы по благоустройству и капремонту дорог https://admmegion.ru/news/345711/?sphrase_id=2898468, 27.08.2019; Администрацией Мегиона вновь объявлен конкурс на поддержку местных инициатив. Разыгрываются два гранта https://admmegion.ru/news/345447/?sphrase_id=2898468, 16.08.2019; Инициативное бюджетирование - реальная помощь в реализации проектов https://admmegion.ru/news/345398/?sphrase_id=2898468, 15.08.2019; Итоги интернет-конференции: благоустройство — в интересах каждого https://admmegion.ru/news/345339/?sphrase_id=2898468, 13.08.2019; Практика внедрения механизма инициативного бюджетирования в Мегионе отмечена правительством Югры https://admmegion.ru/news/344996/?sphrase_id=2898468, 24.07.2019; Инициатива поощряется рублем: в Мегионе вновь объявлен конкурс проектов на благоустройство общественных территорий города https://admmegion.ru/news/344968/?sphrase_id=2898468, 22.07.2019; Что такое инициативное бюджетирование? https://admmegion.ru/news/344026/?sphrase_id=2898468, 06.06.2019; Практика внедрения механизма инициативного бюджетирования в Мегионе отмечена правительством Югры https://admmegion.ru/news/343508/?sphrase_id=2898468, 13.05.2019; В Мегионе обсудили вопросы обустройства площадок для выгула и дрессировки собак https://admmegion.ru/news/342938/?sphrase_id=2898468, 10.04.2019; Жители Высокого обсудили вопросы развития поселка https://admmegion.ru/news/342690/?sphrase_id=2898468, 05.04.2019; Наталья Комарова: Дворы нужно приводить в порядок https://admmegion.ru/news/342505/?sphrase_id=2898468, 28.03.2019; О расселении балков, создании единого комплекса здравоохранения и переходе на новую систему обращения с ТКО. В поселке Высокий прошла открытая встреча главы муниципалитета с жителями https://admmegion.ru/news/341153/?sphrase_id=2898468, 02.03.2019; Глава города Олег Дейнека отчитался о проделанной работе за 2018 год https://admmegion.ru/news/340976/?sphrase_id=2898468, 21.02.2019; Олег Дейнека: Сегодня все уровни власти и гражданское общество сообща решают задачи по улучшению качества жизни каждого жителя https://admmegion.ru/news/340827/?sphrase_id=2898499, 11.02.2019. Также проводилась запись программ "Прямой эфир" и "Актуальное интервью", где затрагивалась тема реализации проектов в формате инициативного бюджетирования. Кроме того, тема инициативного бюджетирования затрагивалась во время открытых встреч главы города с жителями Мегиона и поселка городского типа Высокий. В течение года проведено 8 встреч  </t>
  </si>
  <si>
    <t xml:space="preserve">
https://www.youtube.com/watch?v=JBXLZ9rmUjI http://www.znpress.ru/archive/2019/3273-nomer-22.html#page/10  http://www.znpress.ru/archive/2019/3273-nomer-22.html#page/20 http://www.znpress.ru/archive/2019/3602-nomer-35.html#page/6  </t>
  </si>
  <si>
    <t xml:space="preserve">Газета «Местное время»: 
11.01.2019 - «Инициативы, рожденные жизнью» - в Нижневартовске продолжается прием заявок от желающих поучаствовать в муниципальной программе «Инициативное бюджетирование» в 2019 году;
16.03.2019 – «Инвесторы любят Югру» - об инвестиционных программах;
30.03.2019 – «О концессии, инвестициях, детских садах и дорогах» - губернатор обсудила с главой достижения и проблемы города;
30.03.2019 – «Вопросы про ТОСы» - о развитии ТОСов, с том числе в рамках программ инициативного бюджетирования;
04.04.2019 – «Рекорд: 13 за один час» - о заседании думских комитетов по реализации программы;
18.05.2019 – «Важней всего погода в доме»  - об инвестиционном климате;
23.05.2019 – «Инвестиции в производство» - о развитии промышленности;
23.07.2019 – «Центр с видом на Обь» - о рейтинге инвестиционной привлекательности;
06.08.2019 – «Сами с усами» - инициативное бюджетирование в действии;
10.10.2019 – «О пользе резиновой крошки» - о развитии конкурентной среды в рамках инициативного бюджетирования;
29.10.2019 – «Дороги нашей надежды» - инвестиции в дорожное строительство;
12.11.2019 – «С помощью бюджетных инвестиций» - социально-экономическое развитие округа;
 Газета «Самотлор-экспресс»:
14.06.2019 -  «Когда инициатива не наказуема» - об инициативном бюджетировании.
Газета «Варта»:
17.05.2019 – «С открытым посланием - к инвесторам» - обращении главы города;
20.07.2019 – «С панорамным видом на Обь» - о результатах рейтинга;
05.10.2019 – «Школы построит инвестор» - о заседании градостроительного совета;
11.10.2019 - «Нижневартовск 3D - завтрашняя реальность» - об инвестиционной деятельности в городе;
26.11.2019 – «Вартовчане участвуют в проектах» - о реализации проекта «Инициативное бюджетирование»
https://www.n-vartovsk.ru/news/citywide_news/news_adm/335208.html    https://www.n-vartovsk.ru/news/citywide_news/news_adm/331996.html  https://www.n-vartovsk.ru/news/citywide_news/iz_zhizni_goroda/331527.html   https://www.n-vartovsk.ru/news/citywide_news/iz_zhizni_goroda/323777.html   https://www.n-vartovsk.ru/news/citywide_news/iz_zhizni_goroda/323777.html   https://www.n-vartovsk.ru/news/citywide_news/news_education/322780.html   https://www.n-vartovsk.ru/news/citywide_news/duma_vesti/307294.html  https://zhiznkakchudo.ru/pl/teach/control/lesson/view?id=126523287&amp;editMode=0    https://www.n-vartovsk.ru/news/citywide_news/news_adm/302327.html  https://www.n-vartovsk.ru/news/citywide_news/bvk/308628.html      https://www.n-vartovsk.ru/news/citywide_news/bvk/306330.html   https://www.n-vartovsk.ru/news/citywide_news/bvk/302006.html    https://vk.com/samotlor_tv?w=wall-77503436_25768,  https://vk.com/samotlor_tv?w=wall-77503436_22939      </t>
  </si>
  <si>
    <t>https://vk.com/topic-188948853_40771377        https://ok.ru/selskoepos/topics</t>
  </si>
  <si>
    <t>https://vk.com/feed?w=wall-172665895_104
https://vk.com/public172665895?w=wall-172665895_104
https://ok.ru/profile/580263922211/statuses/69130008712483</t>
  </si>
  <si>
    <t xml:space="preserve">http://priobie.ru/index.php/65-инициативное-бюджетирование/6790-открытие-спортивной-площадки-–-долгожданное-событие-для-приобчан http://priobie.ru/index.php/65- инициативное-бюджетирование/6090-инициативное-бюджетирование priobie.ru/index.php/65-инициативное-бюджетирование/5999-инициативная-группа-жителей-гп-приобье-представляет-вашему-вниманию-новый-проект-по-благоустройству http://oktregion.ru/about/news/proekt_priobchan_luchshiy/?sphrase_id=8846 http://ugoria.tv/news/stati/36349/?sphrase_id=69949 http://ugoria.tv/news/video/33398/?sphrase_id=69949   </t>
  </si>
  <si>
    <t>1) http://admsurgut.ru/article/78/123710/12-iyunya-startoval-konkurs-obschestvennyh-iniciativ-v-ramkah-proekta-Byudzhet-Surguta-Online;
2) http://admsurgut.ru/article/89/126734/Prodlen-sbor-obschestvennyh-iniciativ-v-ramkah-proekta-Byudzhet-Surguta-Online;
3) http://admsurgut.ru/article/78/129230/Byudzhet-Online-V-Surgute-obyavlen-start-golosovaniya-za-obschestvennye-iniciativy;
4) http://admsurgut.ru/article/78/130279/Prodleny-sroki-golosovaniya-za-proekty-v-ramkah-Byudzhet-Surguta-Online;
5) http://budget.admsurgut.ru/budget/320216097;
6) https://ugra.mk.ru/social/2019/06/26/byudzhet-surguta-onlayn-kakgorod-pomogaet-surgutyanam-realizovat-svoiiniciativy.html;
7) http://osurgut.com/news/detailview/25939;
8) http://www.siapress.ru/news_surgut/90408;
9) https://www.instagram.com/budget_surguta_online_/?hl=ur</t>
  </si>
  <si>
    <t>https://docs.google.com/forms/d/e/1FAIpQLSdf9Vnhw8cn0B_jr8sLNrIdRvOgI4QM0837shhaKy4zdncPWw/viewform</t>
  </si>
  <si>
    <t>https://m.vk.com/wall-172622683_1329
https://m.vk.com/wall-183805010_91</t>
  </si>
  <si>
    <t>1) http://www.admoil.ru/finans/narodni-budget/logotip.rar
2) http://budget.admoil.ru/index.php/portal-news/11-konkurs-na-luchshij-logotip-proekta-narodnyj-byudzhet
3) https://cloud.mail.ru/public/56tA/4sqym5TBA</t>
  </si>
  <si>
    <t xml:space="preserve"> http://nvraion.ru/ekonomika-i-finansy/initsiativnoe-byudzhetirovanie/  </t>
  </si>
  <si>
    <t>https://adm.gov86.org/436/2925/2964/2975/3100/</t>
  </si>
  <si>
    <t>https://cloud.mail.ru/public/3Ypa/4uBRDJWX4/</t>
  </si>
  <si>
    <t>ТВ, социальные сети</t>
  </si>
  <si>
    <t xml:space="preserve">встречи с жителями  с рамках краудсорсингового пректа "Мы вместе" https://crowd.admhmansy.ru/news/khanty-mansiyskiy-konkurs-initsiativnogo-byudzhetirovaniya-stal-predmetom-obshchestvennykh-obsuzhden/ ; объявления на официальном портале органов местного самоуправления, на информационных ресурсах в сети интернет : https://hanty-mansiysk.info/news/category/novosti-hanty-mansijska/v-hanty-mansijske-startuet-konkurs-proektov-iniciativnogo-budzetirovania-my-planiruem-budzet-vmeste  </t>
  </si>
  <si>
    <t>официальный сайт  органов местного самоуправления</t>
  </si>
  <si>
    <t>официальный сайт  органов местного самоуправления, ТВ, социальные сети,доски объявлений (стенды)</t>
  </si>
  <si>
    <t xml:space="preserve">Размещение информации о начале конкурса в газете "Жизнь Югра", размещение информации на официальном сайте https://www.berezovo.ru/inform/messages/77305/?sphrase_id=91324                                      http://саранпауль-адм.рф/initciativnoe-byudzhetirovanie.html </t>
  </si>
  <si>
    <t>газета "Кондинский вестник" №30 от 26.07.2019 (1 выпуск), вручение листовок (100 шт.), размещение объявлений в общественных местах, 102.2 FM в разделе "Новости"</t>
  </si>
  <si>
    <t>Рекламная компания реализовывалась путем собрания граждан, объявлений на официальном сайте органов местного самоуправления, личных бесед с инициативными группами, газета "Кондинский вестник" №30 от 26.07.2019 (1 выпуск)</t>
  </si>
  <si>
    <t>Размещение информации на сайте, трансляция по местному радио, анкетирование (298 опросов)</t>
  </si>
  <si>
    <t>на 4 стендах объявление, 
распространение листовок (70 шт) волонтерами, радиовещение</t>
  </si>
  <si>
    <t>Вручение листовок (768 шт.), размещение объявлений в общественных местах</t>
  </si>
  <si>
    <t>На досках объявлений, стендах, в местах общего пользования</t>
  </si>
  <si>
    <t>Информация о старте  проекта ИБ была размещена на официальном сайте администрации района и поселений,  в средствах массовой информации, на стендах в МФЦ, а также в учреждениях образования, культуры и спорта. Также  к работе по развитию ИБ  были привлечены Общественные советы поселений.  
1) http://www.admsingapaj.ru/deyatelnost/byudzhet-i-finansy/narodnyy-byudzhet/narodnyy-byudzhet_2019.php
2) https://adminsalym.ru/zhilishhno-kommunalnaya-sfera/narodnyj-byudzhet.html</t>
  </si>
  <si>
    <t xml:space="preserve">Размещение информационных сообщений о приеме заявок на участие в конкурсном отборе проектов (инициатив), о проведении конкурсного отбора проектов (инициатив)  на официальном сайте Администрации города Когалыма в сети Интернет (www.admkogalym.ru) в новостной ленте, средствах массовой информации (газета «Когалымский вестник»), квитанцяиях на оплату ЖКУ и т.д. 
</t>
  </si>
  <si>
    <t xml:space="preserve">Многофункциональный центр;  Администрация города Лангепаса, столб объявлений на территории города, экран на центральной площади города; у здания "Центра культуры "Нефтяник", подъезды в многоквартирных домах </t>
  </si>
  <si>
    <t>Для информирования населения о практике инициативного бюджетирования задействовались официальный сайт администрации города, группы администрации города в социальных сетях, телевидение (3 канала), радио (2 канала), городская газета "Мегионские новости", два электронных цифровых экрана в присутственных местах города</t>
  </si>
  <si>
    <t>Рекламная кампания инициативного бюджетирования проводится департаментом экономического развития администрации города Нефтеюганска посредством размещения информации на официальном сайте органов местного самоуправления, в печатных изданиях и социальных сетях, проката новостных сюжетов и интервью на телевидении, радио</t>
  </si>
  <si>
    <t>На официальном сайте ОМСУ разработан раздел «Мой вклад в бюджет» где размещена вся информация необходимая для подачи заявки, предусмотрена возможность голосования за проекты.
Для большего информационного охвата на территории города были размещены баннеры с информацией о проведении конкурсного отбора заявок. Информационное сопровождение  осуществлялось  посредством телевизионного вещания, статей в переодических изданиях, сети интернет. 
Информация, размещенная на официальном сайте органов местного самоуправления города Нижневартовска, дублируется в группах "Официальный Нижневартовск", в социальных сетях "ВКонтакте", "Одноклассники".</t>
  </si>
  <si>
    <t>Информационная кампания в поселениях осуществляется путем проведения собраний граждан в трудовых коллективах, сообществах граждан, распространяется информацияв виде листовок, брошюр в том числе в период проведения массовых мероприятий, праздников. Кроме того на информационных стендах расклеиваются объявления, размещается информация на  интернет ресурсах (официальных сайтах) администраций района и поселений, месседжерах, социальных сетях, на телевидении Нижневартовского района. Для сбора предложений граждан установлены ящики для сбора идей.</t>
  </si>
  <si>
    <t xml:space="preserve">Информационная компания инициативного бюджетирования в городе Пыть-Яхе проводилась посредством  статей в периодических изданиях, также информация размещалась в социальных сетях (vk, ok) https://vk.com/feed?w=wall-172665895_104   https://vk.com/public172665895?w=wall-172665895_104    </t>
  </si>
  <si>
    <t>Информация о реализации проекта "Бюджет Сургута Online" распространялась посредством электронных и печатных средств массовой информации, интервью с представителями департамента финансов Администрации города, в форме сюжетов в новостных и информационных телевизионных программах. Создан аккаунт проекта в сети Instagram. Также осуществлялось распространение листовок в торговых центрах города, на автобусных остановках, помещениях территориальных общественных самоуправлений. Создан информационный ролик о реализации проекта, его демонстрация осуществлялась при проведении форума «Гражданские инициативы регионов 60-й параллели».</t>
  </si>
  <si>
    <t xml:space="preserve">В социальной сети «ВКонтакте» на странице МАУ «Районный молодёжный центр» была размещена информация о проведении районного форума специалистов сферы молодёжной политики, в целях реализации проектных молодёжных инициатив а также новость о проведении районного образовательного семинара для организаторов добровольчества руководителей добровольческих объединений, в целях реализации проектных молодёжных инициатив.  На данных мероприятиях были отобраны проекты для участие в конкурсном отобре проектов ИБ в 2019 году. Также публиковались информационные ролики об инициативном бюджетировании, видеоролики с  призывом принять участие в голосование за проекты инициативного бюджетирования Сургутского района, заявленных в рамках реализации проектных молодёжных инициатив в 2019 году, видеоролик с заседания согласительной комиссии Сургутского района, на котором были отобраны проекты ИБ.  
На официальных сайтах поселений Сургутского района, на официальном сайте администрации Сургутского района, а также в разделе, посвященному инициативному бюджетированию в Сургутском районе, публиковалась информация, посвященная конкурсному отбору проектов ИБ в рамках реализации проектных молодежных инициатив в 2019 году . В инстаграмме публиковались информационные ролики об инициативном бюджетировании, видеоролики с  призывом принять участие в голосование за проекты инициативного бюджетирования Сургутского района, заявленных в рамках реализации проектных молодёжных инициатив в 2019 году, видеоролик с заседания согласительной комиссии Сургутского района, на котором были отобраны проекты ИБ.  
</t>
  </si>
  <si>
    <t>Информация о данном проекте опубликована в газете "Югорский вестник " от 04.07.2019 № 26 (прилагается) и в программе "Время новостей" в эфире телекомпании "Югорск ТВ" ОТ 12.08.2019</t>
  </si>
  <si>
    <t>листовки http://berezovo.ru/activity/finance/initsiativnoe-byudzhetirovanie/</t>
  </si>
  <si>
    <t>Волонтерами при проведении праздничных мероприятий (300 шт. листовок), транслирование в программе внешнего радиовещания, 
на 102.2 FM в разделе "Новости", в группе VIBER</t>
  </si>
  <si>
    <t>Памятка участникам конкурсного отбора "Народный бюджет"
https://cloud.mail.ru/public/3Bte/3Gn3wHY16</t>
  </si>
  <si>
    <t>http://admlangepas.ru/open-budget/proactive-budgeting/what-is-proactive-budgeting848/leaflet-for-proactive-budgeting/</t>
  </si>
  <si>
    <t>Лифлет (памятка), формат А4, с информацией об условиях участия в реализации мероприятий в формате инициативного бюджетирования, с приведением конкретных примеров реализованных проектов в городе Мегионе         https://vk.com/ofmegion?z=photo-144340073_457260793%2Fwall-144340073_10924             https://vk.com/ofmegion?z=photo-144340073_457260793%2Fwall-144340073_10924</t>
  </si>
  <si>
    <t xml:space="preserve">Баннеры </t>
  </si>
  <si>
    <t>В информационных документах в простой, понятной  жителю форме размещаеться информация.                                                                                                                                                                    https://www.gp-izluchinsk.ru/obshchestvennoe-obsuzhdenie2/2019/</t>
  </si>
  <si>
    <t>Буклеты, листовки, стикеры, брошюры в 2019 году не издавались.</t>
  </si>
  <si>
    <t>Представителями ТОС города и волонтерами распространялись информационные объявления (листовки) о проводимом голосовании среди жителей города. Объявления размещались на автобусных остановках городского транспорта, а также подъездах многоквартирных жилых домов, распространялись в торговых центрах города. Кроме того, информация размещалась в мессенджерах (группах многоквартирных домов)
На портале "Бюджет для граждан" размещена презентация "Как это работает", в которой в форме инфографики представлена информация о порядке реализации проекта.   
https://cloud.mail.ru/public/2Cy1/4mGdW5ASP/</t>
  </si>
  <si>
    <t xml:space="preserve">1. Информационный лист об инициативном бюджетировании; 2.Видеоролик об инициативном бюджетировнаии; 3. Листовки с информацией об использовании мобильного приложения "Добрый район" . Ссылка: https://yadi.sk/d/mZqZspc6dLE2uQ             </t>
  </si>
  <si>
    <t>Обучающий семинар на тему «Правовые и организационные механизмы инициативного бюджетирования»</t>
  </si>
  <si>
    <t>Курс повышения квалификации "Правовые и организационные механизмы инициативного бюджетирования" в г. Нижневартовск. Единоразовое проведение курса. Участники: руководители и специалисты органов местного самоуправления Ханты-Мансийского автономного округа - Югры, инициативные граждане.</t>
  </si>
  <si>
    <t>1. Всероссийская научно-практическая конференция «Участие  населения  в  осуществлении местного самоуправления и управлении делами государства как фактор территориального развития» Сессия «Инициативное бюджетирование: практика и институты» - два человека. 2. IV Международный гуманитарный форум «Гражданские инициативы регионов 60-й параллели» Сессия «Инициативное бюджетирование» - два человека.</t>
  </si>
  <si>
    <t>1. Международный Гуманитарный Форум регионов 60-й параллели, участники - представители инициативных граждан, представители социально-ориентированных некоммерческих организаций, представители органов местного самоуправления);   2.Образовательный семинар (представители органов местного самоуправления)</t>
  </si>
  <si>
    <t xml:space="preserve">В специальном разделе на сайте администрации города "Инициативное бюджетированмие" https://admmegion.ru/city/budcitizen/section/3764/ размещены информационные материалы (брошюра, программы поддержки местных инициатив, ответы на основные вопросы, концепция развития и регулирования, практики применения механизма инициативного бюджетирования, нормативно-правовые акты и т.д.). </t>
  </si>
  <si>
    <t>круглый стол, открытые консультации</t>
  </si>
  <si>
    <t>курсы повышения квалификации</t>
  </si>
  <si>
    <t>Информационные совещания в режиме видиоконференсвязи, очные встречи в поселениях</t>
  </si>
  <si>
    <t xml:space="preserve">Обучающие материалы размещены на официальном сайте администрации города Пыть-Яха https://adm.gov86.org/436/2925/2964/2975/3099/  
</t>
  </si>
  <si>
    <t xml:space="preserve">Для членов "Народного совета", специалистов структурных подразделений Администрации города, занимающихся непосредственной реализацией общественных инициатив, проводились заседания, рабочие встречи, посвященные инициативному бюджетированию, а также механизму реализации общественных инициатив с учетом действующего бюджетного законодательства. 
Для граждан, принимающих участие в проекте, на портале "Бюджет для граждан" в специально созданном разделе "Бюджет Сургута Online" размещены для самостоятельного изучения информационные материалы, в которых содержатся все необходимые сведения о реализации проекта. Также существует возможность получения телефонной консультации по вопросам реализации проекта у специалистов департамента финансов Администрации города.  </t>
  </si>
  <si>
    <t>150 человек</t>
  </si>
  <si>
    <t>Соколова Ольга Алексеевна, специалист-эксперт Финансово-экономического управления администрации Советского района</t>
  </si>
  <si>
    <t>Снисаренко Ирина Валентиновна, заместитель диреткора департамента управоления финансами Администарции города Ханты-Мансийска</t>
  </si>
  <si>
    <t xml:space="preserve">Ахметчина Надежда Николаевна </t>
  </si>
  <si>
    <t>Корсикова Ирина Александровна, зав.проектным отделом МАУ "Березовский медиацентр"</t>
  </si>
  <si>
    <t>Конева Нина Владиславовна</t>
  </si>
  <si>
    <t>Брусницина Наталья Николаевна</t>
  </si>
  <si>
    <t>Мальчихина Ирина Александровна</t>
  </si>
  <si>
    <t>Перминова Елена павловна</t>
  </si>
  <si>
    <t>Митюшкина Елена Алиевна</t>
  </si>
  <si>
    <t>Вурм Марина Владимировна</t>
  </si>
  <si>
    <t>Шабарчина Валентина Ивановна</t>
  </si>
  <si>
    <t xml:space="preserve">Гавриленко Евгений Дмитриевич, заместитель главы сельского поселения Болчары  </t>
  </si>
  <si>
    <t>Решетникова Светлана Александровна</t>
  </si>
  <si>
    <t>Лойко Светлана Александровна</t>
  </si>
  <si>
    <t>1. Звада Дарья Александровна
2. Сенчурова Елена Васильевна</t>
  </si>
  <si>
    <t>Скорикова Людмила Владимировна, заместитель председателя Комитета финансов Администрации города Когалыма</t>
  </si>
  <si>
    <t xml:space="preserve">Батракова Людмила Михайловна - заместитель главы города Лангепаса, директор департамента финансов </t>
  </si>
  <si>
    <t>Чумак Олег Иванович-заместитель главы города</t>
  </si>
  <si>
    <t>Ильина Юлия Витальевна, специалист-эксперт отдела развития предпринимательства и потребительского рынка департамента экономического развития администрации города Нефтеюганска</t>
  </si>
  <si>
    <t>Ивахненко Виктория Владимировна, начальник отдела организации проектной деятельности управления инвестиций департамента строительства администрации города Нижневартовска</t>
  </si>
  <si>
    <t>Огурцова Елена Владимировна, ведущий специалист отдела межбюджетных трансфертов и сводного планирования департамента финансов</t>
  </si>
  <si>
    <t>Лашова Елена Александровна</t>
  </si>
  <si>
    <t>Медведев Сергей Михайлович</t>
  </si>
  <si>
    <t>Главный специалист Щинова Анастасия Викторовна</t>
  </si>
  <si>
    <t xml:space="preserve"> Лукина Ирина Викторовна - заместитель главы города-председатель комитета финансов администрации города Радужный;                            </t>
  </si>
  <si>
    <t>Михальченко Светлана Николаевна, заместитель начальника отдела анализа и муниципальных программ управления анализа и сводного планирования расходов департамента финансов Администрации города</t>
  </si>
  <si>
    <t>Хомич Людмила Васильевна, ведущий специалист отдела контроля и бюджетного регулирования управления бюджетной политики департамента финансов администрации Сургутского района</t>
  </si>
  <si>
    <t>Гущина  Ирина Анатольевна - заместитель начальника бюджетного управления - начальник сводно - аналитического отдела бюджетного управления департамента финансов администрации города Югорска Титова Елена Валерьевна - начальник отдела экономики в строительстве департамента жилищно - коммунального и строительного комплекса</t>
  </si>
  <si>
    <t>8(3467)351540, доб 102</t>
  </si>
  <si>
    <t>8(34670)21065</t>
  </si>
  <si>
    <t>8-904-884-2172</t>
  </si>
  <si>
    <t>8(34677)33183</t>
  </si>
  <si>
    <t>8(34677)22163</t>
  </si>
  <si>
    <t>8(34677)39182</t>
  </si>
  <si>
    <t>8(34677)30022</t>
  </si>
  <si>
    <t>8(34677)38116</t>
  </si>
  <si>
    <t>8 (34677)37032</t>
  </si>
  <si>
    <t>8(34677)25627</t>
  </si>
  <si>
    <t>8(34677)52067</t>
  </si>
  <si>
    <t>8(34677)54314</t>
  </si>
  <si>
    <t>1. 8(3463)226-147
2. 8(3463)250-142</t>
  </si>
  <si>
    <t>8 (346 67) 93-532</t>
  </si>
  <si>
    <t>8(34669)56057*1100#</t>
  </si>
  <si>
    <t>8(34643)96636*207#</t>
  </si>
  <si>
    <t>8(3463)22-96-62</t>
  </si>
  <si>
    <t>8 (3466) 42-37-88</t>
  </si>
  <si>
    <t>8(3467)35-27-76</t>
  </si>
  <si>
    <t>8 (3463) 46 55 51</t>
  </si>
  <si>
    <t>8-34678-32472</t>
  </si>
  <si>
    <t xml:space="preserve"> 8 (34668)  25-730  </t>
  </si>
  <si>
    <t>8 3462 52-23-72</t>
  </si>
  <si>
    <t>8 (3462) 52-65-71</t>
  </si>
  <si>
    <t>(8 346 75) 5 - 00 - 28,  (8 346 75) 7 - 43 - 03</t>
  </si>
  <si>
    <t>admfeu@admsov.com</t>
  </si>
  <si>
    <t>snisarenkoI@admhmansy,ru</t>
  </si>
  <si>
    <t>ahmetchinann@admbel.ru</t>
  </si>
  <si>
    <t>ikorsikova.rc.brz@mail.ru</t>
  </si>
  <si>
    <t>komfinkonda@bk.ru</t>
  </si>
  <si>
    <t>finans@kondadm.ru</t>
  </si>
  <si>
    <t>admkuma@yandex.ru</t>
  </si>
  <si>
    <t>adm-mortka@mail.ru</t>
  </si>
  <si>
    <t>lugovoikonda@mail.ru</t>
  </si>
  <si>
    <t>leushi@mail.ru</t>
  </si>
  <si>
    <t>schabarchinavalya@yandex.ru</t>
  </si>
  <si>
    <t>admbol2016@mail.ru</t>
  </si>
  <si>
    <t>reshetnikovasa86@mail.ru</t>
  </si>
  <si>
    <t>adm_polov@mail.ru</t>
  </si>
  <si>
    <t>1. ZvadaDA@admoil.ru
2. SenchurovaEV@admoil.ru</t>
  </si>
  <si>
    <t>SkorikovaLV@admkogalym.ru</t>
  </si>
  <si>
    <t>otdelpredp@admugansk.ru</t>
  </si>
  <si>
    <t>IvahnenkoVV@n-vartovsk.ru, invest@n-vartovsk.ru</t>
  </si>
  <si>
    <t>OgurcovaEV@Nvraion.ru</t>
  </si>
  <si>
    <t>LashovaEA@hmrn.ru</t>
  </si>
  <si>
    <t>MedvedevSM@gov86.org</t>
  </si>
  <si>
    <t>ovj1011@mail.ru</t>
  </si>
  <si>
    <t>lukinaiv@admradugny.ru</t>
  </si>
  <si>
    <t>mihalchenko_sn@admsurgut.ru</t>
  </si>
  <si>
    <t>homichlv@admsr.ru</t>
  </si>
  <si>
    <t>kazna@ugorsk.ru, djkisk@ugorsk.ru</t>
  </si>
  <si>
    <t>Шепелина Анастасия Николаевна</t>
  </si>
  <si>
    <t>Кунгурова Татьяна Леонидовна</t>
  </si>
  <si>
    <t>Белоусова Анна Игоревна - начальник финансово-экономического отдела</t>
  </si>
  <si>
    <t xml:space="preserve">Михайлюк Анжелика Александровна, начальник отдела по экономике и финансам администрации сельского поселения Болчары </t>
  </si>
  <si>
    <t>Финаева Татьяна Александровна - заместитель директора департамента финансов администрации города Лангепаса</t>
  </si>
  <si>
    <t>Пастух Лилия Вазимовна-начальник отдела бюджетного планирования и финансирования ЖКК, инвестиций и органов МСУ</t>
  </si>
  <si>
    <t>Вандрей Сергей Александрович, заместитель начальника отдела расходов департамента финансов</t>
  </si>
  <si>
    <t>Зам. главы по финансам Дмитриева Любовь Карбаевна</t>
  </si>
  <si>
    <t>Начальник бюджетного управления комитета финансов администрации города Радужный</t>
  </si>
  <si>
    <t>8(34677)39155</t>
  </si>
  <si>
    <t>8(34677)30023</t>
  </si>
  <si>
    <t>8(34677)25358</t>
  </si>
  <si>
    <t>8(34669)56057*1101#</t>
  </si>
  <si>
    <t>8(34643)96335*3147#</t>
  </si>
  <si>
    <t>8-34678-32460</t>
  </si>
  <si>
    <t>8 (34668) 25- 728</t>
  </si>
  <si>
    <t>admmul86@yandex.ru</t>
  </si>
  <si>
    <t>FinaevaTA@admlange</t>
  </si>
  <si>
    <t>PastukLV@admmegion,ru</t>
  </si>
  <si>
    <t xml:space="preserve">VandreySA@NVraion.ru  </t>
  </si>
  <si>
    <t>pradm_feu@mail.ru</t>
  </si>
  <si>
    <t>djadkinaeg@admradugny.ru</t>
  </si>
  <si>
    <t>город Магнитогорск</t>
  </si>
  <si>
    <t>Проект по партисипаторному бюджетировани "Я планирую бюджет"</t>
  </si>
  <si>
    <t xml:space="preserve">  Реестр наказов избирателей депутатам Магнитогорского городского Собрания депататов</t>
  </si>
  <si>
    <t xml:space="preserve">"Я планирую бюджет"                                                                                                 </t>
  </si>
  <si>
    <t>"Реестр наказов избирателей депутатам МгСд"</t>
  </si>
  <si>
    <t>Постановление администрации города Магнитогорска от 08.04.2016 № 4081-П "Об утверждении Положения о проекте по партисипаторному бюджетированию "Я планирую бюджет"</t>
  </si>
  <si>
    <t xml:space="preserve"> Решения Магнитогорского городского Собрания депутатов: от 28.04.2015 "Об утверждении Положения об организации работы с наказами избирателей депутатам МГСД";  
от 30.10.2018 № 165 "Об утверждении  Реестра наказов избирателей депутатам Магнитогорского городского Собрания депутатов на 2019 год"</t>
  </si>
  <si>
    <t xml:space="preserve">ttps://www.magnitogorsk.ru/storage/app/media/docs/ekonomika_finansi/Byudzhet/pst4081_2016.docx                                                                               </t>
  </si>
  <si>
    <t>https://view.officeapps.live.com/op/view.aspx?src=http://www.magnitka.org/sites/default/files/images/stories/doc/resheniya/2015/april/Решение_70.doc;  http://www.magnitka.org/node/7125</t>
  </si>
  <si>
    <t xml:space="preserve">Управление финансов администрации города Магнитогорска                                </t>
  </si>
  <si>
    <t xml:space="preserve">Магнитогорское городское Собрание депутатов </t>
  </si>
  <si>
    <t xml:space="preserve">Администрация города Магнитогорска </t>
  </si>
  <si>
    <t xml:space="preserve"> Управление культуры администрации города Магнитогорска                 </t>
  </si>
  <si>
    <t xml:space="preserve">Управления: культуры, образования, капитального строительства и благоустройства, физической культуры, спорта и туризма администрации города Магнитогорска </t>
  </si>
  <si>
    <t xml:space="preserve">Благополучателями являюся дети, в возрасте от 3 до 18 лет, проживающие в Орджоникидзевском районе города Магнитогорска, на территории которого расположена детская библиотека № 6 </t>
  </si>
  <si>
    <t xml:space="preserve">Благополучателями являюся граждане, подавшие заявки в рамках реализации проекта наказы избирателей депутатам МгСд </t>
  </si>
  <si>
    <t>Численность населения города 413 267 чел.                                                                                     Ссылка: https://www.magnitogorsk.ru/content/ekonomika-i-finansy/upravlenie-finansov/glavnaya-7/byudzhet-dlya-grazhdan</t>
  </si>
  <si>
    <t xml:space="preserve">В рамках проекта "Я планирую бюджет для жителей города Магнитогорска  существует 2 вида подачи Анкет-инициатив и Заявок на участие в проекте: электронный и письменный. При подаче в электронном виде на официальном сайте администрации г. Магнитогорска на информационном портале "Бюджет для граждан" на вкладке "Я планирую бюджет" заполняются электронные формы Анкеты- инциативы и Заявки на участие, на которые также можно выйти с главной страницы сайта через баннер "Я планирую бюджет". Электронные формы переадресовываются на почтовый ящик электронной почты секретаря рабочей группы по реализации проекта по ПБ «ЯПБ», который ведет учет и формирует списки Инициатив и участников проекта.  В случае выбора письменного варианта Инициативы и Заявки на участие принимаются через пресс-центр администрации города, затем также поступают для регистрации секретарю рабочей группы администрации города. В 2019 году все формы поданы в электронном виде. Ссылки на вкладке "Я планирую бюджет": 
Заявка на участие  - http://budget.magnitogorsk.ru/Feedback/Index?MenuItemId=113; 
Анкета-инициатива - http://budget.magnitogorsk.ru/Feedback/Index?MenuItemId=112                             </t>
  </si>
  <si>
    <t>Собрания граждан, приемная депутатов МгСд</t>
  </si>
  <si>
    <t>В рамках реализации проекта "Наказы избирателей депутатам МгСд" на основании протокола поступивших предложений формируется Реестр наказов избирателей депутатам МгСд.                                                                Ссылка: http://www.magnitka.org/node/7125</t>
  </si>
  <si>
    <t>В рамках проекта "Я планирую бюджет" проводились заседания выбранной открытой жеребьевкой Инициативной комиссии, протоколы заседаний размещены на вкладке "Я планирую бюджет". Ссылка за 2019 год:   http://budget.magnitogorsk.ru/Show/Content/29?ParentItemId=111</t>
  </si>
  <si>
    <t xml:space="preserve">1 В рамках проекта "Я планирую бюджет" Члены рабочей группы администрации города, проводившие экспертую оценку предварительно выдвинутых инициатив дают заключение, которое указывается в протоколе заседания:   Ссылка за 2019 год: http://budget.magnitogorsk.ru/Show/Content/29?ParentItemId=111                                                              </t>
  </si>
  <si>
    <t xml:space="preserve">Проект "Я планирую бюджет"   ссылка: http://budget.magnitogorsk.ru/Menu/Presentation/110?ItemId=110                                                                                   </t>
  </si>
  <si>
    <t xml:space="preserve"> Проект "Реализация наказов избирателей дупутатам МгСд" ссылка: http://www.magnitka.org/node/7125</t>
  </si>
  <si>
    <t xml:space="preserve">http://budget.magnitogorsk.ru/Menu/Presentation/110?ItemId=110                                                                                                                                                           </t>
  </si>
  <si>
    <t>В 2019 году в рекламной кампании проектов "Я планирую бюджет" были задействованы телевидение, радио, сайт администрации города, а также  газеты "Магнитогорский рабочий" и "Магнитогорский металл". Ссылки: https://www.mr-info.ru/53503-arhiv-gazety-za-08-11-2019.html; http://magmetall.ru/pdf/2019-11-12_05.pdf</t>
  </si>
  <si>
    <t>Князева Ольна Александровна</t>
  </si>
  <si>
    <t>8 3519 49 85 25</t>
  </si>
  <si>
    <t>knjazeva@magnitogorsk.ru</t>
  </si>
  <si>
    <t>Князева Ольга Александровна</t>
  </si>
  <si>
    <t>город Чебоксары</t>
  </si>
  <si>
    <t>Реализация инициативного бюджетирования в городе Чебоксары</t>
  </si>
  <si>
    <t>Постановление администрации г.Чебоксары от 09.02.2018 № 201 "О реализации инициативного бюджетирования в городе Чебоксары"</t>
  </si>
  <si>
    <t>http://gcheb.cap.ru/doc/laws/2018/02/09/postanovlenie201 http://gcheb.cap.ru/doc/laws/2019/09/23/ruling-2305 http://gcheb.cap.ru/doc/laws/2019/06/26/ruling-1451</t>
  </si>
  <si>
    <t>Отдел инвестиций, промышленности и внешнеэкономических связей администрации города Чебоксары</t>
  </si>
  <si>
    <t>Управление ЖКХ,энергетики,транспорта и связи администрации города Чебоксары</t>
  </si>
  <si>
    <t>юридические лица</t>
  </si>
  <si>
    <t>https://chuvash.gks.ru/storage/mediabank/2020%2003%2030%20%D1%8D%D0%BA%D1%81%D1%87%D0%B8%D1%81%D0%BB.pdf</t>
  </si>
  <si>
    <t>протокол общего собрания жильцов</t>
  </si>
  <si>
    <t>протокол муниципальной комиссии</t>
  </si>
  <si>
    <t>заседание муниципальной комиссии</t>
  </si>
  <si>
    <t>http://gov.cap.ru/SiteMap.aspx?gov_id=916&amp;id=2735344&amp;title=Iniciativnoe_byudzhetirovanie_v_g._Cheboksari</t>
  </si>
  <si>
    <t>проведение анкетирования, работа с ТСЖ и управляющими компаниями города</t>
  </si>
  <si>
    <t>Максимов Евгений Николаевич, начальник управления по регулированию тарифов, экономики предприятий и инвестиций</t>
  </si>
  <si>
    <t>8 (8352) 23- 50-42</t>
  </si>
  <si>
    <t>gcheb_ivs2@cap.ru</t>
  </si>
  <si>
    <t>Леонтьева Светлана Александровна</t>
  </si>
  <si>
    <t>(8352)56-52-00 (доб.2147)</t>
  </si>
  <si>
    <t>finance45cap,ru</t>
  </si>
  <si>
    <t>город Салехард</t>
  </si>
  <si>
    <t>город Лабытнанги</t>
  </si>
  <si>
    <t>город Ноябрьск</t>
  </si>
  <si>
    <t>Муравленко</t>
  </si>
  <si>
    <t>город Губкинский</t>
  </si>
  <si>
    <t>Муниципальное образование Надымский район и муниципальное образование город Надым</t>
  </si>
  <si>
    <t>Пангоды</t>
  </si>
  <si>
    <t>Азовское</t>
  </si>
  <si>
    <t>Лопхаринское</t>
  </si>
  <si>
    <t>Мужевское</t>
  </si>
  <si>
    <t>Овгортское</t>
  </si>
  <si>
    <t>Шурышкарское</t>
  </si>
  <si>
    <t>Горковское</t>
  </si>
  <si>
    <t>Приуральский район</t>
  </si>
  <si>
    <t>Аксарковское</t>
  </si>
  <si>
    <t>Харп</t>
  </si>
  <si>
    <t>Белоярское</t>
  </si>
  <si>
    <t>Яр-Салинское</t>
  </si>
  <si>
    <t>Салемал</t>
  </si>
  <si>
    <t>муниципальное образование Тазовский район</t>
  </si>
  <si>
    <t>муниципальное образование село Находка</t>
  </si>
  <si>
    <t>Пуровский район</t>
  </si>
  <si>
    <t>поселок Уренгой</t>
  </si>
  <si>
    <t>поселок Ханымей</t>
  </si>
  <si>
    <t>Красноселькупский район</t>
  </si>
  <si>
    <t>«Бюджетная инициатива граждан»</t>
  </si>
  <si>
    <t xml:space="preserve">Проект "Развитие инициатив на территории муниципалитета"
</t>
  </si>
  <si>
    <t>Порядок проведения конкурсного отбора проектов 
инициативного бюджетирования «Бюджетная инициатива граждан» 
в муниципальном образовании Аксарковское</t>
  </si>
  <si>
    <t>Проект по поддержке местных инициатив в Пуровском районе 
Проект «Школа идей» в Пуровском районе</t>
  </si>
  <si>
    <t>проект «Бюджетная инициатива граждан» на территории муниципального образования поселок Уренгой</t>
  </si>
  <si>
    <t>проект "Бюджетная инициатива граждан" на территории муниципального образования поселок Ханымей"</t>
  </si>
  <si>
    <t>«Уютный Ямал»</t>
  </si>
  <si>
    <t>#ИНИЦИАТИВА.ЛБТ</t>
  </si>
  <si>
    <t>Проект "РИТМ"</t>
  </si>
  <si>
    <t>"Уютный Ямал"
(Экспозиция «Ордена воинской славы России»)</t>
  </si>
  <si>
    <t>Бюджетная инициатива;
Школа идей</t>
  </si>
  <si>
    <t>Бюджетная инициатива граждан</t>
  </si>
  <si>
    <t>ПОСТАНОВЛЕНИЕ Администрации мо город Салехард от 14.08.2018 г. №1913 "О реализации на территории муниципального образования город Салехард проекта «Бюджетная инициатива граждан»</t>
  </si>
  <si>
    <t>постановления Администрации города Лабытнанги: 
от 10.05.2018 №519 "Об инициативном бюджетировании в муниципальном образовании город Лабытнанги", 
от  23.05.2018 №582 "Об утверждении муниципальной программы муниципального образования город Лабытнанги «Поддержка местных инициатив»</t>
  </si>
  <si>
    <t xml:space="preserve">Постановление Администрации города Ноябрьска от 22.05.2019 № П-373 Об утверждении Положения о проекте «Развитие инициатив на территории муниципалитета»
</t>
  </si>
  <si>
    <t>Постановление Администрации города от 03.06.2019 № 858 «О реализации на территории муниципального образования город Губкинский проекта «Бюджетная инициатива граждан»</t>
  </si>
  <si>
    <t xml:space="preserve">О реализации на территориях муниципального образования 
Надымский район, муниципального образования город Надым 
проекта «Бюджетная инициатива граждан»
</t>
  </si>
  <si>
    <t>Постановление Администрации МО п. Пангоды № 395 от 24.10.2019 г. "Об утверждении Порядка организации и проведения голосования по отбору инициатив граждан в рамках проекта инициативного бюджетирования на территории муниципального образования поселок Пангоды", постановление Администрации МО п. Пангоды № 285 от 01.08.2018 г. "Об утверждении Порядка проведения конкурсного отбора проектов местных инициатив граждан по вопросам местного значения муниципального образования поселок Пангоды", постановление Администрации МО п. Пангоды № 453 от 07.12.2018 г. "О внесении изменений в постановление Администрации муниципального образования поселок Пангоды от 01 августа 2018 года № 285 "Об утверждении Порядка проведения конкурсного отбора проектов местных инициатив граждан по вопросам местного значения муниципального образования поселок Пангоды", распоряжение Администрации МО п. Пангоды № 879 от 10.12.2018 г. "О назначении заседания конкурсной комиссии по проведению конкурсного отбора проектов (инициатив) граждан по вопросам местного значения муниципального образования поселок Пангоды"</t>
  </si>
  <si>
    <t xml:space="preserve">Постановление №68-а от 31 10.2018 года "О реализации проекта «Бюджетная инициатива граждан» на территории муниципального образования Азовское"
</t>
  </si>
  <si>
    <t xml:space="preserve">Постановление администрации муниципального образования Лопхаринское № 24 от 09.04.2019 «Об инициативном бюджетировании
в муниципальном образовании Лопхаринское»
</t>
  </si>
  <si>
    <t xml:space="preserve">"Об инициативном бюджетировании в муниципальном образовании Мужевское" № 358 от 10.12.2018 г ( с изм. От 20.05.19№ 344, от 30.10.2019 № 496), "Об утверждении порядка проведения мероприятий по отбору местных инициатив в рамках проекта "Бюджетная инициатива граждан" № 357 от 10.12.2018 г ( с изм. от 30.10.2019 № 494), </t>
  </si>
  <si>
    <t>Постановление администрации муниципального образования Овгортское от 02.11.2018 года № 71 " О реализации проекта «Бюджетная инициатива граждан» на территории муниципального образования Овгортское"
Распоряжение администрации муниципального образования Овгортское  от 21.02.2020 года № 13 О планах реализации проекта «Бюджетная инициатива граждан» на территории муниципального образования Овгортское в 2020 году
Распоряжение администрации муниципального образования Овгортское  от 21.02.2020 года № 12 О проведении в 2020 году конкурсного отбора проектов инициативного бюджетирования в муниципальном образовании Овгортское</t>
  </si>
  <si>
    <t>Постановление № 17 от 06.03.2019 "О реализации проекта «Бюджетная инициатива граждан» на территории муниципального образования Шурышкарское"</t>
  </si>
  <si>
    <t xml:space="preserve">Постановление Администрации муниципального образования Горковское от 10.07.2018 г. № 46 "О реализации проекта "Бюджетная инициатива граждан" на территории муниципального образования Горковское" (в редакции от 12.03.2019 г.). </t>
  </si>
  <si>
    <t xml:space="preserve">1. Постановление Администрации муниципального образования Приуральский район от 25 июня 2018 года № 485 «О порядке проведения конкурсного отбора проектов инициативного бюджетирования «Бюджетная инициатива граждан» в муниципальном образовании Приуральский район»; 2. Постановление Администрации муниципального образования Приуральский район от 07 марта 2019 года № 166 «О порядке проведения конкурсного отбора проектов инициативного бюджетирования «Бюджетная инициатива граждан» в муниципальном образовании Приуральский район» (в редакции постановления №213 от 27 марта 2019 года) </t>
  </si>
  <si>
    <t xml:space="preserve">1. Постановление Администрации муниципального образования Приуральский район от 26 июня 2018 года № 152 «О порядке проведения конкурсного отбора проектов инициативного бюджетирования «Бюджетная инициатива граждан» в муниципальном образовании Аксарковское»; 2. Постановление Администрации муниципального образования Приуральский район от 01 марта 2019 года №43  «О порядке проведения конкурсного отбора проектов инициативного бюджетирования «Бюджетная инициатива граждан» в муниципальном образовании Аксарковское» </t>
  </si>
  <si>
    <t xml:space="preserve">1. Постановление Администрации муниципального образования поселок Харп от 09 июля 2018 года № 156 «Об инициативном бюджетировании в муниципальном образовании поселок Харп» (в редакции постановления №77 от 11 апреля 2019 года) </t>
  </si>
  <si>
    <t xml:space="preserve">1. Постановление Администрации муниципального образования Приуральский район от 27 июня 2018 года № 100 «О порядке проведения конкурсного отбора проектов инициативного бюджетирования «Бюджетная инициатива граждан» в муниципальном образовании Белоярское» (в редакции постановления 128 от 21 сентября 2018 года); 2. Постановление Администрации муниципального образования Приуральский район от 01 апреля 2019 года №79  «О порядке проведения конкурсного отбора проектов инициативного бюджетирования «Бюджетная инициатива граждан» в муниципальном образовании Белоярское» </t>
  </si>
  <si>
    <t>Постановление Администрации МО Яр-Салинское от 14.06.2018 года   № 64  "О реализации проекта «Бюджетная инициатива граждан» на территории муниципальгого образования Яр-Салинское"</t>
  </si>
  <si>
    <t>Постановление Администрации муниципального образования село Салемал от 23.05.2019 № 45 "О реализации проекта "Бюджетная инициатива граждан" на территории муниципального образования село Салемал"</t>
  </si>
  <si>
    <t>Постановление Администрации Тазовского района "О реализации проекта "Уютный Ямал" на территории муниципального образования Тазовский район" село; Постановление Администрации поселок Тазовский от 01 августа 2018 года № 165 "О реализации проекта «Бюджетная инициатива граждан» на территории муниципального образования поселок Тазовский"</t>
  </si>
  <si>
    <t>Постановление Администрации села Находка от 02.07.2018 г. № 86 "О реализации проекта «Бюджетная инициатива граждан» на территории муниципального образования село Находка"</t>
  </si>
  <si>
    <t xml:space="preserve">       Постановление Администрации района от 28.12.2018 № 466-ПА «О реализации проекта по поддержке местных инициатив в Пуровском районе»;
       постановление Администрации района от 12 ноября 2019 года № 333-ПА «О реализации проекта по поддержке местных инициатив в Пуровском районе»;
        постановление Администрации района от 03 декабря 2019 года № 355-ПА «О реализации проекта «Школа идей» в Пуровском районе».</t>
  </si>
  <si>
    <t xml:space="preserve">     постановление Администрации муниципального образования поселок Уренгой от 01.08.2018 №196-ПА   «О реализации проекта по поддержке местных инициатив на территории муниципального образования поселок Уренгой»;
     постановление Администрации муниципального образования поселок Уренгой от 19 ноября 2019 года № 251-ПА «О реализации проекта по поддержке инициатив в рамках проекта «Бюджетная инициатива граждан» на территории муниципального образования поселок Уренгой»</t>
  </si>
  <si>
    <t xml:space="preserve">     постановление Администрации муниципального образования поселок Ханымей от 20.12.2018 №181 О реализации проекта "Бюджетная инициатива граждан" на территории муниципального образования поселок Ханымей"
     постановление Администрации муниципального образования поселок Ханымей от 05.12.2019 №203 О реализации проекта "Бюджетная инициатива граждан" на территории муниципального образования поселок Ханымей"</t>
  </si>
  <si>
    <t>1. Постановление Администрации района от 10.12.2018 года № П-359 «О реализации проекта «Бюджетная инициатива граждан» на территории муниципального образования Красноселькупский район».</t>
  </si>
  <si>
    <t>https://www.salekhard.org/normativno-pravovye-akty/postanovleniya-administratsii/10792/;                                   
http://docs.cntd.ru/document/543573774</t>
  </si>
  <si>
    <t>ПА 519 - https://lbt.yanao.ru/documents/active/42664/
ПА 582 - https://lbt.yanao.ru/documents/active/5165/</t>
  </si>
  <si>
    <t>http://budget.depfinnbr.ru/initsiativnoe-byudzhetirovanie/proekt-ritm</t>
  </si>
  <si>
    <t>https://gubadm.ru/gubadm/mfinan/byudzhetnaya-initsiativa-grazhdan.php</t>
  </si>
  <si>
    <t>http://nadymregion.ru/regulatory/documents/423271/</t>
  </si>
  <si>
    <t>http://pangody.org/index.php/информация/бюджетная-инициатива-граждан</t>
  </si>
  <si>
    <t>http://azov-adm.ru/documents/2579.html</t>
  </si>
  <si>
    <t>http://lopchari-adm.ru/documents/2930.html</t>
  </si>
  <si>
    <t>публикация в общественно-политической газете "Северная панорама", размещение на официальном сайте АМО Мужевское,  http://adm-muji.ru/dokumenty-0.html</t>
  </si>
  <si>
    <t>http://admin-moovg.ru/documents/1255.html
http://www.admin-moovg.ru/documents/1459.html
http://www.admin-moovg.ru/documents/1458.html</t>
  </si>
  <si>
    <t>http://adminshur.ru/budjetnaya_iniciativa_grajdan_2019</t>
  </si>
  <si>
    <t>http://adm-gorki.ru/byudzhetnaya-iniciativa-grazhdan.html</t>
  </si>
  <si>
    <t>http://приуральскийрайон.рф/economy/initsiativnoe-byudzhetirovanie/</t>
  </si>
  <si>
    <t>http://mo-aksarka.ru/documents/1434.html</t>
  </si>
  <si>
    <t>http://www.admiharp.ru/</t>
  </si>
  <si>
    <t>http://adminbelka.ru/byudzhetnaya-iniciativa-grazhdan.html</t>
  </si>
  <si>
    <t>http://adm-yarsale.ru/documents/706.html</t>
  </si>
  <si>
    <t>http://adm-salemal.ru/documents/2656.html</t>
  </si>
  <si>
    <t>https://tasu.ru/files/819.pdf; http://тазовский-адм.рф/byudzhetnaya-initciativa-grazhdan.html</t>
  </si>
  <si>
    <t>http://admnahodka.ru/documents/2205.html</t>
  </si>
  <si>
    <t>https://www.puradm.ru/one-doc/4235
https://www.puradm.ru/one-doc/8044
https://www.puradm.ru/one-doc/8209</t>
  </si>
  <si>
    <t>https://drive.google.com/file/d/1bR9hbPZh8gWmMrCX7YU0-EF__3g0df5T/view
http://www.mo-urengoy.ru/index.php?option=com_content&amp;view=article&amp;id=4363</t>
  </si>
  <si>
    <t>http://hanimey.ru/documents/1188.html
http://hanimey.ru/documents/1455.html</t>
  </si>
  <si>
    <t>https://selkup.yanao.ru/projects/267/</t>
  </si>
  <si>
    <t>Департамент финансов Администрации город Салехард</t>
  </si>
  <si>
    <t>Муниципальное учреждение "Департамент финансов Администрации города Лабытнанги" совместно с отделом проектной работы управления внутренней политики Администрации города Лабытннаги</t>
  </si>
  <si>
    <t>Депратамент финансов Администрации города Ноябрьска</t>
  </si>
  <si>
    <t>Администрация города Муравленко, отдел информации и общественных связей</t>
  </si>
  <si>
    <t>Администрация города Губкинского, Департамент финансов и налоговой политики Администрации города Губкинского</t>
  </si>
  <si>
    <t>Администрация муниципального образования Надымский район</t>
  </si>
  <si>
    <t>Администрация муниципального образования поселок Пангоды</t>
  </si>
  <si>
    <t>Администрация муниципального образования Азовское</t>
  </si>
  <si>
    <t>Администрация муниципального образования Лопхаринское</t>
  </si>
  <si>
    <t>администрация муниципального образования Мужевское</t>
  </si>
  <si>
    <t xml:space="preserve">Администрация муниципального образования Овгортское </t>
  </si>
  <si>
    <t>Администрация муниципального образования Шурышкарское</t>
  </si>
  <si>
    <t>Администрация муниципального образования Горковское</t>
  </si>
  <si>
    <t>Департамент финансов Администрации муниципального образования Приуральский район</t>
  </si>
  <si>
    <t>Администрации муниципального образования Аксарковское</t>
  </si>
  <si>
    <t>Администрация муниципального образования поселок Харп</t>
  </si>
  <si>
    <t>Администрация муниципального образования Белоярское</t>
  </si>
  <si>
    <t>Администрация муниципального образования Яр-салинское</t>
  </si>
  <si>
    <t>Администрация муниципального образования село Салемал</t>
  </si>
  <si>
    <t>Администраци Тазовского района, Администрация поселка Тазовский</t>
  </si>
  <si>
    <t>Администраци села Находка</t>
  </si>
  <si>
    <t>Департамента финансов и казначейства Администрации Пуровского района</t>
  </si>
  <si>
    <t>Администрация муниципального образования поселок Уренгой</t>
  </si>
  <si>
    <t>Администрация муниципального образования поселок Ханымей</t>
  </si>
  <si>
    <t>Управление финансов Администрации муниципального образования Красноселькупский район</t>
  </si>
  <si>
    <t>Управление по делам гражданской обороны и чрезвычайным ситуациям Администрации муниципального образования город Салехард, Управление по физической культуре и спорту Администрации муниципального образования город Салехард, Департамент образования Администрации муниципального образования город Салехард, Управление общей политики Администрации муниципального образования город Салехард</t>
  </si>
  <si>
    <t>в 2019 году ГРБС - муниципальные учреждения:
- "Департамент градостроительства, землепользования и имущественных отношений Администрации города Лабытнанги", 
- "Управление жилищно-коммунального хозяйства и транспорта Администрации города Лабытнанги", 
-"Управление физической культуры, спорта, молодежной политики и туризма Администрации города Лабытнанги",
- "Управление культуры Администрации города Лабытнанги", 
-"Управление образования Администрации города Лабытнанги"</t>
  </si>
  <si>
    <t>Управление жилищно-коммунального хозяйства, транспорта, энергетики и связи Администрации города Ноябрьска</t>
  </si>
  <si>
    <t>Управление жилищно-коммунального хозяйства Администрации города Муравленко, Управление культуры и молодежной политики Администрации города Муравленко,  Управление физической культуры и спорта Администрации города Муравленко</t>
  </si>
  <si>
    <t>Администрация города Губкинского</t>
  </si>
  <si>
    <t>Администрация муниципального образования Надымский район;
Департамент муниципального имущества Администрации МО Надымский район;
Управление культуры Администрации МО Надымский район;
Департамент образования Администрации МО Надымский район;
Управление социальных программ Администрации МО Надымский район;
Управление по физической культуре, спорту, молодёжной политике и туризму Администрации МО Надымский район;
Департамент муниципального хозяйства Администрации МО Надымский район</t>
  </si>
  <si>
    <t>Управление муниципального хозяйства Администрации муниципального образования поселок Пангоды</t>
  </si>
  <si>
    <t>Управление культуры, молодежной политики и спорта Администрации муниципального образования Приуральский район</t>
  </si>
  <si>
    <t>Администрация поселка Тазовский</t>
  </si>
  <si>
    <t>Администрация муниципального образования Пуровский район; Управление культуры Администрации Пуровского района; Департамент транспорта, связи и систем жизнеобеспечения Администрации Пуровского района</t>
  </si>
  <si>
    <t>Управление образования Администрации муниципального образования Красноселькупский район</t>
  </si>
  <si>
    <t>В форме субсидий некоммерческим организациям и автономным учреждениям на иные цели; бюджетных ассигнований казенным учреждениям для реализации мероприятий в рамках проекта "Бюджетная инициатива"</t>
  </si>
  <si>
    <t>передача бюджетных ассигнований - два ГРБС;
предоставление субсидий бюджетным и автономным учреждениям - три ГРБС</t>
  </si>
  <si>
    <t>доведенные бюджетные ассигнования</t>
  </si>
  <si>
    <t>Безвозмездные перечисления некоммерческим организациям и физическим лицам - производителям товаров, работ и услуг,  Субсидии бюджетным учреждениям на иные цели</t>
  </si>
  <si>
    <t>конкурсная процедура торгов</t>
  </si>
  <si>
    <t>Объём средств на реализацию инициатив утверждается решением Районной Думы муниципального образования Надымский район, решением Собрания депутатов муниципального образования город Надым о бюджете на очередной финансовый год и плановый период</t>
  </si>
  <si>
    <t>средства бюджета муниципального образования поселок Пангоды</t>
  </si>
  <si>
    <t>оплата услуг по приобретению краски для ремонта детской площадки</t>
  </si>
  <si>
    <t>оплата за строительнные материалы</t>
  </si>
  <si>
    <t xml:space="preserve">оплата выполненных работ, услуг </t>
  </si>
  <si>
    <t>Оплата оказанных услуг</t>
  </si>
  <si>
    <t>Оплата услуг</t>
  </si>
  <si>
    <t>Субсидия на иные цели</t>
  </si>
  <si>
    <t>заключены муниципальные контракты на выполнение работ</t>
  </si>
  <si>
    <t>муниципальный контракт</t>
  </si>
  <si>
    <t>Средства муниципального образования Ямальский район, средства муниципального образования Яр-Салинское, вклад граждан, вклад индивидуальных предпринимателей</t>
  </si>
  <si>
    <t>Средства муниципального образования Ямальский район, средства  муниципального образования село Салемал, вклад граждан</t>
  </si>
  <si>
    <t>Прочая закупка товаров, работ и услуг</t>
  </si>
  <si>
    <t>Субсидии (гранты в форме субсидий), не подлежащие казначейскому сопровождению; иные межбюджетные трансферты; субсидии бюджетным учреждениям на иные цели; прочая закупка товаров, работ и услуг</t>
  </si>
  <si>
    <t>Гранты в форме субсидии бюджетным учреждениям</t>
  </si>
  <si>
    <t xml:space="preserve">субсидия на иные цели </t>
  </si>
  <si>
    <t>Муниципальное автономное образовательное учреждение дополнительного образования "Центр внешкольной работы"; муниципальное автономное учреждение "Спортивная школа "Старт"; Муниципальное казенное учреждение "Единая дежурно-диспетчерская служба города Салехарда", Автономная некоммерческая организация "Центр социальной поддержки лицам, оказавшимся в трудной жизненной ситуации "Обитель"</t>
  </si>
  <si>
    <t>муниципальное казенное учреждение "Управление капитального стротельства города Лабытнанги", 
муниципальное учреждение"Центр обеспечения деятельности системы градостроительства", 
муниципальное учреждение"Управление жилищно-коммунального хозяйства и транспорта Администрации города Лабытнанги", 
муниципальное автономное учреждение"Молодёжный центр города Лабытнанги", 
муниципальное автономное учреждение Спортивная школа "Юность", 
муниципальное автономное учреждение дополнительного образования "Детская школа искусств",
муниципальное автономное учреждение культуры "Централизованная клубная система", 
муниципальное автономное образовательное учреждение дополнительного образования "Центр технического творчества"</t>
  </si>
  <si>
    <t>МУ "Дирекция муниципального заказа"</t>
  </si>
  <si>
    <t xml:space="preserve"> общественная организация-"Муравленковский городской совет ветеранов", бюджетные учреждения: МБУ "Муравленковский клуб молодежных инициатив", МБУ ГДК "Украина",  МБУ "СШ "Муравленко".</t>
  </si>
  <si>
    <t>Муниципальное казенное учреждение "Управление организации строительства"</t>
  </si>
  <si>
    <t>Реализация инициатив осуществляется ГРБС, осуществляющими функции в установленной сфере деятельности. Исполнение мероприятий инициатив может быть передано ГРБС подведомственному муниципальному учреждению, осуществляющему деятельность в соответствующей сфере</t>
  </si>
  <si>
    <t>ИП Черных В.Г.</t>
  </si>
  <si>
    <t>ООО Меркурий</t>
  </si>
  <si>
    <t>некоммерческая организация Шурышкарский районный Совет ветеранов</t>
  </si>
  <si>
    <t>ИП Эсиев Алихан Борисович</t>
  </si>
  <si>
    <t>ИП Суворова Анастасия Романовна</t>
  </si>
  <si>
    <t>Муниципальное унитарное предприятие "Партнёр"</t>
  </si>
  <si>
    <t>МБУ дополнительного образования "Аксарковская школа искусств", МБУ "Приуральский районный краеведческий музей", МБУ "Районный спортивно-оздоровительный комплекс"</t>
  </si>
  <si>
    <t>ИП Янкивский Василий Васильевич</t>
  </si>
  <si>
    <t>ИП Югай Евгения Иосифовна</t>
  </si>
  <si>
    <t>Пуровская районная общественная организация ветеранов (пенсионеров) войны, труда, Вооруженных Сил и правоохранительных органов; МКУ "Пуровская телерадиокомпания ЛУЧ"; МКУ "Управление муниципального хозяйства и обеспечения деятельности органов местного самоуправления" муниципального образования поселок Пурпе"; МБУ "Центральная Клубная Система"</t>
  </si>
  <si>
    <t>Муниципальное бюджетное учреждение УМЦ "Ровесник"</t>
  </si>
  <si>
    <t>Муниципальное образовательное учреждение Красноселькупская средняя общеобразовательная школа "Радуга"</t>
  </si>
  <si>
    <t>Информация предоставляется главными распорядителями бюджетных средств, выделяемых на реализацию пректов инициативного бюджетирования (Футбольные команды города Салехарда под эгидой Федерации футбола города Салехарда, различные дворовые команды, учащиеся отделения мини-футбола, население города Салехарда, занимающееся футболом на открытых спортивных площадках, воспитанники МБУ ДО ЦВР, население города Салехарда, проводящее досуг на берегу р.Полябта и организации, осуществляющие массовые мероприятия,  бездомные люди и люди, оказавшиеся в трудной жизненной ситуации)</t>
  </si>
  <si>
    <t>реализованные проекты имеют городской масштаб, то есть ими без ограничения могут пользоваться все жители города</t>
  </si>
  <si>
    <t>Проектом РИТМ предусмотрено разделение города на 8 территориальных единиц, данные о количестве проживающих на вышеуказанных территориях жителей получены от территориальной избирательной комиссии и паспортных столов управляющих компаний и тсж.</t>
  </si>
  <si>
    <t>население города Муравленко составляет 31 682 человека; благополучателями проектов, профинансированных в 2019 году,являются в целом все жители города Муравленко</t>
  </si>
  <si>
    <t>10% жителей города т.е. 2,9 тыс.человек + 850 учеников школы №4(по проекту спортивная площадка в мкр. №9) + 0,7 тыс. человек жители мкр.№13 (ремонт проездов в мкр.№ 13)</t>
  </si>
  <si>
    <t>Жители города Надыма</t>
  </si>
  <si>
    <t xml:space="preserve">население поселка, согласно данных статистики </t>
  </si>
  <si>
    <t>численность детей в возрасте до 18 лет</t>
  </si>
  <si>
    <t>численность жителей муниципального образования</t>
  </si>
  <si>
    <t>количество жителей муниципального образования село Салемал</t>
  </si>
  <si>
    <t>Численность населения п. Тазовский</t>
  </si>
  <si>
    <t>Численность населения с. Находка</t>
  </si>
  <si>
    <t>https://tumstat.gks.ru/storage/mediabank/%D0%A1%D1%80%D0%B5%D0%B4%D0%BD%D0%B5%D0%B3%D0%BE%D0%B4%D0%BE%D0%B2%D0%B0%D1%8F%20%D0%AF%D0%9D%D0%90%D0%9E_2019.htm</t>
  </si>
  <si>
    <t>100 (данные Росстата о численности населения в муниципальном образовании город Лабытнанги)</t>
  </si>
  <si>
    <t>https://www.salekhard.org/city/socs/sotsialno-ekonomicheskie-pokazateli/prognoz-sotsialno-ekonomicheskogo-razvitiya-mo-g-salekhard/</t>
  </si>
  <si>
    <t>https://tumstat.gks.ru/ofstat_ynao</t>
  </si>
  <si>
    <t>данные управления экономики и прогнозирования Администрации города Муравленко</t>
  </si>
  <si>
    <t xml:space="preserve">http://www.gks.ru/scripts/db_inet2/passport/pass.aspx?base=munst71&amp;r=71952000 </t>
  </si>
  <si>
    <t>https://www.gks.ru/scripts/db_inet2/passport/table.aspx?opt=719161512019</t>
  </si>
  <si>
    <t xml:space="preserve">Данные управления Федеральной службы государственной статистики по Тюменской области, Ханты-Мансийскому автономному округу – Югре и Ямало-Ненецкому автономному округу </t>
  </si>
  <si>
    <t>Данные управления Федеральной службы государственной статистики по Тюменской области, Ханты-Мансийскому автономному округу – Югре и Ямало-Ненецкому автономному округу (численность на 01.01.19 - 3603 чел. (без Восяхово))</t>
  </si>
  <si>
    <t xml:space="preserve">https://www.gks.ru/scripts/db_inet2/passport/table.aspx?opt=719180002019 </t>
  </si>
  <si>
    <t>4885 данные статистики https://www.gks.ru/scripts/db_inet2/passport/table.aspx?opt=719180002019</t>
  </si>
  <si>
    <t xml:space="preserve">3 678 численность https://www.gks.ru/scripts/db_inet2/passport/table.aspx?opt=719180002019 </t>
  </si>
  <si>
    <t>АИС "САО" (автоматизированная информационная система "Сельское административное образование")</t>
  </si>
  <si>
    <t>По данным похозяйственных книг</t>
  </si>
  <si>
    <t>https://gks.ru/compendium/document/13282?print=1</t>
  </si>
  <si>
    <t>https://www.gks.ru/scripts/db_inet2/passport/munr.aspx?base=munst71</t>
  </si>
  <si>
    <t>проектный офис "Уютный Ямал"</t>
  </si>
  <si>
    <t>муниципальный проектный офис (структурное подразделение без образования юридического лица)</t>
  </si>
  <si>
    <t>Проектный офис регионального проекта "Уютный Ямал" и городского проекта "РИТМ", действует на базе департамента финансов Администрации г.Ноябрьск</t>
  </si>
  <si>
    <t>1. в рамках механизма инициативного бюджетирования "Уютный Ямал" - офис общественных инициатив «Уютный Ямал» муниципального образования город Муравленко 2. в рамках механизма инициативного бюджетирования "Бюджетная инциатива граждан" - сотрудники отдела информации и общественных связей Администрации города Муравленко</t>
  </si>
  <si>
    <t xml:space="preserve">Проектный офис "Уютный ямал" г. Губкинский, мкрн. 3, д. 4
</t>
  </si>
  <si>
    <t>без финансирования</t>
  </si>
  <si>
    <t>волонтеры привлекались на безвозмездной основе с помощью сайта добровольцыроссии.рф</t>
  </si>
  <si>
    <t>не требует финансирования</t>
  </si>
  <si>
    <t>не требуется</t>
  </si>
  <si>
    <t>https://www.живёмнасевере.рф/solve/archive/1290/
https://www.живёмнасевере.рф/homely/</t>
  </si>
  <si>
    <t>перепись</t>
  </si>
  <si>
    <t>Сбор проектных идей проводился в форме проведения опросов (скрины проведения опросов в социальных сетях, на платформе "Живём на Севере"), а также в форме анкетирования (копии анкет) и сбора подписей (подписные листы)</t>
  </si>
  <si>
    <t>наличие анкет</t>
  </si>
  <si>
    <t>подписные анкеты</t>
  </si>
  <si>
    <t xml:space="preserve">
3 218</t>
  </si>
  <si>
    <t>https://youtu.be/R_sb-TSnhls?t=558</t>
  </si>
  <si>
    <t>протоколы встреч</t>
  </si>
  <si>
    <t>регистрационный лист</t>
  </si>
  <si>
    <t>Сбор проектных идей проводился в форме собраний жителей города, проведения общественных обсуждений</t>
  </si>
  <si>
    <t>сбор подписей</t>
  </si>
  <si>
    <t>протокол общественных слушаний</t>
  </si>
  <si>
    <t>протокола собрания граждан от 22.03.2019,25.03.2019,28.03.2019,29.03.2019,16.04.2019</t>
  </si>
  <si>
    <t>Ведение протокола</t>
  </si>
  <si>
    <t>mo-aksarka.ru</t>
  </si>
  <si>
    <t>фото</t>
  </si>
  <si>
    <t>http://adminbelka.ru/fotootchet.html</t>
  </si>
  <si>
    <t>протокол собрания (подписные листы)</t>
  </si>
  <si>
    <t>https://tasu.ru/ekonomika-i-finansy/initsiativnoe-byudzhetirovanie/zayavki-uchastnikov/</t>
  </si>
  <si>
    <t>http://www.hanimey.ru/tinybrowser/files/budgetnaya-iniciativa/protokol_obsch_obsuzhdeniy_ot_22_marta_compressed.pdf
http://www.hanimey.ru/tinybrowser/files/budgetnaya-iniciativa/protokol_obsch_obsuzhdeniy_ot_12_marta_compressed.pdf</t>
  </si>
  <si>
    <t>Учет идей, поступивших на портале "Живем на Севере" (протокол)</t>
  </si>
  <si>
    <t>Сбор проектных идей проводился также в форме подачи идей через Интернет (портал "Живём на Севере")</t>
  </si>
  <si>
    <t>Пользователи портала "Живем на Севере" получили возможность оставлять свои заявки на участие в конкурсном отборе в режиме онлайн на платформе "Предлагай!" информационного ресурса</t>
  </si>
  <si>
    <t xml:space="preserve">в соответствии с Постановлением Администрации МО п. Пангоды № 285 от 01.08.2018 г. Об утверждении Порядка проведения конкурсного отбора проектов местных инициатив граждан по вопросам местного значения муниципального образования поселок Пангоды </t>
  </si>
  <si>
    <t>регистрация в журнале регистрации заявок на участие в конкурсном отборе в рамках проекта "БИГ"</t>
  </si>
  <si>
    <t>скриншот</t>
  </si>
  <si>
    <t>реестр заявок</t>
  </si>
  <si>
    <t>Сбор проектных идей также прводился офисом общественных инициатив "Уютный Ямал", в 2019 году через офис общественных инициатив было подано 2 проектных идеи.</t>
  </si>
  <si>
    <t>ведение реестра</t>
  </si>
  <si>
    <t>Заявка на участие в конкурсном отборе</t>
  </si>
  <si>
    <t>заявка</t>
  </si>
  <si>
    <t xml:space="preserve">Журнал регистрации заявок на участие в конкурсе по отбору местных инициатив в рамках проекта
«Уютный Ямал» на территории муниципального образования Красноселькупский район
</t>
  </si>
  <si>
    <t xml:space="preserve">https://df.salekhard.org/byudzhetnaya-initsiativa-grazhdan/2019/contest3.php   https://df.salekhard.org/byudzhetnaya-initsiativa-grazhdan/2019/contest1.php                              </t>
  </si>
  <si>
    <t>реестр предложений</t>
  </si>
  <si>
    <t>Сбор проектных идей проводился отделом информации и общественных связей Администрации города (звявления на общественные обсуждения)</t>
  </si>
  <si>
    <t>входящая регистрация документов</t>
  </si>
  <si>
    <t>наличие подписных листов</t>
  </si>
  <si>
    <t>скриншот подписного листа</t>
  </si>
  <si>
    <t>https://xn--80adblbabq1bk1bi8r.xn--p1ai/solve/archive/1015/;                                                            https://xn--80adblbabq1bk1bi8r.xn--p1ai/solve/archive/1017/;                                                    https://xn--80adblbabq1bk1bi8r.xn--p1ai/solve/archive/1016/;                                                          https://xn--80adblbabq1bk1bi8r.xn--p1ai/solve/archive/1258/;                                                     https://xn--80adblbabq1bk1bi8r.xn--p1ai/solve/archive/1259/;                                                       https://xn--80adblbabq1bk1bi8r.xn--p1ai/solve/archive/1260/;                                                         https://xn--80adblbabq1bk1bi8r.xn--p1ai/solve/archive/1261/;                                                      https://xn--80adblbabq1bk1bi8r.xn--p1ai/solve/archive/1262/</t>
  </si>
  <si>
    <t>https://www.живёмнасевере.рф/solve/archive/1290/</t>
  </si>
  <si>
    <t>Интернет-голосование за проектные идеи в рамках конкурсного отбора было организовано на портале "Живём на Севере"</t>
  </si>
  <si>
    <t>https://живёмнасевере.рф/</t>
  </si>
  <si>
    <t xml:space="preserve">Голосование проводилось зарегистрированными пользователями  информационного  ресурса  «Живём на Севере» (живёмнасевере.рф) путём интерактивного голосования </t>
  </si>
  <si>
    <t>https://www.живёмнасевере.рф/homely/</t>
  </si>
  <si>
    <t xml:space="preserve">https://www.xn--80adblbabq1bk1bi8r.xn--p1ai/solve/archive/1282/
https://www.xn--80adblbabq1bk1bi8r.xn--p1ai/solve/archive/1283/
https://www.xn--80adblbabq1bk1bi8r.xn--p1ai/solve/archive/1284/
</t>
  </si>
  <si>
    <t>Проведение опроса организовано посредством анкетирования на официальном сайте Администрации района. Мониторинг на сайте производился автоматически, результаты проведенных обсуждений учитывались на заседании комиссии при подсчете баллов.</t>
  </si>
  <si>
    <t>В рамках непосредственно конкурсного отбора собрания и встречи не проводились</t>
  </si>
  <si>
    <t>При проведении выборов депутата Законодательного Собрания Ямало-Ненецкого автономного округа шестого созыва по Салехардскому одномандатному избирательному округу № 1 и выборов депутатов Городской Думы муниципального образования город Салехард седьмого созыва на 13 избирательных участках было организовано участие голосующих граждан в конкурсном отборе местных инициатив в рамках проекта «Бюджетная инициатива граждан "Уютный Ямал» на территории муниципального город Салехард. https://salekhard.org/about/info/news/16345/
 https://vk.com/mbiusv?z=video-89594340_456240769%2Fd786933e1770e4ea6e%2Fpl_wall_-89594340                                                                                              https://vk.com/mbiusv?w=wall-89594340_3571</t>
  </si>
  <si>
    <t>подсчет голосов</t>
  </si>
  <si>
    <t>на изберательных участках</t>
  </si>
  <si>
    <t>лист регистрации участников общественных обсуждений по отбору заявки ,фото,  http://adm-muji.ru/fotogalereya.html; http://adm-muji.ru/obshcestvennye-obsuzhdeniya-predlozheniya.html;    протокол общественных обсуждений местных инициатив от 30.05.2019 г</t>
  </si>
  <si>
    <t>http://www.admin-moovg.ru/obshcestvennye-obsuzhdeniya-byudzhetnoy-initciativy-grazhdan-27-06-19.html</t>
  </si>
  <si>
    <t>http://mo-aksarka.ru/2019-god.html</t>
  </si>
  <si>
    <t>http://www.mo-urengoy.ru/index.php?option=com_content&amp;view=article&amp;id=4614</t>
  </si>
  <si>
    <t>голосование посредством бюллетеней</t>
  </si>
  <si>
    <t>В рамках непосредственно конкурсного отбора референдум не проводился</t>
  </si>
  <si>
    <t>ДА (в городе Муравленко в состав комиссий в рамках применения механизмов инициативного бюджетирования входят как представители городского гражданского сообщества, так и представители власти)</t>
  </si>
  <si>
    <t>пртокол</t>
  </si>
  <si>
    <t>Протоколы заседаний конкурсной комиссии по отбору местных инициатив в рамках проекта «Бюджетная инициатива граждан» на территории города Муравленко, протоколы заседания офиса общественных инициатив «Уютный Ямал»
муниципального образования город Муравленко</t>
  </si>
  <si>
    <t>https://www.salekhard.org/about/info/news/14350/</t>
  </si>
  <si>
    <t>Заседание проектного офиса</t>
  </si>
  <si>
    <t>Протокол заседания конкурсной комиссии по проведению конкурсного отбора инициатив в рамках проекта "Бюджетная инициатива граждан" на территориях муниципального образования Надымский район, муниципального образования город Надым</t>
  </si>
  <si>
    <t xml:space="preserve">Протокол заседания конкурсной комиссии по проведению конкурсного отбора проектов (инициатив) граждан по вопросам местного значсения муниципального образования поселок Пангоды </t>
  </si>
  <si>
    <t>протокол заседания конкурсной комиссии по отбору местных инициатив от 30.04.2019 г</t>
  </si>
  <si>
    <t>http://mo-aksarka.ru/dokumenty-1.html</t>
  </si>
  <si>
    <t>http://www.admiharp.ru/protokol-zasedaniya-konkursnoy-komissii-po-provedeniyu-konkursnogo-otbora-proektov-initciativnogo-byudzhetirovaniya-byudzhetnaya-initciativa-grazhdan-v-munitcipal-nom-obrazovanii-poselok-kharp-ot-29-05-2019.html</t>
  </si>
  <si>
    <t>http://adminbelka.ru/tinybrowser/files/bydjetnay_iniciativa_grajdan/2019/02/3_protokol_zasedaniya_konkursnoy_komissii_po_provedeniyu_konkursnogo_otbora_proektov_ot_18_06_2019.pdf</t>
  </si>
  <si>
    <t>https://tasu.ru/ekonomika-i-finansy/initsiativnoe-byudzhetirovanie/normativno-pravovye-akty/</t>
  </si>
  <si>
    <t>Протокол заседания комиссии 
http://dfik.ru/#iniciativa</t>
  </si>
  <si>
    <t>https://drive.google.com/file/d/1bdCHtfevevfAGF1DIt__6u1XwdYYNPIT/view
http://www.mo-urengoy.ru/index.php?option=com_content&amp;view=article&amp;id=4613</t>
  </si>
  <si>
    <t>http://www.hanimey.ru/tinybrowser/files/budgetnaya-iniciativa/protokol_zasedaniya_komissii_ot_11_aprelya_compressed.pdf</t>
  </si>
  <si>
    <t>оценочный лист</t>
  </si>
  <si>
    <t xml:space="preserve">Балльная шкала оценки инициатив согласно Постановления Администрации города от 03.06.2019 № 858 «О реализации на территории муниципального образования город Губкинский проекта «Бюджетная инициатива граждан»
</t>
  </si>
  <si>
    <t xml:space="preserve">Голосование проводилось жителями путём тайного голосования в специально оборудованных местах </t>
  </si>
  <si>
    <t>Анкета. Место проведения анкетирования: ЯНАО, Надымский р-н, пгт. Пангоды, ул. Ленина, д. 7, помещения 1-13 МБУ "Центр библиотечного обслуживания"</t>
  </si>
  <si>
    <t>протокол заседания конкурсной комиссии</t>
  </si>
  <si>
    <t>Собрание делегатов</t>
  </si>
  <si>
    <t>ДА</t>
  </si>
  <si>
    <t xml:space="preserve">Обсуждение местных инициатив осуществляется в форме опроса на информационном ресурсе «Живем на Севере» (живемнасевере.рф) </t>
  </si>
  <si>
    <t>Выдвижение инициатив осуществлось через информационный портал "Живем на Севере" (возможность подать заявки в электронном виде). Интернет-голосование за проекты (выстраивание рейтинга проектов и определение победителя)</t>
  </si>
  <si>
    <t xml:space="preserve">В процессее реализации проекта РИТМ организуется обсуждение выдвинутых проектных предложений на информационном ресурсе «Живем на Севере».
Результаты голосования, организованного в ходе обсуждения, рассчитываются и конвертируются в баллы. </t>
  </si>
  <si>
    <t>В рамках реализации проекта инициативного бюджетирования "Уютный Ямал" инициаторами посредством портала "Живём на Севере" были поданы проектные идеи, также на данном ресурсе было организовано голосование населения за проектные идеи</t>
  </si>
  <si>
    <t>Пользователи портала "Живем на Севере" получили возможность оставлять свои заявки в режиме онлайн на платформе "Предлагай!" информационного ресурса. На платформе "Решай!" состоялось голосование по определению инициативы-победителя. Практика продолжена и в текущем году - с 1 марта 2020 года пользователи оставляют свои заявки в режиме онлайн, используя портал "Живем на Севере"</t>
  </si>
  <si>
    <t>Информационное сообщение: размещение извещения, муниципальных правовых актов, протоколов рассмотрения заявок и подведения итогов конкурса, прием заявок на участие.</t>
  </si>
  <si>
    <t>Живемнасевере.рф/ на данной площадке проходило голосование</t>
  </si>
  <si>
    <t>Трудовое участие - уборка мусора, благоустройство территории помещений, предназначенных для временного проживания бездомных людей и людей, оказавшихся в трудной жизненной ситуации</t>
  </si>
  <si>
    <t>проведение субботников, посадка деревьев (на усмотрение инициативной группы)</t>
  </si>
  <si>
    <t>Инициативная группа и поддержавшие их жители города выбрали вклад в виде трудового участия. В процессе реализации проекта их силами было проведено озеленение территории, приобретены материалы (грунт, саженцы)</t>
  </si>
  <si>
    <t>денежные средства, трудовое участие</t>
  </si>
  <si>
    <t>Неоплачиваемый вклад включает использование строительных материалов, оборудования, инструмента, уборку мусора, осуществление собственными силами благоустройства и иное участие. Размер неоплачиваемого вклада в денежном эквиваленте не может быть менее 30% от стоимости реализации инициативы.</t>
  </si>
  <si>
    <t>Непосредственное участие граждан в реализации мероприятий местных инициатив (в денежной или неденежной форме) является добровольным. 
Юридические лица, имеющие извлечение прибыли в качестве основной цели своей деятельности, имеют право на участие в конкурсе в качестве инициатора при условии непосредственного участия в проекте: в денежной форме в объеме не менее 30 % от стоимости реализации инициативы; в неденежной форме (неоплачиваемый вклад). Неоплачиваемый вклад включает использование строительных материалов, оборудования, инструмента, уборку мусора, осуществление собственными силами благоустройства и иное участие. Размер неоплачиваемого вклада в денежном эквиваленте не может быть менее 30 % от стоимости реализации инициативы</t>
  </si>
  <si>
    <t>работы по покраске оборудования детской площадки</t>
  </si>
  <si>
    <t>трудовое участие жителей в работах по сварке каркаса, монтажу стен и кровли на шурупы с использованием собственных средств труда. Жителями предоставлены железные трубы и железные уголки для основания</t>
  </si>
  <si>
    <t>неоплачиваемый вклад включает использование строительных материалов, оборудования, инструмента, уборку мусора, осуществление собственными силами благоустройства и иное участие</t>
  </si>
  <si>
    <t>Работа по поиску участников ВОВ, призванных из села Овгорт, отсутствующих в списках на мемориальных плитах, участие в озеленении территории прилегающей к памятнику</t>
  </si>
  <si>
    <t>Трудовой вклад населения в уборке территории</t>
  </si>
  <si>
    <t>трудовое участие жителей села в уборке территории лесного массива</t>
  </si>
  <si>
    <t>Калькуляция на выполнение работ по посадке декоративно-лиственных растений для нужд Администрации села</t>
  </si>
  <si>
    <t>для юридических лиц: использование строительных материалов, оборудования, инструмента, уборку мусора, осуществление собственными силами благоустройства и иное участие</t>
  </si>
  <si>
    <t>для юридических лиц: использование строительных материалов, оборудования, инструмента, уборку мусора, осуществление собственными силами благоустройства.</t>
  </si>
  <si>
    <t>использование строительных материалов, оборудования, инструмента, уборку мусора, осуществление собственными силами благоустройства и иное участие.</t>
  </si>
  <si>
    <t>https://df.salekhard.org/byudzhetnaya-initsiativa-grazhdan/</t>
  </si>
  <si>
    <t>https://lbt.yanao.ru/activity/730/</t>
  </si>
  <si>
    <t>https://xn--80adblbabq1bk1bi8r.xn--p1ai/homely/         http://muravlenko.yanao.ru/ekonomika-i-zhkh/municipalnye-finansy/bjudzhetnaya-iniciativa-grazhdan/</t>
  </si>
  <si>
    <t>www.gubadm.ru</t>
  </si>
  <si>
    <t>http://nadymregion.ru/local-government/administration/byudzhetnaya-initsiativa-grazhdan.php</t>
  </si>
  <si>
    <t>http://www.pangody.org/index.php/%D0%B8%D0%BD%D1%84%D0%BE%D1%80%D0%BC%D0%B0%D1%86%D0%B8%D1%8F/%D0%B1%D1%8E%D0%B4%D0%B6%D0%B5%D1%82%D0%BD%D0%B0%D1%8F-%D0%B8%D0%BD%D0%B8%D1%86%D0%B8%D0%B0%D1%82%D0%B8%D0%B2%D0%B0-%D0%B3%D1%80%D0%B0%D0%B6%D0%B4%D0%B0%D0%BD.html</t>
  </si>
  <si>
    <t>http://azov-adm.ru/byudzhetnaya-iniciativa-grazhdan.html</t>
  </si>
  <si>
    <t>http://lopchari-adm.ru/byudzhetnye-iniciativy.html</t>
  </si>
  <si>
    <t>http://adm-muji.ru/byudzhetnaya-politika.html                                                               http://adm-muji.ru/byudzhetnaya-initciativa-grazhdan.html</t>
  </si>
  <si>
    <t>http://admin-moovg.ru/byudzhetnaya-iniciativa-grazhdan.html</t>
  </si>
  <si>
    <t xml:space="preserve"> http://adm-gorki.ru/byudzhetnaya-iniciativa-grazhdan.html</t>
  </si>
  <si>
    <t>http://mo-aksarka.ru/byudzhetnaya-iniciativa-grazhdan-1.html</t>
  </si>
  <si>
    <t>http://www.admiharp.ru/informaciya-po-iniciativnomu-byudzhetirovaniyu.html</t>
  </si>
  <si>
    <t>http://adm-yarsale.ru/byudzhetnaya-iniciativa-grazhdan.html</t>
  </si>
  <si>
    <t>https://tasu.ru/ekonomika-i-finansy/initsiativnoe-byudzhetirovanie/; https://www.живёмнасевере.рф/homely/</t>
  </si>
  <si>
    <t>http://admnahodka.ru/byudzhetnaya-iniciativa-grazhdan.html</t>
  </si>
  <si>
    <t>http://dfik.ru/#iniciativa
http://dfik.ru/#school</t>
  </si>
  <si>
    <t>http://www.mo-urengoy.ru/bydinigra</t>
  </si>
  <si>
    <t>http://hanimey.ru/realizovannye-iniciativy.html</t>
  </si>
  <si>
    <t>http://selkup-adm.ru/node/14463</t>
  </si>
  <si>
    <t xml:space="preserve">https://youtu.be/R_sb-TSnhls?t=558                                                         https://vk.com/wall-120315139_24898
https://vk.com/wall-120315139_24353
https://vk.com/wall-120315139_24174
https://vk.com/wall-118907081_4996
https://vk.com/wall-118907081_4867
https://vk.com/wall-118907081_4629
https://vk.com/wall-118907081_4615
https://www.instagram.com/p/B1x67iZngYB/
https://www.instagram.com/p/B0Qp5Z_Hz0n/
</t>
  </si>
  <si>
    <t xml:space="preserve">https://www.живёмнасевере.рф/
https://vk.com/lbtinfo
https://vk.com/lbt_yanao_ru
https://vk.com/naseverelbt
</t>
  </si>
  <si>
    <t xml:space="preserve">https://vk.com/public183473795                                                                                                          https://vk.com/depfinnbr                                                                                               https://vk.com/anoyabrsk                                                                                     http://admnoyabrsk.ru/    </t>
  </si>
  <si>
    <t xml:space="preserve">http://muravlenko.yanao.ru/   http://www.muravlenko24.ru/   https://vk.com/        https://ru-ru.facebook.com/      </t>
  </si>
  <si>
    <t>живемнасевере.рф</t>
  </si>
  <si>
    <t>https://живёмнасевере.рф/homely/</t>
  </si>
  <si>
    <t xml:space="preserve"> https://vk.com/wall-190749463_229</t>
  </si>
  <si>
    <t>https://vk.com/public178831418?w=wall-178831418_99</t>
  </si>
  <si>
    <t>Газета "Приуралье", вконтакте</t>
  </si>
  <si>
    <t>mo-yamal/zkh</t>
  </si>
  <si>
    <t>https://www.puradm.ru/search/index.php?q=%D0%98%D0%9D%D0%98%D0%A6%D0%98%D0%90%D0%A2%D0%98%D0%92%D0%9D%D0%9E%D0%95+%D0%91%D0%AE%D0%94%D0%96%D0%95%D0%A2%D0%98%D0%A0%D0%9E%D0%92%D0%90%D0%9D%D0%98%D0%95
      все инициативы:
https://trk-luch.ru/news/five-million-to-eight-projects/
     Школа Идей
https://www.instagram.com/p/B3jNd7gobJb/?igshid=9fz8h7jn89n2
http://www.puradm.ru/novosti/7838/
https://trk-luch.ru/news/to-attract-students-to-the-allocation-of-budget/
http://www.puradm.ru/novosti/7816/
https://trk-luch.ru/news/300-thousand-rubles-for-proactive-budgeting/
     Совет ветеранов, Скандинавская ходьба:
http://mysl.info/po-skandinavskoy-trope-s-serebryanym-volont-rom.html
http://www.puradm.ru/novosti/7861/
http://purveteran.ru/news/novye-shagi-k-zdorovyu/
https://trk-luch.ru/news/nordic-walking-in-the-park-health/
     Вадама мэкма:
https://trk-luch.ru/news/vadama-mamma-preparing-to-launch/?sphrase_id=50711
https://trk-luch.ru/projects/120/
http://mysl.info/vadama-me-kma.html
     Детская площадка Пурпе:
https://www.instagram.com/p/B3CiOcdIMEZ/?igshid=1a6dwiadtt5b4
https://trk-luch.ru/news/real-money-for-real-ideas/
http://mysl.info/realizuem-initciativy.html
     Витязь:
https://trk-luch.ru/news/available-for-all-combat/
http://mysl.info/ot-initciativy-k-rezul-tatu.html
     Акварели:
http://www.puradm.ru/novosti/7999/
http://www.puradm.ru/deyatelnost/finansy/byudzhetnaya-initsiativa/2019/realizacia.php
https://trk-luch.ru/news/400-thousand-on-costumes-and-accessories/
     Счастья детям Халясавэй
http://www.puradm.ru/deyatelnost/finansy/byudzhetnaya-initsiativa/2019/realizacia.php
https://trk-luch.ru/news/a-favourite-place-of-games-of-kids/</t>
  </si>
  <si>
    <t xml:space="preserve">https://vk.com/urengoy_online ;
https://vk.com/urengoy_forever?w=wall-2146360_90686 ;
https://vk.com/starurengoi?w=wall-77157632_13422 ;
https://vk.com/urengoy_online?w=wall-159406760_7098%2Fall ;
https://trk-luch.ru/news/in-urengoy-are-waiting-for-applications-for-budget-initiatives/ ;
</t>
  </si>
  <si>
    <t xml:space="preserve">
http://www.puradm.ru/novosti/7824/
https://trk-luch.ru/news/in-ganymee-reconstructed-memorial-victory-day/
http://mysl.info/ot-initciativy-k-rezul-tatu.html</t>
  </si>
  <si>
    <t xml:space="preserve">https://www.youtube.com/watch?v=zUafcIxOgqI       </t>
  </si>
  <si>
    <t xml:space="preserve"> https://df.salekhard.org/upload/medialibrary/db2/уютный ямал.png;                                          https://salekhard.org/upload/iblock/3bf/3bfd94a62992ad9f4fd6cb470a9ab37b.png</t>
  </si>
  <si>
    <t>https://yadi.sk/i/9mYhtl20klb-IA</t>
  </si>
  <si>
    <t>https://drive.google.com/open?id=1DP1ojEc8ypNgJkzxcpHF6FZCyoRl-M_5</t>
  </si>
  <si>
    <t>https://ibb.co/Ph7dWXS</t>
  </si>
  <si>
    <t>http://admnahodka.ru/tinybrowser/files/bydzetnay_iniciativa/2019/01/realizaciya_mestnoy_iniciativy_grazhdan.jpg</t>
  </si>
  <si>
    <t xml:space="preserve">https://www.youtube.com/watch?v=uHl2F-R43MM         </t>
  </si>
  <si>
    <t>Объявления о начале приема заявок от инициаторов на участие в конкурсном отборе местных инициатив размещаются на официальном сайте муниципального образования salekhard.org в разделе "Новости", а также в соцсетях: одноклассники.ру, вконтакте, инстаграмм.</t>
  </si>
  <si>
    <t>Проводилось освещение в телевизионной программе Лабытнанги-ТВ «Тема» по вопросу реализации механизма Инициативного бюджетирования в МО г.Лабытнанги в 2019 году и перспективы развития на 2020 год.
Изготовлен видеоролик для показа на Лабытнангском телевидении и в местах массового пребывания граждан. В социальных сетях ВКонтакте публиковались материалы под единым хештегом #Инициатива.ЛБТ. На официальном сайте Администрации города Лабытнанги  в сети Интернет велась страница "Инициативное бюджетирование". Проведен городской форум "Семь шагов к городу завтра" на котором работало три площадки, посвященных инициативному бюджетированию.
Разработан брендбук проекта. Изготовлена брендировнная одежда для волонтеров (летний и зимний вариант). Разработана и изготовлена сувенирная продукция (флешки, блокноты, ручки, ленты и др.). Издана газета "Инициативное бюджетирование"</t>
  </si>
  <si>
    <t>Каждый этап реализации проекта "РИТМ" активно освещался: 
- на местном и региональном телевидении в форме сюжетов (ссылки в п.13.2, 14.2 настоящей таблицы)
- на прямых эфирах ( https://youtu.be/efR747ukdes?t=43 ), 
- в местных печатных и интернет СМИ 
(https://noyabrsk-inform.ru/zhitelej-nojabrska-priglashajut-pouchastvovat-v-proekte-ritm        
https://sv-gazeta.ru/ekonomika/v-noyabrske-podveli-itogi-proekta-ritm-napravlennogo-na-sozdanie-v-gorode-komfortnykh-uslovij-dlya-zhizni.html ).  По городу были размещены баннеры и билборды "РИТМ". 
По городскому маршруты был запущен брендированый автобус  "РИТМ".</t>
  </si>
  <si>
    <t>1. В 2019 году МАУ "Муравленко Медиа" на всех медиаплощадках (теле и радиоэфир, газета "Наш город", городское уличное телевидение, официальные паблики в социальных сетях, канал youtub.com) осуществлялась рекламная кампания практик инициативного бюджетирования. Всего за 2019 год вышло 102 информационных материала.   http://www.muravlenko24.ru/news/42119-novyy-sezon-v-molodezhnom-skvere-ustanovili-skeyt-ploschadku.html     2. В апреле 2019 года НКО "Фонд поддержки субъектов малого и среднего предпринимательства и развития города Муравленко" осуществлялась реализация социально значимого проекта "Твой бюджет - твоя инициатива", в рамках которого был организован ряд мероприятий по популяризации механизмов инициативного бюджетирования: созданы информационные ролики; приобретена брендированная продукция, которая распространялась среди инициатиров и участников мероприятий; в целях орсуществления более компетентного подхода в оргнаизации данных меропритяий был приглашен эксперт инициативного бюджетирования из города Киров.   http://www.muravlenko24.ru/stati/41459-ideya-dolzhna-byt-poleznoy-kak-zainteresovat-proektom-zhiteley.html</t>
  </si>
  <si>
    <t xml:space="preserve">С 19 июля по 19 августа губкинцы предлагали свои инициативы через сайт «Живём на Севере», а также через проектный офис «Уютный Ямал», который открылся 19 июля в ДК «Нефтяник». После 19 августа идеи жителей были размещены на платформе «Уютный Ямал» портала «Живём на Севере», и пользователи могли поддержать понравившийся проект. А 8 сентября прошел очный этап голосования. В этот день в городе  работали пять специальных участков для очного голосования. Губкинцы, в возрасте от 14 лет, назвали те идеи, которые, на их взгляд, нужно реализовать в городе. Информация публиковалась в СМИ: Губкинская телерадиокомпания «Вектор», в Социальные сети: «ВКонтакте», Одноклассники», «Фейсбук», «Инстаграм».
https://www.instagram.com/p/Bys2Ccbn08d/
https://vektor-tv.ru/news/8090/?sphrase_id=8972
https://vk.com/wall-81916513?q=%D1%83%D1%8E%D1%82%D0%BD%D1%8B%D0%B9&amp;w=wall-81916513_10990
https://www.instagram.com/p/By-RVYqH6WY/?igshid=42fre91zdbcx
https://vektor-tv.ru/news/8148/?sphrase_id=8972
https://vk.com/wall-81916513?q=%D1%83%D1%8E%D1%82%D0%BD%D1%8B%D0%B9&amp;w=wall-81916513_11081
https://vektor-tv.ru/news/8236/?sphrase_id=9019
https://vk.com/wall-81916513?q=%D1%83%D1%8E%D1%82%D0%BD%D1%8B%D0%B9&amp;w=wall-81916513_11221
https://ok.ru/gubkins/topic/69834208996262
https://www.instagram.com/tv/BzyAVfhHtbG/?igshid=1blt4hafho2zi
https://vektor-tv.ru/news/8418/?sphrase_id=8972
https://vk.com/wall-81916513?q=%D1%83%D1%8E%D1%82%D0%BD%D1%8B%D0%B9&amp;w=wall-81916513_11471
</t>
  </si>
  <si>
    <t xml:space="preserve">Информация о реализации проекта "Уютный Ямал" размещается:
- в муниципальных средствах массовой информации (телеканал "Вестник Надыма", радиоканал "Радио Надыма", газета "Рабочий Надыма", их официальные аккаунты в социальных сетях ВКонтакте, Одноклассники, Instagram и Facebook), 
- на официальном сайте Администрации муниципального образования Надымский район,
- в официальных аккакунтах в социальных сетях ВКонтакте, Одноклассники и Instagram, на окружном портале "Живем на Севере". 
Во всех вышеуказанных источниках публикуются материалы о начале сбора заявок, процессе их приема, голосования и последующей реализации. Наибольший охват аудитории дают социальные сети - в официальной группе "Надым и Надымский район" почти 20 000 участников. Так охват новости об открытии проектного офиса (https://vk.com/nadymregion?w=wall-55811535_85022%2Fall) составил 3300 человек. Информацию о голосовании за проекты 2019 года просмотрели 4400 уникальных пользователей. </t>
  </si>
  <si>
    <t>доски, стенды в помещениях Администрации МО п. Пангоды и МБУ "Центра библиотечного обслуживания", публикация в газете "Информационный вестник", информирование в сети Интернет на официальном сайте Администрации МО п. Пангоды, в социальных сетях (в группах Viber).</t>
  </si>
  <si>
    <t>Информация до населения о сборе инициатив и реализации инициативы доводилась путем размещения объявлений на рекламных стендах на территории села а также на информационном табло на здании администрации, а также на официальном сайте администрации</t>
  </si>
  <si>
    <t>Объявление на официальном сайте Администрации муниципального образования Лопхаринское</t>
  </si>
  <si>
    <t>размещение информации о проведении конкурса и отбора местных инициатив на официальном сайте администрации МО Мужевское, публикация районной газете «Северная панорама», информирование о проведении конкурса через депутатов представительного органа муниципального образования Мужевское</t>
  </si>
  <si>
    <t>Социальная сеть "В контакте" официальная группа "Администрация муниципального образования Овгортское" https://vk.com/wall-190749463_229
Официальный сайт администрации муниципального образования Овгортское http://www.admin-moovg.ru/byudzhetnaya-iniciativa-grazhdan.html</t>
  </si>
  <si>
    <t>Объявление на официальном сайте Администрации муниципального образования Шурышкарское</t>
  </si>
  <si>
    <t>Газета "Северная панорама"</t>
  </si>
  <si>
    <t>Совещание с руководительями структурных подразделений Администрации МО Приуральский район, интервью на телевидение</t>
  </si>
  <si>
    <t>интервью на телевидение</t>
  </si>
  <si>
    <t>интернет-ресурсы</t>
  </si>
  <si>
    <t>Очные втречи</t>
  </si>
  <si>
    <t>Соцсети, наружная реклама, проведено праздничное мероприятие для граждан поселка на центральной площади по открытию проекта "Уютный Ямал"</t>
  </si>
  <si>
    <t>Для наибольшего вовлечения граждан прошли встречи в трудовых коллективах</t>
  </si>
  <si>
    <t>В целях информирования населения и организаций Пуровского района о проекте по поддержке местных инициатив в Пуровском районе соответствующая информация  была размещены на официальном сайте Пуровского района и в Пуровской районной муниципальной общественно-политической газете "Северный луч", освещена на "ПТРК Луч". Информационные сообщения о  начале приема заявок для проведения конкурсного отбора инициатив  были размещены на официальном интернет-сайте Администрации Пуровского района.</t>
  </si>
  <si>
    <t xml:space="preserve">размещение информации, рекламы на интернет сайтах, социальных сетях, ТРК "Луч"
</t>
  </si>
  <si>
    <t>Информация по бюджетным инициативам освещается на официальном сайте Администрации, в социальных сетях, в газете "Северный луч"</t>
  </si>
  <si>
    <t>https://www.youtube.com/watch?v=KcXGbS209E4&amp;list=LLE-</t>
  </si>
  <si>
    <t xml:space="preserve">Воздушные шарики, флажки, плакаты, брошюры, ручки </t>
  </si>
  <si>
    <t>https://yadi.sk/d/qvZ3U0OezAQrIw
https://yadi.sk/i/VrNkebyDmsJ7Ew
https://yadi.sk/i/vqCJUpr2VRp3DQ
https://yadi.sk/d/h8Q3iXnGpEtSOw
https://yadi.sk/i/3O6cc6NBJMS8eg
https://yadi.sk/i/foDA1FHPf76fJw
https://yadi.sk/i/211GnNv2XWaPTg
https://yadi.sk/i/yTuw6XFQ6ujIjQ</t>
  </si>
  <si>
    <t>Был разработан брендбук проекта РИТМ https://drive.google.com/open?id=1GsFPwM0GfYfyNyrkW5iXkJnvLWCHDGrR                                                                                 
На мероприятиях раздавались информационные буклеты  https://drive.google.com/open?id=15LYQX5Orrjp4EattFaBGIMl7VQyFMHyY</t>
  </si>
  <si>
    <t>В ходе реализации мероприятий по информационному сопровождению механизмов инициативного бюджетирования использовались следующие виды материалов и инфографики: информационные видеоролики, роллапы, раздаточные материалы с логотипом инициативного бюджетирования (ежедневники, флеш-накопители, блокноты, ручки, футболки и свитшоты)</t>
  </si>
  <si>
    <t xml:space="preserve">В кампании использовалось большое количество информационных и раздаточных материалов: в остановочных комплексах, объектах соцкульбыта и торговли были размещены тематические плакаты, буклеты, листовки, флажки распространялись в организациях, учреждениях, на предприятиях. На проспекте Мира размещены два баннера (размер 6х3). </t>
  </si>
  <si>
    <t>Использованы раздаточные материалы, подготовленные и направленные в адрес муниципалитета Правительством Ямало-Ненецкого автономного округа.</t>
  </si>
  <si>
    <t xml:space="preserve">брошюры, буклеты, листовки, презентация
https://drive.google.com/open?id=1ZI7t4DuQNn2Uma6aJF1BlX0KNqRDME8y </t>
  </si>
  <si>
    <t>Оказание консультационной помощи главным распорядителям бюджетных средств, а также помощь в организации соответствующих мероприятий.</t>
  </si>
  <si>
    <t>Школа инициативного бюджетирования</t>
  </si>
  <si>
    <t>Тренинг для волонтеров перед проведением мероприятий</t>
  </si>
  <si>
    <t>24 и 25 апреля в муниципальнои образовани город Муравленко прошел ряд обучающих мероприятий по вопросам инициативного бюджетирвания с участием приглашенного эксперта из города Киров. Мероприятия прошли в формате семинара, а также личных консультаций инициаторов. В семинаре приняло участие 46 человек, что отражено в листе регистрации участников семинара. Практически все участники семинара - предствители городского гражданского сообщества.</t>
  </si>
  <si>
    <t>обучающий тренинг школьников и организаторов школьных мероприятий, обучение волонтёров</t>
  </si>
  <si>
    <t>Мероприятия не проводились</t>
  </si>
  <si>
    <t>Семинар</t>
  </si>
  <si>
    <t xml:space="preserve">        12 марта 2019 года ДФ ЯНАО совместно с Международным банком реконструкции и развития провел семинар в п. Ханымей Пуровского района по вопросам внедрения и перспектив развития инициативного бюджетирования, в котором прияли участие работники органов местного самоуправления и иных учреждений (64 чел);
         6 октября 2019 года ДФ ЯНАО провел  обучающий тренинг по вопросам внедрения школьного партисипаторного бюджетирования в г. Тарко-Сале, приняли участие педагоги (12 чел.), учащиеся школ (22 чел.) и представители органов местного самоуправления (6 чел.).</t>
  </si>
  <si>
    <t xml:space="preserve"> 12 марта 2019 года ДФ ЯНАО совместно с Международным банком реконструкции и развития провел семинар в п. Ханымей Пуровского района по вопросам внедрения и перспектив развития инициативного бюджетирования, в котором прияли участие работники органов местного самоуправления и иных учреждений (64 чел) района;</t>
  </si>
  <si>
    <t>Публикация в районной газете "Северный край", видеосюжеты на официальном ютуб-канале и инстаграм канале районной телекомпании "Альянс".</t>
  </si>
  <si>
    <t>Илюхина Светлана Валерьевна                                                                                              Голубцова Анна Михайловна</t>
  </si>
  <si>
    <t>Гриценко Светлана Муллануровна - начальник управления внутренней политики Администрация города Лабытнанги</t>
  </si>
  <si>
    <t>Санников Виталий Игоревич, главный специалист отдела анализа исполнения городского бюджета департамента финансов Администрации города Ноябрьска</t>
  </si>
  <si>
    <t>Заболотских Наталья Сергеевна, специалист отдела информации иобщественных связей Администрации города Муравленко</t>
  </si>
  <si>
    <t>Килиенко Алексей Иванович</t>
  </si>
  <si>
    <t>Раводина Ольга Анатольевна, заведующий сектором формирования и исполнения расходов отдела планирования расходов бюджета муниципального образования город Надым управления отраслевых финансов и межбюджетных отношений Департамента финансов Администрации муниципального образования Надымский район</t>
  </si>
  <si>
    <t xml:space="preserve">Иванова Ульяна Игоревна, и.о. начальника управления финансов </t>
  </si>
  <si>
    <t>Носкин Роман Александрович, Специалист 1 категории</t>
  </si>
  <si>
    <t xml:space="preserve">Житник Дмитрий Александрович, специалист по общим вопросам администрации МО Лопхаринское </t>
  </si>
  <si>
    <t>Валеева Снежана Григорьевна начальник бюджетно-планового отдела</t>
  </si>
  <si>
    <t>Рочев Иван Григорьевич, глава муниципального образования</t>
  </si>
  <si>
    <t>Логинов Александр Владимирович, заместитель главы администрации</t>
  </si>
  <si>
    <t>Полякова Людмила Анатольевна</t>
  </si>
  <si>
    <t>Карпова Екатерина Брисовна</t>
  </si>
  <si>
    <t>Дьячков Александр Игоревич</t>
  </si>
  <si>
    <t>Карелин Максим Игоревич</t>
  </si>
  <si>
    <t>Антонова Ирина Станиславовна, заместитель начальника управления</t>
  </si>
  <si>
    <t>Тухватшина Оксана Венеровна, главного специалиста сектора планирования расходов и анализа бюджетной деятельности отдела межбюджетных отношений, планирования расходов и анализа бюджетной деятельности бюджетного управления Департамента финансов и казначейства Администрации Пуровского района</t>
  </si>
  <si>
    <t>Гадзиева Ирина Александровна, Головко Андрей Александрович, Атаханова Екатерина Владимировна</t>
  </si>
  <si>
    <t>834922 - 253-17                                                                                                                           834922 - 253-09</t>
  </si>
  <si>
    <t>83499257070 (доб.1170)</t>
  </si>
  <si>
    <t>8-3496-361051</t>
  </si>
  <si>
    <t>9 (34938) 55-1-97</t>
  </si>
  <si>
    <t>8 34936 3-97-22</t>
  </si>
  <si>
    <t>(3499)544-178</t>
  </si>
  <si>
    <t>8 (3499) 529-792</t>
  </si>
  <si>
    <t>8-34994-66421</t>
  </si>
  <si>
    <t>тел: 65-3-05</t>
  </si>
  <si>
    <t>8(34994)67231</t>
  </si>
  <si>
    <t>8(34994)62341</t>
  </si>
  <si>
    <t>8-34994-61324</t>
  </si>
  <si>
    <t>8-34993-22608</t>
  </si>
  <si>
    <t>(34996)30400</t>
  </si>
  <si>
    <t>8-34996-23126</t>
  </si>
  <si>
    <t>8-34997-21846</t>
  </si>
  <si>
    <t>8-34932-21040</t>
  </si>
  <si>
    <t>iluhina@slh.yanao.ru                                                                                                                                                              golubtsova@slh.yanao.ru</t>
  </si>
  <si>
    <t>GritsenkoSM@adm.lbt.yanao.ru</t>
  </si>
  <si>
    <t>sannikov@depfinnbr.ru</t>
  </si>
  <si>
    <t>kilienko@inbox.ru</t>
  </si>
  <si>
    <t>oaravodina@nadym.yanao.ru</t>
  </si>
  <si>
    <t>admin@pangody.org</t>
  </si>
  <si>
    <t>Azov_adm@mail.ru</t>
  </si>
  <si>
    <t>lopchari-adm@mail.ru</t>
  </si>
  <si>
    <t>admmuji@mail. Ru</t>
  </si>
  <si>
    <t>admin_moovg@mail.ru</t>
  </si>
  <si>
    <t>adminshur@mail.ru</t>
  </si>
  <si>
    <t>glava-07@mail.ru</t>
  </si>
  <si>
    <t>karpova-eb@priuralye.com</t>
  </si>
  <si>
    <t>adm.yarsale@mail.ru</t>
  </si>
  <si>
    <t>adm_salemal@mail.ru</t>
  </si>
  <si>
    <t>irinaantonova@tazovsky.yanao.ru</t>
  </si>
  <si>
    <t>budget@dfik.ru</t>
  </si>
  <si>
    <t>IrinaAGadzieva@krasnoselkupsky.yanao.ru, AndreyAGolovko@krasnoselkupsky.yanao.ru, EkaterinaAtahanova@Krasnoselkupsky.yanao.ru</t>
  </si>
  <si>
    <r>
      <t xml:space="preserve">Приказ Министерства финансов Калужской обл. от 12.05.2017 N 50 (ред. от 24.12.2018)
"О реализации постановления Правительства Калужской области от 21.04.2017 N 232 "Об утверждении Положения о порядке предоставления бюджетам муниципальных образований Калужской области субсидий на реализацию проектов развития общественной инфраструктуры муниципальных образований, основанных на местных инициативах, в рамках ведомственной целевой программы "Совершенствование системы управления общественными финансами Калужской области"
</t>
    </r>
    <r>
      <rPr>
        <sz val="10"/>
        <color rgb="FFFF0000"/>
        <rFont val="Times New Roman"/>
        <family val="1"/>
        <charset val="204"/>
      </rPr>
      <t xml:space="preserve">
</t>
    </r>
  </si>
  <si>
    <r>
      <t xml:space="preserve">1.Обучающий семинар-видеоконференция для представителей муниципальных образований области и сотрудников аппарата Законодательного Собрания Калужской области </t>
    </r>
    <r>
      <rPr>
        <sz val="10"/>
        <rFont val="Times New Roman"/>
        <family val="1"/>
        <charset val="204"/>
      </rPr>
      <t>на тему: "Инициативное бюджетирования как механизм поддержки местных инициатив и участия населения в решении вопросов местного значения" (январь 2</t>
    </r>
    <r>
      <rPr>
        <sz val="10"/>
        <color rgb="FF000000"/>
        <rFont val="Times New Roman"/>
        <family val="1"/>
        <charset val="204"/>
      </rPr>
      <t xml:space="preserve">019) - 278 чел.,продолжительность 1,5 час.                                                                                                              2.Выездные семинары-совещания с органами местного самоуправления и депутатами представительных органов муниципальных образований Калужской области (в течение года) - от 30 до 100 человек.        
</t>
    </r>
  </si>
  <si>
    <r>
      <t>Государственная программа Липецкой области</t>
    </r>
    <r>
      <rPr>
        <sz val="10"/>
        <color rgb="FF000000"/>
        <rFont val="Times New Roman"/>
        <family val="1"/>
        <charset val="204"/>
      </rPr>
      <t xml:space="preserve">
"Развитие сельского хозяйства и регулирования рынков сельскохозяйственной продукции, сырья и продовольствия Липецкой области":
</t>
    </r>
    <r>
      <rPr>
        <b/>
        <sz val="10"/>
        <color rgb="FF000000"/>
        <rFont val="Times New Roman"/>
        <family val="1"/>
        <charset val="204"/>
      </rPr>
      <t xml:space="preserve">Подпрограмма 7 </t>
    </r>
    <r>
      <rPr>
        <sz val="10"/>
        <color rgb="FF000000"/>
        <rFont val="Times New Roman"/>
        <family val="1"/>
        <charset val="204"/>
      </rPr>
      <t xml:space="preserve">
"Устойчивое развитие сельских территорий Липецкой области на 2014-2017 годы и на период до 2019 года": 
</t>
    </r>
    <r>
      <rPr>
        <b/>
        <sz val="10"/>
        <color rgb="FF000000"/>
        <rFont val="Times New Roman"/>
        <family val="1"/>
        <charset val="204"/>
      </rPr>
      <t xml:space="preserve">Основное мероприятие 4 </t>
    </r>
    <r>
      <rPr>
        <sz val="10"/>
        <color rgb="FF000000"/>
        <rFont val="Times New Roman"/>
        <family val="1"/>
        <charset val="204"/>
      </rPr>
      <t xml:space="preserve">
"Предоставление субсидий местным бюджетам на реализацию мероприятий муниципальных программ, направленных на грантовую поддержку местных инициатив граждан, проживающих в сельской местности":
</t>
    </r>
    <r>
      <rPr>
        <b/>
        <sz val="10"/>
        <color rgb="FF000000"/>
        <rFont val="Times New Roman"/>
        <family val="1"/>
        <charset val="204"/>
      </rPr>
      <t>Мероприятие</t>
    </r>
    <r>
      <rPr>
        <sz val="10"/>
        <color rgb="FF000000"/>
        <rFont val="Times New Roman"/>
        <family val="1"/>
        <charset val="204"/>
      </rPr>
      <t xml:space="preserve"> 
"Предоставление субсидий местным бюджетам на реализацию мероприятий муниципальных программ, направленных на грантовую поддержку местных инициатив граждан, проживающих в сельской местности"</t>
    </r>
    <r>
      <rPr>
        <b/>
        <sz val="10"/>
        <color rgb="FF000000"/>
        <rFont val="Times New Roman"/>
        <family val="1"/>
        <charset val="204"/>
      </rPr>
      <t xml:space="preserve">
</t>
    </r>
  </si>
  <si>
    <r>
      <rPr>
        <b/>
        <sz val="10"/>
        <color rgb="FF000000"/>
        <rFont val="Times New Roman"/>
        <family val="1"/>
        <charset val="204"/>
      </rPr>
      <t>Государственная программа</t>
    </r>
    <r>
      <rPr>
        <sz val="10"/>
        <color rgb="FF000000"/>
        <rFont val="Times New Roman"/>
        <family val="1"/>
        <charset val="204"/>
      </rPr>
      <t xml:space="preserve"> развития сельского хозяйства и регулирования рынков сельскохозяйственной продукции, сырья и продовольствия на 2013 - 2020 годы (утверждена Постановлением Правительства РФ от 14.07.2012 N 717)
</t>
    </r>
    <r>
      <rPr>
        <b/>
        <sz val="10"/>
        <color rgb="FF000000"/>
        <rFont val="Times New Roman"/>
        <family val="1"/>
        <charset val="204"/>
      </rPr>
      <t xml:space="preserve">Направление (подпрограмма) </t>
    </r>
    <r>
      <rPr>
        <sz val="10"/>
        <color rgb="FF000000"/>
        <rFont val="Times New Roman"/>
        <family val="1"/>
        <charset val="204"/>
      </rPr>
      <t xml:space="preserve">"Устойчивое развитие сельских территорий" 
</t>
    </r>
  </si>
  <si>
    <r>
      <t xml:space="preserve">http://www.pohgor.ru/documents/municipal-programm/predpisanija_38.html;            </t>
    </r>
    <r>
      <rPr>
        <sz val="10"/>
        <color rgb="FF0563C1"/>
        <rFont val="Times New Roman"/>
        <family val="1"/>
        <charset val="204"/>
      </rPr>
      <t xml:space="preserve">           http://www.pohgor.ru/documents/postanovlenie/npa_93.html.</t>
    </r>
  </si>
  <si>
    <r>
      <t>Рекламная кампания проекта велась по нескольким направлениям: 
1.</t>
    </r>
    <r>
      <rPr>
        <b/>
        <sz val="10"/>
        <rFont val="Times New Roman"/>
        <family val="1"/>
        <charset val="204"/>
      </rPr>
      <t xml:space="preserve"> социальные сети</t>
    </r>
    <r>
      <rPr>
        <sz val="10"/>
        <rFont val="Times New Roman"/>
        <family val="1"/>
        <charset val="204"/>
      </rPr>
      <t xml:space="preserve"> (проводилось активное информирование о проекте в группе проекта в соц.сетях, в профильных группах (экологическая направленность, велосообщество, сообщество экстремальных видов спорта, группы административных районов города, группы социальных организаций и тд); 
https://vk.com/tvbspb?w=wall-145727411_2467 (4,2 тысячи просмотров)
https://vk.com/tvbspb?w=wall-145727411_2483 (12 тысяч просмотров)
https://vk.com/tvbspb?w=wall-145727411_2489 (6 тысяч просмотров)
https://vk.com/tvbspb?w=wall-145727411_2504 (10 тысяч просмотров)
https://vk.com/tvbspb?w=wall-145727411_2577 (17 тысяч просмотров)
https://vk.com/tvbspb?w=wall-145727411_2636 (7,2 тысячи просмотров)
2. </t>
    </r>
    <r>
      <rPr>
        <b/>
        <sz val="10"/>
        <rFont val="Times New Roman"/>
        <family val="1"/>
        <charset val="204"/>
      </rPr>
      <t>ТВ и радио</t>
    </r>
    <r>
      <rPr>
        <sz val="10"/>
        <rFont val="Times New Roman"/>
        <family val="1"/>
        <charset val="204"/>
      </rPr>
      <t xml:space="preserve"> (на городском телеканале "Санкт-Петербург" перед выпусками новостей в течение рекрутинга транслировался ролик социальной рекламы проекта, был организован ряд теле и радио передач с участием представителей Комитета финансов СПб, консультантов проекта, участников проекта прошлых лет (Первый канал, НТВ, 78 канал, радио России, радио Эхо в Петербурге, радио Петербург и тд); 
Видеоролик https://drive.google.com/open?id=1NsCI8Z6CG9zZREBiJXUABaFg9H_nx8ZX
ТВ и радио https://tvoybudget.spb.ru/media
3.</t>
    </r>
    <r>
      <rPr>
        <b/>
        <sz val="10"/>
        <rFont val="Times New Roman"/>
        <family val="1"/>
        <charset val="204"/>
      </rPr>
      <t xml:space="preserve"> Печатные и интернет СМИ </t>
    </r>
    <r>
      <rPr>
        <sz val="10"/>
        <rFont val="Times New Roman"/>
        <family val="1"/>
        <charset val="204"/>
      </rPr>
      <t xml:space="preserve">(организованы публикации о проекте в городских СМИ: Петербургский дневник, Комсомольская правда, Петербургские ведомости, Метро, Вечерний Петербург, Фонтанка.ру, Собака.ру, Бумага.ру, Village и тд); 
https://tvoybudget.spb.ru/media
4. </t>
    </r>
    <r>
      <rPr>
        <b/>
        <sz val="10"/>
        <rFont val="Times New Roman"/>
        <family val="1"/>
        <charset val="204"/>
      </rPr>
      <t>Наружная реклама</t>
    </r>
    <r>
      <rPr>
        <sz val="10"/>
        <rFont val="Times New Roman"/>
        <family val="1"/>
        <charset val="204"/>
      </rPr>
      <t xml:space="preserve"> (размещена информация о проекте на улицах города - биллборды, тумбы, реклама на остановках общ.транспорта, ролики соц.рекламы на электронных городских дисплеях (11 шт)). 
Макеты биллбордов и баннеров https://drive.google.com/open?id=1aoHYQiMsOvsgT8z9jVqqbVbQPdaYzfNc
Видеоролик https://drive.google.com/open?id=1NsCI8Z6CG9zZREBiJXUABaFg9H_nx8ZX
5. </t>
    </r>
    <r>
      <rPr>
        <b/>
        <sz val="10"/>
        <rFont val="Times New Roman"/>
        <family val="1"/>
        <charset val="204"/>
      </rPr>
      <t>Международной форум общественного участия (IPPF</t>
    </r>
    <r>
      <rPr>
        <sz val="10"/>
        <rFont val="Times New Roman"/>
        <family val="1"/>
        <charset val="204"/>
      </rPr>
      <t xml:space="preserve">):
- лекции, дискуссии; - воркшопы и мастерклассы; - выставка проектов PB в мире проекта "Твой бюджет"; -  реф. визит на заседание бюджетной комисии в Красногвардейском районе и т.д.
  https://vk.com/urbanchangeweek;   https://ippf.ru.
</t>
    </r>
  </si>
  <si>
    <r>
      <rPr>
        <sz val="10"/>
        <rFont val="Times New Roman"/>
        <family val="1"/>
        <charset val="204"/>
      </rPr>
      <t xml:space="preserve">Личные встречи представителей администрации муниципального образования с </t>
    </r>
    <r>
      <rPr>
        <sz val="10"/>
        <color rgb="FF000000"/>
        <rFont val="Times New Roman"/>
        <family val="1"/>
        <charset val="204"/>
      </rPr>
      <t>гражданами, общественный форум "Вместе",  совещания с руководителями бюджетных организаций, с сельскими главами, депутатами Думы муниципального образования Алапаевское</t>
    </r>
  </si>
  <si>
    <r>
      <t>Постановление Правительства Тюменской области от 22.05.2017 № 170-п «</t>
    </r>
    <r>
      <rPr>
        <sz val="10"/>
        <rFont val="Times New Roman"/>
        <family val="1"/>
        <charset val="204"/>
      </rPr>
      <t>Об утверждении Положения о порядке предоставления субсидий на грантовую поддержку местных инициатив граждан, проживающих в сельской местности»</t>
    </r>
  </si>
  <si>
    <r>
      <t xml:space="preserve">91,4%
Государственная поддержка в форме субсидии, предоставляется из областного бюджета, в том числе за счет субсидий из федерального бюджета, органу местного самоуправления сельского поселения  или органу территориального общественного самоуправления сельского поселения, </t>
    </r>
    <r>
      <rPr>
        <sz val="10"/>
        <color rgb="FF000000"/>
        <rFont val="Times New Roman"/>
        <family val="1"/>
        <charset val="204"/>
      </rPr>
      <t>на реализацию</t>
    </r>
    <r>
      <rPr>
        <sz val="10"/>
        <rFont val="Times New Roman"/>
        <family val="1"/>
        <charset val="204"/>
      </rPr>
      <t xml:space="preserve"> общественно значимого проекта с участием граждан, проживающих в сельской местности.
Муниципальные образования Тюменской области: г. Тюмень, г. Ишим, г. Тобольск, г. Ялуторовск, Заводоуковский городской округ участие в реализации мероприятия не принимают.</t>
    </r>
  </si>
  <si>
    <r>
      <rPr>
        <b/>
        <sz val="10"/>
        <color rgb="FF000000"/>
        <rFont val="Times New Roman"/>
        <family val="1"/>
        <charset val="204"/>
      </rPr>
      <t>Методические рекомендации</t>
    </r>
    <r>
      <rPr>
        <sz val="10"/>
        <color rgb="FF000000"/>
        <rFont val="Times New Roman"/>
        <family val="1"/>
        <charset val="204"/>
      </rPr>
      <t xml:space="preserve"> http://ib.mfur.ru/%d0%b4%d0%be%d0%ba%d1%83%d0%bc%d0%b5%d0%bd%d1%82%d1%8b-2/
</t>
    </r>
    <r>
      <rPr>
        <b/>
        <sz val="10"/>
        <color rgb="FF000000"/>
        <rFont val="Times New Roman"/>
        <family val="1"/>
        <charset val="204"/>
      </rPr>
      <t>Инфографика</t>
    </r>
    <r>
      <rPr>
        <sz val="10"/>
        <color rgb="FF000000"/>
        <rFont val="Times New Roman"/>
        <family val="1"/>
        <charset val="204"/>
      </rPr>
      <t xml:space="preserve"> http://ib.mfur.ru/%d0%be%d0%b1%d0%b7%d0%be%d1%80-%d1%80%d0%b5%d0%b0%d0%bb%d0%b8%d0%b7%d0%b0%d1%86%d0%b8%d0%b8-%d0%b8%d0%bd%d0%b8%d1%86%d0%b8%d0%b0%d1%82%d0%b8%d0%b2%d0%bd%d0%be%d0%b3%d0%be-%d0%b1%d1%8e%d0%b4%d0%b6/
</t>
    </r>
    <r>
      <rPr>
        <b/>
        <sz val="10"/>
        <color rgb="FF000000"/>
        <rFont val="Times New Roman"/>
        <family val="1"/>
        <charset val="204"/>
      </rPr>
      <t>Буклет о проекте "Наша инициатива".</t>
    </r>
    <r>
      <rPr>
        <sz val="10"/>
        <color rgb="FF000000"/>
        <rFont val="Times New Roman"/>
        <family val="1"/>
        <charset val="204"/>
      </rPr>
      <t xml:space="preserve">
https://cloud.mail.ru/public/WEih/2g8FYmMBH/</t>
    </r>
  </si>
  <si>
    <r>
      <t>http://berezovo.ru/regulatory/77344/?sphrase_id=91281</t>
    </r>
    <r>
      <rPr>
        <sz val="10"/>
        <color rgb="FF0563C1"/>
        <rFont val="Times New Roman"/>
        <family val="1"/>
        <charset val="204"/>
      </rPr>
      <t xml:space="preserve">                                                                       http://www.xn----7sbaaby0clduik6a2j.xn--p1ai/documents/706.html</t>
    </r>
  </si>
  <si>
    <r>
      <t xml:space="preserve">https://www.gradberezov.ru/o-poselenii/obshchie-svedeniya-i-istoriya-poseleniya/;  </t>
    </r>
    <r>
      <rPr>
        <sz val="10"/>
        <color rgb="FF0563C1"/>
        <rFont val="Times New Roman"/>
        <family val="1"/>
        <charset val="204"/>
      </rPr>
      <t xml:space="preserve">                                                                                                           http://xn----7sbaaby0clduik6a2j.xn--p1ai/kharakteristika-obshcie-svedeniya.html</t>
    </r>
  </si>
  <si>
    <r>
      <t>http://berezovo.ru/activity/finance/initsiativnoe-byudzhetirovanie/</t>
    </r>
    <r>
      <rPr>
        <sz val="10"/>
        <color rgb="FF0563C1"/>
        <rFont val="Times New Roman"/>
        <family val="1"/>
        <charset val="204"/>
      </rPr>
      <t xml:space="preserve"> http://xn----7sbaaby0clduik6a2j.xn--p1ai/initciativnoe-byudzhetirovanie.html</t>
    </r>
  </si>
  <si>
    <r>
      <rPr>
        <sz val="10"/>
        <color rgb="FF0563C1"/>
        <rFont val="Times New Roman"/>
        <family val="1"/>
        <charset val="204"/>
      </rPr>
      <t xml:space="preserve">голосования за проекты посредством портала «Госуслуги»  </t>
    </r>
    <r>
      <rPr>
        <u/>
        <sz val="10"/>
        <color rgb="FF0563C1"/>
        <rFont val="Times New Roman"/>
        <family val="1"/>
        <charset val="204"/>
      </rPr>
      <t xml:space="preserve"> https://www.n-vartovsk.ru/ibudget/</t>
    </r>
  </si>
  <si>
    <r>
      <t>http://admsr.ru/</t>
    </r>
    <r>
      <rPr>
        <sz val="10"/>
        <color rgb="FF0563C1"/>
        <rFont val="Times New Roman"/>
        <family val="1"/>
        <charset val="204"/>
      </rPr>
      <t xml:space="preserve">                                                                                             </t>
    </r>
    <r>
      <rPr>
        <u/>
        <sz val="10"/>
        <color rgb="FF0563C1"/>
        <rFont val="Times New Roman"/>
        <family val="1"/>
        <charset val="204"/>
      </rPr>
      <t>https://www.instagram.com/p/B5C-eaDnDas/?igshid=kovxsa5944hr</t>
    </r>
    <r>
      <rPr>
        <sz val="10"/>
        <color rgb="FF0563C1"/>
        <rFont val="Times New Roman"/>
        <family val="1"/>
        <charset val="204"/>
      </rPr>
      <t xml:space="preserve">                   </t>
    </r>
    <r>
      <rPr>
        <u/>
        <sz val="10"/>
        <color rgb="FF0563C1"/>
        <rFont val="Times New Roman"/>
        <family val="1"/>
        <charset val="204"/>
      </rPr>
      <t>https://vk.com/rmc_sr</t>
    </r>
    <r>
      <rPr>
        <sz val="10"/>
        <color rgb="FF0563C1"/>
        <rFont val="Times New Roman"/>
        <family val="1"/>
        <charset val="204"/>
      </rPr>
      <t xml:space="preserve">                                            </t>
    </r>
    <r>
      <rPr>
        <u/>
        <sz val="10"/>
        <color rgb="FF0563C1"/>
        <rFont val="Times New Roman"/>
        <family val="1"/>
        <charset val="204"/>
      </rPr>
      <t>http://admsr.ru/work/scs/education/youth/</t>
    </r>
    <r>
      <rPr>
        <sz val="10"/>
        <color rgb="FF0563C1"/>
        <rFont val="Times New Roman"/>
        <family val="1"/>
        <charset val="204"/>
      </rPr>
      <t xml:space="preserve">                                            </t>
    </r>
    <r>
      <rPr>
        <u/>
        <sz val="10"/>
        <color rgb="FF0563C1"/>
        <rFont val="Times New Roman"/>
        <family val="1"/>
        <charset val="204"/>
      </rPr>
      <t>http://oneclick.admsr.ru/</t>
    </r>
    <r>
      <rPr>
        <sz val="10"/>
        <color rgb="FF0563C1"/>
        <rFont val="Times New Roman"/>
        <family val="1"/>
        <charset val="204"/>
      </rPr>
      <t xml:space="preserve">                                                                                            http://admsr.ru/budget/                         </t>
    </r>
  </si>
  <si>
    <r>
      <rPr>
        <b/>
        <sz val="10"/>
        <color rgb="FF000000"/>
        <rFont val="Times New Roman"/>
        <family val="1"/>
        <charset val="204"/>
      </rPr>
      <t>1.</t>
    </r>
    <r>
      <rPr>
        <sz val="10"/>
        <color rgb="FF000000"/>
        <rFont val="Times New Roman"/>
        <family val="1"/>
        <charset val="204"/>
      </rPr>
      <t xml:space="preserve"> В рамках проводимых на территории Чувашской Республики единых информационных дней (постановление Кабинета Министров Чувашской Республики от 26.01.2011 № 7)   в целях информирования населения об общественно-политических, социально-экономических процессах, происходящих в Чувашской Республике, Российской Федерации, о деятельности органов государственной власти Чувашской Республики, органов местного самоуправления Кабинет Министров Чувашской Республики в 2019 году обсуждались вопросы развития и реализации проектов инициативного бюджетирования на территории Чувашской Республики. В 2019 году проводилось 12 Единых информационных дней с выездом в муниципальные районы и городские округа Чувашской Республики. Количество участников -  950 ед.</t>
    </r>
    <r>
      <rPr>
        <b/>
        <sz val="10"/>
        <color rgb="FF000000"/>
        <rFont val="Times New Roman"/>
        <family val="1"/>
        <charset val="204"/>
      </rPr>
      <t xml:space="preserve">      2.</t>
    </r>
    <r>
      <rPr>
        <sz val="10"/>
        <color rgb="FF000000"/>
        <rFont val="Times New Roman"/>
        <family val="1"/>
        <charset val="204"/>
      </rPr>
      <t xml:space="preserve"> В рамках выездов Главы Чувашской Республики с руководителями органов исполнительной власти Чувашской Республики в органы местного самоуправления Чувашской Республики в целях обсуждения итогов социально-экономического развития муниципальных образований за отчетный период (2 раза в год в каждый муниципальный район и городской округ) обсуждались вопросы реализации проектов инициативного бюджетирования. Количесво участников - 1550 ед.</t>
    </r>
    <r>
      <rPr>
        <b/>
        <sz val="10"/>
        <color rgb="FF000000"/>
        <rFont val="Times New Roman"/>
        <family val="1"/>
        <charset val="204"/>
      </rPr>
      <t xml:space="preserve"> </t>
    </r>
    <r>
      <rPr>
        <sz val="10"/>
        <color rgb="FF000000"/>
        <rFont val="Times New Roman"/>
        <family val="1"/>
        <charset val="204"/>
      </rPr>
      <t xml:space="preserve">  </t>
    </r>
    <r>
      <rPr>
        <b/>
        <sz val="10"/>
        <color rgb="FF000000"/>
        <rFont val="Times New Roman"/>
        <family val="1"/>
        <charset val="204"/>
      </rPr>
      <t xml:space="preserve">3. </t>
    </r>
    <r>
      <rPr>
        <sz val="10"/>
        <color rgb="FF000000"/>
        <rFont val="Times New Roman"/>
        <family val="1"/>
        <charset val="204"/>
      </rPr>
      <t xml:space="preserve">Сотрудниками Министерства финансов Чувашской Республитки с участием представителей финансовых органов муниципальных районов и городских округов ежеквартально проводятся Коллегии Министерства финансов Чувашской Республики, где также обсуждаются вопросы финансирования проектов иницитивного бюджетирования. Количество участников -  90 ед. </t>
    </r>
    <r>
      <rPr>
        <b/>
        <sz val="10"/>
        <color rgb="FF000000"/>
        <rFont val="Times New Roman"/>
        <family val="1"/>
        <charset val="204"/>
      </rPr>
      <t xml:space="preserve">4. </t>
    </r>
    <r>
      <rPr>
        <sz val="10"/>
        <color rgb="FF000000"/>
        <rFont val="Times New Roman"/>
        <family val="1"/>
        <charset val="204"/>
      </rPr>
      <t xml:space="preserve">Сотрудниками Минстроя Чувашии и Минсельхоза Чувашии ежеквартально проводятся совещания в режиме видеоконференцсвязи по актуальным вопросам реализации проектов инициативного бюджетирования. Количество участников - 280 ед.
</t>
    </r>
  </si>
  <si>
    <r>
      <rPr>
        <b/>
        <sz val="10"/>
        <color rgb="FF000000"/>
        <rFont val="Times New Roman"/>
        <family val="1"/>
        <charset val="204"/>
      </rPr>
      <t xml:space="preserve">Постановление Администрации города Муравленко от 23.04.2018 года №256 </t>
    </r>
    <r>
      <rPr>
        <sz val="10"/>
        <color rgb="FF000000"/>
        <rFont val="Times New Roman"/>
        <family val="1"/>
        <charset val="204"/>
      </rPr>
      <t xml:space="preserve">"О реализации проекта "Бюджетная инициатива граждан" на территории города Муравленко"  </t>
    </r>
    <r>
      <rPr>
        <b/>
        <sz val="10"/>
        <color rgb="FF000000"/>
        <rFont val="Times New Roman"/>
        <family val="1"/>
        <charset val="204"/>
      </rPr>
      <t xml:space="preserve"> Постановление Администрации города Муравленко от 29 декабря 2018 года № 916 </t>
    </r>
    <r>
      <rPr>
        <sz val="10"/>
        <color rgb="FF000000"/>
        <rFont val="Times New Roman"/>
        <family val="1"/>
        <charset val="204"/>
      </rPr>
      <t>"О внесении изменений в приложения №№ 1-3, утвержденные постановлением Администрации города Муравленко от 23.04.2018 № 256"</t>
    </r>
  </si>
  <si>
    <r>
      <rPr>
        <sz val="10"/>
        <rFont val="Times New Roman"/>
        <family val="1"/>
        <charset val="204"/>
      </rPr>
      <t xml:space="preserve">Постановление Администрации города Муравленко от 23.04.2018 № 256 "О реализации проекта "Бюджетная инициатива граждан" на территории города Муравленко        </t>
    </r>
    <r>
      <rPr>
        <u/>
        <sz val="10"/>
        <color rgb="FF0563C1"/>
        <rFont val="Times New Roman"/>
        <family val="1"/>
        <charset val="204"/>
      </rPr>
      <t xml:space="preserve">http://muravlenko.yanao.ru/ekonomika-i-zhkh/municipalnye-finansy/bjudzhetnaya-iniciativa-grazhdan/dokumenty-bjudzhetnaya-iniciativa-grazhdan/49980-postanovlenie-o-realizacii-proekta-byudzhetnaya-iniciativa-grazhdan-na-territorii-goroda-muravlenko.html ,  </t>
    </r>
    <r>
      <rPr>
        <b/>
        <u/>
        <sz val="10"/>
        <rFont val="Times New Roman"/>
        <family val="1"/>
        <charset val="204"/>
      </rPr>
      <t xml:space="preserve"> Постановление Администрации города Муравленко от 29 декабря 2018 года № 916 "О внесении изменений в приложения №№ 1-3, утвержденные постановлением Администрации города Муравленко от 23.04.2018 № 256" </t>
    </r>
    <r>
      <rPr>
        <u/>
        <sz val="10"/>
        <color rgb="FF0563C1"/>
        <rFont val="Times New Roman"/>
        <family val="1"/>
        <charset val="204"/>
      </rPr>
      <t xml:space="preserve">                      http://muravlenko.yanao.ru/ekonomika-i-zhkh/municipalnye-finansy/bjudzhetnaya-iniciativa-grazhdan/dokumenty-bjudzhetnaya-iniciativa-grazhdan/page/2/
</t>
    </r>
  </si>
  <si>
    <r>
      <t>https://xn--80adblbabq1bk1bi8r.xn--p1ai/</t>
    </r>
    <r>
      <rPr>
        <sz val="10"/>
        <color rgb="FF0563C1"/>
        <rFont val="Times New Roman"/>
        <family val="1"/>
        <charset val="204"/>
      </rPr>
      <t xml:space="preserve">    http://www.muravlenko24.ru/news/45948-nachalsya-priem-zayavok-na-konkurs-byudzhetnaya-iniciativa-grazhdan.html</t>
    </r>
  </si>
  <si>
    <r>
      <t xml:space="preserve">пункт 4.4. абзац четвертый Положение 
о реализации проекта «Бюджетная инициатива граждан» на территории муниципального образования Красноселькупский район:
</t>
    </r>
    <r>
      <rPr>
        <b/>
        <sz val="10"/>
        <color rgb="FF000000"/>
        <rFont val="Times New Roman"/>
        <family val="1"/>
        <charset val="204"/>
      </rPr>
      <t>в неденежной форме</t>
    </r>
    <r>
      <rPr>
        <sz val="10"/>
        <color rgb="FF000000"/>
        <rFont val="Times New Roman"/>
        <family val="1"/>
        <charset val="204"/>
      </rPr>
      <t xml:space="preserve"> (далее - неоплачиваемый вклад). Неоплачиваемый вклад включает использование строительных материалов, оборудования, инструмента, уборку мусора, осуществление собственными силами благоустройства и иное участие. Размер неоплачиваемого вклада в денежном эквиваленте не может быть менее 30% от стоимости реализации местной инициативы.</t>
    </r>
  </si>
  <si>
    <t>суб</t>
  </si>
  <si>
    <t>мун</t>
  </si>
  <si>
    <t>Подсчет дней</t>
  </si>
  <si>
    <t>Проверка суммы ассигнований</t>
  </si>
  <si>
    <t xml:space="preserve">Разница </t>
  </si>
  <si>
    <t>Проверка доли</t>
  </si>
  <si>
    <t>Разница</t>
  </si>
  <si>
    <t>Проверка</t>
  </si>
  <si>
    <t>№</t>
  </si>
  <si>
    <t>Тип переменной</t>
  </si>
  <si>
    <t>Переменные</t>
  </si>
  <si>
    <t>Формат</t>
  </si>
  <si>
    <t>Субъекты РФ</t>
  </si>
  <si>
    <t>1</t>
  </si>
  <si>
    <t>АП</t>
  </si>
  <si>
    <t>Общие характеристики поступивших  ответов на запрос</t>
  </si>
  <si>
    <t>.</t>
  </si>
  <si>
    <t>1.1</t>
  </si>
  <si>
    <t>Субъекты, ответившие на запрос (получены письма и/или анкеты с сопроводительными материалами )</t>
  </si>
  <si>
    <t>да /  --</t>
  </si>
  <si>
    <t>не связано с массивом практик(!)</t>
  </si>
  <si>
    <t>1.2</t>
  </si>
  <si>
    <t>Субъекты, предоставившие анкеты, признанные релевантными для анализа данных за исследуемый период</t>
  </si>
  <si>
    <t>расчет</t>
  </si>
  <si>
    <t>1.3</t>
  </si>
  <si>
    <t>кол-во практик</t>
  </si>
  <si>
    <t>1.4</t>
  </si>
  <si>
    <t>1.5</t>
  </si>
  <si>
    <t>связано</t>
  </si>
  <si>
    <t>1.6</t>
  </si>
  <si>
    <t>1.7</t>
  </si>
  <si>
    <t>2</t>
  </si>
  <si>
    <t>Типология практик в общем виде</t>
  </si>
  <si>
    <t>2.4</t>
  </si>
  <si>
    <t>2.5</t>
  </si>
  <si>
    <t>2.6</t>
  </si>
  <si>
    <t>техническая переменная: регионы, в которых имеется практика строго_ИБ</t>
  </si>
  <si>
    <t>2.7</t>
  </si>
  <si>
    <t>техническая переменная: регионы, в которых имеются смежные практики</t>
  </si>
  <si>
    <t>2.8</t>
  </si>
  <si>
    <t>техническая переменная: регионы, в которых одновременно имеются как ИБ практики, так и смежные практики</t>
  </si>
  <si>
    <t>3</t>
  </si>
  <si>
    <t>Типология практик инициативного бюджетирования по источнику финансирования</t>
  </si>
  <si>
    <t>3.8</t>
  </si>
  <si>
    <t>связано, на основе РАЗМЕТКИ</t>
  </si>
  <si>
    <t>3.9</t>
  </si>
  <si>
    <t>3.10</t>
  </si>
  <si>
    <t>Количество практик инициативного бюджетирования, предусматривающих финансирование с федерального уровня</t>
  </si>
  <si>
    <t>4</t>
  </si>
  <si>
    <t>Наличие мероприятий ИБ в гос.программе</t>
  </si>
  <si>
    <t>4.13</t>
  </si>
  <si>
    <t>Наличие мероприятий ИБ в программе</t>
  </si>
  <si>
    <t>да / нет / ?</t>
  </si>
  <si>
    <t>связано, вручную</t>
  </si>
  <si>
    <t>4.14</t>
  </si>
  <si>
    <t xml:space="preserve">Доля субъектов, утвердивших программу (мероприятия) по развитию ИБ в составе государственных программ субъекта РФ, в общем количестве субъектов РФ (%)
</t>
  </si>
  <si>
    <t>5</t>
  </si>
  <si>
    <t>БП</t>
  </si>
  <si>
    <t>Продолжительность реализации</t>
  </si>
  <si>
    <t>5.11</t>
  </si>
  <si>
    <t>Год начала реализации ИБ в субъекте РФ</t>
  </si>
  <si>
    <t>связано, вручную; (выбирается наиболее ранняя дата)</t>
  </si>
  <si>
    <t>6</t>
  </si>
  <si>
    <t>Длительность цикла реализации практики</t>
  </si>
  <si>
    <t>6.12</t>
  </si>
  <si>
    <t>Средняя длительность цикла реализации практики (в днях)</t>
  </si>
  <si>
    <t>кол-во дней</t>
  </si>
  <si>
    <t>связано, расчет (сумма дней/кол-во практик)</t>
  </si>
  <si>
    <t>7</t>
  </si>
  <si>
    <t xml:space="preserve">Качество сопровождения процесса развития ИБ </t>
  </si>
  <si>
    <t>7.15</t>
  </si>
  <si>
    <t>связано вручную</t>
  </si>
  <si>
    <t>7.16</t>
  </si>
  <si>
    <t>Количество вовлеченных в реализацию практик консультантов по вопросам инициативного бюджетирования / Общее количество вовлеченных консультантов (РФ)</t>
  </si>
  <si>
    <t>кол-во консультантов</t>
  </si>
  <si>
    <t>7.17</t>
  </si>
  <si>
    <t>7.18</t>
  </si>
  <si>
    <t>Количество вовлеченных в администрирование практик сотрудников органов власти / Общее количество вовлеченных сотрудников органов власти (РФ)</t>
  </si>
  <si>
    <t>кол-во сотрудников органов власти</t>
  </si>
  <si>
    <t>7.19</t>
  </si>
  <si>
    <t>34.33</t>
  </si>
  <si>
    <t>да/нет</t>
  </si>
  <si>
    <t>34.34</t>
  </si>
  <si>
    <t>Доля субъектов, в которых имеются интернет-решения для управления практиками ИБ (среди субъектов, в которых реализовывается ИБ+смеж)</t>
  </si>
  <si>
    <t>30</t>
  </si>
  <si>
    <t>Процедуры конкурсного отбора</t>
  </si>
  <si>
    <t>30.26</t>
  </si>
  <si>
    <t>30.27</t>
  </si>
  <si>
    <t>Процедуры сбора проектных предложений: Очные встречи и обсуждения граждан</t>
  </si>
  <si>
    <t>30.28</t>
  </si>
  <si>
    <t>Процедуры сбора проектных предложений: Ящики для сбора идей</t>
  </si>
  <si>
    <t>30.29</t>
  </si>
  <si>
    <t>Процедуры сбора проектных предложений: Подача проектных идей (предложений) через интернет</t>
  </si>
  <si>
    <t>30.30</t>
  </si>
  <si>
    <t>Процедуры сбора проектных предложений: Общественные приемные</t>
  </si>
  <si>
    <t>30.31</t>
  </si>
  <si>
    <t>Процедуры сбора проектных предложений: Иной механизм</t>
  </si>
  <si>
    <t>30.32</t>
  </si>
  <si>
    <t>Число процедур сбора проектных предложений / Среднее</t>
  </si>
  <si>
    <t>кол-во механизмов</t>
  </si>
  <si>
    <t>31</t>
  </si>
  <si>
    <t>31.33</t>
  </si>
  <si>
    <t>человек</t>
  </si>
  <si>
    <t>31.34</t>
  </si>
  <si>
    <t>Число граждан, принявших участие в процедуре сбора проектных предложений:  Очные встречи и обсуждения граждан</t>
  </si>
  <si>
    <t>31.35</t>
  </si>
  <si>
    <t>Число граждан, принявших участие в процедуре сбора проектных предложений: Ящики для сбора идей</t>
  </si>
  <si>
    <t>31.36</t>
  </si>
  <si>
    <t>Число граждан, принявших участие в процедуре сбора проектных предложений: Подача проектных идей (предложений) через интернет</t>
  </si>
  <si>
    <t>31.37</t>
  </si>
  <si>
    <t>Число граждан, принявших участие в процедуре сбора проектных предложений: Общественные приемные</t>
  </si>
  <si>
    <t>31.38</t>
  </si>
  <si>
    <t>Число граждан, принявших участие в процедуре сбора проектных предложений: Иной механизм</t>
  </si>
  <si>
    <t>31.39</t>
  </si>
  <si>
    <t>Суммарное число граждан, принявших участие в процедурах сбора проектных предложений</t>
  </si>
  <si>
    <t>8</t>
  </si>
  <si>
    <t xml:space="preserve">Механизм отбора проектов </t>
  </si>
  <si>
    <t>8.18</t>
  </si>
  <si>
    <t>8.19</t>
  </si>
  <si>
    <t>Процедуры конкурсного отбора: Очное голосование на собраниях и встречах</t>
  </si>
  <si>
    <t>8.20</t>
  </si>
  <si>
    <t>Процедуры конкурсного отбора: Референдум</t>
  </si>
  <si>
    <t>8.21</t>
  </si>
  <si>
    <t>Процедуры конкурсного отбора: Комиссии граждан</t>
  </si>
  <si>
    <t>8.25</t>
  </si>
  <si>
    <t>Процедуры конкурсного отбора: Комиссии представителей власти</t>
  </si>
  <si>
    <t>8.22</t>
  </si>
  <si>
    <t>8.23</t>
  </si>
  <si>
    <t xml:space="preserve">Процедуры конкурсного отбора: Иной механизм </t>
  </si>
  <si>
    <t>8.24</t>
  </si>
  <si>
    <t>Число механизмов отбора проектов / Среднее</t>
  </si>
  <si>
    <t>32</t>
  </si>
  <si>
    <t>32.25</t>
  </si>
  <si>
    <t>32.26</t>
  </si>
  <si>
    <t>Число граждан, участвовавших в процедуре конкурсного отбора: Очное голосование на собраниях и встречах</t>
  </si>
  <si>
    <t>32.27</t>
  </si>
  <si>
    <t>Число граждан, участвовавших в процедуре конкурсного отбора: Референдум</t>
  </si>
  <si>
    <t>32.28</t>
  </si>
  <si>
    <t>Число граждан, участвовавших в процедуре конкурсного отбора: Комиссии граждан</t>
  </si>
  <si>
    <t>32.29</t>
  </si>
  <si>
    <t>Число граждан, участвовавших в процедуре конкурсного отбора: Комиссии представителей власти</t>
  </si>
  <si>
    <t>32.30</t>
  </si>
  <si>
    <t>32.31</t>
  </si>
  <si>
    <t xml:space="preserve">Число граждан, участвовавших в процедуре конкурсного отбора: Иной механизм </t>
  </si>
  <si>
    <t>32.32</t>
  </si>
  <si>
    <t>Суммарное число граждан, участвовавших в процедуре конкурсного отбора</t>
  </si>
  <si>
    <t>9</t>
  </si>
  <si>
    <t xml:space="preserve">Общая стоимость проектов </t>
  </si>
  <si>
    <t>9.25</t>
  </si>
  <si>
    <t>млн. руб.</t>
  </si>
  <si>
    <t>9.26</t>
  </si>
  <si>
    <t>9.27</t>
  </si>
  <si>
    <t>10</t>
  </si>
  <si>
    <t>- бюджетные ассигнования на реализацию проектов из бюджета субъекта РФ</t>
  </si>
  <si>
    <t>10.26</t>
  </si>
  <si>
    <t>10.27</t>
  </si>
  <si>
    <t>Доля этих средств в общей стоимости проектов</t>
  </si>
  <si>
    <t>расчет (не анкета!)</t>
  </si>
  <si>
    <t>11</t>
  </si>
  <si>
    <t>- бюджетные ассигнования из бюджетов муниципальных образований</t>
  </si>
  <si>
    <t>11.28</t>
  </si>
  <si>
    <t>11.29</t>
  </si>
  <si>
    <t>12</t>
  </si>
  <si>
    <t>- софинансирование со стороны граждан</t>
  </si>
  <si>
    <t>12.30</t>
  </si>
  <si>
    <t>12.31</t>
  </si>
  <si>
    <t>13</t>
  </si>
  <si>
    <t>- софинансирование со стороны индивидуальных предпринимателей и юридических лиц</t>
  </si>
  <si>
    <t>13.32</t>
  </si>
  <si>
    <t>13.33</t>
  </si>
  <si>
    <t>14</t>
  </si>
  <si>
    <t xml:space="preserve"> - иные формы софинансирования</t>
  </si>
  <si>
    <t>14.34</t>
  </si>
  <si>
    <t>14.35</t>
  </si>
  <si>
    <t>15</t>
  </si>
  <si>
    <t xml:space="preserve"> - общий объем софинансирования из внебюджетных источников</t>
  </si>
  <si>
    <t>15.36</t>
  </si>
  <si>
    <t>15.37</t>
  </si>
  <si>
    <t>16</t>
  </si>
  <si>
    <t>Внебюджетные средства на 1 руб. бюджета субъекта</t>
  </si>
  <si>
    <t>16.38</t>
  </si>
  <si>
    <t>Объем внебюджетных средств (софинансирование граждан, юрлиц и иных форм) на 1 руб. ассигнований из бюджета субъекта РФ</t>
  </si>
  <si>
    <t>руб.</t>
  </si>
  <si>
    <t>17</t>
  </si>
  <si>
    <t>- использование субсидий из федерального бюджета</t>
  </si>
  <si>
    <t>17.39</t>
  </si>
  <si>
    <t>17.40</t>
  </si>
  <si>
    <t>18</t>
  </si>
  <si>
    <t>Доля в бюджете субъекта РФ</t>
  </si>
  <si>
    <t>18.41</t>
  </si>
  <si>
    <t>Доля бюджетных ассигнований из бюджета субъекта РФ, направленных на реализацию проектов в общем объеме расходов бюджета субъекта РФ в исследуемом периоде</t>
  </si>
  <si>
    <t>19</t>
  </si>
  <si>
    <t>Средний бюджет ИБ на 1 человека в субъекте РФ</t>
  </si>
  <si>
    <t>19.42</t>
  </si>
  <si>
    <t xml:space="preserve">Средний бюджет ИБ на 1 человека в РФ </t>
  </si>
  <si>
    <t>19.43</t>
  </si>
  <si>
    <t>20</t>
  </si>
  <si>
    <t>Планы финансирования практики из бюджета субъекта РФ на следующий период</t>
  </si>
  <si>
    <t>20.44</t>
  </si>
  <si>
    <t>20.45</t>
  </si>
  <si>
    <t>33.33</t>
  </si>
  <si>
    <t>33.34</t>
  </si>
  <si>
    <t>Доля субъектов, в которых предусмотрен трудовой вклад (среди субъектов, в которых реализовывается ИБ+смеж)</t>
  </si>
  <si>
    <t>22</t>
  </si>
  <si>
    <t>Типология реализованных проектов</t>
  </si>
  <si>
    <t>22.52</t>
  </si>
  <si>
    <t>(1) Водоснабжение, водоотведение</t>
  </si>
  <si>
    <t>кол-во проектов</t>
  </si>
  <si>
    <t>22.53</t>
  </si>
  <si>
    <t>22.54</t>
  </si>
  <si>
    <t>(2) Автомобильные дороги</t>
  </si>
  <si>
    <t>22.55</t>
  </si>
  <si>
    <t>22.56</t>
  </si>
  <si>
    <t>(3) Уличное освещение</t>
  </si>
  <si>
    <t>22.57</t>
  </si>
  <si>
    <t>22.58</t>
  </si>
  <si>
    <t>(4) Пожарная безопасность</t>
  </si>
  <si>
    <t>22.59</t>
  </si>
  <si>
    <t>22.60</t>
  </si>
  <si>
    <t>(5) Обеспечение жителей услугами бытового обслуживания</t>
  </si>
  <si>
    <t>22.61</t>
  </si>
  <si>
    <t>22.62</t>
  </si>
  <si>
    <t>(6) Культурное наследие (памятники, музеи)</t>
  </si>
  <si>
    <t>22.63</t>
  </si>
  <si>
    <t>22.64</t>
  </si>
  <si>
    <t>(7) Образование</t>
  </si>
  <si>
    <t>22.65</t>
  </si>
  <si>
    <t>22.87</t>
  </si>
  <si>
    <t>22.88</t>
  </si>
  <si>
    <t>22.66</t>
  </si>
  <si>
    <t>(8) Физическая культура и массовый спорт</t>
  </si>
  <si>
    <t>22.67</t>
  </si>
  <si>
    <t>22.89</t>
  </si>
  <si>
    <t>Проекты комплексного благоустройства дворов</t>
  </si>
  <si>
    <t>22.90</t>
  </si>
  <si>
    <t>22.68</t>
  </si>
  <si>
    <t>(9) Детские игровые площадки</t>
  </si>
  <si>
    <t>22.69</t>
  </si>
  <si>
    <t>22.70</t>
  </si>
  <si>
    <t>(10) Места массового отдыха населения и объекты организации благоустройства</t>
  </si>
  <si>
    <t>22.71</t>
  </si>
  <si>
    <t>22.72</t>
  </si>
  <si>
    <t>(11) Места захоронений</t>
  </si>
  <si>
    <t>22.73</t>
  </si>
  <si>
    <t>22.74</t>
  </si>
  <si>
    <t>(12) Сбор твердых коммунальных/бытовых отходов и мусора</t>
  </si>
  <si>
    <t>22.75</t>
  </si>
  <si>
    <t>22.76</t>
  </si>
  <si>
    <t>(13) Событийные проекты (праздники, фестивали)</t>
  </si>
  <si>
    <t>22.77</t>
  </si>
  <si>
    <t>22.78</t>
  </si>
  <si>
    <t>(14) ЖКХ (ремонт фасадов и кровли), организация теплоснабжения, канализации, газопроводов</t>
  </si>
  <si>
    <t>22.79</t>
  </si>
  <si>
    <t>22.80</t>
  </si>
  <si>
    <t>(15) Крупные инфраструктурные проекты (мосты, плотины, благоустройство водоемов)</t>
  </si>
  <si>
    <t>22.81</t>
  </si>
  <si>
    <t>22.82</t>
  </si>
  <si>
    <t>(16) Приобретение оборудования, техники, транспорта</t>
  </si>
  <si>
    <t>22.83</t>
  </si>
  <si>
    <t>22.91</t>
  </si>
  <si>
    <t>22.92</t>
  </si>
  <si>
    <t>22.84</t>
  </si>
  <si>
    <t>(17) Другое (объединенный показатель)</t>
  </si>
  <si>
    <t>22.85</t>
  </si>
  <si>
    <t>23</t>
  </si>
  <si>
    <t>Общее количество реализованных проектов</t>
  </si>
  <si>
    <t>23.86</t>
  </si>
  <si>
    <t>24</t>
  </si>
  <si>
    <t>Средняя стоимость реализованного проекта</t>
  </si>
  <si>
    <t>24.87</t>
  </si>
  <si>
    <t xml:space="preserve">расчет (Общая стоимость проектов / общее количество реализованных проектов (включая те, завершение которых было перенесено на следующий календарный период) </t>
  </si>
  <si>
    <t>25</t>
  </si>
  <si>
    <t>Объем бюджетной и внебюджетной (субъектовой) поддержки на один проект</t>
  </si>
  <si>
    <t>25.88</t>
  </si>
  <si>
    <t>Средний размер субсидии из бюджета субъекта на один реализованный проект (млн.руб.)</t>
  </si>
  <si>
    <t>расчет (размер рег.бюджетной субсидии / количество реализованных проектов, включая отложенные на 2018 г.)</t>
  </si>
  <si>
    <t>25.89</t>
  </si>
  <si>
    <t>Средний размер внебюджетной поддержки на один реализованный проект (млн.руб.)</t>
  </si>
  <si>
    <t>расчет (граждане+юрлица+иное / количество реализованных проектов, включая отложенные на 2018 г.)</t>
  </si>
  <si>
    <t>26</t>
  </si>
  <si>
    <t xml:space="preserve">Типология практик по обеспеченности возможности выбора типа проекта </t>
  </si>
  <si>
    <t>26.90</t>
  </si>
  <si>
    <t>26.91</t>
  </si>
  <si>
    <t>Практики узкого спектра (обеспечена возможность выбора из ограниченного перечня возможных проектов (2-3 типа проектов))</t>
  </si>
  <si>
    <t>26.92</t>
  </si>
  <si>
    <t>Специализированные практики (без возможности выбора из разных типов проектов (предусматривающая 1 тип проектов))</t>
  </si>
  <si>
    <t>Конкурсность</t>
  </si>
  <si>
    <t>27.96</t>
  </si>
  <si>
    <t>27.93</t>
  </si>
  <si>
    <t xml:space="preserve">(9.2.) Количество одобренных гражданами проектных заявок, прошедших технический анализ и зарегистрированных для участия в конкурсных процедурах </t>
  </si>
  <si>
    <t>кол-во заявок</t>
  </si>
  <si>
    <t>27.94</t>
  </si>
  <si>
    <t>(9.3.) Количество заявок-победителей, которые прошли конкурсный отбор</t>
  </si>
  <si>
    <t>27.97</t>
  </si>
  <si>
    <t>Доля зарегиистрированных заявок от общего количества проектных идей (предложений) (9.2. / 9.1.)</t>
  </si>
  <si>
    <t>27.95</t>
  </si>
  <si>
    <t>Доля заявок-победителей от количества зарегистрированных заявок (9.3. / 9.2.)</t>
  </si>
  <si>
    <t>27.98</t>
  </si>
  <si>
    <t>Доля заявок-победителей от количества проектных идей (предложений) (9.3. / 9.1.)</t>
  </si>
  <si>
    <t>Количество благополучателей реализованных проектов</t>
  </si>
  <si>
    <t>28.96</t>
  </si>
  <si>
    <t>тыс. чел.</t>
  </si>
  <si>
    <t>28.97</t>
  </si>
  <si>
    <t>.97</t>
  </si>
  <si>
    <t>29</t>
  </si>
  <si>
    <t>Население субъектов РФ</t>
  </si>
  <si>
    <t>29.98</t>
  </si>
  <si>
    <t>Росстат</t>
  </si>
  <si>
    <t>NEW</t>
  </si>
  <si>
    <t>Количество практик инициативного бюджетирования, финансируемых из бюджета субъекта РФ</t>
  </si>
  <si>
    <t>Количество практик инициативного бюджетирования, финансируемых из муниципального бюджета (без субъектовых бюджетных субсидий)</t>
  </si>
  <si>
    <r>
      <rPr>
        <sz val="10"/>
        <color rgb="FFFF0000"/>
        <rFont val="Times New Roman"/>
        <family val="1"/>
        <charset val="204"/>
      </rPr>
      <t>Общее количество практик (ИБ и смежных)</t>
    </r>
    <r>
      <rPr>
        <sz val="10"/>
        <rFont val="Times New Roman"/>
        <family val="1"/>
        <charset val="204"/>
      </rPr>
      <t xml:space="preserve"> в субъекте, реализуемых на муниципальном и субъектовом уровнях</t>
    </r>
  </si>
  <si>
    <r>
      <t xml:space="preserve">Субъекты, предоставившие анкеты </t>
    </r>
    <r>
      <rPr>
        <u/>
        <sz val="10"/>
        <rFont val="Times New Roman"/>
        <family val="1"/>
        <charset val="204"/>
      </rPr>
      <t>по практикам на субъектовом уровне</t>
    </r>
    <r>
      <rPr>
        <sz val="10"/>
        <rFont val="Times New Roman"/>
        <family val="1"/>
        <charset val="204"/>
      </rPr>
      <t xml:space="preserve">, признанные релевантными </t>
    </r>
  </si>
  <si>
    <r>
      <t xml:space="preserve">Общее количество практик (ИБ и смежных) в субъекте, реализуемых </t>
    </r>
    <r>
      <rPr>
        <u/>
        <sz val="10"/>
        <rFont val="Times New Roman"/>
        <family val="1"/>
        <charset val="204"/>
      </rPr>
      <t>субъектовом</t>
    </r>
    <r>
      <rPr>
        <sz val="10"/>
        <rFont val="Times New Roman"/>
        <family val="1"/>
        <charset val="204"/>
      </rPr>
      <t xml:space="preserve"> уровнях</t>
    </r>
  </si>
  <si>
    <r>
      <t xml:space="preserve">Субъекты, предоставившие анкеты </t>
    </r>
    <r>
      <rPr>
        <u/>
        <sz val="10"/>
        <rFont val="Times New Roman"/>
        <family val="1"/>
        <charset val="204"/>
      </rPr>
      <t>по практикам на муниципальном уровне</t>
    </r>
    <r>
      <rPr>
        <sz val="10"/>
        <rFont val="Times New Roman"/>
        <family val="1"/>
        <charset val="204"/>
      </rPr>
      <t xml:space="preserve">, признанные релевантными </t>
    </r>
  </si>
  <si>
    <r>
      <t xml:space="preserve">Общее количество практик (ИБ и смежных) в субъекте, реализуемых на </t>
    </r>
    <r>
      <rPr>
        <u/>
        <sz val="10"/>
        <rFont val="Times New Roman"/>
        <family val="1"/>
        <charset val="204"/>
      </rPr>
      <t>муниципальном</t>
    </r>
    <r>
      <rPr>
        <sz val="10"/>
        <rFont val="Times New Roman"/>
        <family val="1"/>
        <charset val="204"/>
      </rPr>
      <t xml:space="preserve"> уровнях</t>
    </r>
  </si>
  <si>
    <r>
      <t xml:space="preserve">Количество практик </t>
    </r>
    <r>
      <rPr>
        <b/>
        <sz val="10"/>
        <color rgb="FFFF0000"/>
        <rFont val="Times New Roman"/>
        <family val="1"/>
        <charset val="204"/>
      </rPr>
      <t>СТРОГО инициативного бюджетирования</t>
    </r>
    <r>
      <rPr>
        <sz val="10"/>
        <color rgb="FF000000"/>
        <rFont val="Times New Roman"/>
        <family val="1"/>
        <charset val="204"/>
      </rPr>
      <t xml:space="preserve"> на муниципальном и субъектовом уровнях</t>
    </r>
  </si>
  <si>
    <r>
      <t xml:space="preserve">Количество </t>
    </r>
    <r>
      <rPr>
        <b/>
        <sz val="10"/>
        <color rgb="FF000000"/>
        <rFont val="Times New Roman"/>
        <family val="1"/>
        <charset val="204"/>
      </rPr>
      <t>смежных практик</t>
    </r>
    <r>
      <rPr>
        <sz val="10"/>
        <color rgb="FF000000"/>
        <rFont val="Times New Roman"/>
        <family val="1"/>
        <charset val="204"/>
      </rPr>
      <t xml:space="preserve"> (ПП "Комфортная городская среда", гранты ФЦП Минсельхоза, самообложение,  конкурсы ТОС и НКО и проч.)</t>
    </r>
  </si>
  <si>
    <r>
      <t xml:space="preserve">Наличие </t>
    </r>
    <r>
      <rPr>
        <b/>
        <sz val="10"/>
        <color rgb="FF000000"/>
        <rFont val="Times New Roman"/>
        <family val="1"/>
        <charset val="204"/>
      </rPr>
      <t>проектного центра</t>
    </r>
  </si>
  <si>
    <r>
      <t xml:space="preserve">Среднее число вовлеченных консультантов </t>
    </r>
    <r>
      <rPr>
        <i/>
        <sz val="10"/>
        <color rgb="FF000000"/>
        <rFont val="Times New Roman"/>
        <family val="1"/>
        <charset val="204"/>
      </rPr>
      <t>(среди регионов, где есть консультанты)</t>
    </r>
  </si>
  <si>
    <r>
      <t xml:space="preserve">Среднее число вовлеченных сотрудников власти </t>
    </r>
    <r>
      <rPr>
        <i/>
        <sz val="10"/>
        <color rgb="FF000000"/>
        <rFont val="Times New Roman"/>
        <family val="1"/>
        <charset val="204"/>
      </rPr>
      <t>(среди регионов, где указали их вовлечение)</t>
    </r>
  </si>
  <si>
    <r>
      <t xml:space="preserve">Имеются </t>
    </r>
    <r>
      <rPr>
        <b/>
        <sz val="10"/>
        <color rgb="FF000000"/>
        <rFont val="Times New Roman"/>
        <family val="1"/>
        <charset val="204"/>
      </rPr>
      <t xml:space="preserve">интернет-решения, </t>
    </r>
    <r>
      <rPr>
        <sz val="10"/>
        <color rgb="FF000000"/>
        <rFont val="Times New Roman"/>
        <family val="1"/>
        <charset val="204"/>
      </rPr>
      <t>используемые для управления практикой</t>
    </r>
  </si>
  <si>
    <r>
      <t xml:space="preserve">Процедуры </t>
    </r>
    <r>
      <rPr>
        <b/>
        <sz val="10"/>
        <color rgb="FF000000"/>
        <rFont val="Times New Roman"/>
        <family val="1"/>
        <charset val="204"/>
      </rPr>
      <t>сбора проектных предложени</t>
    </r>
    <r>
      <rPr>
        <sz val="10"/>
        <color rgb="FF000000"/>
        <rFont val="Times New Roman"/>
        <family val="1"/>
        <charset val="204"/>
      </rPr>
      <t>й: Анкетирование</t>
    </r>
  </si>
  <si>
    <r>
      <t xml:space="preserve">Число граждан, принявших </t>
    </r>
    <r>
      <rPr>
        <b/>
        <sz val="10"/>
        <color rgb="FF000000"/>
        <rFont val="Times New Roman"/>
        <family val="1"/>
        <charset val="204"/>
      </rPr>
      <t>участие в процедуре сбора проектных предложений</t>
    </r>
    <r>
      <rPr>
        <sz val="10"/>
        <color rgb="FF000000"/>
        <rFont val="Times New Roman"/>
        <family val="1"/>
        <charset val="204"/>
      </rPr>
      <t>: Анкетирование</t>
    </r>
  </si>
  <si>
    <r>
      <rPr>
        <b/>
        <sz val="10"/>
        <color rgb="FF000000"/>
        <rFont val="Times New Roman"/>
        <family val="1"/>
        <charset val="204"/>
      </rPr>
      <t>Процедуры конкурсного отбора</t>
    </r>
    <r>
      <rPr>
        <sz val="10"/>
        <color rgb="FF000000"/>
        <rFont val="Times New Roman"/>
        <family val="1"/>
        <charset val="204"/>
      </rPr>
      <t>: Интернет-голосование за проекты</t>
    </r>
  </si>
  <si>
    <r>
      <rPr>
        <b/>
        <sz val="10"/>
        <color rgb="FF000000"/>
        <rFont val="Times New Roman"/>
        <family val="1"/>
        <charset val="204"/>
      </rPr>
      <t xml:space="preserve">Число граждан, участвовавших в процедуре конкурсного отбора: </t>
    </r>
    <r>
      <rPr>
        <sz val="10"/>
        <color rgb="FF000000"/>
        <rFont val="Times New Roman"/>
        <family val="1"/>
        <charset val="204"/>
      </rPr>
      <t>Интернет-голосование</t>
    </r>
  </si>
  <si>
    <r>
      <t xml:space="preserve">Число граждан, участвовавших в процедуре конкурсного отбора: Автоматическая оценка проектов на основе формальных критериев 
</t>
    </r>
    <r>
      <rPr>
        <i/>
        <sz val="10"/>
        <color rgb="FF000000"/>
        <rFont val="Times New Roman"/>
        <family val="1"/>
        <charset val="204"/>
      </rPr>
      <t>(2017: Независимая оценка проектов на основе заданных критериев на конкурсной основе)</t>
    </r>
  </si>
  <si>
    <r>
      <t xml:space="preserve">Общий объем средств, направленных из </t>
    </r>
    <r>
      <rPr>
        <b/>
        <sz val="10"/>
        <color rgb="FF000000"/>
        <rFont val="Times New Roman"/>
        <family val="1"/>
        <charset val="204"/>
      </rPr>
      <t>различных источников</t>
    </r>
    <r>
      <rPr>
        <sz val="10"/>
        <color rgb="FF000000"/>
        <rFont val="Times New Roman"/>
        <family val="1"/>
        <charset val="204"/>
      </rPr>
      <t xml:space="preserve"> на реализацию проектов (млн. руб.)</t>
    </r>
  </si>
  <si>
    <r>
      <t xml:space="preserve">Общий объем средств, направленных из различных источников на реализацию проектов </t>
    </r>
    <r>
      <rPr>
        <u/>
        <sz val="10"/>
        <color rgb="FF000000"/>
        <rFont val="Times New Roman"/>
        <family val="1"/>
        <charset val="204"/>
      </rPr>
      <t xml:space="preserve">для субъектовых практик </t>
    </r>
    <r>
      <rPr>
        <sz val="10"/>
        <color rgb="FF000000"/>
        <rFont val="Times New Roman"/>
        <family val="1"/>
        <charset val="204"/>
      </rPr>
      <t>(млн. руб.)</t>
    </r>
  </si>
  <si>
    <r>
      <t xml:space="preserve">Общий объем средств, направленных из различных источников на реализацию проектов </t>
    </r>
    <r>
      <rPr>
        <u/>
        <sz val="10"/>
        <color rgb="FF000000"/>
        <rFont val="Times New Roman"/>
        <family val="1"/>
        <charset val="204"/>
      </rPr>
      <t xml:space="preserve">для муниципальных практик </t>
    </r>
    <r>
      <rPr>
        <sz val="10"/>
        <color rgb="FF000000"/>
        <rFont val="Times New Roman"/>
        <family val="1"/>
        <charset val="204"/>
      </rPr>
      <t>(млн. руб.)</t>
    </r>
  </si>
  <si>
    <r>
      <t xml:space="preserve">Объем бюджетных ассигнований из бюджета </t>
    </r>
    <r>
      <rPr>
        <b/>
        <sz val="10"/>
        <color rgb="FF000000"/>
        <rFont val="Times New Roman"/>
        <family val="1"/>
        <charset val="204"/>
      </rPr>
      <t>субъекта</t>
    </r>
    <r>
      <rPr>
        <sz val="10"/>
        <color rgb="FF000000"/>
        <rFont val="Times New Roman"/>
        <family val="1"/>
        <charset val="204"/>
      </rPr>
      <t xml:space="preserve"> РФ на реализацию проектов (млн. руб.)</t>
    </r>
  </si>
  <si>
    <r>
      <t xml:space="preserve">Объем бюджетных ассигнований из бюджетов </t>
    </r>
    <r>
      <rPr>
        <b/>
        <sz val="10"/>
        <color rgb="FF000000"/>
        <rFont val="Times New Roman"/>
        <family val="1"/>
        <charset val="204"/>
      </rPr>
      <t>муниципальных</t>
    </r>
    <r>
      <rPr>
        <sz val="10"/>
        <color rgb="FF000000"/>
        <rFont val="Times New Roman"/>
        <family val="1"/>
        <charset val="204"/>
      </rPr>
      <t xml:space="preserve"> образований на реализацию проектов (млн. руб.)</t>
    </r>
  </si>
  <si>
    <r>
      <t>Объем софинансирования со стороны</t>
    </r>
    <r>
      <rPr>
        <b/>
        <sz val="10"/>
        <color rgb="FF000000"/>
        <rFont val="Times New Roman"/>
        <family val="1"/>
        <charset val="204"/>
      </rPr>
      <t xml:space="preserve"> граждан</t>
    </r>
    <r>
      <rPr>
        <sz val="10"/>
        <color rgb="FF000000"/>
        <rFont val="Times New Roman"/>
        <family val="1"/>
        <charset val="204"/>
      </rPr>
      <t xml:space="preserve"> на реализацию проектов (млн. руб.)</t>
    </r>
  </si>
  <si>
    <r>
      <t>Объем софинансирования со стороны индивидуальных предпринимателей и ю</t>
    </r>
    <r>
      <rPr>
        <b/>
        <sz val="10"/>
        <color rgb="FF000000"/>
        <rFont val="Times New Roman"/>
        <family val="1"/>
        <charset val="204"/>
      </rPr>
      <t>ридических лиц</t>
    </r>
    <r>
      <rPr>
        <sz val="10"/>
        <color rgb="FF000000"/>
        <rFont val="Times New Roman"/>
        <family val="1"/>
        <charset val="204"/>
      </rPr>
      <t xml:space="preserve"> на реализацию проектов  (млн. руб.)</t>
    </r>
  </si>
  <si>
    <r>
      <t xml:space="preserve">Объем </t>
    </r>
    <r>
      <rPr>
        <b/>
        <sz val="10"/>
        <color rgb="FF000000"/>
        <rFont val="Times New Roman"/>
        <family val="1"/>
        <charset val="204"/>
      </rPr>
      <t>иных форм</t>
    </r>
    <r>
      <rPr>
        <sz val="10"/>
        <color rgb="FF000000"/>
        <rFont val="Times New Roman"/>
        <family val="1"/>
        <charset val="204"/>
      </rPr>
      <t xml:space="preserve"> софинансирования (фонды депутатов, гранты, благотворительные фонды и др.), если таковые были предусмотрены (млн. руб.)</t>
    </r>
  </si>
  <si>
    <r>
      <t xml:space="preserve">Общий объем </t>
    </r>
    <r>
      <rPr>
        <b/>
        <sz val="10"/>
        <color rgb="FF000000"/>
        <rFont val="Times New Roman"/>
        <family val="1"/>
        <charset val="204"/>
      </rPr>
      <t>софинансирования из внебюджетных источников</t>
    </r>
    <r>
      <rPr>
        <sz val="10"/>
        <color rgb="FF000000"/>
        <rFont val="Times New Roman"/>
        <family val="1"/>
        <charset val="204"/>
      </rPr>
      <t xml:space="preserve"> (со стороны граждан, ИП и юрлиц, иных форм) (млн.руб.)</t>
    </r>
  </si>
  <si>
    <r>
      <t xml:space="preserve">Объем субсидий из </t>
    </r>
    <r>
      <rPr>
        <b/>
        <sz val="10"/>
        <color rgb="FF000000"/>
        <rFont val="Times New Roman"/>
        <family val="1"/>
        <charset val="204"/>
      </rPr>
      <t>федерального</t>
    </r>
    <r>
      <rPr>
        <sz val="10"/>
        <color rgb="FF000000"/>
        <rFont val="Times New Roman"/>
        <family val="1"/>
        <charset val="204"/>
      </rPr>
      <t xml:space="preserve"> бюджета, направленных на финансирование проектов(млн. руб.)</t>
    </r>
  </si>
  <si>
    <r>
      <t xml:space="preserve">Средний бюджет ИБ+смеж  на 1 человека в субъекте РФ / в РФ </t>
    </r>
    <r>
      <rPr>
        <sz val="10"/>
        <color rgb="FFFF0000"/>
        <rFont val="Times New Roman"/>
        <family val="1"/>
        <charset val="204"/>
      </rPr>
      <t>(</t>
    </r>
    <r>
      <rPr>
        <i/>
        <sz val="10"/>
        <color rgb="FFFF0000"/>
        <rFont val="Times New Roman"/>
        <family val="1"/>
        <charset val="204"/>
      </rPr>
      <t>среди субъектов, где имеются практики ИБ+смежные)</t>
    </r>
  </si>
  <si>
    <r>
      <t>Средний бюджет ИБ на 1 человека в РФ (</t>
    </r>
    <r>
      <rPr>
        <i/>
        <sz val="10"/>
        <color rgb="FF000000"/>
        <rFont val="Times New Roman"/>
        <family val="1"/>
        <charset val="204"/>
      </rPr>
      <t>в целом на все население РФ)</t>
    </r>
  </si>
  <si>
    <r>
      <t xml:space="preserve">Предусмотрен </t>
    </r>
    <r>
      <rPr>
        <b/>
        <sz val="10"/>
        <color rgb="FF000000"/>
        <rFont val="Times New Roman"/>
        <family val="1"/>
        <charset val="204"/>
      </rPr>
      <t>нефинансовый (трудовой) вклад</t>
    </r>
    <r>
      <rPr>
        <sz val="10"/>
        <color rgb="FF000000"/>
        <rFont val="Times New Roman"/>
        <family val="1"/>
        <charset val="204"/>
      </rPr>
      <t xml:space="preserve"> со стороны населения, индивидуальных предпринимателей и юридических лиц</t>
    </r>
  </si>
  <si>
    <r>
      <t xml:space="preserve">Практики </t>
    </r>
    <r>
      <rPr>
        <b/>
        <sz val="10"/>
        <color rgb="FF000000"/>
        <rFont val="Times New Roman"/>
        <family val="1"/>
        <charset val="204"/>
      </rPr>
      <t>широкого спектра</t>
    </r>
    <r>
      <rPr>
        <sz val="10"/>
        <color rgb="FF000000"/>
        <rFont val="Times New Roman"/>
        <family val="1"/>
        <charset val="204"/>
      </rPr>
      <t xml:space="preserve"> (обеспечена возможность выбора из широкого перечня возможных проектов (вопросы местного значения))</t>
    </r>
  </si>
  <si>
    <r>
      <t xml:space="preserve">(9.1.) Количество </t>
    </r>
    <r>
      <rPr>
        <b/>
        <sz val="10"/>
        <color rgb="FF000000"/>
        <rFont val="Times New Roman"/>
        <family val="1"/>
        <charset val="204"/>
      </rPr>
      <t>проектных идей (предложений)</t>
    </r>
  </si>
  <si>
    <r>
      <t xml:space="preserve">Количество </t>
    </r>
    <r>
      <rPr>
        <b/>
        <sz val="10"/>
        <color rgb="FF000000"/>
        <rFont val="Times New Roman"/>
        <family val="1"/>
        <charset val="204"/>
      </rPr>
      <t>благополучателей</t>
    </r>
  </si>
  <si>
    <r>
      <t>Доля благополучателей от общего количества граждан, проживающих в субъекте РФ (%)  / Средняя доля благополучателей среди субъектов РФ</t>
    </r>
    <r>
      <rPr>
        <sz val="10"/>
        <color rgb="FFFF0000"/>
        <rFont val="Times New Roman"/>
        <family val="1"/>
        <charset val="204"/>
      </rPr>
      <t xml:space="preserve"> (</t>
    </r>
    <r>
      <rPr>
        <i/>
        <sz val="10"/>
        <color rgb="FFFF0000"/>
        <rFont val="Times New Roman"/>
        <family val="1"/>
        <charset val="204"/>
      </rPr>
      <t>где имеются ИБ+смежные практики)</t>
    </r>
  </si>
  <si>
    <r>
      <t>Средняя доля благополучателей</t>
    </r>
    <r>
      <rPr>
        <sz val="10"/>
        <color rgb="FFFF0000"/>
        <rFont val="Times New Roman"/>
        <family val="1"/>
        <charset val="204"/>
      </rPr>
      <t xml:space="preserve"> для населения РФ в целом</t>
    </r>
  </si>
  <si>
    <r>
      <t xml:space="preserve">Общее количество реализованных проектов  </t>
    </r>
    <r>
      <rPr>
        <i/>
        <sz val="10"/>
        <color rgb="FF000000"/>
        <rFont val="Times New Roman"/>
        <family val="1"/>
        <charset val="204"/>
      </rPr>
      <t>(включая те, завершение которых было перенесено на 2020 г.)</t>
    </r>
  </si>
  <si>
    <t>Объем бюджетных ассигнований из бюджета субъекта РФ, которые запланированы на реализацию проектов в следующем году (в 2020 г.)</t>
  </si>
  <si>
    <t>Средняя стоимость одного реализованного проекта (включая те, завершение которых перенесено на 2020 г.) (млн.руб.)</t>
  </si>
  <si>
    <r>
      <t xml:space="preserve">Техническая переменная: Население субъектов РФ, </t>
    </r>
    <r>
      <rPr>
        <i/>
        <sz val="10"/>
        <color rgb="FFFF0000"/>
        <rFont val="Times New Roman"/>
        <family val="1"/>
        <charset val="204"/>
      </rPr>
      <t>где имеются ИБ+смежные практики</t>
    </r>
    <r>
      <rPr>
        <i/>
        <sz val="10"/>
        <color rgb="FF000000"/>
        <rFont val="Times New Roman"/>
        <family val="1"/>
        <charset val="204"/>
      </rPr>
      <t xml:space="preserve"> (2019г., в среднем, Росстат)</t>
    </r>
  </si>
  <si>
    <r>
      <t xml:space="preserve">Техническая переменная: РФ в целом (2020г., в среднем, Росстат)
</t>
    </r>
    <r>
      <rPr>
        <i/>
        <sz val="10"/>
        <color rgb="FFFF0000"/>
        <rFont val="Times New Roman"/>
        <family val="1"/>
        <charset val="204"/>
      </rPr>
      <t>(СЧИТАЕТСЯ ВСЕ НАСЕЛЕНИЕ В ВОЗРАСТЕ 0+)</t>
    </r>
  </si>
  <si>
    <t xml:space="preserve">Процедуры конкурсного отбора: Автоматическая оценка проектов на основе формальных критериев 
</t>
  </si>
  <si>
    <t>город Омск</t>
  </si>
  <si>
    <t>Конкурс муниципальных грантов</t>
  </si>
  <si>
    <t>Постановление Администрации города Омска от 2 февраля 2016 года № 114-п «Об утверждении Положение о порядке предоставления грантов в форме субсидий некоммерческим организациям на разработку и выполнение общественно полезных проектов на территории города Омска»
Постановление Администрации города Омска от 22 февраля 2019 года № 98-п «О проведении конкурса среди некоммерческих организаций по разработке и выполнению общественно полезных проектов на территории города Омска в 2019 году»</t>
  </si>
  <si>
    <t>Консультант +
Официальный сайт Администрации города Омска (https://docs.google.com/viewer?url=http%3A%2F%2Fadmomsk.ru%2Fc%2Fdocument_library%2Fget_file%3Fp_l_id%3D61322%26folderId%3D61395%26name%3DDLFE-54171.doc)</t>
  </si>
  <si>
    <t>Отчет победителя конкурса, с указанием количества благополучателей проекта</t>
  </si>
  <si>
    <t>42.61</t>
  </si>
  <si>
    <t>журнал приема заявок; в конкурсную комиссию представляется заявка на участие в конкурсе, секретрь конкурсной комиссии регистрирует поступившие заявки</t>
  </si>
  <si>
    <t>Списки присутствующих на заседаниях конкурсной комиссии; Конкурсная комиссия конкурса, состоящая из представителей структурных подразделений Администрации города Омска, депутатов Омского городского Совета, руководителей некоммерческих организаций города Омска</t>
  </si>
  <si>
    <t>http://www.admomsk.ru/web/guest/government/divisions/62/social-relations/org</t>
  </si>
  <si>
    <t>Социальные сети, официальные сайты СМИ города Омска</t>
  </si>
  <si>
    <t>Методичка для соискателей конкурса</t>
  </si>
  <si>
    <t>Егорова Валерия Николаевна</t>
  </si>
  <si>
    <t>О реализации инициативного бюджетирования на территории Астраханской области</t>
  </si>
  <si>
    <t xml:space="preserve">Ведомственная целевая программа «Обеспечение эффективного управления системой общественных финансов Астраханской области» </t>
  </si>
  <si>
    <t>Распоряжение министерства финансов Астраханской области № 206-р от 13.06.2019  «О внесении изменений в распоряжение министерства финансов Астраханской области от 19.10.2018 № 442-р»</t>
  </si>
  <si>
    <t>https://minfin.astrobl.ru/site-page/vedomstvennye-celevye-programmy-vcp</t>
  </si>
  <si>
    <t>Распоряжение министерства финансов Астраханской области от 19.10.2018 № 442-р «Об утверждении ведомственной целевой программы «Обеспечение эффективного управления системой общественных финансов Астраханской области»</t>
  </si>
  <si>
    <t>Постановление Правительства Астраханской области от 31.07.2019 № 279-П «О реализации инициативного бюджетирования на территории Астраханской области»</t>
  </si>
  <si>
    <t>http://pravo-astrobl.ru/wp-content/plugins/pdfjs-viewer-shortcode/web/viewer.php?file=http://pravo-astrobl.ru/wp-content/uploads/2019/08/a95877297b4cde9d76c93e14b4d484e7.pdf&amp;download=1&amp;print=true&amp;openfile=true</t>
  </si>
  <si>
    <t>Министерство финансов Астраханской области</t>
  </si>
  <si>
    <t>Министерство строительства и жилищно-коммунального хозяйства Астраханской области</t>
  </si>
  <si>
    <t>Муниципальное образование Наримановский район</t>
  </si>
  <si>
    <t>https://astrastat.gks.ru/</t>
  </si>
  <si>
    <t>Одно муниципальное образование "Наримановский район" Астраханской области (пилотный проект)</t>
  </si>
  <si>
    <t>https://narimanov.astrobl.ru/sites/default/files/iniciativnoe_byudzhetirovanie.pdf</t>
  </si>
  <si>
    <t>Бармина Ольга Александровна, начальник отдела по прогнозированию консолидированного бюджета района финансового управления администрации МО "Наримановский район"</t>
  </si>
  <si>
    <t>nar_rfo@mail.ru</t>
  </si>
  <si>
    <t xml:space="preserve">Коломина Марина Геннадьевна, начаоьник отдела по аналитической работе с национальными проектами ГКУ АО «Центр по исполнению смет доходов и расходов исполнительных органов государственной власти Астраханской области»  </t>
  </si>
  <si>
    <t>analitik_np@mail.ru</t>
  </si>
  <si>
    <t>ИБ</t>
  </si>
  <si>
    <t>широкая</t>
  </si>
  <si>
    <t>смежная</t>
  </si>
  <si>
    <t>КГС</t>
  </si>
  <si>
    <t>суб/фед</t>
  </si>
  <si>
    <t>узкая</t>
  </si>
  <si>
    <t>МО 1000+</t>
  </si>
  <si>
    <t>ФЦП</t>
  </si>
  <si>
    <t>ТОС</t>
  </si>
  <si>
    <t>пилот</t>
  </si>
  <si>
    <t>специализированная</t>
  </si>
  <si>
    <t>100% (потребкооперативы)</t>
  </si>
  <si>
    <t>наказы депутатам</t>
  </si>
  <si>
    <t>старосты</t>
  </si>
  <si>
    <t>сельские поселения (60%)</t>
  </si>
  <si>
    <t>самообложение (50/50)</t>
  </si>
  <si>
    <t>все МО без ГО</t>
  </si>
  <si>
    <t>иное</t>
  </si>
  <si>
    <t>иное: площадки</t>
  </si>
  <si>
    <t>иное: ЖКХ</t>
  </si>
  <si>
    <t>МО до 80 тыс человек</t>
  </si>
  <si>
    <t>городские и сельские поселения</t>
  </si>
  <si>
    <t>самообложение (60/40 или 1,5 руб. к 1 руб.)</t>
  </si>
  <si>
    <t>Иное: дороги</t>
  </si>
  <si>
    <t>городские и сельские поселения (огр территория)</t>
  </si>
  <si>
    <t>иное (спортплощадки)</t>
  </si>
  <si>
    <t>наличие ПСД</t>
  </si>
  <si>
    <t>инициативные комиссии</t>
  </si>
  <si>
    <t>узкая (благоустройство)</t>
  </si>
  <si>
    <t>гороские и сельские поселения, ГО</t>
  </si>
  <si>
    <t>иное: дороги</t>
  </si>
  <si>
    <t>городские и сельские поселения ТОС</t>
  </si>
  <si>
    <t>НКО</t>
  </si>
  <si>
    <t>100% ТОС</t>
  </si>
  <si>
    <t>100% сельские поселения</t>
  </si>
  <si>
    <t>иное: благоустройство</t>
  </si>
  <si>
    <t>100% (конкурс)</t>
  </si>
  <si>
    <t>100% (не более 300 тыс и не МР)</t>
  </si>
  <si>
    <t>МО с ТОС</t>
  </si>
  <si>
    <t>100% кроме МР</t>
  </si>
  <si>
    <t>самообложение (80/20 или 5 руб к 1 руб)</t>
  </si>
  <si>
    <t>100% для нас пунтов до 35 тыс</t>
  </si>
  <si>
    <t>ГО</t>
  </si>
  <si>
    <t>все типы, с ограничениями</t>
  </si>
  <si>
    <t>традиции</t>
  </si>
  <si>
    <t>100% юбилей</t>
  </si>
  <si>
    <t>иное (молодежная политика)</t>
  </si>
  <si>
    <t>иное (50/50)</t>
  </si>
  <si>
    <t>Череповец</t>
  </si>
  <si>
    <t>Сосновоборский городской округ</t>
  </si>
  <si>
    <t>Проект по партиципаторному бюджетированию "Я планирую бюджет"</t>
  </si>
  <si>
    <t>"Я планирую бюджет"</t>
  </si>
  <si>
    <t>Постановление администрации Сосновоборского городского округа № 1019 от 27.03.2015 "Об утверждении Положения о проекте по партиципаторному бюджетированию «Я планирую бюджет»" (с изменениями)</t>
  </si>
  <si>
    <t>http://www.sbor.ru/finance/bd/otkrbud/plan</t>
  </si>
  <si>
    <t>Комитет финансов Сосновоборского городского округа</t>
  </si>
  <si>
    <t>1.Администрация Сосновоборского городского округа,                       2. Комитет образования Сосновоборского городского округа</t>
  </si>
  <si>
    <t>лимиты бюджетных обязательств, субсидии на иные цели</t>
  </si>
  <si>
    <t xml:space="preserve">1.Администрация Сосновоборского городского округа;                   2. Муниципальное автономное учреждение культуры «Центр развития личности "Гармония"»;                                                     3. Мунципальное автономное учреждение "Молодежный центр "Диалог";                                                                                             4. Муниципальное бюджетное образовательное учреждение "Детский сад № 4";                                                                             5. Муниципальное бюджетное образовательное учреждение "Детский сад № 7";                                                          6.Муниципальное бюджетное образовательное учреждение "Центр развития ребенка № 2";                                                       7.  Муниципальное бюджетное образовательное учреждение "Центр развития ребенка № 15"                                                                                                                                                                             </t>
  </si>
  <si>
    <t>Учтена численность детей, посещающих детские дошколные учреждения, численность жителей домов, возле которых выполняется благоустройство, численность участников общества любителей животных в целях которых устраивается дрессировочная площадка, численность молодежи, посещающих молодежный центр.</t>
  </si>
  <si>
    <t>фото и видеофиксация</t>
  </si>
  <si>
    <t>полученные проекты, оформление проектов на бумажном и электронном носителях, направление через модераторов</t>
  </si>
  <si>
    <t>проведение голосования в группах Вконтакте                                         https://vk.com/sbor.budget</t>
  </si>
  <si>
    <t>протокол совещания</t>
  </si>
  <si>
    <t>Протокол проведенных публичных слушаний, анкеты присутствовавших на рейтинговом голосовании по результатам публичного представления авторами своих проектов и их последующего обсуждения (в рамках проведения публичных слушаний). Подсчет голосов за понравившиеся инициативы проводился представителями комитета финансов Сосновоборского городского округа.</t>
  </si>
  <si>
    <t>Сбор заявок, обсуждение инициатив, рейтинговое голосование за инициативы через группу Вконтакте "Я планирую бюджет. Сосновый Бор"                                                                                                                      https://vk.com/sbor.budget</t>
  </si>
  <si>
    <t>https://vk.com/sbor.budget</t>
  </si>
  <si>
    <t xml:space="preserve">Информирование населения путем размещения информации на официальном сайте администрации Сосновоборского городского округа, в группах "Я планирую бюджет. Сосновый Бор", "Администрация Сосновоборского городского округа"  Вконтакте, репортажи на телеканалах "Сосновоборское телевидение" ("СТВ") и "Тера-студия", публикации в газетах "Маяк", "Тера-пресс", издание брошюр, посвященных 5-летию проекта, листовок о проекте, информирования целевой аудитории предпринимателей в рамках координационного совета по поддержке малого и среднего бизнеса. </t>
  </si>
  <si>
    <t>текстовое объявление на официальном сайте, информационные материалы в группах Вконтакте, репортаж и на телеканалах "Сосновоборское телевидение" ("СТВ") и "Тера-студия", статьи в газетах "Маяк" и "Тера-пресс", брошюры, посвященные 5-летию проекта, листовки о проекте, информирование целевой аудитории предпринимателей в рамках координационного совета по поддержке малого и среднего бизнеса.</t>
  </si>
  <si>
    <t xml:space="preserve">1.Проведение лекции по бюджетному процессу - 1 занятие продолжительностью 2 часа, количество участников - 30 человек членов инициативной комиссии (15) и резервного состава инициативной комиссии (15).                                                         2.Проведение семинара по порядку расчета стоимости проектов -   1 занятие продолжительностью 2 часа, количество участников - 30 человек членов инициативной комиссии (15) и резервного состава инициативной комиссии (15).                                  3.Проведение "круглого стола"  представителей администрации Сосновоборского городского округа и совета депутатов Сосновоборского городского округа с участниками инициативной комиссии и резервистами для ответов на вопросы по реализации инициатив -  1 занятие продолжительностью 2 часа, количество участников - 30 человек членов инициативной комиссии (15) и резервного состава инициативной комиссии (15)                                                4.Проведение обсуждений участниками инициативной комиссии и резервного состава (всего 30 чел.) под руководством модератора проекта - еженедельно по 2 часа на протяжении 2 месяцев.                                                                                                      </t>
  </si>
  <si>
    <t>Попова Татьяна Рудольфовна, заместитель председателя комистета финансов Сосновоборского городского округа, начальник бюджетного отдела</t>
  </si>
  <si>
    <t>(81369)2-43-52</t>
  </si>
  <si>
    <t>sbfin@meria.sbor.ru</t>
  </si>
  <si>
    <t>регион 1</t>
  </si>
  <si>
    <t>регион 4</t>
  </si>
  <si>
    <t>Алтай, республика</t>
  </si>
  <si>
    <t>регион 22</t>
  </si>
  <si>
    <t>регион 28</t>
  </si>
  <si>
    <t>регион 29</t>
  </si>
  <si>
    <t>регион 30</t>
  </si>
  <si>
    <t>регион 2</t>
  </si>
  <si>
    <t>регион 3</t>
  </si>
  <si>
    <t>регион 31</t>
  </si>
  <si>
    <t>регион 32</t>
  </si>
  <si>
    <t>регион 33</t>
  </si>
  <si>
    <t>регион 35</t>
  </si>
  <si>
    <t>регион 34</t>
  </si>
  <si>
    <t>регион 36</t>
  </si>
  <si>
    <t>регион 5</t>
  </si>
  <si>
    <t>регион 79</t>
  </si>
  <si>
    <t>регион 75</t>
  </si>
  <si>
    <t>регион 37</t>
  </si>
  <si>
    <t>регион 6</t>
  </si>
  <si>
    <t>регион 38</t>
  </si>
  <si>
    <t>регион 7</t>
  </si>
  <si>
    <t>регион 39</t>
  </si>
  <si>
    <t>регион 8</t>
  </si>
  <si>
    <t>регион 40</t>
  </si>
  <si>
    <t>регион 41</t>
  </si>
  <si>
    <t>регион 9</t>
  </si>
  <si>
    <t>регион 10</t>
  </si>
  <si>
    <t>регион 42</t>
  </si>
  <si>
    <t>регион 43</t>
  </si>
  <si>
    <t>регион 11</t>
  </si>
  <si>
    <t>регион 44</t>
  </si>
  <si>
    <t>регион 23</t>
  </si>
  <si>
    <t>регион 24</t>
  </si>
  <si>
    <t>регион 45</t>
  </si>
  <si>
    <t>регион 46</t>
  </si>
  <si>
    <t>регион 91</t>
  </si>
  <si>
    <t>регион 47</t>
  </si>
  <si>
    <t>регион 48</t>
  </si>
  <si>
    <t>регион 49</t>
  </si>
  <si>
    <t>регион 12</t>
  </si>
  <si>
    <t>регион 13</t>
  </si>
  <si>
    <t>регион 77</t>
  </si>
  <si>
    <t>регион 50</t>
  </si>
  <si>
    <t>регион 51</t>
  </si>
  <si>
    <t>регион 83</t>
  </si>
  <si>
    <t>регион 52</t>
  </si>
  <si>
    <t>регион 53</t>
  </si>
  <si>
    <t>регион 54</t>
  </si>
  <si>
    <t>регион 55</t>
  </si>
  <si>
    <t>регион 56</t>
  </si>
  <si>
    <t>регион 57</t>
  </si>
  <si>
    <t>регион 58</t>
  </si>
  <si>
    <t>регион 59</t>
  </si>
  <si>
    <t>регион 25</t>
  </si>
  <si>
    <t>регион 60</t>
  </si>
  <si>
    <t>регион 61</t>
  </si>
  <si>
    <t>регион 62</t>
  </si>
  <si>
    <t>регион 63</t>
  </si>
  <si>
    <t>регион 78</t>
  </si>
  <si>
    <t>регион 64</t>
  </si>
  <si>
    <t>регион 14</t>
  </si>
  <si>
    <t>регион 65</t>
  </si>
  <si>
    <t>регион 66</t>
  </si>
  <si>
    <t>регион 92</t>
  </si>
  <si>
    <t>регион 15</t>
  </si>
  <si>
    <t>регион 67</t>
  </si>
  <si>
    <t>регион 26</t>
  </si>
  <si>
    <t>регион 68</t>
  </si>
  <si>
    <t>регион 16</t>
  </si>
  <si>
    <t>регион 69</t>
  </si>
  <si>
    <t>регион 70</t>
  </si>
  <si>
    <t>регион 71</t>
  </si>
  <si>
    <t>регион 17</t>
  </si>
  <si>
    <t>регион 72</t>
  </si>
  <si>
    <t>регион 18</t>
  </si>
  <si>
    <t>регион 73</t>
  </si>
  <si>
    <t>регион 27</t>
  </si>
  <si>
    <t>регион 19</t>
  </si>
  <si>
    <t>регион 86</t>
  </si>
  <si>
    <t>регион 74</t>
  </si>
  <si>
    <t>регион 20</t>
  </si>
  <si>
    <t>регион 21</t>
  </si>
  <si>
    <t>регион 87</t>
  </si>
  <si>
    <t>регион 89</t>
  </si>
  <si>
    <t>регион 76</t>
  </si>
  <si>
    <t>Параметры</t>
  </si>
  <si>
    <t>Общая стоимость проектов ИБ, в том числе:</t>
  </si>
  <si>
    <t>– Объем расходов на реализацию проектов ИБ, направленных из бюджетов субъектов РФ</t>
  </si>
  <si>
    <t>– Общий объем софинансирования из всех источников, в том числе:</t>
  </si>
  <si>
    <t xml:space="preserve">     – объем расходов на реализацию проектов ИБ, направленных из федерального бюджета</t>
  </si>
  <si>
    <t>н/д</t>
  </si>
  <si>
    <t xml:space="preserve">     – объем расходов на реализацию проектов ИБ, направленных из бюджетов муниципалитетов</t>
  </si>
  <si>
    <t xml:space="preserve">     – объем средств софинансирования, привлеченных на реализацию проектов ИБ со стороны населения</t>
  </si>
  <si>
    <t xml:space="preserve">     – объем средств софинансирования, привлеченных на реализацию проектов ИБ со стороны юридических лиц</t>
  </si>
  <si>
    <t xml:space="preserve">     – иные формы софинансирования</t>
  </si>
  <si>
    <t>Общий объем финансирования из бюджетов всех уровней, в том числе:</t>
  </si>
  <si>
    <t>– объем расходов на реализацию проектов ИБ, направленных из федерального бюджета</t>
  </si>
  <si>
    <t>– объем расходов на реализацию проектов ИБ, направленных из бюджетов субъектов РФ</t>
  </si>
  <si>
    <t>– объем расходов на реализацию проектов ИБ, направленных из бюджетов муниципалитетов</t>
  </si>
  <si>
    <t>Общий объем внебюджетного софинансирования из прочих источников, в том числе:</t>
  </si>
  <si>
    <t>– объем средств софинансирования, привлеченных на реализацию проектов ИБ со стороны населения</t>
  </si>
  <si>
    <t>– объем средств софинансирования, привлеченных на реализацию проектов ИБ со стороны юридических лиц</t>
  </si>
  <si>
    <t>– иные формы софинансирования</t>
  </si>
  <si>
    <t>Таблица. Динамика  показателей бюджетного и внебюджетного финансирования ИБ в 2015-2019 гг., млн руб. (инфографика) Для ИБ+смеж  практик</t>
  </si>
  <si>
    <t>Типы проектов ИБ</t>
  </si>
  <si>
    <t>2016 г.</t>
  </si>
  <si>
    <t>2017 г.</t>
  </si>
  <si>
    <t>2018 г.</t>
  </si>
  <si>
    <t>Количество</t>
  </si>
  <si>
    <t>Доля (%)</t>
  </si>
  <si>
    <t>Обеспечение жителей услугами бытового обслуживания</t>
  </si>
  <si>
    <t xml:space="preserve"> --</t>
  </si>
  <si>
    <t>Места массового отдыха населения и объекты организации благоустройства</t>
  </si>
  <si>
    <t>Места захоронений</t>
  </si>
  <si>
    <t>Сбор твердых коммунальных / бытовых отходов и мусора</t>
  </si>
  <si>
    <t>ЖКХ (ремонт фасадов и кровли), организация теплоснабжения, канализации, газопроводов</t>
  </si>
  <si>
    <t>Крупные инфраструктурные проекты (мосты, плотины, благоустройство водоемов)</t>
  </si>
  <si>
    <t>Иные объекты</t>
  </si>
  <si>
    <t>Всего проектов:</t>
  </si>
  <si>
    <t>2019 г.</t>
  </si>
  <si>
    <t>Количество практик СТРОГО инициативного бюджетирования на муниципальном и субъектовом уровнях</t>
  </si>
  <si>
    <t>Количество смежных практик (ПП "Комфортная городская среда", гранты ФЦП Минсельхоза, самообложение,  конкурсы ТОС и НКО и проч.)</t>
  </si>
  <si>
    <t>18, 560</t>
  </si>
  <si>
    <t>Не определялось</t>
  </si>
  <si>
    <t>не ведется подсчет числа благополучателей</t>
  </si>
  <si>
    <t>не ведется учет числа благополучателей</t>
  </si>
  <si>
    <t>неограниченный круг лиц</t>
  </si>
  <si>
    <t xml:space="preserve">
0,3
</t>
  </si>
  <si>
    <t>Определить количество граждан, на удовлетворение потребностей которых направлены проекты ИБ 2019 года в г. Красноярске, не представляется возможным. Отмечаем, что 9 проектов ИБ были реализованы во всех районах в городе (7 районов), в том числе было проведено одно культурно-массовое мероприятие, состоявшееся на новогодние праздники для жителей и гостей города</t>
  </si>
  <si>
    <t>на основании отчетов от муниципальных образований</t>
  </si>
  <si>
    <t xml:space="preserve">Способ(-ы) расчета количества благополучателей по проектам:
1. «Установка скамеек в Василеостровском районе»: показателя "количество человек - потенциальных благополучателей инфраструктуры общественных пространств рядом со станцией метро"Василеостровская"; а также показателя численности жителей двух минициапальных образований, на территории которых были установлены скамейки (на 01.01.19), показателя численности жителей муниципальных образований, на границах которых установлены объекты (на 01.01.19) .  2.  «Установка инклюзивной детской площадки»: на основе  отчета  «Свод отчетов по сети, штатам и контингентам получателей бюджетных средств, состоящих на бюджете субъекта РФ и бюджетах МО», на 01.01.19 (показатель количества детей, обучающихся, сотрудников образовательных учреждений), численность детей, проживающих в соседних ЖК (пространственно-масштабный принцип расчета), численность детей-инвалидов на территории Невского района СПб (по сведениям ф.36  по учреждениям социальногоо обслуживания населения на 2020 год). 3. «Организация крытых перехватывающих парковок у станций метров Приморском районе»: через количество лиц, потенциальных велосипедистов (оценочно). 4. «Установка контейнеров для РСО в 5 школах в Пушкине и Павловске, просвет. меропр. и создание передвижной интерактивной экспозиции по переработке отходов»: на основании численности неформальной группы в соц.сетях "ЭКО-Пушкин - Раздельный сбор в Пушкине" (оценочно); на основании отчета «Свод отчетов по сети, штатам и контингентам получателей бюджетных средств, состоящих на бюджете субъекта РФ и бюджетах МО», на 01.01.19 (показатель количества детей, обучающихся, сотрудников образовательных учреждений); на основании расчета среднегодового кол-ва человек, посетив. выставку.  5. «Площадки для выгула собак»: на основе на основании расчетного показателя владельцев собак на территории  муниципального образования (на 01.01.19). 6. «Благоустройство территории ДОУ № 37»:  на основании отчета «Свод отчетов по сети, штатам и контингентам получателей бюджетных средств, состоящих на бюджете субъекта РФ и бюджетах МО», на 01.01.20 (показатель количества детей, обучающихся, сотрудников образовательных учреждений). 7. «Благоустройство территории с элементами доступной среды стационарного отделения (социальный приют) – реабилитационный центр для несовершеннолетних»:  на основании отчета «Свод отчетов по сети, штатам и контингентам получателей бюджетных средств, состоящих на бюджете субъекта РФ и бюджетах МО», на 01.01.20 (показатель количества детей, обучающихся, сотрудников образовательных учреждений). 8. «Устройство нового проезда от ул.Будапештской до Дома детского-юношеского творчества»: на основе показателя численности жителей  домов микрорайона (на 01.01.19);на основании отчета «Свод отчетов по сети, штатам и контингентам получателей бюджетных средств, состоящих на бюджете субъекта РФ и бюджетах МО», на 01.01.20 (показатель количества детей, обучающихся, сотрудников образовательных учреждений). 9. «Комплексный ремонт спортивной площадки и оснащение оборудованием. Создание многофункциональной спортивной площадки с устройством зон для игры в мини-футбол, волейбол, бадминтон, баскетбол, воркаут»: на основе расчетного показателя посещаемости объекта жителями и показателя численности жителей  минициапального образования, на территории которого расположена спортивная площадка (на 01.01.19). 10. «Благоустройство земельного участка и модернизация многофункциональной спортивной площадки на ул. Константина Заслонова, д.28-30»: на основе расчетного показателя посещаемости объекта жителями  и показателя численности жителей  минициапального образования, на территории которого расположена спортивная площадка (на 01.01.19). </t>
  </si>
  <si>
    <t>Бюджетная поддержка из бюджета субъекта ИБ+смеж на 1 человека в субъекте РФ</t>
  </si>
  <si>
    <t>СФО</t>
  </si>
  <si>
    <t>УФО</t>
  </si>
  <si>
    <t>ПФО</t>
  </si>
  <si>
    <t>СКФО</t>
  </si>
  <si>
    <t>ДФО</t>
  </si>
  <si>
    <t>ЮФО</t>
  </si>
  <si>
    <t>СЗФО</t>
  </si>
  <si>
    <t>ЦФО</t>
  </si>
  <si>
    <t>Количество региональных практик смежные+ИБ</t>
  </si>
  <si>
    <t>Бюджетная поддержка на 1 чел, руб</t>
  </si>
  <si>
    <t>ДЛЯ СУБЪЕКТОВЫХ ПРАКТИК</t>
  </si>
  <si>
    <t>С10</t>
  </si>
  <si>
    <t>С10.26</t>
  </si>
  <si>
    <t>Суб.: Объем бюджетных ассигнований из бюджета субъекта РФ на реализацию проектов (млн. руб.)</t>
  </si>
  <si>
    <t>С10.27</t>
  </si>
  <si>
    <t>Суб.: Доля этих средств в общей стоимости проектов</t>
  </si>
  <si>
    <t>С11</t>
  </si>
  <si>
    <t>С11.28</t>
  </si>
  <si>
    <t>Суб.: Объем бюджетных ассигнований из бюджетов муниципальных образований на реализацию проектов (млн. руб.)</t>
  </si>
  <si>
    <t>С11.29</t>
  </si>
  <si>
    <t>С12</t>
  </si>
  <si>
    <t>С12.30</t>
  </si>
  <si>
    <t>Суб.: Объем софинансирования со стороны граждан на реализацию проектов (млн. руб.)</t>
  </si>
  <si>
    <t>С12.31</t>
  </si>
  <si>
    <t>С13</t>
  </si>
  <si>
    <t>С13.32</t>
  </si>
  <si>
    <t>Суб.: Объем софинансирования со стороны индивидуальных предпринимателей и юридических лиц на реализацию проектов  (млн. руб.)</t>
  </si>
  <si>
    <t>С13.33</t>
  </si>
  <si>
    <t>С14</t>
  </si>
  <si>
    <t>С14.34</t>
  </si>
  <si>
    <t>Суб.: Объем иных форм софинансирования (фонды депутатов, гранты, благотворительные фонды и др.), если таковые были предусмотрены (млн. руб.)</t>
  </si>
  <si>
    <t>С14.35</t>
  </si>
  <si>
    <t>С15</t>
  </si>
  <si>
    <t>С15.36</t>
  </si>
  <si>
    <t>Суб.: Общий объем софинансирования из внебюджетных источников (со стороны граждан, ИП и юрлиц, иных форм) (млн.руб.)</t>
  </si>
  <si>
    <t>С15.37</t>
  </si>
  <si>
    <t>С16</t>
  </si>
  <si>
    <t>С16.38</t>
  </si>
  <si>
    <t>Суб.: Объем внебюджетных средств (софинансирование граждан, юрлиц и иных форм) на 1 руб. ассигнований из бюджета субъекта РФ</t>
  </si>
  <si>
    <t>С17</t>
  </si>
  <si>
    <t>С17.39</t>
  </si>
  <si>
    <t>Суб.: Объем субсидий из федерального бюджета, направленных на финансирование проектов(млн. руб.)</t>
  </si>
  <si>
    <t>С17.40</t>
  </si>
  <si>
    <t>С18</t>
  </si>
  <si>
    <t>С18.41</t>
  </si>
  <si>
    <t>Суб.: Доля бюджетных ассигнований из бюджета субъекта РФ, направленных на реализацию проектов в общем объеме расходов бюджета субъекта РФ в исследуемом периоде</t>
  </si>
  <si>
    <t>С19</t>
  </si>
  <si>
    <t>С19.42</t>
  </si>
  <si>
    <t>Суб.: Средний бюджет ИБ+смеж на 1 человека в субъекте РФ / В РФ (среди субъектов, где имеются практики ИБ+смежные)</t>
  </si>
  <si>
    <t>С19.43</t>
  </si>
  <si>
    <t>Средний бюджет ИБ на 1 человека в РФ (в целом на все население РФ)</t>
  </si>
  <si>
    <t>С22</t>
  </si>
  <si>
    <t>С22.52</t>
  </si>
  <si>
    <t>С22.53</t>
  </si>
  <si>
    <t>С22.54</t>
  </si>
  <si>
    <t>С22.55</t>
  </si>
  <si>
    <t>С22.56</t>
  </si>
  <si>
    <t>С22.57</t>
  </si>
  <si>
    <t>С22.58</t>
  </si>
  <si>
    <t>С22.59</t>
  </si>
  <si>
    <t>С22.60</t>
  </si>
  <si>
    <t>С22.61</t>
  </si>
  <si>
    <t>С22.62</t>
  </si>
  <si>
    <t>С22.63</t>
  </si>
  <si>
    <t>С22.64</t>
  </si>
  <si>
    <t>С22.65</t>
  </si>
  <si>
    <t>С22.87</t>
  </si>
  <si>
    <t>С22.88</t>
  </si>
  <si>
    <t>С22.66</t>
  </si>
  <si>
    <t>С22.67</t>
  </si>
  <si>
    <t>С22.89</t>
  </si>
  <si>
    <t>С22.90</t>
  </si>
  <si>
    <t>С22.68</t>
  </si>
  <si>
    <t>С22.69</t>
  </si>
  <si>
    <t>С22.70</t>
  </si>
  <si>
    <t>С22.71</t>
  </si>
  <si>
    <t>С22.72</t>
  </si>
  <si>
    <t>С22.73</t>
  </si>
  <si>
    <t>С22.74</t>
  </si>
  <si>
    <t>С22.75</t>
  </si>
  <si>
    <t>С22.76</t>
  </si>
  <si>
    <t>С22.77</t>
  </si>
  <si>
    <t>С22.78</t>
  </si>
  <si>
    <t>С22.79</t>
  </si>
  <si>
    <t>С22.80</t>
  </si>
  <si>
    <t>С22.81</t>
  </si>
  <si>
    <t>С22.82</t>
  </si>
  <si>
    <t>С22.83</t>
  </si>
  <si>
    <t>С22.91</t>
  </si>
  <si>
    <t>С22.92</t>
  </si>
  <si>
    <t>С22.84</t>
  </si>
  <si>
    <t>С22.85</t>
  </si>
  <si>
    <t>С23</t>
  </si>
  <si>
    <t>С23.86</t>
  </si>
  <si>
    <t>Суб.: Общее количество реализованных проектов  (включая те, завершение которых было перенесено на 2019 г.)</t>
  </si>
  <si>
    <t>С24</t>
  </si>
  <si>
    <t>С24.87</t>
  </si>
  <si>
    <t>Суб.: Средняя стоимость одного реализованного проекта (включая те, завершение которых перенесено на 2018 г.) (млн.руб.)</t>
  </si>
  <si>
    <t>С25</t>
  </si>
  <si>
    <t>С25.88</t>
  </si>
  <si>
    <t>Суб.: Средний размер субсидии из бюджета субъекта на один реализованный проект (млн.руб.)</t>
  </si>
  <si>
    <t>С25.89</t>
  </si>
  <si>
    <t>Суб.: Средний размер внебюджетной поддержки на один реализованный проект (млн.руб.)</t>
  </si>
  <si>
    <t>ДЛЯ МУНИЦИПАЛЬНЫХ ПРАКТИК</t>
  </si>
  <si>
    <t>Мун.: Объем бюджетных ассигнований из бюджета субъекта РФ на реализацию проектов (млн. руб.)</t>
  </si>
  <si>
    <t>Мун.: Доля этих средств в общей стоимости проектов</t>
  </si>
  <si>
    <t>Мун.: Объем бюджетных ассигнований из бюджетов муниципальных образований на реализацию проектов (млн. руб.)</t>
  </si>
  <si>
    <t>Мун.: Объем софинансирования со стороны граждан на реализацию проектов (млн. руб.)</t>
  </si>
  <si>
    <t>Мун.: Объем софинансирования со стороны индивидуальных предпринимателей и юридических лиц на реализацию проектов  (млн. руб.)</t>
  </si>
  <si>
    <t>Мун.: Объем иных форм софинансирования (фонды депутатов, гранты, благотворительные фонды и др.), если таковые были предусмотрены (млн. руб.)</t>
  </si>
  <si>
    <t>Мун.: Общий объем софинансирования из внебюджетных источников (со стороны граждан, ИП и юрлиц, иных форм) (млн.руб.)</t>
  </si>
  <si>
    <t>Мун.: Объем внебюджетных средств (софинансирование граждан, юрлиц и иных форм) на 1 руб. ассигнований из муниципального бюджета субъекта РФ</t>
  </si>
  <si>
    <t>Мун.: Объем субсидий из федерального бюджета, направленных на финансирование проектов(млн. руб.)</t>
  </si>
  <si>
    <t>Мун.: Доля бюджетных ассигнований из муниципального бюджета, направленных на реализацию проектов, в общем объеме расходов муниципального бюджета в исследуемом периоде</t>
  </si>
  <si>
    <t>Мун.: Средний бюджет ИБ+смеж на 1 человека в субъекте РФ / В РФ (среди субъектов, где имеются практики ИБ+смежные)</t>
  </si>
  <si>
    <t>Мун.: Общее количество реализованных проектов  (включая те, завершение которых было перенесено на 2019 г.)</t>
  </si>
  <si>
    <t>Мун.: Средняя стоимость одного реализованного проекта (включая те, завершение которых перенесено на 2018 г.) (млн.руб.)</t>
  </si>
  <si>
    <t>Мун.: Средний размер субсидии из муниципального субъекта на один реализованный проект (млн.руб.)</t>
  </si>
  <si>
    <t>Мун.: Средний размер внебюджетной поддержки на один реализованный проект (млн.руб.)</t>
  </si>
  <si>
    <t>Доля бюджетных средств на ИБ в бюджете субъекта</t>
  </si>
  <si>
    <t xml:space="preserve">Бюджетная поддержка на 1 чел, руб </t>
  </si>
  <si>
    <t>Башкортостан, республика (4)</t>
  </si>
  <si>
    <t>Кировская область (3)</t>
  </si>
  <si>
    <t>Мари-Эл республика (1)</t>
  </si>
  <si>
    <t>Мордовия, республика (0)</t>
  </si>
  <si>
    <t>Нижегородская область (1)</t>
  </si>
  <si>
    <t>Оренбургская область (1)</t>
  </si>
  <si>
    <t>Пензенская область (1)</t>
  </si>
  <si>
    <t xml:space="preserve">Пермский край (1) </t>
  </si>
  <si>
    <t>Самарская область (1)</t>
  </si>
  <si>
    <t>Саратовская область (1)</t>
  </si>
  <si>
    <t>Татарстан, респ. (3)</t>
  </si>
  <si>
    <t>Удмуртия республика (1)</t>
  </si>
  <si>
    <t>Ульяновская область (1)</t>
  </si>
  <si>
    <t>Чувашская республика (1)</t>
  </si>
  <si>
    <t xml:space="preserve">в скобках </t>
  </si>
  <si>
    <t>Амурская область (1)</t>
  </si>
  <si>
    <t>Бурятия, республика (1)</t>
  </si>
  <si>
    <t>Еврейская АО (0)</t>
  </si>
  <si>
    <t>Забайкальский край (1)</t>
  </si>
  <si>
    <t>Камчатский край (0)</t>
  </si>
  <si>
    <t>Магаданская область (0)</t>
  </si>
  <si>
    <t>Приморский край (0)</t>
  </si>
  <si>
    <t>Саха (Якутия) республика (1)</t>
  </si>
  <si>
    <t>Сахалинская область (3)</t>
  </si>
  <si>
    <t>Хабаровский край (2)</t>
  </si>
  <si>
    <t>Чукотский АО (1)</t>
  </si>
  <si>
    <t xml:space="preserve">Неденежный  вклад  представляет  собой  безвозмездный  труд,  строительные
материалы или оборудование;
</t>
  </si>
  <si>
    <t xml:space="preserve">Воронежская область </t>
  </si>
  <si>
    <t>участие граждан и благотворителей в неоплачиваемых работах, оплата собственными средствами материалов, предоставление собственной техники, примерно 6,55 млн. см.комментарий к 7F</t>
  </si>
  <si>
    <t>10.06.2019</t>
  </si>
  <si>
    <t>23.10.2019</t>
  </si>
  <si>
    <t>Количество проектных идей-предложений</t>
  </si>
  <si>
    <t>Количество поданных заявок (одобренных гражданами проектных заявок, прошедших технический анализ и зарегистрированных для участия в конкурсных процедурах)</t>
  </si>
  <si>
    <t>Количество проектов-победителей, которые прошли конкурсный отбор</t>
  </si>
  <si>
    <t>Количество реализованных проектов (для 2017 и 2018: включая проекты, реализация которых перенесена на 2019 год)</t>
  </si>
  <si>
    <t>Проекты, завершаемые в следующий год</t>
  </si>
  <si>
    <t>Общее количество практик, реализуемых на муниципальном и субъектовом уровнях</t>
  </si>
  <si>
    <t>Таблица. Количество проектов, реализованных во всех субъектах РФ в 2015–2019 гг. (инфографика) Для ИБ+смеж  практик</t>
  </si>
  <si>
    <t>Таблица. Динамика соотношения практик строго_ИБ и смежных Для ИБ+смеж  практик</t>
  </si>
  <si>
    <t>Общее количество реализованных проектов  (включая те, завершение которых было перенесено на следующий год)</t>
  </si>
  <si>
    <t>Средняя стоимость одного реализованного проекта (включая те, завершение которых было перенесено на следующий год) (млн.руб.)</t>
  </si>
  <si>
    <t>Средний размер совокупных бюджетных субсидий (суб.+мун.+фед.) на один реализованный проект (млн.руб.)</t>
  </si>
  <si>
    <t xml:space="preserve">  - Средний размер субсидии из бюджета субъекта на один реализованный проект (млн.руб.)</t>
  </si>
  <si>
    <t xml:space="preserve">  - Средний размер субсидии из муниципального бюджета на один реализованный проект (млн.руб.)</t>
  </si>
  <si>
    <t>Средний бюджет ИБ на 1 человека в субъекте РФ (среди субъектов, где имелись практики ИБ+смежные) (руб.)</t>
  </si>
  <si>
    <t>*****</t>
  </si>
  <si>
    <t>Цикл реализации практики (среднее количество дней)</t>
  </si>
  <si>
    <t>Механизмы отбора проектов (среднее количество механизмов отбора)</t>
  </si>
  <si>
    <t>Конкурсность (доля заявок-победителей от числа зарегистрированных заявок)</t>
  </si>
  <si>
    <t>Среднее число вовлеченных консультантов (среди регионов, где есть консультанты)</t>
  </si>
  <si>
    <t>Средняя доля благополучателей среди субъектов РФ (где имеются ИБ+смежные практики)</t>
  </si>
  <si>
    <t>Динамика показателей реализации проектов  2017-2019 гг. Для ИБ+смеж  практик</t>
  </si>
  <si>
    <r>
      <t xml:space="preserve">Таблица. Динамика  </t>
    </r>
    <r>
      <rPr>
        <b/>
        <u/>
        <sz val="14"/>
        <color theme="1"/>
        <rFont val="Times New Roman"/>
        <family val="1"/>
        <charset val="204"/>
      </rPr>
      <t>долевого соотношени</t>
    </r>
    <r>
      <rPr>
        <b/>
        <sz val="14"/>
        <color theme="1"/>
        <rFont val="Times New Roman"/>
        <family val="1"/>
        <charset val="204"/>
      </rPr>
      <t>я бюджетного и внебюджетного финансирования ИБ в 2015-2019 гг., млн руб. (инфографика) Для ИБ+смеж  практик</t>
    </r>
  </si>
  <si>
    <r>
      <t xml:space="preserve">Таблица. Динамика </t>
    </r>
    <r>
      <rPr>
        <b/>
        <u/>
        <sz val="14"/>
        <color rgb="FF000000"/>
        <rFont val="Times New Roman"/>
        <family val="1"/>
        <charset val="204"/>
      </rPr>
      <t>долевого соотношения</t>
    </r>
    <r>
      <rPr>
        <b/>
        <sz val="14"/>
        <color rgb="FF000000"/>
        <rFont val="Times New Roman"/>
        <family val="1"/>
        <charset val="204"/>
      </rPr>
      <t xml:space="preserve"> финансовых показателей ИБ в 2015-2019 гг., (инфографика) </t>
    </r>
    <r>
      <rPr>
        <b/>
        <sz val="14"/>
        <color rgb="FF0070C0"/>
        <rFont val="Times New Roman"/>
        <family val="1"/>
        <charset val="204"/>
      </rPr>
      <t>Для ИБ+смеж  практик</t>
    </r>
  </si>
  <si>
    <t>Название проекта</t>
  </si>
  <si>
    <t>Объем ассигнований из бюджетов муниципальных образований на финансовое обеспечение проектов ИБ в 2019 году, млн.руб</t>
  </si>
  <si>
    <t>Численность МО, тыс.чел</t>
  </si>
  <si>
    <t xml:space="preserve">https://orenstat.gks.ru/folder/26298 </t>
  </si>
  <si>
    <t xml:space="preserve">По данным сайта Города России, ссылка -  http://xn----7sbiew6aadnema7p.xn--p1ai/sity_id.php?id=107 </t>
  </si>
  <si>
    <t>Субъектовые практики</t>
  </si>
  <si>
    <t>Муниципальные практики</t>
  </si>
  <si>
    <t>Общий объем средств, направленных из различных источников на реализацию проектов (млн. руб.)​: субъектовые и муниципальные практики (2019 г.) Для ИБ+смеж  практик</t>
  </si>
  <si>
    <t>Общее количество реализованных проектов  (включая те, завершение которых было перенесено на 2019 г.)</t>
  </si>
  <si>
    <t>Средняя стоимость одного реализованного проекта (включая те, завершение которых было перенесено на 2019 г.) (млн.руб.)</t>
  </si>
  <si>
    <t>Средний размер субсидии из муниципального бюджета на один реализованный проект (млн.руб.)</t>
  </si>
  <si>
    <t>Показатели реализации проектов (млн. руб.)​: субъектовые и муниципальные практики (2019 г.) Для ИБ+смеж  практик</t>
  </si>
  <si>
    <t>117 (сотрудники администраций муниципальных образований)</t>
  </si>
  <si>
    <t>регистрация обращений граждан</t>
  </si>
  <si>
    <t>66 (сотрудники администраций муниципальных образований)</t>
  </si>
  <si>
    <t>?</t>
  </si>
  <si>
    <t>--</t>
  </si>
  <si>
    <r>
      <t xml:space="preserve">Таблица. Динамика финансовых показателей ИБ в 2015-2019 гг., млн руб. (инфографика) </t>
    </r>
    <r>
      <rPr>
        <b/>
        <sz val="14"/>
        <color rgb="FF0070C0"/>
        <rFont val="Times New Roman"/>
        <family val="1"/>
        <charset val="204"/>
      </rPr>
      <t>Для ИБ+смеж  практик</t>
    </r>
  </si>
  <si>
    <r>
      <t xml:space="preserve">Таблица Типология реализованных проектов инициативного бюджетирования в субъектах Российской Федерации (инфографика) </t>
    </r>
    <r>
      <rPr>
        <b/>
        <sz val="14"/>
        <color rgb="FF0070C0"/>
        <rFont val="Times New Roman"/>
        <family val="1"/>
        <charset val="204"/>
      </rPr>
      <t>Для ИБ+смеж  практик</t>
    </r>
  </si>
  <si>
    <r>
      <t xml:space="preserve">Проекты в сфере культуры, библиотечного дела, ремонт домов культуры </t>
    </r>
    <r>
      <rPr>
        <i/>
        <sz val="14"/>
        <color rgb="FF000000"/>
        <rFont val="Times New Roman"/>
        <family val="1"/>
        <charset val="204"/>
      </rPr>
      <t>(до 2017 г. - здесь же: "образовательные учреждения")</t>
    </r>
  </si>
  <si>
    <t xml:space="preserve">122,65
</t>
  </si>
  <si>
    <t>техническая переменная: регионы, в которых имеется практика ИБ</t>
  </si>
  <si>
    <t xml:space="preserve"> ДА (если "да" хотя бы для одной практики ИБ, даже если по другим практикам "нет" или "?")</t>
  </si>
  <si>
    <t>Наличие проектного центра</t>
  </si>
  <si>
    <t>ДА (если "да" хотя бы для одной практики ИБ). НЕТ (если "нет" для всех практик ИБ)</t>
  </si>
  <si>
    <t>13.1</t>
  </si>
  <si>
    <t>Процедуры сбора проектных предложений от граждан: Анкетирование</t>
  </si>
  <si>
    <t>13.2</t>
  </si>
  <si>
    <t>Процедуры сбора проектных предложений от граждан: Очные встречи и обсуждения граждан</t>
  </si>
  <si>
    <t>13.3</t>
  </si>
  <si>
    <t>Процедуры сбора проектных предложений от граждан: Ящики для сбора идей</t>
  </si>
  <si>
    <t>13.4</t>
  </si>
  <si>
    <t>Процедуры сбора проектных предложений от граждан: Подача проектных идей (предложений) через интернет</t>
  </si>
  <si>
    <t>13.5</t>
  </si>
  <si>
    <t>Процедуры сбора проектных предложений от граждан: Общественные приемные</t>
  </si>
  <si>
    <t>13.6</t>
  </si>
  <si>
    <t>Процедуры сбора проектных предложений от граждан: Иной механизм</t>
  </si>
  <si>
    <t>.24</t>
  </si>
  <si>
    <t>Процедуры конкурсного отбора: Интернет-голосование за проекты</t>
  </si>
  <si>
    <t>строго_ИБ: Доля этих средств в общей стоимости проектов</t>
  </si>
  <si>
    <t>.95</t>
  </si>
  <si>
    <r>
      <t xml:space="preserve">Типология </t>
    </r>
    <r>
      <rPr>
        <sz val="10"/>
        <color rgb="FFFF0000"/>
        <rFont val="Times New Roman"/>
        <family val="1"/>
        <charset val="204"/>
      </rPr>
      <t>строго_ИБ</t>
    </r>
    <r>
      <rPr>
        <sz val="10"/>
        <color rgb="FF000000"/>
        <rFont val="Times New Roman"/>
        <family val="1"/>
        <charset val="204"/>
      </rPr>
      <t xml:space="preserve"> практик в общем виде</t>
    </r>
  </si>
  <si>
    <r>
      <t xml:space="preserve">Количество практик </t>
    </r>
    <r>
      <rPr>
        <sz val="10"/>
        <color rgb="FFFF0000"/>
        <rFont val="Times New Roman"/>
        <family val="1"/>
        <charset val="204"/>
      </rPr>
      <t>строго_ИБ</t>
    </r>
    <r>
      <rPr>
        <sz val="10"/>
        <color rgb="FF000000"/>
        <rFont val="Times New Roman"/>
        <family val="1"/>
        <charset val="204"/>
      </rPr>
      <t xml:space="preserve"> на субъектовом уровне</t>
    </r>
  </si>
  <si>
    <r>
      <t xml:space="preserve">Количество практик </t>
    </r>
    <r>
      <rPr>
        <sz val="10"/>
        <color rgb="FFFF0000"/>
        <rFont val="Times New Roman"/>
        <family val="1"/>
        <charset val="204"/>
      </rPr>
      <t>строго_ИБ</t>
    </r>
    <r>
      <rPr>
        <sz val="10"/>
        <color rgb="FF000000"/>
        <rFont val="Times New Roman"/>
        <family val="1"/>
        <charset val="204"/>
      </rPr>
      <t xml:space="preserve"> на муниципальном  уровне</t>
    </r>
  </si>
  <si>
    <r>
      <t xml:space="preserve">Количество практик </t>
    </r>
    <r>
      <rPr>
        <sz val="10"/>
        <color rgb="FFFF0000"/>
        <rFont val="Times New Roman"/>
        <family val="1"/>
        <charset val="204"/>
      </rPr>
      <t>строго_ИБ</t>
    </r>
    <r>
      <rPr>
        <sz val="10"/>
        <color rgb="FF000000"/>
        <rFont val="Times New Roman"/>
        <family val="1"/>
        <charset val="204"/>
      </rPr>
      <t xml:space="preserve">, финансируемых </t>
    </r>
    <r>
      <rPr>
        <sz val="10"/>
        <color rgb="FFFF0000"/>
        <rFont val="Times New Roman"/>
        <family val="1"/>
        <charset val="204"/>
      </rPr>
      <t xml:space="preserve">ТОЛЬКО </t>
    </r>
    <r>
      <rPr>
        <sz val="10"/>
        <color rgb="FF000000"/>
        <rFont val="Times New Roman"/>
        <family val="1"/>
        <charset val="204"/>
      </rPr>
      <t>из бюджета субъекта РФ</t>
    </r>
  </si>
  <si>
    <r>
      <t xml:space="preserve">Количество практик </t>
    </r>
    <r>
      <rPr>
        <sz val="10"/>
        <color rgb="FFFF0000"/>
        <rFont val="Times New Roman"/>
        <family val="1"/>
        <charset val="204"/>
      </rPr>
      <t>строго_ИБ</t>
    </r>
    <r>
      <rPr>
        <sz val="10"/>
        <color rgb="FF000000"/>
        <rFont val="Times New Roman"/>
        <family val="1"/>
        <charset val="204"/>
      </rPr>
      <t xml:space="preserve">, финансируемых </t>
    </r>
    <r>
      <rPr>
        <sz val="10"/>
        <color rgb="FFFF0000"/>
        <rFont val="Times New Roman"/>
        <family val="1"/>
        <charset val="204"/>
      </rPr>
      <t>ТОЛЬКО</t>
    </r>
    <r>
      <rPr>
        <sz val="10"/>
        <color rgb="FF000000"/>
        <rFont val="Times New Roman"/>
        <family val="1"/>
        <charset val="204"/>
      </rPr>
      <t xml:space="preserve"> из муниципального бюджета (без субъектовых бюджетных субсидий)</t>
    </r>
  </si>
  <si>
    <r>
      <t xml:space="preserve">Количество практик </t>
    </r>
    <r>
      <rPr>
        <sz val="10"/>
        <color rgb="FFFF0000"/>
        <rFont val="Times New Roman"/>
        <family val="1"/>
        <charset val="204"/>
      </rPr>
      <t>строго_ИБ</t>
    </r>
    <r>
      <rPr>
        <sz val="10"/>
        <color rgb="FF000000"/>
        <rFont val="Times New Roman"/>
        <family val="1"/>
        <charset val="204"/>
      </rPr>
      <t>, предусматривающих финансирование с федерального уровня</t>
    </r>
  </si>
  <si>
    <r>
      <t xml:space="preserve">Процедуры конкурсного отбора: Автоматическая оценка проектов на основе формальных критериев 
</t>
    </r>
    <r>
      <rPr>
        <i/>
        <sz val="10"/>
        <color rgb="FF000000"/>
        <rFont val="Times New Roman"/>
        <family val="1"/>
        <charset val="204"/>
      </rPr>
      <t>(2017: Независимая оценка проектов на основе заданных критериев на конкурсной основе)</t>
    </r>
  </si>
  <si>
    <r>
      <rPr>
        <b/>
        <sz val="10"/>
        <color rgb="FFFF0000"/>
        <rFont val="Times New Roman"/>
        <family val="1"/>
        <charset val="204"/>
      </rPr>
      <t xml:space="preserve">строго_ИБ: </t>
    </r>
    <r>
      <rPr>
        <sz val="10"/>
        <color rgb="FF000000"/>
        <rFont val="Times New Roman"/>
        <family val="1"/>
        <charset val="204"/>
      </rPr>
      <t xml:space="preserve">Общий объем средств, направленных из </t>
    </r>
    <r>
      <rPr>
        <b/>
        <sz val="10"/>
        <color rgb="FF000000"/>
        <rFont val="Times New Roman"/>
        <family val="1"/>
        <charset val="204"/>
      </rPr>
      <t>различных источников</t>
    </r>
    <r>
      <rPr>
        <sz val="10"/>
        <color rgb="FF000000"/>
        <rFont val="Times New Roman"/>
        <family val="1"/>
        <charset val="204"/>
      </rPr>
      <t xml:space="preserve"> на реализацию проектов (млн. руб.)</t>
    </r>
  </si>
  <si>
    <r>
      <rPr>
        <sz val="10"/>
        <color rgb="FFFF0000"/>
        <rFont val="Times New Roman"/>
        <family val="1"/>
        <charset val="204"/>
      </rPr>
      <t xml:space="preserve">строго_ИБ: </t>
    </r>
    <r>
      <rPr>
        <sz val="10"/>
        <color rgb="FF000000"/>
        <rFont val="Times New Roman"/>
        <family val="1"/>
        <charset val="204"/>
      </rPr>
      <t xml:space="preserve">Общий объем средств, направленных из различных источников на реализацию проектов </t>
    </r>
    <r>
      <rPr>
        <u/>
        <sz val="10"/>
        <color rgb="FF000000"/>
        <rFont val="Times New Roman"/>
        <family val="1"/>
        <charset val="204"/>
      </rPr>
      <t xml:space="preserve">для субъектовых практик </t>
    </r>
    <r>
      <rPr>
        <sz val="10"/>
        <color rgb="FF000000"/>
        <rFont val="Times New Roman"/>
        <family val="1"/>
        <charset val="204"/>
      </rPr>
      <t>(млн. руб.)</t>
    </r>
  </si>
  <si>
    <r>
      <rPr>
        <sz val="10"/>
        <color rgb="FFFF0000"/>
        <rFont val="Times New Roman"/>
        <family val="1"/>
        <charset val="204"/>
      </rPr>
      <t xml:space="preserve">строго_ИБ: </t>
    </r>
    <r>
      <rPr>
        <sz val="10"/>
        <color rgb="FF000000"/>
        <rFont val="Times New Roman"/>
        <family val="1"/>
        <charset val="204"/>
      </rPr>
      <t xml:space="preserve">Общий объем средств, направленных из различных источников на реализацию проектов </t>
    </r>
    <r>
      <rPr>
        <u/>
        <sz val="10"/>
        <color rgb="FF000000"/>
        <rFont val="Times New Roman"/>
        <family val="1"/>
        <charset val="204"/>
      </rPr>
      <t xml:space="preserve">для муниципальных практик </t>
    </r>
    <r>
      <rPr>
        <sz val="10"/>
        <color rgb="FF000000"/>
        <rFont val="Times New Roman"/>
        <family val="1"/>
        <charset val="204"/>
      </rPr>
      <t>(млн. руб.)</t>
    </r>
  </si>
  <si>
    <r>
      <rPr>
        <sz val="10"/>
        <color rgb="FFFF0000"/>
        <rFont val="Times New Roman"/>
        <family val="1"/>
        <charset val="204"/>
      </rPr>
      <t xml:space="preserve">строго_ИБ: </t>
    </r>
    <r>
      <rPr>
        <sz val="10"/>
        <color rgb="FF000000"/>
        <rFont val="Times New Roman"/>
        <family val="1"/>
        <charset val="204"/>
      </rPr>
      <t xml:space="preserve">Объем бюджетных ассигнований из бюджета </t>
    </r>
    <r>
      <rPr>
        <b/>
        <sz val="10"/>
        <color rgb="FF000000"/>
        <rFont val="Times New Roman"/>
        <family val="1"/>
        <charset val="204"/>
      </rPr>
      <t>субъекта</t>
    </r>
    <r>
      <rPr>
        <sz val="10"/>
        <color rgb="FF000000"/>
        <rFont val="Times New Roman"/>
        <family val="1"/>
        <charset val="204"/>
      </rPr>
      <t xml:space="preserve"> РФ на реализацию проектов (млн. руб.)</t>
    </r>
  </si>
  <si>
    <r>
      <rPr>
        <sz val="10"/>
        <color rgb="FFFF0000"/>
        <rFont val="Times New Roman"/>
        <family val="1"/>
        <charset val="204"/>
      </rPr>
      <t xml:space="preserve">строго_ИБ: </t>
    </r>
    <r>
      <rPr>
        <sz val="10"/>
        <color rgb="FF000000"/>
        <rFont val="Times New Roman"/>
        <family val="1"/>
        <charset val="204"/>
      </rPr>
      <t>Доля этих средств в общей стоимости проектов</t>
    </r>
  </si>
  <si>
    <r>
      <rPr>
        <sz val="10"/>
        <color rgb="FFFF0000"/>
        <rFont val="Times New Roman"/>
        <family val="1"/>
        <charset val="204"/>
      </rPr>
      <t xml:space="preserve">строго_ИБ: </t>
    </r>
    <r>
      <rPr>
        <sz val="10"/>
        <color rgb="FF000000"/>
        <rFont val="Times New Roman"/>
        <family val="1"/>
        <charset val="204"/>
      </rPr>
      <t xml:space="preserve">Объем бюджетных ассигнований из бюджетов </t>
    </r>
    <r>
      <rPr>
        <b/>
        <sz val="10"/>
        <color rgb="FF000000"/>
        <rFont val="Times New Roman"/>
        <family val="1"/>
        <charset val="204"/>
      </rPr>
      <t>муниципальных</t>
    </r>
    <r>
      <rPr>
        <sz val="10"/>
        <color rgb="FF000000"/>
        <rFont val="Times New Roman"/>
        <family val="1"/>
        <charset val="204"/>
      </rPr>
      <t xml:space="preserve"> образований на реализацию проектов (млн. руб.)</t>
    </r>
  </si>
  <si>
    <r>
      <rPr>
        <sz val="10"/>
        <color rgb="FFFF0000"/>
        <rFont val="Times New Roman"/>
        <family val="1"/>
        <charset val="204"/>
      </rPr>
      <t xml:space="preserve">строго_ИБ: </t>
    </r>
    <r>
      <rPr>
        <sz val="10"/>
        <color rgb="FF000000"/>
        <rFont val="Times New Roman"/>
        <family val="1"/>
        <charset val="204"/>
      </rPr>
      <t>Объем софинансирования со стороны</t>
    </r>
    <r>
      <rPr>
        <b/>
        <sz val="10"/>
        <color rgb="FF000000"/>
        <rFont val="Times New Roman"/>
        <family val="1"/>
        <charset val="204"/>
      </rPr>
      <t xml:space="preserve"> граждан</t>
    </r>
    <r>
      <rPr>
        <sz val="10"/>
        <color rgb="FF000000"/>
        <rFont val="Times New Roman"/>
        <family val="1"/>
        <charset val="204"/>
      </rPr>
      <t xml:space="preserve"> на реализацию проектов (млн. руб.)</t>
    </r>
  </si>
  <si>
    <r>
      <rPr>
        <sz val="10"/>
        <color rgb="FFFF0000"/>
        <rFont val="Times New Roman"/>
        <family val="1"/>
        <charset val="204"/>
      </rPr>
      <t xml:space="preserve">строго_ИБ: </t>
    </r>
    <r>
      <rPr>
        <sz val="10"/>
        <color rgb="FF000000"/>
        <rFont val="Times New Roman"/>
        <family val="1"/>
        <charset val="204"/>
      </rPr>
      <t>Объем софинансирования со стороны индивидуальных предпринимателей и ю</t>
    </r>
    <r>
      <rPr>
        <b/>
        <sz val="10"/>
        <color rgb="FF000000"/>
        <rFont val="Times New Roman"/>
        <family val="1"/>
        <charset val="204"/>
      </rPr>
      <t>ридических лиц</t>
    </r>
    <r>
      <rPr>
        <sz val="10"/>
        <color rgb="FF000000"/>
        <rFont val="Times New Roman"/>
        <family val="1"/>
        <charset val="204"/>
      </rPr>
      <t xml:space="preserve"> на реализацию проектов  (млн. руб.)</t>
    </r>
  </si>
  <si>
    <r>
      <rPr>
        <sz val="10"/>
        <color rgb="FFFF0000"/>
        <rFont val="Times New Roman"/>
        <family val="1"/>
        <charset val="204"/>
      </rPr>
      <t xml:space="preserve">строго_ИБ: </t>
    </r>
    <r>
      <rPr>
        <sz val="10"/>
        <color rgb="FF000000"/>
        <rFont val="Times New Roman"/>
        <family val="1"/>
        <charset val="204"/>
      </rPr>
      <t xml:space="preserve">Объем </t>
    </r>
    <r>
      <rPr>
        <b/>
        <sz val="10"/>
        <color rgb="FF000000"/>
        <rFont val="Times New Roman"/>
        <family val="1"/>
        <charset val="204"/>
      </rPr>
      <t>иных форм</t>
    </r>
    <r>
      <rPr>
        <sz val="10"/>
        <color rgb="FF000000"/>
        <rFont val="Times New Roman"/>
        <family val="1"/>
        <charset val="204"/>
      </rPr>
      <t xml:space="preserve"> софинансирования (фонды депутатов, гранты, благотворительные фонды и др.), если таковые были предусмотрены (млн. руб.)</t>
    </r>
  </si>
  <si>
    <r>
      <rPr>
        <sz val="10"/>
        <color rgb="FFFF0000"/>
        <rFont val="Times New Roman"/>
        <family val="1"/>
        <charset val="204"/>
      </rPr>
      <t xml:space="preserve">строго_ИБ: </t>
    </r>
    <r>
      <rPr>
        <sz val="10"/>
        <color rgb="FF000000"/>
        <rFont val="Times New Roman"/>
        <family val="1"/>
        <charset val="204"/>
      </rPr>
      <t xml:space="preserve">Общий объем </t>
    </r>
    <r>
      <rPr>
        <b/>
        <sz val="10"/>
        <color rgb="FF000000"/>
        <rFont val="Times New Roman"/>
        <family val="1"/>
        <charset val="204"/>
      </rPr>
      <t>софинансирования из внебюджетных источников</t>
    </r>
    <r>
      <rPr>
        <sz val="10"/>
        <color rgb="FF000000"/>
        <rFont val="Times New Roman"/>
        <family val="1"/>
        <charset val="204"/>
      </rPr>
      <t xml:space="preserve"> (со стороны граждан, ИП и юрлиц, иных форм) (млн.руб.)</t>
    </r>
  </si>
  <si>
    <r>
      <rPr>
        <sz val="10"/>
        <color rgb="FFFF0000"/>
        <rFont val="Times New Roman"/>
        <family val="1"/>
        <charset val="204"/>
      </rPr>
      <t xml:space="preserve">строго_ИБ: </t>
    </r>
    <r>
      <rPr>
        <sz val="10"/>
        <color rgb="FF000000"/>
        <rFont val="Times New Roman"/>
        <family val="1"/>
        <charset val="204"/>
      </rPr>
      <t>Объем внебюджетных средств (софинансирование граждан, юрлиц и иных форм) на 1 руб. ассигнований из бюджета субъекта РФ</t>
    </r>
  </si>
  <si>
    <r>
      <rPr>
        <sz val="10"/>
        <color rgb="FFFF0000"/>
        <rFont val="Times New Roman"/>
        <family val="1"/>
        <charset val="204"/>
      </rPr>
      <t xml:space="preserve">строго_ИБ: </t>
    </r>
    <r>
      <rPr>
        <sz val="10"/>
        <color rgb="FF000000"/>
        <rFont val="Times New Roman"/>
        <family val="1"/>
        <charset val="204"/>
      </rPr>
      <t xml:space="preserve">Объем субсидий из </t>
    </r>
    <r>
      <rPr>
        <b/>
        <sz val="10"/>
        <color rgb="FF000000"/>
        <rFont val="Times New Roman"/>
        <family val="1"/>
        <charset val="204"/>
      </rPr>
      <t>федерального</t>
    </r>
    <r>
      <rPr>
        <sz val="10"/>
        <color rgb="FF000000"/>
        <rFont val="Times New Roman"/>
        <family val="1"/>
        <charset val="204"/>
      </rPr>
      <t xml:space="preserve"> бюджета, направленных на финансирование проектов(млн. руб.)</t>
    </r>
  </si>
  <si>
    <r>
      <rPr>
        <sz val="10"/>
        <color rgb="FFFF0000"/>
        <rFont val="Times New Roman"/>
        <family val="1"/>
        <charset val="204"/>
      </rPr>
      <t xml:space="preserve">строго_ИБ: </t>
    </r>
    <r>
      <rPr>
        <sz val="10"/>
        <color rgb="FF000000"/>
        <rFont val="Times New Roman"/>
        <family val="1"/>
        <charset val="204"/>
      </rPr>
      <t>Доля бюджетных ассигнований из бюджета субъекта РФ, направленных на реализацию проектов в общем объеме расходов бюджета субъекта РФ в исследуемом периоде</t>
    </r>
  </si>
  <si>
    <r>
      <rPr>
        <sz val="10"/>
        <color rgb="FFFF0000"/>
        <rFont val="Times New Roman"/>
        <family val="1"/>
        <charset val="204"/>
      </rPr>
      <t xml:space="preserve">строго_ИБ: </t>
    </r>
    <r>
      <rPr>
        <sz val="10"/>
        <color rgb="FF000000"/>
        <rFont val="Times New Roman"/>
        <family val="1"/>
        <charset val="204"/>
      </rPr>
      <t xml:space="preserve">Средний бюджет ИБ на 1 человека в субъекте РФ / Средний бюжет </t>
    </r>
    <r>
      <rPr>
        <sz val="10"/>
        <color rgb="FFFF0000"/>
        <rFont val="Times New Roman"/>
        <family val="1"/>
        <charset val="204"/>
      </rPr>
      <t>(</t>
    </r>
    <r>
      <rPr>
        <i/>
        <sz val="10"/>
        <color rgb="FFFF0000"/>
        <rFont val="Times New Roman"/>
        <family val="1"/>
        <charset val="204"/>
      </rPr>
      <t>среди субъектов, где имеются практики ИБ+смежные)</t>
    </r>
  </si>
  <si>
    <r>
      <rPr>
        <sz val="10"/>
        <color rgb="FFFF0000"/>
        <rFont val="Times New Roman"/>
        <family val="1"/>
        <charset val="204"/>
      </rPr>
      <t xml:space="preserve">строго_ИБ: </t>
    </r>
    <r>
      <rPr>
        <sz val="10"/>
        <color rgb="FF000000"/>
        <rFont val="Times New Roman"/>
        <family val="1"/>
        <charset val="204"/>
      </rPr>
      <t>Средний бюджет ИБ на 1 человека в РФ (</t>
    </r>
    <r>
      <rPr>
        <i/>
        <sz val="10"/>
        <color rgb="FF000000"/>
        <rFont val="Times New Roman"/>
        <family val="1"/>
        <charset val="204"/>
      </rPr>
      <t>в целом на все население РФ)</t>
    </r>
  </si>
  <si>
    <r>
      <rPr>
        <sz val="10"/>
        <color rgb="FFFF0000"/>
        <rFont val="Times New Roman"/>
        <family val="1"/>
        <charset val="204"/>
      </rPr>
      <t xml:space="preserve">строго_ИБ: </t>
    </r>
    <r>
      <rPr>
        <sz val="10"/>
        <color rgb="FF000000"/>
        <rFont val="Times New Roman"/>
        <family val="1"/>
        <charset val="204"/>
      </rPr>
      <t>Объем бюджетных ассигнований из бюджета субъекта РФ, которые запланированы на реализацию проектов в следующем году (в 2019 г.)</t>
    </r>
  </si>
  <si>
    <r>
      <rPr>
        <sz val="10"/>
        <color rgb="FFFF0000"/>
        <rFont val="Times New Roman"/>
        <family val="1"/>
        <charset val="204"/>
      </rPr>
      <t xml:space="preserve">строго_ИБ: </t>
    </r>
    <r>
      <rPr>
        <sz val="10"/>
        <color rgb="FF000000"/>
        <rFont val="Times New Roman"/>
        <family val="1"/>
        <charset val="204"/>
      </rPr>
      <t>Доля указанных бюджетных средств в общем объеме расходов бюджета субъекта РФ на 2018 год</t>
    </r>
  </si>
  <si>
    <r>
      <rPr>
        <sz val="10"/>
        <color rgb="FFFF0000"/>
        <rFont val="Times New Roman"/>
        <family val="1"/>
        <charset val="204"/>
      </rPr>
      <t xml:space="preserve">строго_ИБ: </t>
    </r>
    <r>
      <rPr>
        <sz val="10"/>
        <color rgb="FF000000"/>
        <rFont val="Times New Roman"/>
        <family val="1"/>
        <charset val="204"/>
      </rPr>
      <t>(1) Водоснабжение, водоотведение</t>
    </r>
  </si>
  <si>
    <r>
      <rPr>
        <sz val="10"/>
        <color rgb="FFFF0000"/>
        <rFont val="Times New Roman"/>
        <family val="1"/>
        <charset val="204"/>
      </rPr>
      <t xml:space="preserve">строго_ИБ: </t>
    </r>
    <r>
      <rPr>
        <sz val="10"/>
        <color rgb="FF000000"/>
        <rFont val="Times New Roman"/>
        <family val="1"/>
        <charset val="204"/>
      </rPr>
      <t>(2) Автомобильные дороги</t>
    </r>
  </si>
  <si>
    <r>
      <rPr>
        <sz val="10"/>
        <color rgb="FFFF0000"/>
        <rFont val="Times New Roman"/>
        <family val="1"/>
        <charset val="204"/>
      </rPr>
      <t xml:space="preserve">строго_ИБ: </t>
    </r>
    <r>
      <rPr>
        <sz val="10"/>
        <color rgb="FF000000"/>
        <rFont val="Times New Roman"/>
        <family val="1"/>
        <charset val="204"/>
      </rPr>
      <t>(3) Уличное освещение</t>
    </r>
  </si>
  <si>
    <r>
      <rPr>
        <sz val="10"/>
        <color rgb="FFFF0000"/>
        <rFont val="Times New Roman"/>
        <family val="1"/>
        <charset val="204"/>
      </rPr>
      <t xml:space="preserve">строго_ИБ: </t>
    </r>
    <r>
      <rPr>
        <sz val="10"/>
        <color rgb="FF000000"/>
        <rFont val="Times New Roman"/>
        <family val="1"/>
        <charset val="204"/>
      </rPr>
      <t>(4) Пожарная безопасность</t>
    </r>
  </si>
  <si>
    <r>
      <rPr>
        <sz val="10"/>
        <color rgb="FFFF0000"/>
        <rFont val="Times New Roman"/>
        <family val="1"/>
        <charset val="204"/>
      </rPr>
      <t xml:space="preserve">строго_ИБ: </t>
    </r>
    <r>
      <rPr>
        <sz val="10"/>
        <color rgb="FF000000"/>
        <rFont val="Times New Roman"/>
        <family val="1"/>
        <charset val="204"/>
      </rPr>
      <t>(5) Обеспечение жителей услугами бытового обслуживания</t>
    </r>
  </si>
  <si>
    <r>
      <rPr>
        <sz val="10"/>
        <color rgb="FFFF0000"/>
        <rFont val="Times New Roman"/>
        <family val="1"/>
        <charset val="204"/>
      </rPr>
      <t xml:space="preserve">строго_ИБ: </t>
    </r>
    <r>
      <rPr>
        <sz val="10"/>
        <color rgb="FF000000"/>
        <rFont val="Times New Roman"/>
        <family val="1"/>
        <charset val="204"/>
      </rPr>
      <t>(6) Культурное наследие (памятники, музеи)</t>
    </r>
  </si>
  <si>
    <r>
      <rPr>
        <sz val="10"/>
        <color rgb="FFFF0000"/>
        <rFont val="Times New Roman"/>
        <family val="1"/>
        <charset val="204"/>
      </rPr>
      <t xml:space="preserve">строго_ИБ: </t>
    </r>
    <r>
      <rPr>
        <sz val="10"/>
        <color rgb="FF000000"/>
        <rFont val="Times New Roman"/>
        <family val="1"/>
        <charset val="204"/>
      </rPr>
      <t>(7) Образование</t>
    </r>
  </si>
  <si>
    <r>
      <rPr>
        <sz val="10"/>
        <color rgb="FFFF0000"/>
        <rFont val="Times New Roman"/>
        <family val="1"/>
        <charset val="204"/>
      </rPr>
      <t xml:space="preserve">строго_ИБ: </t>
    </r>
    <r>
      <rPr>
        <sz val="10"/>
        <color rgb="FF000000"/>
        <rFont val="Times New Roman"/>
        <family val="1"/>
        <charset val="204"/>
      </rPr>
      <t>Проекты в сфере культуры, библиотечного дела, ремонт домов культуры</t>
    </r>
  </si>
  <si>
    <r>
      <rPr>
        <sz val="10"/>
        <color rgb="FFFF0000"/>
        <rFont val="Times New Roman"/>
        <family val="1"/>
        <charset val="204"/>
      </rPr>
      <t xml:space="preserve">строго_ИБ: </t>
    </r>
    <r>
      <rPr>
        <sz val="10"/>
        <color rgb="FF000000"/>
        <rFont val="Times New Roman"/>
        <family val="1"/>
        <charset val="204"/>
      </rPr>
      <t>(8) Физическая культура и массовый спорт</t>
    </r>
  </si>
  <si>
    <r>
      <rPr>
        <sz val="10"/>
        <color rgb="FFFF0000"/>
        <rFont val="Times New Roman"/>
        <family val="1"/>
        <charset val="204"/>
      </rPr>
      <t xml:space="preserve">строго_ИБ: </t>
    </r>
    <r>
      <rPr>
        <sz val="10"/>
        <color rgb="FF000000"/>
        <rFont val="Times New Roman"/>
        <family val="1"/>
        <charset val="204"/>
      </rPr>
      <t>Проекты комплексного благоустройства дворов</t>
    </r>
  </si>
  <si>
    <r>
      <rPr>
        <sz val="10"/>
        <color rgb="FFFF0000"/>
        <rFont val="Times New Roman"/>
        <family val="1"/>
        <charset val="204"/>
      </rPr>
      <t xml:space="preserve">строго_ИБ: </t>
    </r>
    <r>
      <rPr>
        <sz val="10"/>
        <color rgb="FF000000"/>
        <rFont val="Times New Roman"/>
        <family val="1"/>
        <charset val="204"/>
      </rPr>
      <t>(9) Детские игровые площадки</t>
    </r>
  </si>
  <si>
    <r>
      <rPr>
        <sz val="10"/>
        <color rgb="FFFF0000"/>
        <rFont val="Times New Roman"/>
        <family val="1"/>
        <charset val="204"/>
      </rPr>
      <t xml:space="preserve">строго_ИБ: </t>
    </r>
    <r>
      <rPr>
        <sz val="10"/>
        <color rgb="FF000000"/>
        <rFont val="Times New Roman"/>
        <family val="1"/>
        <charset val="204"/>
      </rPr>
      <t>(10) Места массового отдыха населения и объекты организации благоустройства</t>
    </r>
  </si>
  <si>
    <r>
      <rPr>
        <sz val="10"/>
        <color rgb="FFFF0000"/>
        <rFont val="Times New Roman"/>
        <family val="1"/>
        <charset val="204"/>
      </rPr>
      <t xml:space="preserve">строго_ИБ: </t>
    </r>
    <r>
      <rPr>
        <sz val="10"/>
        <color rgb="FF000000"/>
        <rFont val="Times New Roman"/>
        <family val="1"/>
        <charset val="204"/>
      </rPr>
      <t>(11) Места захоронений</t>
    </r>
  </si>
  <si>
    <r>
      <rPr>
        <sz val="10"/>
        <color rgb="FFFF0000"/>
        <rFont val="Times New Roman"/>
        <family val="1"/>
        <charset val="204"/>
      </rPr>
      <t xml:space="preserve">строго_ИБ: </t>
    </r>
    <r>
      <rPr>
        <sz val="10"/>
        <color rgb="FF000000"/>
        <rFont val="Times New Roman"/>
        <family val="1"/>
        <charset val="204"/>
      </rPr>
      <t>(12) Сбор твердых коммунальных/бытовых отходов и мусора</t>
    </r>
  </si>
  <si>
    <r>
      <rPr>
        <sz val="10"/>
        <color rgb="FFFF0000"/>
        <rFont val="Times New Roman"/>
        <family val="1"/>
        <charset val="204"/>
      </rPr>
      <t xml:space="preserve">строго_ИБ: </t>
    </r>
    <r>
      <rPr>
        <sz val="10"/>
        <color rgb="FF000000"/>
        <rFont val="Times New Roman"/>
        <family val="1"/>
        <charset val="204"/>
      </rPr>
      <t>(13) Событийные проекты (праздники, фестивали)</t>
    </r>
  </si>
  <si>
    <r>
      <rPr>
        <sz val="10"/>
        <color rgb="FFFF0000"/>
        <rFont val="Times New Roman"/>
        <family val="1"/>
        <charset val="204"/>
      </rPr>
      <t xml:space="preserve">строго_ИБ: </t>
    </r>
    <r>
      <rPr>
        <sz val="10"/>
        <color rgb="FF000000"/>
        <rFont val="Times New Roman"/>
        <family val="1"/>
        <charset val="204"/>
      </rPr>
      <t>(14) ЖКХ (ремонт фасадов и кровли), организация теплоснабжения, канализации, газопроводов</t>
    </r>
  </si>
  <si>
    <r>
      <rPr>
        <sz val="10"/>
        <color rgb="FFFF0000"/>
        <rFont val="Times New Roman"/>
        <family val="1"/>
        <charset val="204"/>
      </rPr>
      <t xml:space="preserve">строго_ИБ: </t>
    </r>
    <r>
      <rPr>
        <sz val="10"/>
        <color rgb="FF000000"/>
        <rFont val="Times New Roman"/>
        <family val="1"/>
        <charset val="204"/>
      </rPr>
      <t>(15) Крупные инфраструктурные проекты (мосты, плотины, благоустройство водоемов)</t>
    </r>
  </si>
  <si>
    <r>
      <rPr>
        <sz val="10"/>
        <color rgb="FFFF0000"/>
        <rFont val="Times New Roman"/>
        <family val="1"/>
        <charset val="204"/>
      </rPr>
      <t xml:space="preserve">строго_ИБ: </t>
    </r>
    <r>
      <rPr>
        <sz val="10"/>
        <color rgb="FF000000"/>
        <rFont val="Times New Roman"/>
        <family val="1"/>
        <charset val="204"/>
      </rPr>
      <t>(16) Приобретение оборудования, техники, транспорта</t>
    </r>
  </si>
  <si>
    <r>
      <rPr>
        <sz val="10"/>
        <color rgb="FFFF0000"/>
        <rFont val="Times New Roman"/>
        <family val="1"/>
        <charset val="204"/>
      </rPr>
      <t xml:space="preserve">строго_ИБ: </t>
    </r>
    <r>
      <rPr>
        <sz val="10"/>
        <color rgb="FF000000"/>
        <rFont val="Times New Roman"/>
        <family val="1"/>
        <charset val="204"/>
      </rPr>
      <t>Проекты, направленные на уязвимые социальные группы и граждан с ограниченными возможностями</t>
    </r>
  </si>
  <si>
    <r>
      <rPr>
        <sz val="10"/>
        <color rgb="FFFF0000"/>
        <rFont val="Times New Roman"/>
        <family val="1"/>
        <charset val="204"/>
      </rPr>
      <t xml:space="preserve">строго_ИБ: </t>
    </r>
    <r>
      <rPr>
        <sz val="10"/>
        <color rgb="FF000000"/>
        <rFont val="Times New Roman"/>
        <family val="1"/>
        <charset val="204"/>
      </rPr>
      <t>(17) Другое (объединенный показатель)</t>
    </r>
  </si>
  <si>
    <r>
      <rPr>
        <sz val="10"/>
        <color rgb="FFFF0000"/>
        <rFont val="Times New Roman"/>
        <family val="1"/>
        <charset val="204"/>
      </rPr>
      <t xml:space="preserve">строго_ИБ: </t>
    </r>
    <r>
      <rPr>
        <sz val="10"/>
        <color rgb="FF000000"/>
        <rFont val="Times New Roman"/>
        <family val="1"/>
        <charset val="204"/>
      </rPr>
      <t xml:space="preserve">Общее количество реализованных проектов  </t>
    </r>
    <r>
      <rPr>
        <i/>
        <sz val="10"/>
        <color rgb="FF000000"/>
        <rFont val="Times New Roman"/>
        <family val="1"/>
        <charset val="204"/>
      </rPr>
      <t>(включая те, завершение которых было перенесено на 2019 г.)</t>
    </r>
  </si>
  <si>
    <r>
      <rPr>
        <sz val="10"/>
        <color rgb="FFFF0000"/>
        <rFont val="Times New Roman"/>
        <family val="1"/>
        <charset val="204"/>
      </rPr>
      <t xml:space="preserve">строго_ИБ: </t>
    </r>
    <r>
      <rPr>
        <sz val="10"/>
        <color rgb="FF000000"/>
        <rFont val="Times New Roman"/>
        <family val="1"/>
        <charset val="204"/>
      </rPr>
      <t>Средняя стоимость одного реализованного проекта (включая те, завершение которых перенесено на 2018 г.) (млн.руб.)</t>
    </r>
  </si>
  <si>
    <r>
      <rPr>
        <sz val="10"/>
        <color rgb="FFFF0000"/>
        <rFont val="Times New Roman"/>
        <family val="1"/>
        <charset val="204"/>
      </rPr>
      <t xml:space="preserve">строго_ИБ: </t>
    </r>
    <r>
      <rPr>
        <sz val="10"/>
        <color rgb="FF000000"/>
        <rFont val="Times New Roman"/>
        <family val="1"/>
        <charset val="204"/>
      </rPr>
      <t>Средний размер субсидии из бюджета субъекта на один реализованный проект (млн.руб.)</t>
    </r>
  </si>
  <si>
    <r>
      <rPr>
        <sz val="10"/>
        <color rgb="FFFF0000"/>
        <rFont val="Times New Roman"/>
        <family val="1"/>
        <charset val="204"/>
      </rPr>
      <t xml:space="preserve">строго_ИБ: </t>
    </r>
    <r>
      <rPr>
        <sz val="10"/>
        <color rgb="FF000000"/>
        <rFont val="Times New Roman"/>
        <family val="1"/>
        <charset val="204"/>
      </rPr>
      <t>Средний размер внебюджетной поддержки на один реализованный проект (млн.руб.)</t>
    </r>
  </si>
  <si>
    <r>
      <rPr>
        <sz val="10"/>
        <color rgb="FFFF0000"/>
        <rFont val="Times New Roman"/>
        <family val="1"/>
        <charset val="204"/>
      </rPr>
      <t xml:space="preserve">строго_ИБ: </t>
    </r>
    <r>
      <rPr>
        <sz val="10"/>
        <color rgb="FF000000"/>
        <rFont val="Times New Roman"/>
        <family val="1"/>
        <charset val="204"/>
      </rPr>
      <t>Практики широкого спектра (обеспечена возможность выбора из широкого перечня возможных проектов (вопросы местного значения))</t>
    </r>
  </si>
  <si>
    <r>
      <rPr>
        <sz val="10"/>
        <color rgb="FFFF0000"/>
        <rFont val="Times New Roman"/>
        <family val="1"/>
        <charset val="204"/>
      </rPr>
      <t xml:space="preserve">строго_ИБ: </t>
    </r>
    <r>
      <rPr>
        <sz val="10"/>
        <color rgb="FF000000"/>
        <rFont val="Times New Roman"/>
        <family val="1"/>
        <charset val="204"/>
      </rPr>
      <t>Практики узкого спектра (обеспечена возможность выбора из ограниченного перечня возможных проектов (2-3 типа проектов))</t>
    </r>
  </si>
  <si>
    <r>
      <rPr>
        <sz val="10"/>
        <color rgb="FFFF0000"/>
        <rFont val="Times New Roman"/>
        <family val="1"/>
        <charset val="204"/>
      </rPr>
      <t xml:space="preserve">строго_ИБ: </t>
    </r>
    <r>
      <rPr>
        <sz val="10"/>
        <color rgb="FF000000"/>
        <rFont val="Times New Roman"/>
        <family val="1"/>
        <charset val="204"/>
      </rPr>
      <t>Специализированные практики (без возможности выбора из разных типов проектов (предусматривающая 1 тип проектов))</t>
    </r>
  </si>
  <si>
    <r>
      <rPr>
        <sz val="10"/>
        <color rgb="FFFF0000"/>
        <rFont val="Times New Roman"/>
        <family val="1"/>
        <charset val="204"/>
      </rPr>
      <t xml:space="preserve">строго_ИБ: </t>
    </r>
    <r>
      <rPr>
        <sz val="10"/>
        <color rgb="FF000000"/>
        <rFont val="Times New Roman"/>
        <family val="1"/>
        <charset val="204"/>
      </rPr>
      <t>(9.1.) Количество проектных идей (предложений)</t>
    </r>
  </si>
  <si>
    <r>
      <rPr>
        <sz val="10"/>
        <color rgb="FFFF0000"/>
        <rFont val="Times New Roman"/>
        <family val="1"/>
        <charset val="204"/>
      </rPr>
      <t xml:space="preserve">строго_ИБ: </t>
    </r>
    <r>
      <rPr>
        <sz val="10"/>
        <color rgb="FF000000"/>
        <rFont val="Times New Roman"/>
        <family val="1"/>
        <charset val="204"/>
      </rPr>
      <t xml:space="preserve">(9.2.) Количество одобренных гражданами проектных заявок, прошедших технический анализ и зарегистрированных для участия в конкурсных процедурах </t>
    </r>
  </si>
  <si>
    <r>
      <rPr>
        <sz val="10"/>
        <color rgb="FFFF0000"/>
        <rFont val="Times New Roman"/>
        <family val="1"/>
        <charset val="204"/>
      </rPr>
      <t xml:space="preserve">строго_ИБ: </t>
    </r>
    <r>
      <rPr>
        <sz val="10"/>
        <color rgb="FF000000"/>
        <rFont val="Times New Roman"/>
        <family val="1"/>
        <charset val="204"/>
      </rPr>
      <t>(9.3.) Количество заявок-победителей, которые прошли конкурсный отбор</t>
    </r>
  </si>
  <si>
    <r>
      <rPr>
        <sz val="10"/>
        <color rgb="FFFF0000"/>
        <rFont val="Times New Roman"/>
        <family val="1"/>
        <charset val="204"/>
      </rPr>
      <t xml:space="preserve">строго_ИБ: </t>
    </r>
    <r>
      <rPr>
        <sz val="10"/>
        <color rgb="FF000000"/>
        <rFont val="Times New Roman"/>
        <family val="1"/>
        <charset val="204"/>
      </rPr>
      <t>Доля зарегиистрированных заявок от общего количества проектных идей (предложений) (9.2. / 9.1.)</t>
    </r>
  </si>
  <si>
    <r>
      <rPr>
        <sz val="10"/>
        <color rgb="FFFF0000"/>
        <rFont val="Times New Roman"/>
        <family val="1"/>
        <charset val="204"/>
      </rPr>
      <t xml:space="preserve">строго_ИБ: </t>
    </r>
    <r>
      <rPr>
        <sz val="10"/>
        <color rgb="FF000000"/>
        <rFont val="Times New Roman"/>
        <family val="1"/>
        <charset val="204"/>
      </rPr>
      <t>Доля заявок-победителей от количества зарегистрированных заявок (9.3. / 9.2.)</t>
    </r>
  </si>
  <si>
    <r>
      <rPr>
        <sz val="10"/>
        <color rgb="FFFF0000"/>
        <rFont val="Times New Roman"/>
        <family val="1"/>
        <charset val="204"/>
      </rPr>
      <t xml:space="preserve">строго_ИБ: </t>
    </r>
    <r>
      <rPr>
        <sz val="10"/>
        <color rgb="FF000000"/>
        <rFont val="Times New Roman"/>
        <family val="1"/>
        <charset val="204"/>
      </rPr>
      <t>Доля заявок-победителей от количества проектных идей (предложений) (9.3. / 9.1.)</t>
    </r>
  </si>
  <si>
    <r>
      <rPr>
        <sz val="10"/>
        <color rgb="FFFF0000"/>
        <rFont val="Times New Roman"/>
        <family val="1"/>
        <charset val="204"/>
      </rPr>
      <t xml:space="preserve">строго_ИБ: </t>
    </r>
    <r>
      <rPr>
        <sz val="10"/>
        <color rgb="FF000000"/>
        <rFont val="Times New Roman"/>
        <family val="1"/>
        <charset val="204"/>
      </rPr>
      <t>Количество благополучателей</t>
    </r>
  </si>
  <si>
    <r>
      <rPr>
        <sz val="10"/>
        <color rgb="FFFF0000"/>
        <rFont val="Times New Roman"/>
        <family val="1"/>
        <charset val="204"/>
      </rPr>
      <t xml:space="preserve">строго_ИБ: </t>
    </r>
    <r>
      <rPr>
        <sz val="10"/>
        <color rgb="FF000000"/>
        <rFont val="Times New Roman"/>
        <family val="1"/>
        <charset val="204"/>
      </rPr>
      <t>Доля благополучателей от общего количества граждан, проживающих в субъекте РФ (%)  / Средняя доля благополучателей среди субъектов РФ</t>
    </r>
    <r>
      <rPr>
        <sz val="10"/>
        <color rgb="FFFF0000"/>
        <rFont val="Times New Roman"/>
        <family val="1"/>
        <charset val="204"/>
      </rPr>
      <t xml:space="preserve"> (</t>
    </r>
    <r>
      <rPr>
        <i/>
        <sz val="10"/>
        <color rgb="FFFF0000"/>
        <rFont val="Times New Roman"/>
        <family val="1"/>
        <charset val="204"/>
      </rPr>
      <t xml:space="preserve">где имеются </t>
    </r>
    <r>
      <rPr>
        <b/>
        <i/>
        <sz val="10"/>
        <color rgb="FFFF0000"/>
        <rFont val="Times New Roman"/>
        <family val="1"/>
        <charset val="204"/>
      </rPr>
      <t>строго_ИБ</t>
    </r>
    <r>
      <rPr>
        <i/>
        <sz val="10"/>
        <color rgb="FFFF0000"/>
        <rFont val="Times New Roman"/>
        <family val="1"/>
        <charset val="204"/>
      </rPr>
      <t xml:space="preserve"> практики)</t>
    </r>
  </si>
  <si>
    <r>
      <t>Средняя доля благополучателей</t>
    </r>
    <r>
      <rPr>
        <sz val="10"/>
        <color rgb="FFFF0000"/>
        <rFont val="Times New Roman"/>
        <family val="1"/>
        <charset val="204"/>
      </rPr>
      <t xml:space="preserve"> строго_ИБ </t>
    </r>
    <r>
      <rPr>
        <sz val="10"/>
        <rFont val="Times New Roman"/>
        <family val="1"/>
        <charset val="204"/>
      </rPr>
      <t xml:space="preserve">практик </t>
    </r>
    <r>
      <rPr>
        <sz val="10"/>
        <color rgb="FFFF0000"/>
        <rFont val="Times New Roman"/>
        <family val="1"/>
        <charset val="204"/>
      </rPr>
      <t>для населения РФ в целом</t>
    </r>
  </si>
  <si>
    <r>
      <rPr>
        <i/>
        <sz val="10"/>
        <color rgb="FFFF0000"/>
        <rFont val="Times New Roman"/>
        <family val="1"/>
        <charset val="204"/>
      </rPr>
      <t xml:space="preserve">строго_ИБ: </t>
    </r>
    <r>
      <rPr>
        <i/>
        <sz val="10"/>
        <color rgb="FF000000"/>
        <rFont val="Times New Roman"/>
        <family val="1"/>
        <charset val="204"/>
      </rPr>
      <t xml:space="preserve">Техническая переменная: Население субъектов РФ, </t>
    </r>
    <r>
      <rPr>
        <i/>
        <sz val="10"/>
        <color rgb="FFFF0000"/>
        <rFont val="Times New Roman"/>
        <family val="1"/>
        <charset val="204"/>
      </rPr>
      <t>где имеются строго_ИБ практики</t>
    </r>
    <r>
      <rPr>
        <i/>
        <sz val="10"/>
        <color rgb="FF000000"/>
        <rFont val="Times New Roman"/>
        <family val="1"/>
        <charset val="204"/>
      </rPr>
      <t xml:space="preserve"> (2018г., в среднем, Росстат) (тыс.чел.)</t>
    </r>
  </si>
  <si>
    <r>
      <t xml:space="preserve">Техническая переменная: РФ в целом (2018г., в среднем, Росстат) (тыс.чел.)
</t>
    </r>
    <r>
      <rPr>
        <i/>
        <sz val="10"/>
        <color rgb="FFFF0000"/>
        <rFont val="Times New Roman"/>
        <family val="1"/>
        <charset val="204"/>
      </rPr>
      <t>(СЧИТАЕТСЯ ВСЕ НАСЕЛЕНИЕ В ВОЗРАСТЕ 0+!!!! И По 2017 И ПО 2018 ГГ.)</t>
    </r>
  </si>
  <si>
    <t>Количество реализованных проектов (для 2018: включая проекты, реализация которых перенесена на 2019 год)</t>
  </si>
  <si>
    <t>9 260</t>
  </si>
  <si>
    <t>Таблица Типология реализованных проектов инициативного бюджетирования в субъектах Российской Федерации (инфографика) Для строго_ИБ практик</t>
  </si>
  <si>
    <r>
      <t xml:space="preserve">Проекты в сфере культуры, библиотечного дела, ремонт домов культуры </t>
    </r>
    <r>
      <rPr>
        <i/>
        <sz val="14"/>
        <color theme="1"/>
        <rFont val="Times New Roman"/>
        <family val="1"/>
        <charset val="204"/>
      </rPr>
      <t>(2017 г. - здесь же: "образовательные учреждения")</t>
    </r>
  </si>
  <si>
    <t>Таблица. Количество проектов, реализованных во всех субъектах РФ в 2015–2019 гг. (инфографика) Для строго_ИБ практик</t>
  </si>
  <si>
    <t>Таблица. Динамика финансовых показателей ИБ в 2015-2019 гг., млн руб. (инфографика) Для строго_ИБ практик</t>
  </si>
  <si>
    <t>Таблица. NEW Динамика  показателей бюджетного и внебюджетного финансирования ИБ в 2015-2019 гг., млн руб. (инфографика) Для строго_ИБ практик</t>
  </si>
  <si>
    <r>
      <t xml:space="preserve">Таблица. Динамика  </t>
    </r>
    <r>
      <rPr>
        <b/>
        <u/>
        <sz val="14"/>
        <color theme="1"/>
        <rFont val="Times New Roman"/>
        <family val="1"/>
        <charset val="204"/>
      </rPr>
      <t>долевого соотношени</t>
    </r>
    <r>
      <rPr>
        <b/>
        <sz val="14"/>
        <color theme="1"/>
        <rFont val="Times New Roman"/>
        <family val="1"/>
        <charset val="204"/>
      </rPr>
      <t>я бюджетного и внебюджетного финансирования ИБ в 2015-2019 гг., млн руб. (инфографика) Для строго_ИБ практик</t>
    </r>
  </si>
  <si>
    <r>
      <t xml:space="preserve">Таблица. Динамика </t>
    </r>
    <r>
      <rPr>
        <b/>
        <u/>
        <sz val="14"/>
        <color theme="1"/>
        <rFont val="Times New Roman"/>
        <family val="1"/>
        <charset val="204"/>
      </rPr>
      <t>долевого соотношения</t>
    </r>
    <r>
      <rPr>
        <b/>
        <sz val="14"/>
        <color theme="1"/>
        <rFont val="Times New Roman"/>
        <family val="1"/>
        <charset val="204"/>
      </rPr>
      <t xml:space="preserve"> финансовых показателей ИБ в 2015-2019 гг., (инфографика) Для строго_ИБ практик</t>
    </r>
  </si>
  <si>
    <t>Проект «Народный бюджет».
Проект «Народный бюджет-ТОС»</t>
  </si>
  <si>
    <t>Постановления мэрии города Череповца от:
- 30.03.2018 №1337 "О проекте "Народный бюджет-ТОС" (инициативы 2019 года);
- 18.06.2019 №2883 "О проекте "Народный бюджет-ТОС" (инициативы 2020 года)</t>
  </si>
  <si>
    <t>https://mayor.cherinfo.ru/decree/93833-postanovlenie-merii-goroda-cerepovca-ot-30032018-no-1337-o-proekte-narodnyj-budzet-tos;
https://mayor.cherinfo.ru/decree/102141-postanovlenie-merii-goroda-cerepovca-ot-18062019-no-2883-o-proekte-narodnyj-budzet-tos</t>
  </si>
  <si>
    <t>Мэрия города Череповца – организатор проекта</t>
  </si>
  <si>
    <t>Департамент жилищно-коммунального хозяйства мэрии города Череповца, комитет по физической культуре и спорту мэрии города Череповца, комитет по управлению имуществом города Череповца</t>
  </si>
  <si>
    <t>Субсидии; бюджетные инвестиции</t>
  </si>
  <si>
    <t xml:space="preserve">Количество жителей старше 16 лет, зарегистрированных на территории ТОС </t>
  </si>
  <si>
    <t>https://vologdastat.gks.ru/main_indicators по данным Вологдастат по состоянию на 01.01.2020 численность жителей - 314834 чел. Обновленные данные на указанном сайте будут размещены к 01.07.2020</t>
  </si>
  <si>
    <t>сбор проектных идей от жителей по утвержденной форме заявки на участие в проекте, направляемой председателем ТОС после согласований внутри ТОС</t>
  </si>
  <si>
    <t>25 ТОС</t>
  </si>
  <si>
    <t>Народное голосование</t>
  </si>
  <si>
    <t>https://mayor.cherinfo.ru/nb</t>
  </si>
  <si>
    <t>https://vk.com/tos_cher</t>
  </si>
  <si>
    <t>Информационная кампания об инициативах ТОС и Народном голосовании проводилась на официальном сайте мэрии города Череповца, через социальные сети, в СМИ</t>
  </si>
  <si>
    <t>Бюллетени с инициативами</t>
  </si>
  <si>
    <t>Проведение лекций по повышению финансовой грамотности на регулярной основе, количество и состав участников не ограничивается</t>
  </si>
  <si>
    <t>Куприянова Анна Алексеевна, заместитель начальника сводного бюджетного отдела финансового управления мэрии города Череповца;
Чумина Наталья Евгеньевна, начальник отдела по реализации общественных проектов управления по работе с общественностью мэрии города Череповца</t>
  </si>
  <si>
    <t>(8202) 57 71 10 (Куприянова А.А.);
(8202) 57 51 69 (Чумина Н.Е.)</t>
  </si>
  <si>
    <t>kupriyanova.aa@cherepovetscity.ru;
n_chumina@cherepovetscity.ru</t>
  </si>
  <si>
    <t>Коновалова Екатерина Александровна, ведущий консультант управления бюджета и межбюджетных отношений Департамента финансов области</t>
  </si>
  <si>
    <t>город Вологда</t>
  </si>
  <si>
    <t>Народный бюджет - ТОС</t>
  </si>
  <si>
    <t xml:space="preserve">Постановление Администрации города Вологды от 25 октября 2018 года № 1358 «О реализации социально значимого проекта «Народный бюджет» (с Положением о проекте) 
</t>
  </si>
  <si>
    <t>http://www.consultant.ru/regbase/cgi/online.cgi?req=doc&amp;base=RLAW095&amp;n=160367&amp;dst=#0463841300311135</t>
  </si>
  <si>
    <t>Администрация города Вологды</t>
  </si>
  <si>
    <t>Оплата услуг подрядных организаций</t>
  </si>
  <si>
    <t>Подрядные организации</t>
  </si>
  <si>
    <t>количество жителей в возрасте от 16 лет, проживавющих в границах ТОС - участников проекта</t>
  </si>
  <si>
    <t>http://vologda-portal.ru/oficialnaya_vologda/index.php?SECTION_ID=8722</t>
  </si>
  <si>
    <t>http://vologda-portal.ru/novosti/index.php?ID=402720&amp;SECTION_ID=151</t>
  </si>
  <si>
    <t>__</t>
  </si>
  <si>
    <t>проведение культурно- массовых и спортивных мероприятий на площадках, построенных в рамках проекта, субботники, акции по озеленинению и благоустройству</t>
  </si>
  <si>
    <t>https://vk.com/narodniybudget</t>
  </si>
  <si>
    <t>рабочие совещания</t>
  </si>
  <si>
    <t>Санкина Анна Владимировна, начальник Управления информации и общественных связей Администрации города Вологды</t>
  </si>
  <si>
    <t>(8172) 72-48-14</t>
  </si>
  <si>
    <t>uios@vologda-city.ru</t>
  </si>
  <si>
    <t>Наместникова Елена Юрьевна -начальник отдела расходов Департамента финансов Администрации города Вологды</t>
  </si>
  <si>
    <t>72 58 29</t>
  </si>
  <si>
    <t>Namestnikova.Elena@vologda-city.ru</t>
  </si>
  <si>
    <t>Проект «Народный бюджет»
Проект «Народный бюджет-ТОС»</t>
  </si>
  <si>
    <t>Итого: (считается автоматически)</t>
  </si>
  <si>
    <t xml:space="preserve">Государственная программа Воронежской области "Содействие развитию муниципальных образований и местного самоуправления", 
подпрограмма "Реализация государственной политики в сфере социально-экономического развития муниципальных образований", 
Основное мероприятие 1.4 "Реализация проектов местных инициатив", 
Мероприятие 1.4.1." Проведение ежегодного конкурсного отбора проектов по поддержке местных инициатив и их реализация"
</t>
  </si>
  <si>
    <t>Главный специалист-экономист комитета методологии и бюджетной политики Департамента финансов Томской области
Козырева Юлия Каримовна</t>
  </si>
  <si>
    <r>
      <rPr>
        <u/>
        <sz val="10"/>
        <color rgb="FF000000"/>
        <rFont val="Times New Roman"/>
        <family val="1"/>
        <charset val="204"/>
      </rPr>
      <t>государственная программа Воронежской област</t>
    </r>
    <r>
      <rPr>
        <sz val="10"/>
        <color rgb="FF000000"/>
        <rFont val="Times New Roman"/>
        <family val="1"/>
        <charset val="204"/>
      </rPr>
      <t xml:space="preserve">и «Содействие развитию муниципальных образований и местного самоуправления» 
</t>
    </r>
    <r>
      <rPr>
        <u/>
        <sz val="10"/>
        <color rgb="FF000000"/>
        <rFont val="Times New Roman"/>
        <family val="1"/>
        <charset val="204"/>
      </rPr>
      <t>подпрограмма 1</t>
    </r>
    <r>
      <rPr>
        <sz val="10"/>
        <color rgb="FF000000"/>
        <rFont val="Times New Roman"/>
        <family val="1"/>
        <charset val="204"/>
      </rPr>
      <t xml:space="preserve"> «Реализация государственной политики в сфере социально-экономического развития муниципальных образований»
</t>
    </r>
    <r>
      <rPr>
        <u/>
        <sz val="10"/>
        <color rgb="FF000000"/>
        <rFont val="Times New Roman"/>
        <family val="1"/>
        <charset val="204"/>
      </rPr>
      <t>основное мероприятие 1.1</t>
    </r>
    <r>
      <rPr>
        <sz val="10"/>
        <color rgb="FF000000"/>
        <rFont val="Times New Roman"/>
        <family val="1"/>
        <charset val="204"/>
      </rPr>
      <t xml:space="preserve">. «Повышение эффективности деятельности органов местного самоуправления» 
</t>
    </r>
    <r>
      <rPr>
        <u/>
        <sz val="10"/>
        <color rgb="FF000000"/>
        <rFont val="Times New Roman"/>
        <family val="1"/>
        <charset val="204"/>
      </rPr>
      <t>мероприятие 1.1.4</t>
    </r>
    <r>
      <rPr>
        <sz val="10"/>
        <color rgb="FF000000"/>
        <rFont val="Times New Roman"/>
        <family val="1"/>
        <charset val="204"/>
      </rPr>
      <t xml:space="preserve"> «Поощрение проектов, реализуемых в рамках территориального общественного самоуправления в муниципальных образованиях Воронежской области»</t>
    </r>
  </si>
  <si>
    <r>
      <t xml:space="preserve">1) Постановление Правительства Нижегородской области "О реализации на территории Нижегородской области пилотного проекта по поддержке местных инициатив" </t>
    </r>
    <r>
      <rPr>
        <u/>
        <sz val="10"/>
        <color rgb="FF000000"/>
        <rFont val="Times New Roman"/>
        <family val="1"/>
        <charset val="204"/>
      </rPr>
      <t>(документ утратил силу)</t>
    </r>
    <r>
      <rPr>
        <sz val="10"/>
        <color rgb="FF000000"/>
        <rFont val="Times New Roman"/>
        <family val="1"/>
        <charset val="204"/>
      </rPr>
      <t xml:space="preserve">;
2) Постановление Правительства Нижегородской области "О реализации на территории Нижегородской области проекта по поддержке местных инициатив"
</t>
    </r>
  </si>
  <si>
    <r>
      <t xml:space="preserve">1) от 21.02.2013 № 97 </t>
    </r>
    <r>
      <rPr>
        <u/>
        <sz val="10"/>
        <color rgb="FF000000"/>
        <rFont val="Times New Roman"/>
        <family val="1"/>
        <charset val="204"/>
      </rPr>
      <t>(утратил силу с 22.12.2017)</t>
    </r>
    <r>
      <rPr>
        <sz val="10"/>
        <color rgb="FF000000"/>
        <rFont val="Times New Roman"/>
        <family val="1"/>
        <charset val="204"/>
      </rPr>
      <t>;
2) от 22.12.2017 № 945 (вступление в силу - 22.12.2017)</t>
    </r>
  </si>
  <si>
    <r>
      <rPr>
        <sz val="10"/>
        <color theme="1"/>
        <rFont val="Times New Roman"/>
        <family val="1"/>
        <charset val="204"/>
      </rPr>
      <t>Закон Орловской области от 4 декабря 2019 года № 2421-ОЗ "Об областном бюджете на 2020 год и на плановый период 2021 и 2022 годов"</t>
    </r>
    <r>
      <rPr>
        <sz val="10"/>
        <color rgb="FF000000"/>
        <rFont val="Times New Roman"/>
        <family val="1"/>
        <charset val="204"/>
      </rPr>
      <t xml:space="preserve">
</t>
    </r>
  </si>
  <si>
    <t>Количество СМЕЖНЫХ практик</t>
  </si>
  <si>
    <t>Типология смежных практик</t>
  </si>
  <si>
    <t>иное (проекты в сфере дошкольного образования)</t>
  </si>
  <si>
    <t>самообложение</t>
  </si>
  <si>
    <t>Иное</t>
  </si>
  <si>
    <t>Количество смежных практик 2019 год</t>
  </si>
  <si>
    <t>Итого</t>
  </si>
  <si>
    <t>Типология смежных практик по источнику финансирования</t>
  </si>
  <si>
    <t>Типология смежных практик: широкая, узкая, специализированная</t>
  </si>
  <si>
    <t>Региональные:</t>
  </si>
  <si>
    <t>смежные</t>
  </si>
  <si>
    <t>Муниципальные:</t>
  </si>
  <si>
    <t>Таблица Характеристика практик, реализуемых на региональном и муниципальном уровнях в 2018-2019 гг.</t>
  </si>
  <si>
    <t>Количество смежных практик региональных</t>
  </si>
  <si>
    <t>Количество смежных практик муниципальных</t>
  </si>
  <si>
    <t>Всего</t>
  </si>
  <si>
    <t>Смежные</t>
  </si>
  <si>
    <t>Типология практик по источнику финансирования 2019 год</t>
  </si>
  <si>
    <r>
      <rPr>
        <b/>
        <sz val="14"/>
        <color theme="1"/>
        <rFont val="Calibri"/>
        <family val="2"/>
        <charset val="204"/>
        <scheme val="minor"/>
      </rPr>
      <t xml:space="preserve">Типология </t>
    </r>
    <r>
      <rPr>
        <b/>
        <sz val="14"/>
        <color rgb="FFFF0000"/>
        <rFont val="Calibri"/>
        <family val="2"/>
        <charset val="204"/>
        <scheme val="minor"/>
      </rPr>
      <t>ИБ+ смежных</t>
    </r>
    <r>
      <rPr>
        <b/>
        <sz val="14"/>
        <color theme="1"/>
        <rFont val="Calibri"/>
        <family val="2"/>
        <charset val="204"/>
        <scheme val="minor"/>
      </rPr>
      <t xml:space="preserve"> практик по охвату</t>
    </r>
  </si>
  <si>
    <t>100% для нас пунктов до 35 тыс</t>
  </si>
  <si>
    <t>городские и сельские поселения, ГО</t>
  </si>
  <si>
    <t>городские поселения</t>
  </si>
  <si>
    <t>МО до 80 тыс. человек</t>
  </si>
  <si>
    <t>100%</t>
  </si>
  <si>
    <t>Типология ИБ+ смежных практик по охвату 2019 год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</si>
</sst>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0.00\ _₽_-;\-* #,##0.00\ _₽_-;_-* &quot;-&quot;??\ _₽_-;_-@_-"/>
    <numFmt numFmtId="165" formatCode="#,##0.000"/>
    <numFmt numFmtId="166" formatCode="[$-FC19]dd\ mmmm\ yyyy\ \г\.;@"/>
    <numFmt numFmtId="167" formatCode="#,##0.0"/>
    <numFmt numFmtId="168" formatCode="0.0%"/>
    <numFmt numFmtId="169" formatCode="0.000%"/>
    <numFmt numFmtId="170" formatCode="0.00000%"/>
    <numFmt numFmtId="171" formatCode="0.0"/>
    <numFmt numFmtId="172" formatCode="dd\ mmmm\ yyyy&quot; г.&quot;;@"/>
    <numFmt numFmtId="173" formatCode="0.0000%"/>
    <numFmt numFmtId="174" formatCode="dd/mm/yy;@"/>
    <numFmt numFmtId="175" formatCode="#,##0.0000"/>
    <numFmt numFmtId="176" formatCode="0.000"/>
    <numFmt numFmtId="177" formatCode="#,##0.000000"/>
    <numFmt numFmtId="178" formatCode="#,##0.00_ ;\-#,##0.00\ "/>
    <numFmt numFmtId="179" formatCode="dd/mm/yy"/>
    <numFmt numFmtId="180" formatCode="#,##0.00000"/>
    <numFmt numFmtId="181" formatCode="[$-F800]dddd\,\ mmmm\ dd\,\ yyyy"/>
  </numFmts>
  <fonts count="78">
    <font>
      <sz val="11"/>
      <color theme="1"/>
      <name val="Calibri"/>
      <family val="2"/>
      <charset val="204"/>
      <scheme val="minor"/>
    </font>
    <font>
      <sz val="9"/>
      <color indexed="81"/>
      <name val="Tahoma"/>
      <family val="2"/>
      <charset val="204"/>
    </font>
    <font>
      <b/>
      <sz val="9"/>
      <color indexed="81"/>
      <name val="Tahoma"/>
      <family val="2"/>
      <charset val="204"/>
    </font>
    <font>
      <u/>
      <sz val="11"/>
      <color theme="10"/>
      <name val="Calibri"/>
      <family val="2"/>
      <charset val="204"/>
      <scheme val="minor"/>
    </font>
    <font>
      <sz val="11"/>
      <color theme="1"/>
      <name val="Calibri"/>
      <family val="2"/>
      <charset val="204"/>
      <scheme val="minor"/>
    </font>
    <font>
      <sz val="10"/>
      <color rgb="FF000000"/>
      <name val="Times New Roman"/>
      <family val="1"/>
      <charset val="204"/>
    </font>
    <font>
      <sz val="10"/>
      <name val="Times New Roman"/>
      <family val="1"/>
      <charset val="204"/>
    </font>
    <font>
      <sz val="10"/>
      <color theme="1"/>
      <name val="Times New Roman"/>
      <family val="1"/>
      <charset val="204"/>
    </font>
    <font>
      <i/>
      <sz val="10"/>
      <color rgb="FF000000"/>
      <name val="Times New Roman"/>
      <family val="1"/>
      <charset val="204"/>
    </font>
    <font>
      <u/>
      <sz val="10"/>
      <color theme="10"/>
      <name val="Times New Roman"/>
      <family val="1"/>
      <charset val="204"/>
    </font>
    <font>
      <u/>
      <sz val="10"/>
      <color rgb="FF0563C1"/>
      <name val="Times New Roman"/>
      <family val="1"/>
      <charset val="204"/>
    </font>
    <font>
      <i/>
      <sz val="10"/>
      <color theme="1"/>
      <name val="Times New Roman"/>
      <family val="1"/>
      <charset val="204"/>
    </font>
    <font>
      <b/>
      <sz val="10"/>
      <color rgb="FF000000"/>
      <name val="Times New Roman"/>
      <family val="1"/>
      <charset val="204"/>
    </font>
    <font>
      <sz val="10"/>
      <color rgb="FFFF0000"/>
      <name val="Times New Roman"/>
      <family val="1"/>
      <charset val="204"/>
    </font>
    <font>
      <b/>
      <sz val="10"/>
      <name val="Times New Roman"/>
      <family val="1"/>
      <charset val="204"/>
    </font>
    <font>
      <u/>
      <sz val="10"/>
      <color rgb="FF0000FF"/>
      <name val="Times New Roman"/>
      <family val="1"/>
      <charset val="204"/>
    </font>
    <font>
      <u/>
      <sz val="10"/>
      <color rgb="FF000000"/>
      <name val="Times New Roman"/>
      <family val="1"/>
      <charset val="204"/>
    </font>
    <font>
      <b/>
      <sz val="10"/>
      <color rgb="FFFF0000"/>
      <name val="Times New Roman"/>
      <family val="1"/>
      <charset val="204"/>
    </font>
    <font>
      <u/>
      <sz val="10"/>
      <name val="Times New Roman"/>
      <family val="1"/>
      <charset val="204"/>
    </font>
    <font>
      <sz val="10"/>
      <color rgb="FF161616"/>
      <name val="Times New Roman"/>
      <family val="1"/>
      <charset val="204"/>
    </font>
    <font>
      <u/>
      <sz val="10"/>
      <color rgb="FF0066CC"/>
      <name val="Times New Roman"/>
      <family val="1"/>
      <charset val="204"/>
    </font>
    <font>
      <u/>
      <sz val="10"/>
      <color rgb="FFFF0000"/>
      <name val="Times New Roman"/>
      <family val="1"/>
      <charset val="204"/>
    </font>
    <font>
      <sz val="10"/>
      <color rgb="FF2F75B5"/>
      <name val="Times New Roman"/>
      <family val="1"/>
      <charset val="204"/>
    </font>
    <font>
      <sz val="9"/>
      <color rgb="FF000000"/>
      <name val="Tahoma"/>
      <family val="2"/>
      <charset val="204"/>
    </font>
    <font>
      <b/>
      <sz val="9"/>
      <color rgb="FF000000"/>
      <name val="Tahoma"/>
      <family val="2"/>
      <charset val="204"/>
    </font>
    <font>
      <sz val="11"/>
      <color rgb="FF000000"/>
      <name val="Calibri"/>
      <family val="2"/>
      <charset val="204"/>
    </font>
    <font>
      <u/>
      <sz val="10"/>
      <color rgb="FF0462C1"/>
      <name val="Times New Roman"/>
      <family val="1"/>
      <charset val="204"/>
    </font>
    <font>
      <sz val="10"/>
      <color rgb="FF0000FF"/>
      <name val="Times New Roman"/>
      <family val="1"/>
      <charset val="204"/>
    </font>
    <font>
      <sz val="10"/>
      <color rgb="FF0462C1"/>
      <name val="Times New Roman"/>
      <family val="1"/>
      <charset val="204"/>
    </font>
    <font>
      <sz val="10"/>
      <color rgb="FF21242C"/>
      <name val="Times New Roman"/>
      <family val="1"/>
      <charset val="204"/>
    </font>
    <font>
      <u/>
      <sz val="10"/>
      <color rgb="FF00B0F0"/>
      <name val="Times New Roman"/>
      <family val="1"/>
      <charset val="204"/>
    </font>
    <font>
      <sz val="10"/>
      <color rgb="FF222222"/>
      <name val="Times New Roman"/>
      <family val="1"/>
      <charset val="204"/>
    </font>
    <font>
      <i/>
      <sz val="10"/>
      <name val="Times New Roman"/>
      <family val="1"/>
      <charset val="204"/>
    </font>
    <font>
      <strike/>
      <sz val="10"/>
      <name val="Times New Roman"/>
      <family val="1"/>
      <charset val="204"/>
    </font>
    <font>
      <u/>
      <sz val="9.9"/>
      <color rgb="FF0563C1"/>
      <name val="Calibri"/>
      <family val="2"/>
      <charset val="204"/>
    </font>
    <font>
      <u/>
      <sz val="8.35"/>
      <color rgb="FF0563C1"/>
      <name val="Calibri"/>
      <family val="2"/>
      <charset val="204"/>
    </font>
    <font>
      <u/>
      <sz val="7.6"/>
      <color rgb="FF0563C1"/>
      <name val="Calibri"/>
      <family val="2"/>
      <charset val="204"/>
    </font>
    <font>
      <u/>
      <sz val="11"/>
      <color rgb="FF0563C1"/>
      <name val="Calibri"/>
      <family val="2"/>
      <charset val="204"/>
      <scheme val="minor"/>
    </font>
    <font>
      <u/>
      <sz val="10"/>
      <color rgb="FF305496"/>
      <name val="Times New Roman"/>
      <family val="1"/>
      <charset val="204"/>
    </font>
    <font>
      <sz val="10"/>
      <color rgb="FF3C3C3C"/>
      <name val="Times New Roman"/>
      <family val="1"/>
      <charset val="204"/>
    </font>
    <font>
      <sz val="10"/>
      <color rgb="FF0563C1"/>
      <name val="Times New Roman"/>
      <family val="1"/>
      <charset val="204"/>
    </font>
    <font>
      <sz val="10"/>
      <color rgb="FF93969B"/>
      <name val="Times New Roman"/>
      <family val="1"/>
      <charset val="204"/>
    </font>
    <font>
      <b/>
      <u/>
      <sz val="10"/>
      <name val="Times New Roman"/>
      <family val="1"/>
      <charset val="204"/>
    </font>
    <font>
      <u/>
      <sz val="12.65"/>
      <color theme="10"/>
      <name val="Calibri"/>
      <family val="2"/>
      <charset val="204"/>
    </font>
    <font>
      <sz val="10"/>
      <name val="Arial Cyr"/>
      <charset val="204"/>
    </font>
    <font>
      <sz val="10"/>
      <name val="Courier New Cyr"/>
      <charset val="204"/>
    </font>
    <font>
      <sz val="12"/>
      <color theme="1"/>
      <name val="Calibri"/>
      <family val="2"/>
      <charset val="204"/>
      <scheme val="minor"/>
    </font>
    <font>
      <u/>
      <sz val="9.35"/>
      <color theme="10"/>
      <name val="Calibri"/>
      <family val="2"/>
      <charset val="204"/>
    </font>
    <font>
      <i/>
      <sz val="10"/>
      <color rgb="FFFF0000"/>
      <name val="Times New Roman"/>
      <family val="1"/>
      <charset val="204"/>
    </font>
    <font>
      <b/>
      <sz val="10"/>
      <color theme="1"/>
      <name val="Times New Roman"/>
      <family val="1"/>
      <charset val="204"/>
    </font>
    <font>
      <u/>
      <sz val="8.8000000000000007"/>
      <color theme="10"/>
      <name val="Calibri"/>
      <family val="2"/>
      <charset val="204"/>
    </font>
    <font>
      <u/>
      <sz val="6.6"/>
      <color theme="10"/>
      <name val="Calibri"/>
      <family val="2"/>
      <charset val="204"/>
    </font>
    <font>
      <u/>
      <sz val="10"/>
      <color rgb="FF0070C0"/>
      <name val="Times New Roman"/>
      <family val="1"/>
      <charset val="204"/>
    </font>
    <font>
      <b/>
      <sz val="8"/>
      <color rgb="FF000000"/>
      <name val="Calibri"/>
      <family val="2"/>
      <charset val="204"/>
      <scheme val="minor"/>
    </font>
    <font>
      <sz val="11"/>
      <name val="Times New Roman"/>
      <family val="1"/>
      <charset val="204"/>
    </font>
    <font>
      <b/>
      <sz val="14"/>
      <color theme="1"/>
      <name val="Times New Roman"/>
      <family val="1"/>
      <charset val="204"/>
    </font>
    <font>
      <sz val="14"/>
      <color theme="1"/>
      <name val="Times New Roman"/>
      <family val="1"/>
      <charset val="204"/>
    </font>
    <font>
      <b/>
      <sz val="14"/>
      <color rgb="FF000000"/>
      <name val="Times New Roman"/>
      <family val="1"/>
      <charset val="204"/>
    </font>
    <font>
      <b/>
      <sz val="14"/>
      <color rgb="FF0070C0"/>
      <name val="Times New Roman"/>
      <family val="1"/>
      <charset val="204"/>
    </font>
    <font>
      <sz val="14"/>
      <color theme="1" tint="4.9989318521683403E-2"/>
      <name val="Times New Roman"/>
      <family val="1"/>
      <charset val="204"/>
    </font>
    <font>
      <b/>
      <u/>
      <sz val="14"/>
      <color theme="1"/>
      <name val="Times New Roman"/>
      <family val="1"/>
      <charset val="204"/>
    </font>
    <font>
      <b/>
      <u/>
      <sz val="14"/>
      <color rgb="FF000000"/>
      <name val="Times New Roman"/>
      <family val="1"/>
      <charset val="204"/>
    </font>
    <font>
      <sz val="14"/>
      <color rgb="FF000000"/>
      <name val="Times New Roman"/>
      <family val="1"/>
      <charset val="204"/>
    </font>
    <font>
      <sz val="10"/>
      <color theme="1"/>
      <name val="Calibri"/>
      <family val="2"/>
      <charset val="204"/>
      <scheme val="minor"/>
    </font>
    <font>
      <b/>
      <sz val="10"/>
      <color theme="1"/>
      <name val="Calibri"/>
      <family val="2"/>
      <charset val="204"/>
      <scheme val="minor"/>
    </font>
    <font>
      <i/>
      <sz val="10"/>
      <color theme="1"/>
      <name val="Calibri"/>
      <family val="2"/>
      <charset val="204"/>
      <scheme val="minor"/>
    </font>
    <font>
      <i/>
      <sz val="14"/>
      <color rgb="FF000000"/>
      <name val="Times New Roman"/>
      <family val="1"/>
      <charset val="204"/>
    </font>
    <font>
      <b/>
      <sz val="10"/>
      <color theme="8" tint="-0.249977111117893"/>
      <name val="Times New Roman"/>
      <family val="1"/>
      <charset val="204"/>
    </font>
    <font>
      <sz val="10"/>
      <color theme="8" tint="-0.249977111117893"/>
      <name val="Times New Roman"/>
      <family val="1"/>
      <charset val="204"/>
    </font>
    <font>
      <b/>
      <i/>
      <sz val="10"/>
      <color rgb="FFFF0000"/>
      <name val="Times New Roman"/>
      <family val="1"/>
      <charset val="204"/>
    </font>
    <font>
      <b/>
      <sz val="24"/>
      <color rgb="FF000000"/>
      <name val="Times New Roman"/>
      <family val="1"/>
      <charset val="204"/>
    </font>
    <font>
      <b/>
      <sz val="12"/>
      <color theme="1"/>
      <name val="Times New Roman"/>
      <family val="1"/>
      <charset val="204"/>
    </font>
    <font>
      <i/>
      <sz val="14"/>
      <color theme="1"/>
      <name val="Times New Roman"/>
      <family val="1"/>
      <charset val="204"/>
    </font>
    <font>
      <b/>
      <sz val="11"/>
      <color theme="1"/>
      <name val="Calibri"/>
      <family val="2"/>
      <charset val="204"/>
      <scheme val="minor"/>
    </font>
    <font>
      <sz val="11"/>
      <color theme="1"/>
      <name val="Times New Roman"/>
      <family val="1"/>
      <charset val="204"/>
    </font>
    <font>
      <b/>
      <sz val="11"/>
      <color theme="1"/>
      <name val="Times New Roman"/>
      <family val="1"/>
      <charset val="204"/>
    </font>
    <font>
      <b/>
      <sz val="14"/>
      <color theme="1"/>
      <name val="Calibri"/>
      <family val="2"/>
      <charset val="204"/>
      <scheme val="minor"/>
    </font>
    <font>
      <b/>
      <sz val="14"/>
      <color rgb="FFFF0000"/>
      <name val="Calibri"/>
      <family val="2"/>
      <charset val="204"/>
      <scheme val="minor"/>
    </font>
  </fonts>
  <fills count="37">
    <fill>
      <patternFill patternType="none"/>
    </fill>
    <fill>
      <patternFill patternType="gray125"/>
    </fill>
    <fill>
      <patternFill patternType="solid">
        <fgColor theme="4" tint="0.79998168889431442"/>
        <bgColor indexed="64"/>
      </patternFill>
    </fill>
    <fill>
      <patternFill patternType="solid">
        <fgColor rgb="FFFFFF00"/>
        <bgColor rgb="FF000000"/>
      </patternFill>
    </fill>
    <fill>
      <patternFill patternType="solid">
        <fgColor rgb="FFFCE4D6"/>
        <bgColor rgb="FF000000"/>
      </patternFill>
    </fill>
    <fill>
      <patternFill patternType="solid">
        <fgColor theme="5" tint="0.79998168889431442"/>
        <bgColor indexed="64"/>
      </patternFill>
    </fill>
    <fill>
      <patternFill patternType="solid">
        <fgColor rgb="FFFBE3D5"/>
        <bgColor rgb="FFFFFFFF"/>
      </patternFill>
    </fill>
    <fill>
      <patternFill patternType="solid">
        <fgColor rgb="FFFFE3D5"/>
        <bgColor rgb="FF000000"/>
      </patternFill>
    </fill>
    <fill>
      <patternFill patternType="solid">
        <fgColor theme="5" tint="0.79998168889431442"/>
        <bgColor rgb="FF000000"/>
      </patternFill>
    </fill>
    <fill>
      <patternFill patternType="solid">
        <fgColor rgb="FFFDE9D9"/>
        <bgColor rgb="FF000000"/>
      </patternFill>
    </fill>
    <fill>
      <patternFill patternType="solid">
        <fgColor rgb="FFFBE5D6"/>
        <bgColor rgb="FFFFFFFF"/>
      </patternFill>
    </fill>
    <fill>
      <patternFill patternType="solid">
        <fgColor rgb="FFFCE4D6"/>
        <bgColor rgb="FFFFFFFF"/>
      </patternFill>
    </fill>
    <fill>
      <patternFill patternType="solid">
        <fgColor rgb="FF92D050"/>
        <bgColor indexed="64"/>
      </patternFill>
    </fill>
    <fill>
      <patternFill patternType="solid">
        <fgColor theme="4"/>
        <bgColor rgb="FF2E75B5"/>
      </patternFill>
    </fill>
    <fill>
      <patternFill patternType="solid">
        <fgColor rgb="FFD8D8D8"/>
        <bgColor rgb="FFD8D8D8"/>
      </patternFill>
    </fill>
    <fill>
      <patternFill patternType="solid">
        <fgColor theme="5" tint="0.59999389629810485"/>
        <bgColor rgb="FFD8D8D8"/>
      </patternFill>
    </fill>
    <fill>
      <patternFill patternType="solid">
        <fgColor rgb="FFD8D8D8"/>
        <bgColor indexed="64"/>
      </patternFill>
    </fill>
    <fill>
      <patternFill patternType="solid">
        <fgColor theme="0" tint="-0.14996795556505021"/>
        <bgColor indexed="64"/>
      </patternFill>
    </fill>
    <fill>
      <patternFill patternType="solid">
        <fgColor theme="0" tint="-0.34998626667073579"/>
        <bgColor indexed="64"/>
      </patternFill>
    </fill>
    <fill>
      <patternFill patternType="solid">
        <fgColor rgb="FFFFFF00"/>
        <bgColor rgb="FFD8D8D8"/>
      </patternFill>
    </fill>
    <fill>
      <patternFill patternType="solid">
        <fgColor theme="0" tint="-0.34998626667073579"/>
        <bgColor rgb="FFD8D8D8"/>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FFC000"/>
        <bgColor rgb="FFD8D8D8"/>
      </patternFill>
    </fill>
    <fill>
      <patternFill patternType="solid">
        <fgColor rgb="FFFF0000"/>
        <bgColor indexed="64"/>
      </patternFill>
    </fill>
    <fill>
      <patternFill patternType="solid">
        <fgColor theme="7" tint="0.39997558519241921"/>
        <bgColor indexed="64"/>
      </patternFill>
    </fill>
    <fill>
      <patternFill patternType="solid">
        <fgColor theme="2" tint="-0.499984740745262"/>
        <bgColor indexed="64"/>
      </patternFill>
    </fill>
    <fill>
      <patternFill patternType="solid">
        <fgColor theme="2" tint="-0.499984740745262"/>
        <bgColor rgb="FFD8D8D8"/>
      </patternFill>
    </fill>
    <fill>
      <patternFill patternType="solid">
        <fgColor theme="2" tint="-0.249977111117893"/>
        <bgColor indexed="64"/>
      </patternFill>
    </fill>
    <fill>
      <patternFill patternType="solid">
        <fgColor theme="5" tint="0.59999389629810485"/>
        <bgColor indexed="64"/>
      </patternFill>
    </fill>
    <fill>
      <patternFill patternType="solid">
        <fgColor theme="2" tint="-0.249977111117893"/>
        <bgColor rgb="FFD8D8D8"/>
      </patternFill>
    </fill>
    <fill>
      <patternFill patternType="solid">
        <fgColor theme="4" tint="0.79995117038483843"/>
        <bgColor indexed="64"/>
      </patternFill>
    </fill>
    <fill>
      <patternFill patternType="solid">
        <fgColor theme="9"/>
        <bgColor indexed="64"/>
      </patternFill>
    </fill>
    <fill>
      <patternFill patternType="solid">
        <fgColor theme="0"/>
        <bgColor indexed="64"/>
      </patternFill>
    </fill>
    <fill>
      <patternFill patternType="solid">
        <fgColor theme="6" tint="-0.249977111117893"/>
        <bgColor indexed="64"/>
      </patternFill>
    </fill>
    <fill>
      <patternFill patternType="solid">
        <fgColor theme="6" tint="-0.249977111117893"/>
        <bgColor rgb="FFD8D8D8"/>
      </patternFill>
    </fill>
  </fills>
  <borders count="32">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medium">
        <color indexed="64"/>
      </left>
      <right/>
      <top/>
      <bottom/>
      <diagonal/>
    </border>
    <border>
      <left style="medium">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top/>
      <bottom/>
      <diagonal/>
    </border>
    <border>
      <left/>
      <right/>
      <top style="thin">
        <color indexed="64"/>
      </top>
      <bottom/>
      <diagonal/>
    </border>
  </borders>
  <cellStyleXfs count="20">
    <xf numFmtId="0" fontId="0" fillId="0" borderId="0"/>
    <xf numFmtId="0" fontId="3" fillId="0" borderId="0" applyNumberForma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5" fillId="0" borderId="0"/>
    <xf numFmtId="0" fontId="37" fillId="0" borderId="0" applyNumberFormat="0" applyFill="0" applyBorder="0" applyAlignment="0" applyProtection="0"/>
    <xf numFmtId="0" fontId="43" fillId="0" borderId="0" applyNumberFormat="0" applyFill="0" applyBorder="0" applyAlignment="0" applyProtection="0">
      <alignment vertical="top"/>
      <protection locked="0"/>
    </xf>
    <xf numFmtId="0" fontId="44" fillId="0" borderId="0"/>
    <xf numFmtId="0" fontId="45" fillId="0" borderId="0"/>
    <xf numFmtId="0" fontId="46" fillId="0" borderId="0"/>
    <xf numFmtId="0" fontId="25" fillId="0" borderId="0"/>
    <xf numFmtId="9" fontId="25" fillId="0" borderId="0" applyFont="0" applyFill="0" applyBorder="0" applyAlignment="0" applyProtection="0"/>
    <xf numFmtId="0" fontId="47" fillId="0" borderId="0" applyNumberFormat="0" applyFill="0" applyBorder="0" applyAlignment="0" applyProtection="0">
      <alignment vertical="top"/>
      <protection locked="0"/>
    </xf>
    <xf numFmtId="164" fontId="4" fillId="0" borderId="0" applyFont="0" applyFill="0" applyBorder="0" applyAlignment="0" applyProtection="0"/>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43" fontId="4" fillId="0" borderId="0" applyFont="0" applyFill="0" applyBorder="0" applyAlignment="0" applyProtection="0"/>
  </cellStyleXfs>
  <cellXfs count="1050">
    <xf numFmtId="0" fontId="0" fillId="0" borderId="0" xfId="0"/>
    <xf numFmtId="0" fontId="5" fillId="2" borderId="1" xfId="0" applyFont="1" applyFill="1" applyBorder="1" applyAlignment="1">
      <alignment horizontal="left" vertical="center" wrapText="1"/>
    </xf>
    <xf numFmtId="0" fontId="5" fillId="0" borderId="3" xfId="0" applyFont="1" applyBorder="1" applyAlignment="1">
      <alignment horizontal="center" vertical="center" wrapText="1"/>
    </xf>
    <xf numFmtId="0" fontId="5" fillId="2" borderId="1" xfId="0" applyFont="1" applyFill="1" applyBorder="1" applyAlignment="1">
      <alignment horizontal="center" vertical="center" wrapText="1"/>
    </xf>
    <xf numFmtId="49" fontId="14" fillId="0" borderId="15" xfId="0" applyNumberFormat="1" applyFont="1" applyFill="1" applyBorder="1" applyAlignment="1">
      <alignment horizontal="left" vertical="center" wrapText="1"/>
    </xf>
    <xf numFmtId="0" fontId="6" fillId="0" borderId="15" xfId="0" applyFont="1" applyFill="1" applyBorder="1" applyAlignment="1">
      <alignment horizontal="left" vertical="center" wrapText="1"/>
    </xf>
    <xf numFmtId="1" fontId="6" fillId="0" borderId="15" xfId="0" applyNumberFormat="1" applyFont="1" applyFill="1" applyBorder="1" applyAlignment="1">
      <alignment horizontal="left" vertical="center" wrapText="1"/>
    </xf>
    <xf numFmtId="0" fontId="6" fillId="0" borderId="15" xfId="0" applyFont="1" applyBorder="1" applyAlignment="1">
      <alignment horizontal="left" vertical="top" wrapText="1"/>
    </xf>
    <xf numFmtId="0" fontId="32" fillId="14" borderId="15" xfId="0" applyFont="1" applyFill="1" applyBorder="1" applyAlignment="1">
      <alignment horizontal="left" vertical="center" wrapText="1"/>
    </xf>
    <xf numFmtId="0" fontId="32" fillId="15" borderId="15" xfId="0" applyFont="1" applyFill="1" applyBorder="1" applyAlignment="1">
      <alignment horizontal="left" vertical="top" wrapText="1"/>
    </xf>
    <xf numFmtId="49" fontId="5" fillId="0" borderId="4" xfId="0" applyNumberFormat="1" applyFont="1" applyFill="1" applyBorder="1" applyAlignment="1">
      <alignment horizontal="left" vertical="center" wrapText="1"/>
    </xf>
    <xf numFmtId="49" fontId="5" fillId="0" borderId="11" xfId="0" applyNumberFormat="1" applyFont="1" applyFill="1" applyBorder="1" applyAlignment="1">
      <alignment horizontal="left" vertical="center" wrapText="1"/>
    </xf>
    <xf numFmtId="49" fontId="5" fillId="0" borderId="8" xfId="0" applyNumberFormat="1" applyFont="1" applyFill="1" applyBorder="1" applyAlignment="1">
      <alignment horizontal="left" vertical="center" wrapText="1"/>
    </xf>
    <xf numFmtId="49" fontId="5" fillId="0" borderId="16" xfId="0" applyNumberFormat="1" applyFont="1" applyFill="1" applyBorder="1" applyAlignment="1">
      <alignment horizontal="left" vertical="center" wrapText="1"/>
    </xf>
    <xf numFmtId="49" fontId="5" fillId="0" borderId="15" xfId="0" applyNumberFormat="1" applyFont="1" applyFill="1" applyBorder="1" applyAlignment="1">
      <alignment horizontal="left" vertical="center" wrapText="1"/>
    </xf>
    <xf numFmtId="49" fontId="5" fillId="0" borderId="17" xfId="0" applyNumberFormat="1" applyFont="1" applyFill="1" applyBorder="1" applyAlignment="1">
      <alignment horizontal="left" vertical="center" wrapText="1"/>
    </xf>
    <xf numFmtId="49" fontId="5" fillId="0" borderId="14" xfId="0" applyNumberFormat="1" applyFont="1" applyFill="1" applyBorder="1" applyAlignment="1">
      <alignment horizontal="left" vertical="center" wrapText="1"/>
    </xf>
    <xf numFmtId="49" fontId="5" fillId="0" borderId="3" xfId="0" applyNumberFormat="1" applyFont="1" applyFill="1" applyBorder="1" applyAlignment="1">
      <alignment horizontal="left" vertical="center" wrapText="1"/>
    </xf>
    <xf numFmtId="49" fontId="5" fillId="0" borderId="10" xfId="0" applyNumberFormat="1" applyFont="1" applyFill="1" applyBorder="1" applyAlignment="1">
      <alignment horizontal="left" vertical="center" wrapText="1"/>
    </xf>
    <xf numFmtId="49" fontId="5" fillId="0" borderId="18" xfId="0" applyNumberFormat="1" applyFont="1" applyFill="1" applyBorder="1" applyAlignment="1">
      <alignment horizontal="left" vertical="center" wrapText="1"/>
    </xf>
    <xf numFmtId="49" fontId="5" fillId="18" borderId="16" xfId="0" applyNumberFormat="1" applyFont="1" applyFill="1" applyBorder="1" applyAlignment="1">
      <alignment horizontal="left" vertical="center" wrapText="1"/>
    </xf>
    <xf numFmtId="49" fontId="5" fillId="0" borderId="7" xfId="0" applyNumberFormat="1" applyFont="1" applyFill="1" applyBorder="1" applyAlignment="1">
      <alignment horizontal="left" vertical="center" wrapText="1"/>
    </xf>
    <xf numFmtId="49" fontId="49" fillId="0" borderId="3" xfId="0" applyNumberFormat="1" applyFont="1" applyFill="1" applyBorder="1" applyAlignment="1">
      <alignment horizontal="left" vertical="center" wrapText="1"/>
    </xf>
    <xf numFmtId="0" fontId="11" fillId="13" borderId="3" xfId="0" applyFont="1" applyFill="1" applyBorder="1" applyAlignment="1">
      <alignment horizontal="left" vertical="center" wrapText="1"/>
    </xf>
    <xf numFmtId="0" fontId="11" fillId="13" borderId="3" xfId="0" applyFont="1" applyFill="1" applyBorder="1" applyAlignment="1">
      <alignment horizontal="left" vertical="top" wrapText="1"/>
    </xf>
    <xf numFmtId="0" fontId="6" fillId="0" borderId="11" xfId="0" applyFont="1" applyFill="1" applyBorder="1" applyAlignment="1">
      <alignment horizontal="left" vertical="center" wrapText="1"/>
    </xf>
    <xf numFmtId="0" fontId="6" fillId="0" borderId="16"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17" xfId="0" applyFont="1" applyFill="1" applyBorder="1" applyAlignment="1">
      <alignment horizontal="left" vertical="center" wrapText="1"/>
    </xf>
    <xf numFmtId="0" fontId="6" fillId="0" borderId="12"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6" fillId="18" borderId="8" xfId="0" applyFont="1" applyFill="1" applyBorder="1" applyAlignment="1">
      <alignment horizontal="left" vertical="center" wrapText="1"/>
    </xf>
    <xf numFmtId="0" fontId="6" fillId="18" borderId="16" xfId="0" applyFont="1" applyFill="1" applyBorder="1" applyAlignment="1">
      <alignment horizontal="left" vertical="center" wrapText="1"/>
    </xf>
    <xf numFmtId="0" fontId="49" fillId="0" borderId="3" xfId="0" applyFont="1" applyFill="1" applyBorder="1" applyAlignment="1">
      <alignment horizontal="left" vertical="center" wrapText="1"/>
    </xf>
    <xf numFmtId="1" fontId="49" fillId="0" borderId="3" xfId="0" applyNumberFormat="1" applyFont="1" applyFill="1" applyBorder="1" applyAlignment="1">
      <alignment horizontal="left" vertical="center" wrapText="1"/>
    </xf>
    <xf numFmtId="0" fontId="49" fillId="13" borderId="3" xfId="0" applyFont="1" applyFill="1" applyBorder="1" applyAlignment="1">
      <alignment horizontal="left" vertical="center" wrapText="1"/>
    </xf>
    <xf numFmtId="0" fontId="7" fillId="0" borderId="0" xfId="0" applyFont="1" applyAlignment="1">
      <alignment horizontal="left" wrapText="1"/>
    </xf>
    <xf numFmtId="0" fontId="6" fillId="0" borderId="11" xfId="0" applyFont="1" applyFill="1" applyBorder="1" applyAlignment="1">
      <alignment horizontal="left" wrapText="1"/>
    </xf>
    <xf numFmtId="1" fontId="6" fillId="0" borderId="11" xfId="0" applyNumberFormat="1" applyFont="1" applyFill="1" applyBorder="1" applyAlignment="1">
      <alignment horizontal="left" wrapText="1"/>
    </xf>
    <xf numFmtId="0" fontId="6" fillId="0" borderId="11" xfId="0" applyFont="1" applyFill="1" applyBorder="1" applyAlignment="1">
      <alignment horizontal="left" vertical="top" wrapText="1"/>
    </xf>
    <xf numFmtId="0" fontId="8" fillId="16" borderId="11" xfId="0" applyFont="1" applyFill="1" applyBorder="1" applyAlignment="1">
      <alignment horizontal="left" vertical="center" wrapText="1"/>
    </xf>
    <xf numFmtId="0" fontId="48" fillId="15" borderId="11" xfId="0" applyFont="1" applyFill="1" applyBorder="1" applyAlignment="1">
      <alignment horizontal="left" vertical="top" wrapText="1"/>
    </xf>
    <xf numFmtId="0" fontId="6" fillId="0" borderId="3" xfId="0" applyFont="1" applyFill="1" applyBorder="1" applyAlignment="1">
      <alignment horizontal="left" wrapText="1"/>
    </xf>
    <xf numFmtId="1" fontId="6" fillId="0" borderId="3" xfId="0" applyNumberFormat="1" applyFont="1" applyFill="1" applyBorder="1" applyAlignment="1">
      <alignment horizontal="left" wrapText="1"/>
    </xf>
    <xf numFmtId="0" fontId="6" fillId="0" borderId="3" xfId="0" applyFont="1" applyFill="1" applyBorder="1" applyAlignment="1">
      <alignment horizontal="left" vertical="top" wrapText="1"/>
    </xf>
    <xf numFmtId="0" fontId="8" fillId="16" borderId="3" xfId="0" applyFont="1" applyFill="1" applyBorder="1" applyAlignment="1">
      <alignment horizontal="left" vertical="center" wrapText="1"/>
    </xf>
    <xf numFmtId="0" fontId="32" fillId="15" borderId="3" xfId="0" applyFont="1" applyFill="1" applyBorder="1" applyAlignment="1">
      <alignment horizontal="left" vertical="top" wrapText="1"/>
    </xf>
    <xf numFmtId="0" fontId="6" fillId="12" borderId="3" xfId="0" applyFont="1" applyFill="1" applyBorder="1" applyAlignment="1">
      <alignment horizontal="left" vertical="top" wrapText="1"/>
    </xf>
    <xf numFmtId="1" fontId="13" fillId="0" borderId="3" xfId="0" applyNumberFormat="1" applyFont="1" applyFill="1" applyBorder="1" applyAlignment="1">
      <alignment horizontal="left" wrapText="1"/>
    </xf>
    <xf numFmtId="0" fontId="6" fillId="0" borderId="16" xfId="0" applyFont="1" applyFill="1" applyBorder="1" applyAlignment="1">
      <alignment horizontal="left" wrapText="1"/>
    </xf>
    <xf numFmtId="1" fontId="13" fillId="0" borderId="16" xfId="0" applyNumberFormat="1" applyFont="1" applyFill="1" applyBorder="1" applyAlignment="1">
      <alignment horizontal="left" wrapText="1"/>
    </xf>
    <xf numFmtId="0" fontId="6" fillId="0" borderId="16" xfId="0" applyFont="1" applyFill="1" applyBorder="1" applyAlignment="1">
      <alignment horizontal="left" vertical="top" wrapText="1"/>
    </xf>
    <xf numFmtId="0" fontId="8" fillId="16" borderId="16" xfId="0" applyFont="1" applyFill="1" applyBorder="1" applyAlignment="1">
      <alignment horizontal="left" vertical="center" wrapText="1"/>
    </xf>
    <xf numFmtId="0" fontId="32" fillId="15" borderId="16" xfId="0" applyFont="1" applyFill="1" applyBorder="1" applyAlignment="1">
      <alignment horizontal="left" vertical="top" wrapText="1"/>
    </xf>
    <xf numFmtId="0" fontId="5" fillId="12" borderId="11" xfId="0" applyFont="1" applyFill="1" applyBorder="1" applyAlignment="1">
      <alignment horizontal="left" vertical="top" wrapText="1"/>
    </xf>
    <xf numFmtId="0" fontId="32" fillId="15" borderId="11" xfId="0" applyFont="1" applyFill="1" applyBorder="1" applyAlignment="1">
      <alignment horizontal="left" vertical="top" wrapText="1"/>
    </xf>
    <xf numFmtId="0" fontId="8" fillId="0" borderId="3" xfId="0" applyFont="1" applyFill="1" applyBorder="1" applyAlignment="1">
      <alignment horizontal="left" vertical="top" wrapText="1"/>
    </xf>
    <xf numFmtId="0" fontId="5" fillId="0" borderId="11" xfId="0" applyFont="1" applyFill="1" applyBorder="1" applyAlignment="1">
      <alignment horizontal="left" vertical="top" wrapText="1"/>
    </xf>
    <xf numFmtId="0" fontId="5" fillId="0" borderId="3" xfId="0" applyFont="1" applyFill="1" applyBorder="1" applyAlignment="1">
      <alignment horizontal="left" vertical="top" wrapText="1"/>
    </xf>
    <xf numFmtId="1" fontId="6" fillId="0" borderId="16" xfId="0" applyNumberFormat="1" applyFont="1" applyFill="1" applyBorder="1" applyAlignment="1">
      <alignment horizontal="left" wrapText="1"/>
    </xf>
    <xf numFmtId="0" fontId="5" fillId="0" borderId="16" xfId="0" applyFont="1" applyFill="1" applyBorder="1" applyAlignment="1">
      <alignment horizontal="left" vertical="top" wrapText="1"/>
    </xf>
    <xf numFmtId="0" fontId="5" fillId="0" borderId="11" xfId="0" applyFont="1" applyFill="1" applyBorder="1" applyAlignment="1">
      <alignment horizontal="left" vertical="center" wrapText="1"/>
    </xf>
    <xf numFmtId="0" fontId="32" fillId="19" borderId="11" xfId="0" applyFont="1" applyFill="1" applyBorder="1" applyAlignment="1">
      <alignment horizontal="left" vertical="top" wrapText="1"/>
    </xf>
    <xf numFmtId="0" fontId="5" fillId="0" borderId="16" xfId="0" applyFont="1" applyFill="1" applyBorder="1" applyAlignment="1">
      <alignment horizontal="left" vertical="center" wrapText="1"/>
    </xf>
    <xf numFmtId="0" fontId="6" fillId="0" borderId="14" xfId="0" applyFont="1" applyFill="1" applyBorder="1" applyAlignment="1">
      <alignment horizontal="left" wrapText="1"/>
    </xf>
    <xf numFmtId="1" fontId="13" fillId="0" borderId="14" xfId="0" applyNumberFormat="1" applyFont="1" applyFill="1" applyBorder="1" applyAlignment="1">
      <alignment horizontal="left" wrapText="1"/>
    </xf>
    <xf numFmtId="0" fontId="5" fillId="0" borderId="14" xfId="0" applyFont="1" applyFill="1" applyBorder="1" applyAlignment="1">
      <alignment horizontal="left" vertical="top" wrapText="1"/>
    </xf>
    <xf numFmtId="0" fontId="8" fillId="16" borderId="14" xfId="0" applyFont="1" applyFill="1" applyBorder="1" applyAlignment="1">
      <alignment horizontal="left" vertical="center" wrapText="1"/>
    </xf>
    <xf numFmtId="0" fontId="32" fillId="15" borderId="14" xfId="0" applyFont="1" applyFill="1" applyBorder="1" applyAlignment="1">
      <alignment horizontal="left" vertical="top" wrapText="1"/>
    </xf>
    <xf numFmtId="0" fontId="6" fillId="0" borderId="12" xfId="0" applyFont="1" applyFill="1" applyBorder="1" applyAlignment="1">
      <alignment horizontal="left" wrapText="1"/>
    </xf>
    <xf numFmtId="1" fontId="13" fillId="0" borderId="12" xfId="0" applyNumberFormat="1" applyFont="1" applyFill="1" applyBorder="1" applyAlignment="1">
      <alignment horizontal="left" wrapText="1"/>
    </xf>
    <xf numFmtId="0" fontId="5" fillId="0" borderId="12" xfId="0" applyFont="1" applyFill="1" applyBorder="1" applyAlignment="1">
      <alignment horizontal="left" vertical="top" wrapText="1"/>
    </xf>
    <xf numFmtId="0" fontId="8" fillId="16" borderId="12" xfId="0" applyFont="1" applyFill="1" applyBorder="1" applyAlignment="1">
      <alignment horizontal="left" vertical="center" wrapText="1"/>
    </xf>
    <xf numFmtId="0" fontId="32" fillId="15" borderId="12" xfId="0" applyFont="1" applyFill="1" applyBorder="1" applyAlignment="1">
      <alignment horizontal="left" vertical="top" wrapText="1"/>
    </xf>
    <xf numFmtId="1" fontId="13" fillId="0" borderId="11" xfId="0" applyNumberFormat="1" applyFont="1" applyFill="1" applyBorder="1" applyAlignment="1">
      <alignment horizontal="left" wrapText="1"/>
    </xf>
    <xf numFmtId="0" fontId="6" fillId="0" borderId="17" xfId="0" applyFont="1" applyFill="1" applyBorder="1" applyAlignment="1">
      <alignment horizontal="left" wrapText="1"/>
    </xf>
    <xf numFmtId="0" fontId="6" fillId="0" borderId="15" xfId="0" applyFont="1" applyFill="1" applyBorder="1" applyAlignment="1">
      <alignment horizontal="left" wrapText="1"/>
    </xf>
    <xf numFmtId="1" fontId="13" fillId="0" borderId="15" xfId="0" applyNumberFormat="1" applyFont="1" applyFill="1" applyBorder="1" applyAlignment="1">
      <alignment horizontal="left" wrapText="1"/>
    </xf>
    <xf numFmtId="0" fontId="5" fillId="0" borderId="15" xfId="0" applyFont="1" applyFill="1" applyBorder="1" applyAlignment="1">
      <alignment horizontal="left" vertical="top" wrapText="1"/>
    </xf>
    <xf numFmtId="0" fontId="8" fillId="16" borderId="15" xfId="0" applyFont="1" applyFill="1" applyBorder="1" applyAlignment="1">
      <alignment horizontal="left" vertical="center" wrapText="1"/>
    </xf>
    <xf numFmtId="1" fontId="6" fillId="0" borderId="14" xfId="0" applyNumberFormat="1" applyFont="1" applyFill="1" applyBorder="1" applyAlignment="1">
      <alignment horizontal="left" wrapText="1"/>
    </xf>
    <xf numFmtId="0" fontId="5" fillId="12" borderId="14" xfId="0" applyFont="1" applyFill="1" applyBorder="1" applyAlignment="1">
      <alignment horizontal="left" vertical="top" wrapText="1"/>
    </xf>
    <xf numFmtId="0" fontId="32" fillId="15" borderId="16" xfId="0" applyFont="1" applyFill="1" applyBorder="1" applyAlignment="1">
      <alignment horizontal="left" wrapText="1"/>
    </xf>
    <xf numFmtId="1" fontId="6" fillId="0" borderId="15" xfId="0" applyNumberFormat="1" applyFont="1" applyFill="1" applyBorder="1" applyAlignment="1">
      <alignment horizontal="left" wrapText="1"/>
    </xf>
    <xf numFmtId="0" fontId="32" fillId="15" borderId="15" xfId="0" applyFont="1" applyFill="1" applyBorder="1" applyAlignment="1">
      <alignment horizontal="left" wrapText="1"/>
    </xf>
    <xf numFmtId="0" fontId="8" fillId="17" borderId="11" xfId="0" applyFont="1" applyFill="1" applyBorder="1" applyAlignment="1">
      <alignment horizontal="left" vertical="center" wrapText="1"/>
    </xf>
    <xf numFmtId="0" fontId="8" fillId="17" borderId="16" xfId="0" applyFont="1" applyFill="1" applyBorder="1" applyAlignment="1">
      <alignment horizontal="left" vertical="center" wrapText="1"/>
    </xf>
    <xf numFmtId="0" fontId="5" fillId="0" borderId="18" xfId="0" applyFont="1" applyFill="1" applyBorder="1" applyAlignment="1">
      <alignment horizontal="left" vertical="center" wrapText="1"/>
    </xf>
    <xf numFmtId="0" fontId="6" fillId="0" borderId="18" xfId="0" applyFont="1" applyFill="1" applyBorder="1" applyAlignment="1">
      <alignment horizontal="left" wrapText="1"/>
    </xf>
    <xf numFmtId="1" fontId="6" fillId="0" borderId="18" xfId="0" applyNumberFormat="1" applyFont="1" applyFill="1" applyBorder="1" applyAlignment="1">
      <alignment horizontal="left" wrapText="1"/>
    </xf>
    <xf numFmtId="0" fontId="8" fillId="16" borderId="18" xfId="0" applyFont="1" applyFill="1" applyBorder="1" applyAlignment="1">
      <alignment horizontal="left" vertical="center" wrapText="1"/>
    </xf>
    <xf numFmtId="0" fontId="32" fillId="15" borderId="18" xfId="0" applyFont="1" applyFill="1" applyBorder="1" applyAlignment="1">
      <alignment horizontal="left" vertical="top" wrapText="1"/>
    </xf>
    <xf numFmtId="0" fontId="5" fillId="0" borderId="14" xfId="0" applyFont="1" applyFill="1" applyBorder="1" applyAlignment="1">
      <alignment horizontal="left" vertical="center" wrapText="1"/>
    </xf>
    <xf numFmtId="0" fontId="5" fillId="18" borderId="16" xfId="0" applyFont="1" applyFill="1" applyBorder="1" applyAlignment="1">
      <alignment horizontal="left" vertical="center" wrapText="1"/>
    </xf>
    <xf numFmtId="0" fontId="6" fillId="18" borderId="16" xfId="0" applyFont="1" applyFill="1" applyBorder="1" applyAlignment="1">
      <alignment horizontal="left" wrapText="1"/>
    </xf>
    <xf numFmtId="1" fontId="6" fillId="18" borderId="16" xfId="0" applyNumberFormat="1" applyFont="1" applyFill="1" applyBorder="1" applyAlignment="1">
      <alignment horizontal="left" wrapText="1"/>
    </xf>
    <xf numFmtId="0" fontId="5" fillId="18" borderId="16" xfId="0" applyFont="1" applyFill="1" applyBorder="1" applyAlignment="1">
      <alignment horizontal="left" vertical="top" wrapText="1"/>
    </xf>
    <xf numFmtId="0" fontId="48" fillId="18" borderId="16" xfId="0" applyFont="1" applyFill="1" applyBorder="1" applyAlignment="1">
      <alignment horizontal="left" vertical="center" wrapText="1"/>
    </xf>
    <xf numFmtId="0" fontId="32" fillId="20" borderId="16" xfId="0" applyFont="1" applyFill="1" applyBorder="1" applyAlignment="1">
      <alignment horizontal="left" vertical="top" wrapText="1"/>
    </xf>
    <xf numFmtId="0" fontId="5" fillId="0" borderId="3" xfId="0" applyFont="1" applyFill="1" applyBorder="1" applyAlignment="1">
      <alignment horizontal="left" vertical="center" wrapText="1"/>
    </xf>
    <xf numFmtId="0" fontId="8" fillId="18" borderId="16" xfId="0" applyFont="1" applyFill="1" applyBorder="1" applyAlignment="1">
      <alignment horizontal="left" vertical="center" wrapText="1"/>
    </xf>
    <xf numFmtId="0" fontId="8" fillId="0" borderId="14" xfId="0" applyFont="1" applyFill="1" applyBorder="1" applyAlignment="1">
      <alignment horizontal="left" vertical="top" wrapText="1"/>
    </xf>
    <xf numFmtId="0" fontId="5" fillId="8"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0" fillId="0" borderId="0" xfId="0"/>
    <xf numFmtId="0" fontId="5" fillId="2" borderId="1" xfId="0" applyFont="1" applyFill="1" applyBorder="1" applyAlignment="1">
      <alignment horizontal="left" vertical="center" wrapText="1"/>
    </xf>
    <xf numFmtId="0" fontId="5" fillId="4" borderId="1" xfId="0" applyFont="1" applyFill="1" applyBorder="1" applyAlignment="1">
      <alignment horizontal="center" vertical="center" wrapText="1"/>
    </xf>
    <xf numFmtId="165" fontId="5" fillId="4"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165" fontId="6" fillId="4" borderId="1" xfId="0" applyNumberFormat="1" applyFont="1" applyFill="1" applyBorder="1" applyAlignment="1">
      <alignment horizontal="center" vertical="center" wrapText="1"/>
    </xf>
    <xf numFmtId="0" fontId="5" fillId="5"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10" fontId="5" fillId="4" borderId="1" xfId="0" applyNumberFormat="1" applyFont="1" applyFill="1" applyBorder="1" applyAlignment="1">
      <alignment horizontal="left" vertical="center" wrapText="1"/>
    </xf>
    <xf numFmtId="0" fontId="5" fillId="7" borderId="1" xfId="0" applyFont="1" applyFill="1" applyBorder="1" applyAlignment="1">
      <alignment horizontal="left" vertical="center" wrapText="1"/>
    </xf>
    <xf numFmtId="0" fontId="5" fillId="4" borderId="1" xfId="0" applyFont="1" applyFill="1" applyBorder="1" applyAlignment="1">
      <alignment horizontal="justify" vertical="center" wrapText="1"/>
    </xf>
    <xf numFmtId="0" fontId="6" fillId="4" borderId="1" xfId="0" applyFont="1" applyFill="1" applyBorder="1" applyAlignment="1">
      <alignment horizontal="left" vertical="center" wrapText="1"/>
    </xf>
    <xf numFmtId="0" fontId="5" fillId="8" borderId="1" xfId="0" applyFont="1" applyFill="1" applyBorder="1" applyAlignment="1">
      <alignment horizontal="left" vertical="center" wrapText="1"/>
    </xf>
    <xf numFmtId="0" fontId="5" fillId="9" borderId="1" xfId="0" applyFont="1" applyFill="1" applyBorder="1" applyAlignment="1">
      <alignment horizontal="left" vertical="center" wrapText="1"/>
    </xf>
    <xf numFmtId="0" fontId="8" fillId="4" borderId="1" xfId="0" applyFont="1" applyFill="1" applyBorder="1" applyAlignment="1">
      <alignment horizontal="center" vertical="center" wrapText="1"/>
    </xf>
    <xf numFmtId="0" fontId="5" fillId="4" borderId="1" xfId="0" applyFont="1" applyFill="1" applyBorder="1" applyAlignment="1">
      <alignment vertical="center" wrapText="1"/>
    </xf>
    <xf numFmtId="2" fontId="5" fillId="4" borderId="1" xfId="0" applyNumberFormat="1" applyFont="1" applyFill="1" applyBorder="1" applyAlignment="1">
      <alignment horizontal="left" vertical="center" wrapText="1"/>
    </xf>
    <xf numFmtId="0" fontId="8" fillId="4" borderId="1" xfId="0" applyFont="1" applyFill="1" applyBorder="1" applyAlignment="1">
      <alignment horizontal="left" vertical="center" wrapText="1"/>
    </xf>
    <xf numFmtId="0" fontId="8" fillId="8" borderId="1" xfId="0" applyFont="1" applyFill="1" applyBorder="1" applyAlignment="1">
      <alignment horizontal="left" vertical="center" wrapText="1"/>
    </xf>
    <xf numFmtId="165" fontId="5" fillId="5" borderId="1" xfId="0" applyNumberFormat="1" applyFont="1" applyFill="1" applyBorder="1" applyAlignment="1">
      <alignment horizontal="left" vertical="center" wrapText="1"/>
    </xf>
    <xf numFmtId="0" fontId="5" fillId="10" borderId="1" xfId="0" applyFont="1" applyFill="1" applyBorder="1" applyAlignment="1">
      <alignment horizontal="left" vertical="center" wrapText="1"/>
    </xf>
    <xf numFmtId="2" fontId="5" fillId="4" borderId="1" xfId="0" applyNumberFormat="1" applyFont="1" applyFill="1" applyBorder="1" applyAlignment="1">
      <alignment horizontal="center" vertical="center" wrapText="1"/>
    </xf>
    <xf numFmtId="0" fontId="8" fillId="5" borderId="1" xfId="0" applyFont="1" applyFill="1" applyBorder="1" applyAlignment="1">
      <alignment horizontal="left" vertical="center" wrapText="1"/>
    </xf>
    <xf numFmtId="0" fontId="6" fillId="11" borderId="1" xfId="7" applyFont="1" applyFill="1" applyBorder="1" applyAlignment="1">
      <alignment horizontal="left" vertical="center" wrapText="1"/>
    </xf>
    <xf numFmtId="2" fontId="5" fillId="8" borderId="1" xfId="0" applyNumberFormat="1" applyFont="1" applyFill="1" applyBorder="1" applyAlignment="1">
      <alignment horizontal="left" vertical="center" wrapText="1"/>
    </xf>
    <xf numFmtId="0" fontId="6" fillId="6" borderId="1" xfId="0" applyNumberFormat="1" applyFont="1" applyFill="1" applyBorder="1" applyAlignment="1">
      <alignment horizontal="center" vertical="center" wrapText="1"/>
    </xf>
    <xf numFmtId="165" fontId="5" fillId="8" borderId="1" xfId="0"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5" fillId="0" borderId="15" xfId="0" applyFont="1" applyBorder="1" applyAlignment="1">
      <alignment horizontal="center" vertical="center" wrapText="1"/>
    </xf>
    <xf numFmtId="0" fontId="6" fillId="0" borderId="3" xfId="0" applyFont="1" applyFill="1" applyBorder="1" applyAlignment="1">
      <alignment horizontal="center" vertical="center" wrapText="1"/>
    </xf>
    <xf numFmtId="0" fontId="5" fillId="0" borderId="8" xfId="0" applyFont="1" applyFill="1" applyBorder="1" applyAlignment="1">
      <alignment horizontal="center" vertical="center"/>
    </xf>
    <xf numFmtId="0" fontId="5" fillId="0" borderId="23" xfId="0" applyFont="1" applyFill="1" applyBorder="1" applyAlignment="1">
      <alignment horizontal="center" vertical="center"/>
    </xf>
    <xf numFmtId="0" fontId="5" fillId="0" borderId="5" xfId="0" applyFont="1" applyFill="1" applyBorder="1" applyAlignment="1">
      <alignment horizontal="center" vertical="center"/>
    </xf>
    <xf numFmtId="0" fontId="49" fillId="0" borderId="0" xfId="0" applyFont="1" applyAlignment="1">
      <alignment horizontal="center" vertical="center" wrapText="1"/>
    </xf>
    <xf numFmtId="165" fontId="7" fillId="0" borderId="0" xfId="0" applyNumberFormat="1" applyFont="1" applyAlignment="1">
      <alignment horizontal="left" wrapText="1"/>
    </xf>
    <xf numFmtId="0" fontId="5" fillId="21" borderId="11" xfId="0" applyFont="1" applyFill="1" applyBorder="1" applyAlignment="1">
      <alignment horizontal="left" vertical="top" wrapText="1"/>
    </xf>
    <xf numFmtId="0" fontId="5" fillId="21" borderId="16" xfId="0" applyFont="1" applyFill="1" applyBorder="1" applyAlignment="1">
      <alignment horizontal="left" vertical="top" wrapText="1"/>
    </xf>
    <xf numFmtId="0" fontId="5" fillId="21" borderId="15" xfId="0" applyFont="1" applyFill="1" applyBorder="1" applyAlignment="1">
      <alignment horizontal="left" vertical="top" wrapText="1"/>
    </xf>
    <xf numFmtId="0" fontId="5" fillId="21" borderId="18" xfId="0" applyFont="1" applyFill="1" applyBorder="1" applyAlignment="1">
      <alignment horizontal="left" vertical="top" wrapText="1"/>
    </xf>
    <xf numFmtId="165" fontId="5" fillId="4" borderId="1" xfId="0" applyNumberFormat="1" applyFont="1" applyFill="1" applyBorder="1" applyAlignment="1">
      <alignment horizontal="left" vertical="center" wrapText="1"/>
    </xf>
    <xf numFmtId="10" fontId="7" fillId="0" borderId="0" xfId="0" applyNumberFormat="1" applyFont="1" applyAlignment="1">
      <alignment horizontal="left" wrapText="1"/>
    </xf>
    <xf numFmtId="2" fontId="5" fillId="5" borderId="1" xfId="0" applyNumberFormat="1" applyFont="1" applyFill="1" applyBorder="1" applyAlignment="1">
      <alignment horizontal="left" vertical="center" wrapText="1"/>
    </xf>
    <xf numFmtId="2" fontId="5" fillId="7" borderId="1" xfId="0" applyNumberFormat="1" applyFont="1" applyFill="1" applyBorder="1" applyAlignment="1">
      <alignment horizontal="left" vertical="center" wrapText="1"/>
    </xf>
    <xf numFmtId="2" fontId="6" fillId="4" borderId="1" xfId="0" applyNumberFormat="1" applyFont="1" applyFill="1" applyBorder="1" applyAlignment="1">
      <alignment horizontal="left" vertical="center" wrapText="1"/>
    </xf>
    <xf numFmtId="2" fontId="8" fillId="4" borderId="1" xfId="0" applyNumberFormat="1" applyFont="1" applyFill="1" applyBorder="1" applyAlignment="1">
      <alignment horizontal="left" vertical="center" wrapText="1"/>
    </xf>
    <xf numFmtId="2" fontId="5" fillId="10" borderId="1" xfId="0" applyNumberFormat="1" applyFont="1" applyFill="1" applyBorder="1" applyAlignment="1">
      <alignment horizontal="left" vertical="center" wrapText="1"/>
    </xf>
    <xf numFmtId="2" fontId="5" fillId="4" borderId="1" xfId="2" applyNumberFormat="1" applyFont="1" applyFill="1" applyBorder="1" applyAlignment="1">
      <alignment horizontal="left" vertical="center" wrapText="1"/>
    </xf>
    <xf numFmtId="2" fontId="6" fillId="11" borderId="1" xfId="7" applyNumberFormat="1" applyFont="1" applyFill="1" applyBorder="1" applyAlignment="1">
      <alignment horizontal="left" vertical="center" wrapText="1"/>
    </xf>
    <xf numFmtId="2" fontId="5" fillId="9" borderId="1" xfId="0" applyNumberFormat="1" applyFont="1" applyFill="1" applyBorder="1" applyAlignment="1">
      <alignment horizontal="left" vertical="center" wrapText="1"/>
    </xf>
    <xf numFmtId="2" fontId="7" fillId="0" borderId="0" xfId="0" applyNumberFormat="1" applyFont="1" applyFill="1" applyAlignment="1">
      <alignment horizontal="center" vertical="center"/>
    </xf>
    <xf numFmtId="2" fontId="7" fillId="0" borderId="0" xfId="0" applyNumberFormat="1" applyFont="1" applyFill="1" applyAlignment="1">
      <alignment horizontal="center" vertical="center" wrapText="1"/>
    </xf>
    <xf numFmtId="2" fontId="7" fillId="0" borderId="0" xfId="0" applyNumberFormat="1" applyFont="1" applyFill="1" applyBorder="1" applyAlignment="1">
      <alignment horizontal="center" vertical="center"/>
    </xf>
    <xf numFmtId="2" fontId="7" fillId="0" borderId="24" xfId="0" applyNumberFormat="1" applyFont="1" applyFill="1" applyBorder="1" applyAlignment="1">
      <alignment horizontal="center" vertical="center"/>
    </xf>
    <xf numFmtId="0" fontId="6" fillId="22" borderId="3" xfId="0" applyFont="1" applyFill="1" applyBorder="1" applyAlignment="1">
      <alignment horizontal="center" vertical="center" wrapText="1"/>
    </xf>
    <xf numFmtId="0" fontId="5" fillId="22" borderId="1" xfId="0" applyFont="1" applyFill="1" applyBorder="1" applyAlignment="1">
      <alignment horizontal="center" vertical="center" wrapText="1"/>
    </xf>
    <xf numFmtId="0" fontId="7" fillId="22" borderId="0" xfId="0" applyFont="1" applyFill="1" applyAlignment="1">
      <alignment horizontal="left" wrapText="1"/>
    </xf>
    <xf numFmtId="165" fontId="7" fillId="22" borderId="0" xfId="0" applyNumberFormat="1" applyFont="1" applyFill="1" applyAlignment="1">
      <alignment horizontal="left" wrapText="1"/>
    </xf>
    <xf numFmtId="10" fontId="7" fillId="22" borderId="0" xfId="0" applyNumberFormat="1" applyFont="1" applyFill="1" applyAlignment="1">
      <alignment horizontal="left" wrapText="1"/>
    </xf>
    <xf numFmtId="2" fontId="7" fillId="22" borderId="0" xfId="0" applyNumberFormat="1" applyFont="1" applyFill="1" applyAlignment="1">
      <alignment horizontal="center" vertical="center"/>
    </xf>
    <xf numFmtId="0" fontId="7" fillId="22" borderId="0" xfId="0" applyFont="1" applyFill="1" applyAlignment="1">
      <alignment horizontal="center" vertical="center" wrapText="1"/>
    </xf>
    <xf numFmtId="0" fontId="5" fillId="22" borderId="1" xfId="0" applyFont="1" applyFill="1" applyBorder="1" applyAlignment="1">
      <alignment horizontal="left" vertical="center" wrapText="1"/>
    </xf>
    <xf numFmtId="10" fontId="7" fillId="0" borderId="0" xfId="0" applyNumberFormat="1" applyFont="1" applyFill="1" applyAlignment="1">
      <alignment horizontal="left" wrapText="1"/>
    </xf>
    <xf numFmtId="165" fontId="5" fillId="6" borderId="1" xfId="0" applyNumberFormat="1" applyFont="1" applyFill="1" applyBorder="1" applyAlignment="1">
      <alignment horizontal="center" vertical="center" wrapText="1" shrinkToFit="1"/>
    </xf>
    <xf numFmtId="0" fontId="5" fillId="3" borderId="1" xfId="0" applyFont="1" applyFill="1" applyBorder="1" applyAlignment="1">
      <alignment horizontal="left" vertical="center" wrapText="1"/>
    </xf>
    <xf numFmtId="169" fontId="7" fillId="21" borderId="0" xfId="0" applyNumberFormat="1" applyFont="1" applyFill="1" applyAlignment="1">
      <alignment horizontal="left" wrapText="1"/>
    </xf>
    <xf numFmtId="49" fontId="5" fillId="23" borderId="10" xfId="0" applyNumberFormat="1" applyFont="1" applyFill="1" applyBorder="1" applyAlignment="1">
      <alignment horizontal="left" vertical="center" wrapText="1"/>
    </xf>
    <xf numFmtId="49" fontId="5" fillId="23" borderId="18" xfId="0" applyNumberFormat="1" applyFont="1" applyFill="1" applyBorder="1" applyAlignment="1">
      <alignment horizontal="left" vertical="center" wrapText="1"/>
    </xf>
    <xf numFmtId="0" fontId="5" fillId="23" borderId="18" xfId="0" applyFont="1" applyFill="1" applyBorder="1" applyAlignment="1">
      <alignment horizontal="left" vertical="center" wrapText="1"/>
    </xf>
    <xf numFmtId="0" fontId="6" fillId="23" borderId="18" xfId="0" applyFont="1" applyFill="1" applyBorder="1" applyAlignment="1">
      <alignment horizontal="left" wrapText="1"/>
    </xf>
    <xf numFmtId="1" fontId="6" fillId="23" borderId="18" xfId="0" applyNumberFormat="1" applyFont="1" applyFill="1" applyBorder="1" applyAlignment="1">
      <alignment horizontal="left" wrapText="1"/>
    </xf>
    <xf numFmtId="0" fontId="5" fillId="23" borderId="18" xfId="0" applyFont="1" applyFill="1" applyBorder="1" applyAlignment="1">
      <alignment horizontal="left" vertical="top" wrapText="1"/>
    </xf>
    <xf numFmtId="0" fontId="8" fillId="23" borderId="18" xfId="0" applyFont="1" applyFill="1" applyBorder="1" applyAlignment="1">
      <alignment horizontal="left" vertical="center" wrapText="1"/>
    </xf>
    <xf numFmtId="0" fontId="32" fillId="24" borderId="18" xfId="0" applyFont="1" applyFill="1" applyBorder="1" applyAlignment="1">
      <alignment horizontal="left" vertical="top" wrapText="1"/>
    </xf>
    <xf numFmtId="0" fontId="7" fillId="23" borderId="0" xfId="0" applyFont="1" applyFill="1" applyAlignment="1">
      <alignment horizontal="left" wrapText="1"/>
    </xf>
    <xf numFmtId="169" fontId="7" fillId="23" borderId="0" xfId="0" applyNumberFormat="1" applyFont="1" applyFill="1" applyAlignment="1">
      <alignment horizontal="left" wrapText="1"/>
    </xf>
    <xf numFmtId="0" fontId="6" fillId="23" borderId="11" xfId="0" applyFont="1" applyFill="1" applyBorder="1" applyAlignment="1">
      <alignment horizontal="left" wrapText="1"/>
    </xf>
    <xf numFmtId="1" fontId="6" fillId="23" borderId="11" xfId="0" applyNumberFormat="1" applyFont="1" applyFill="1" applyBorder="1" applyAlignment="1">
      <alignment horizontal="left" wrapText="1"/>
    </xf>
    <xf numFmtId="0" fontId="5" fillId="23" borderId="11" xfId="0" applyFont="1" applyFill="1" applyBorder="1" applyAlignment="1">
      <alignment horizontal="left" vertical="top" wrapText="1"/>
    </xf>
    <xf numFmtId="0" fontId="8" fillId="23" borderId="11" xfId="0" applyFont="1" applyFill="1" applyBorder="1" applyAlignment="1">
      <alignment horizontal="left" vertical="center" wrapText="1"/>
    </xf>
    <xf numFmtId="0" fontId="32" fillId="24" borderId="11" xfId="0" applyFont="1" applyFill="1" applyBorder="1" applyAlignment="1">
      <alignment horizontal="left" vertical="top" wrapText="1"/>
    </xf>
    <xf numFmtId="176" fontId="49" fillId="23" borderId="0" xfId="0" applyNumberFormat="1" applyFont="1" applyFill="1" applyAlignment="1">
      <alignment horizontal="left" wrapText="1"/>
    </xf>
    <xf numFmtId="0" fontId="5" fillId="0" borderId="14" xfId="0" applyFont="1" applyFill="1" applyBorder="1" applyAlignment="1">
      <alignment horizontal="left" vertical="center" wrapText="1"/>
    </xf>
    <xf numFmtId="0" fontId="53" fillId="0" borderId="0" xfId="0" applyFont="1"/>
    <xf numFmtId="0" fontId="0" fillId="0" borderId="0" xfId="0" applyAlignment="1">
      <alignment wrapText="1"/>
    </xf>
    <xf numFmtId="0" fontId="7" fillId="0" borderId="0" xfId="0" applyFont="1" applyFill="1" applyAlignment="1">
      <alignment horizontal="left" wrapText="1"/>
    </xf>
    <xf numFmtId="10" fontId="49" fillId="0" borderId="0" xfId="0" applyNumberFormat="1" applyFont="1" applyFill="1" applyAlignment="1">
      <alignment horizontal="left" wrapText="1"/>
    </xf>
    <xf numFmtId="0" fontId="54" fillId="0" borderId="0" xfId="0" applyFont="1" applyFill="1" applyBorder="1" applyAlignment="1">
      <alignment vertical="center" wrapText="1"/>
    </xf>
    <xf numFmtId="0" fontId="0" fillId="0" borderId="0" xfId="0" applyFill="1" applyBorder="1"/>
    <xf numFmtId="2" fontId="54" fillId="0" borderId="0" xfId="0" applyNumberFormat="1" applyFont="1" applyFill="1" applyBorder="1" applyAlignment="1">
      <alignment vertical="center" wrapText="1"/>
    </xf>
    <xf numFmtId="0" fontId="7" fillId="0" borderId="0" xfId="0" applyFont="1" applyBorder="1" applyAlignment="1">
      <alignment horizontal="left" wrapText="1"/>
    </xf>
    <xf numFmtId="0" fontId="54" fillId="0" borderId="0" xfId="0" applyFont="1" applyFill="1" applyBorder="1" applyAlignment="1">
      <alignment horizontal="center" vertical="center" wrapText="1" shrinkToFit="1"/>
    </xf>
    <xf numFmtId="0" fontId="48" fillId="0" borderId="14" xfId="0" applyFont="1" applyFill="1" applyBorder="1" applyAlignment="1">
      <alignment horizontal="left" vertical="center" wrapText="1"/>
    </xf>
    <xf numFmtId="0" fontId="32" fillId="0" borderId="14" xfId="0" applyFont="1" applyFill="1" applyBorder="1" applyAlignment="1">
      <alignment horizontal="left" vertical="top" wrapText="1"/>
    </xf>
    <xf numFmtId="10" fontId="0" fillId="0" borderId="0" xfId="0" applyNumberFormat="1"/>
    <xf numFmtId="0" fontId="7" fillId="25" borderId="0" xfId="0" applyFont="1" applyFill="1" applyAlignment="1">
      <alignment horizontal="left" wrapText="1"/>
    </xf>
    <xf numFmtId="2" fontId="7" fillId="25" borderId="0" xfId="0" applyNumberFormat="1" applyFont="1" applyFill="1" applyAlignment="1">
      <alignment horizontal="left" wrapText="1"/>
    </xf>
    <xf numFmtId="49" fontId="5" fillId="25" borderId="17" xfId="0" applyNumberFormat="1" applyFont="1" applyFill="1" applyBorder="1" applyAlignment="1">
      <alignment horizontal="left" vertical="center" wrapText="1"/>
    </xf>
    <xf numFmtId="0" fontId="5" fillId="25" borderId="17" xfId="0" applyFont="1" applyFill="1" applyBorder="1" applyAlignment="1">
      <alignment horizontal="left" vertical="center" wrapText="1"/>
    </xf>
    <xf numFmtId="0" fontId="6" fillId="25" borderId="17" xfId="0" applyFont="1" applyFill="1" applyBorder="1" applyAlignment="1">
      <alignment horizontal="left" wrapText="1"/>
    </xf>
    <xf numFmtId="1" fontId="6" fillId="25" borderId="17" xfId="0" applyNumberFormat="1" applyFont="1" applyFill="1" applyBorder="1" applyAlignment="1">
      <alignment horizontal="left" wrapText="1"/>
    </xf>
    <xf numFmtId="0" fontId="5" fillId="25" borderId="17" xfId="0" applyFont="1" applyFill="1" applyBorder="1" applyAlignment="1">
      <alignment horizontal="left" vertical="top" wrapText="1"/>
    </xf>
    <xf numFmtId="0" fontId="48" fillId="25" borderId="17" xfId="0" applyFont="1" applyFill="1" applyBorder="1" applyAlignment="1">
      <alignment horizontal="left" vertical="center" wrapText="1"/>
    </xf>
    <xf numFmtId="0" fontId="32" fillId="25" borderId="17" xfId="0" applyFont="1" applyFill="1" applyBorder="1" applyAlignment="1">
      <alignment horizontal="left" vertical="top" wrapText="1"/>
    </xf>
    <xf numFmtId="0" fontId="7" fillId="21" borderId="0" xfId="0" applyFont="1" applyFill="1" applyAlignment="1">
      <alignment horizontal="left" wrapText="1"/>
    </xf>
    <xf numFmtId="0" fontId="6" fillId="23" borderId="3" xfId="0" applyFont="1" applyFill="1" applyBorder="1" applyAlignment="1">
      <alignment horizontal="left" wrapText="1"/>
    </xf>
    <xf numFmtId="1" fontId="13" fillId="23" borderId="3" xfId="0" applyNumberFormat="1" applyFont="1" applyFill="1" applyBorder="1" applyAlignment="1">
      <alignment horizontal="left" wrapText="1"/>
    </xf>
    <xf numFmtId="0" fontId="6" fillId="23" borderId="3" xfId="0" applyFont="1" applyFill="1" applyBorder="1" applyAlignment="1">
      <alignment horizontal="left" vertical="top" wrapText="1"/>
    </xf>
    <xf numFmtId="0" fontId="8" fillId="23" borderId="3" xfId="0" applyFont="1" applyFill="1" applyBorder="1" applyAlignment="1">
      <alignment horizontal="left" vertical="center" wrapText="1"/>
    </xf>
    <xf numFmtId="0" fontId="32" fillId="23" borderId="3" xfId="0" applyFont="1" applyFill="1" applyBorder="1" applyAlignment="1">
      <alignment horizontal="left" vertical="top" wrapText="1"/>
    </xf>
    <xf numFmtId="0" fontId="0" fillId="0" borderId="0" xfId="0"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center" vertical="center"/>
    </xf>
    <xf numFmtId="10" fontId="0" fillId="0" borderId="0" xfId="0" applyNumberFormat="1" applyFont="1" applyAlignment="1">
      <alignment horizontal="center" vertical="center"/>
    </xf>
    <xf numFmtId="1" fontId="0" fillId="0" borderId="0" xfId="0" applyNumberFormat="1" applyFont="1" applyAlignment="1">
      <alignment horizontal="center" vertical="center"/>
    </xf>
    <xf numFmtId="2" fontId="0" fillId="0" borderId="0" xfId="0" applyNumberFormat="1" applyAlignment="1">
      <alignment horizontal="center" vertical="center"/>
    </xf>
    <xf numFmtId="0" fontId="13" fillId="25" borderId="0" xfId="0" applyFont="1" applyFill="1" applyAlignment="1">
      <alignment horizontal="left" wrapText="1"/>
    </xf>
    <xf numFmtId="1" fontId="7" fillId="0" borderId="0" xfId="0" applyNumberFormat="1" applyFont="1" applyAlignment="1">
      <alignment horizontal="left" wrapText="1"/>
    </xf>
    <xf numFmtId="169" fontId="7" fillId="22" borderId="0" xfId="0" applyNumberFormat="1" applyFont="1" applyFill="1" applyAlignment="1">
      <alignment horizontal="left" wrapText="1"/>
    </xf>
    <xf numFmtId="2" fontId="7" fillId="22" borderId="0" xfId="0" applyNumberFormat="1" applyFont="1" applyFill="1" applyAlignment="1">
      <alignment horizontal="left" wrapText="1"/>
    </xf>
    <xf numFmtId="0" fontId="49" fillId="0" borderId="0" xfId="0" applyFont="1" applyAlignment="1">
      <alignment horizontal="left" wrapText="1"/>
    </xf>
    <xf numFmtId="0" fontId="49" fillId="23" borderId="0" xfId="0" applyFont="1" applyFill="1" applyAlignment="1">
      <alignment horizontal="left" wrapText="1"/>
    </xf>
    <xf numFmtId="0" fontId="49" fillId="21" borderId="0" xfId="0" applyFont="1" applyFill="1" applyAlignment="1">
      <alignment horizontal="left" wrapText="1"/>
    </xf>
    <xf numFmtId="165" fontId="49" fillId="0" borderId="0" xfId="0" applyNumberFormat="1" applyFont="1" applyAlignment="1">
      <alignment horizontal="left" wrapText="1"/>
    </xf>
    <xf numFmtId="10" fontId="49" fillId="0" borderId="0" xfId="0" applyNumberFormat="1" applyFont="1" applyAlignment="1">
      <alignment horizontal="left" wrapText="1"/>
    </xf>
    <xf numFmtId="0" fontId="49" fillId="0" borderId="0" xfId="0" applyFont="1" applyFill="1" applyAlignment="1">
      <alignment horizontal="left" wrapText="1"/>
    </xf>
    <xf numFmtId="0" fontId="49" fillId="25" borderId="0" xfId="0" applyFont="1" applyFill="1" applyAlignment="1">
      <alignment horizontal="left" wrapText="1"/>
    </xf>
    <xf numFmtId="2" fontId="49" fillId="0" borderId="0" xfId="0" applyNumberFormat="1" applyFont="1" applyAlignment="1">
      <alignment horizontal="center" vertical="center" wrapText="1"/>
    </xf>
    <xf numFmtId="2" fontId="7" fillId="0" borderId="0" xfId="0" applyNumberFormat="1" applyFont="1" applyAlignment="1">
      <alignment horizontal="left" wrapText="1"/>
    </xf>
    <xf numFmtId="2" fontId="49" fillId="0" borderId="0" xfId="0" applyNumberFormat="1" applyFont="1" applyAlignment="1">
      <alignment horizontal="left" wrapText="1"/>
    </xf>
    <xf numFmtId="0" fontId="5" fillId="4" borderId="1" xfId="0" applyFont="1" applyFill="1" applyBorder="1" applyAlignment="1">
      <alignment horizontal="left" vertical="center" wrapText="1"/>
    </xf>
    <xf numFmtId="0" fontId="56" fillId="0" borderId="1" xfId="0" applyFont="1" applyBorder="1"/>
    <xf numFmtId="0" fontId="56" fillId="0" borderId="1" xfId="0" applyFont="1" applyBorder="1" applyAlignment="1">
      <alignment wrapText="1"/>
    </xf>
    <xf numFmtId="0" fontId="59" fillId="0" borderId="1" xfId="0" applyFont="1" applyBorder="1"/>
    <xf numFmtId="1" fontId="59" fillId="0" borderId="1" xfId="0" applyNumberFormat="1" applyFont="1" applyBorder="1"/>
    <xf numFmtId="2" fontId="59" fillId="0" borderId="1" xfId="0" applyNumberFormat="1" applyFont="1" applyBorder="1"/>
    <xf numFmtId="0" fontId="56" fillId="0" borderId="0" xfId="0" applyFont="1" applyAlignment="1">
      <alignment wrapText="1"/>
    </xf>
    <xf numFmtId="0" fontId="59" fillId="0" borderId="0" xfId="0" applyFont="1"/>
    <xf numFmtId="10" fontId="59" fillId="0" borderId="1" xfId="0" applyNumberFormat="1" applyFont="1" applyBorder="1"/>
    <xf numFmtId="0" fontId="55" fillId="0" borderId="1" xfId="13" applyFont="1" applyFill="1" applyBorder="1" applyAlignment="1">
      <alignment horizontal="left" vertical="center" wrapText="1"/>
    </xf>
    <xf numFmtId="0" fontId="55" fillId="0" borderId="1" xfId="13" applyFont="1" applyFill="1" applyBorder="1" applyAlignment="1">
      <alignment horizontal="right" vertical="center" wrapText="1"/>
    </xf>
    <xf numFmtId="0" fontId="55" fillId="0" borderId="1" xfId="13" applyFont="1" applyFill="1" applyBorder="1" applyAlignment="1">
      <alignment horizontal="right"/>
    </xf>
    <xf numFmtId="10" fontId="55" fillId="0" borderId="1" xfId="2" applyNumberFormat="1" applyFont="1" applyFill="1" applyBorder="1" applyAlignment="1">
      <alignment horizontal="right" vertical="center" wrapText="1"/>
    </xf>
    <xf numFmtId="10" fontId="55" fillId="0" borderId="1" xfId="2" applyNumberFormat="1" applyFont="1" applyFill="1" applyBorder="1" applyAlignment="1">
      <alignment vertical="center"/>
    </xf>
    <xf numFmtId="0" fontId="56" fillId="0" borderId="1" xfId="13" applyFont="1" applyFill="1" applyBorder="1" applyAlignment="1">
      <alignment horizontal="left" vertical="center" wrapText="1"/>
    </xf>
    <xf numFmtId="10" fontId="56" fillId="0" borderId="1" xfId="2" applyNumberFormat="1" applyFont="1" applyFill="1" applyBorder="1" applyAlignment="1">
      <alignment horizontal="right" vertical="center" wrapText="1"/>
    </xf>
    <xf numFmtId="4" fontId="55" fillId="0" borderId="1" xfId="13" applyNumberFormat="1" applyFont="1" applyFill="1" applyBorder="1" applyAlignment="1">
      <alignment horizontal="right" vertical="center" wrapText="1"/>
    </xf>
    <xf numFmtId="4" fontId="55" fillId="0" borderId="1" xfId="13" applyNumberFormat="1" applyFont="1" applyFill="1" applyBorder="1" applyAlignment="1">
      <alignment horizontal="right" vertical="center"/>
    </xf>
    <xf numFmtId="4" fontId="55" fillId="0" borderId="1" xfId="13" applyNumberFormat="1" applyFont="1" applyFill="1" applyBorder="1" applyAlignment="1">
      <alignment vertical="center"/>
    </xf>
    <xf numFmtId="4" fontId="56" fillId="0" borderId="1" xfId="13" applyNumberFormat="1" applyFont="1" applyFill="1" applyBorder="1" applyAlignment="1">
      <alignment horizontal="right" vertical="center" wrapText="1"/>
    </xf>
    <xf numFmtId="4" fontId="56" fillId="0" borderId="1" xfId="13" applyNumberFormat="1" applyFont="1" applyFill="1" applyBorder="1" applyAlignment="1">
      <alignment horizontal="right" vertical="center"/>
    </xf>
    <xf numFmtId="4" fontId="56" fillId="0" borderId="1" xfId="13" applyNumberFormat="1" applyFont="1" applyFill="1" applyBorder="1" applyAlignment="1">
      <alignment vertical="center"/>
    </xf>
    <xf numFmtId="0" fontId="57" fillId="0" borderId="1" xfId="13" applyFont="1" applyFill="1" applyBorder="1" applyAlignment="1">
      <alignment horizontal="left" vertical="center" wrapText="1"/>
    </xf>
    <xf numFmtId="0" fontId="57" fillId="0" borderId="1" xfId="13" applyFont="1" applyFill="1" applyBorder="1" applyAlignment="1">
      <alignment horizontal="right" vertical="center" wrapText="1"/>
    </xf>
    <xf numFmtId="0" fontId="57" fillId="0" borderId="1" xfId="13" applyFont="1" applyFill="1" applyBorder="1" applyAlignment="1">
      <alignment horizontal="right"/>
    </xf>
    <xf numFmtId="0" fontId="62" fillId="0" borderId="1" xfId="13" applyFont="1" applyFill="1" applyBorder="1" applyAlignment="1">
      <alignment horizontal="left" vertical="center" wrapText="1"/>
    </xf>
    <xf numFmtId="10" fontId="56" fillId="0" borderId="1" xfId="13" applyNumberFormat="1" applyFont="1" applyFill="1" applyBorder="1" applyAlignment="1"/>
    <xf numFmtId="10" fontId="62" fillId="0" borderId="1" xfId="13" applyNumberFormat="1" applyFont="1" applyFill="1" applyBorder="1" applyAlignment="1"/>
    <xf numFmtId="10" fontId="56" fillId="0" borderId="1" xfId="14" applyNumberFormat="1" applyFont="1" applyFill="1" applyBorder="1" applyAlignment="1">
      <alignment vertical="center"/>
    </xf>
    <xf numFmtId="10" fontId="62" fillId="0" borderId="1" xfId="14" applyNumberFormat="1" applyFont="1" applyFill="1" applyBorder="1" applyAlignment="1">
      <alignment vertical="center"/>
    </xf>
    <xf numFmtId="10" fontId="56" fillId="0" borderId="1" xfId="14" applyNumberFormat="1" applyFont="1" applyFill="1" applyBorder="1" applyAlignment="1">
      <alignment horizontal="right" vertical="center"/>
    </xf>
    <xf numFmtId="0" fontId="7" fillId="23" borderId="0" xfId="0" applyFont="1" applyFill="1" applyAlignment="1">
      <alignment horizontal="center" vertical="center" wrapText="1"/>
    </xf>
    <xf numFmtId="3" fontId="7" fillId="0" borderId="0" xfId="0" applyNumberFormat="1" applyFont="1" applyAlignment="1">
      <alignment horizontal="left" wrapText="1"/>
    </xf>
    <xf numFmtId="0" fontId="63" fillId="0" borderId="0" xfId="0" applyFont="1" applyAlignment="1">
      <alignment wrapText="1"/>
    </xf>
    <xf numFmtId="0" fontId="64" fillId="0" borderId="0" xfId="0" applyFont="1" applyAlignment="1">
      <alignment horizontal="center" vertical="center" wrapText="1"/>
    </xf>
    <xf numFmtId="2" fontId="63" fillId="0" borderId="0" xfId="0" applyNumberFormat="1" applyFont="1" applyAlignment="1">
      <alignment wrapText="1"/>
    </xf>
    <xf numFmtId="0" fontId="65" fillId="0" borderId="0" xfId="0" applyFont="1" applyFill="1" applyAlignment="1">
      <alignment wrapText="1"/>
    </xf>
    <xf numFmtId="0" fontId="63" fillId="23" borderId="0" xfId="0" applyFont="1" applyFill="1" applyAlignment="1">
      <alignment wrapText="1"/>
    </xf>
    <xf numFmtId="2" fontId="64" fillId="23" borderId="0" xfId="0" applyNumberFormat="1" applyFont="1" applyFill="1" applyAlignment="1">
      <alignment wrapText="1"/>
    </xf>
    <xf numFmtId="2" fontId="63" fillId="0" borderId="0" xfId="0" applyNumberFormat="1" applyFont="1" applyFill="1" applyAlignment="1">
      <alignment wrapText="1"/>
    </xf>
    <xf numFmtId="0" fontId="5" fillId="21" borderId="1" xfId="0" applyFont="1" applyFill="1" applyBorder="1" applyAlignment="1">
      <alignment horizontal="left" vertical="center" wrapText="1"/>
    </xf>
    <xf numFmtId="2" fontId="5" fillId="3" borderId="1" xfId="0" applyNumberFormat="1" applyFont="1" applyFill="1" applyBorder="1" applyAlignment="1">
      <alignment horizontal="left" vertical="center" wrapText="1"/>
    </xf>
    <xf numFmtId="0" fontId="7" fillId="23" borderId="0" xfId="0" applyFont="1" applyFill="1" applyBorder="1" applyAlignment="1">
      <alignment horizontal="left" wrapText="1"/>
    </xf>
    <xf numFmtId="0" fontId="7" fillId="21" borderId="0" xfId="0" applyFont="1" applyFill="1" applyBorder="1" applyAlignment="1">
      <alignment horizontal="left" wrapText="1"/>
    </xf>
    <xf numFmtId="0" fontId="54" fillId="21" borderId="0" xfId="0" applyFont="1" applyFill="1" applyBorder="1" applyAlignment="1">
      <alignment vertical="center" wrapText="1"/>
    </xf>
    <xf numFmtId="2" fontId="54" fillId="21" borderId="0" xfId="0" applyNumberFormat="1" applyFont="1" applyFill="1" applyBorder="1" applyAlignment="1">
      <alignment vertical="center" wrapText="1"/>
    </xf>
    <xf numFmtId="0" fontId="0" fillId="21" borderId="0" xfId="0" applyFill="1" applyBorder="1"/>
    <xf numFmtId="0" fontId="59" fillId="21" borderId="1" xfId="0" applyFont="1" applyFill="1" applyBorder="1"/>
    <xf numFmtId="10" fontId="59" fillId="21" borderId="1" xfId="0" applyNumberFormat="1" applyFont="1" applyFill="1" applyBorder="1"/>
    <xf numFmtId="0" fontId="55" fillId="0" borderId="1" xfId="0" applyFont="1" applyBorder="1" applyAlignment="1">
      <alignment wrapText="1"/>
    </xf>
    <xf numFmtId="2" fontId="55" fillId="0" borderId="1" xfId="0" applyNumberFormat="1" applyFont="1" applyBorder="1"/>
    <xf numFmtId="2" fontId="56" fillId="0" borderId="1" xfId="0" applyNumberFormat="1" applyFont="1" applyBorder="1"/>
    <xf numFmtId="0" fontId="7" fillId="26" borderId="0" xfId="0" applyFont="1" applyFill="1" applyAlignment="1">
      <alignment horizontal="left" wrapText="1"/>
    </xf>
    <xf numFmtId="0" fontId="49" fillId="26" borderId="0" xfId="0" applyFont="1" applyFill="1" applyAlignment="1">
      <alignment horizontal="left" wrapText="1"/>
    </xf>
    <xf numFmtId="2" fontId="56" fillId="0" borderId="1" xfId="0" quotePrefix="1" applyNumberFormat="1" applyFont="1" applyBorder="1"/>
    <xf numFmtId="0" fontId="56" fillId="0" borderId="0" xfId="0" applyFont="1"/>
    <xf numFmtId="0" fontId="56" fillId="0" borderId="0" xfId="0" applyFont="1" applyFill="1" applyAlignment="1">
      <alignment wrapText="1"/>
    </xf>
    <xf numFmtId="4" fontId="56" fillId="0" borderId="0" xfId="0" applyNumberFormat="1" applyFont="1" applyAlignment="1">
      <alignment wrapText="1"/>
    </xf>
    <xf numFmtId="4" fontId="56" fillId="0" borderId="0" xfId="0" applyNumberFormat="1" applyFont="1" applyFill="1" applyAlignment="1">
      <alignment vertical="center"/>
    </xf>
    <xf numFmtId="2" fontId="56" fillId="0" borderId="0" xfId="0" applyNumberFormat="1" applyFont="1" applyFill="1" applyAlignment="1">
      <alignment vertical="center"/>
    </xf>
    <xf numFmtId="0" fontId="56" fillId="0" borderId="0" xfId="0" applyFont="1" applyFill="1"/>
    <xf numFmtId="4" fontId="56" fillId="0" borderId="0" xfId="0" applyNumberFormat="1" applyFont="1"/>
    <xf numFmtId="0" fontId="57" fillId="0" borderId="1" xfId="13" applyFont="1" applyBorder="1" applyAlignment="1">
      <alignment horizontal="left" vertical="center" wrapText="1"/>
    </xf>
    <xf numFmtId="0" fontId="57" fillId="0" borderId="1" xfId="13" applyFont="1" applyFill="1" applyBorder="1" applyAlignment="1">
      <alignment horizontal="left" vertical="center"/>
    </xf>
    <xf numFmtId="0" fontId="62" fillId="0" borderId="1" xfId="13" applyFont="1" applyBorder="1" applyAlignment="1">
      <alignment horizontal="left" vertical="center" wrapText="1"/>
    </xf>
    <xf numFmtId="0" fontId="62" fillId="0" borderId="1" xfId="0" applyFont="1" applyBorder="1" applyAlignment="1">
      <alignment horizontal="left" vertical="center" wrapText="1"/>
    </xf>
    <xf numFmtId="3" fontId="62" fillId="0" borderId="1" xfId="13" applyNumberFormat="1" applyFont="1" applyFill="1" applyBorder="1" applyAlignment="1">
      <alignment horizontal="left" vertical="center"/>
    </xf>
    <xf numFmtId="168" fontId="62" fillId="0" borderId="1" xfId="14" applyNumberFormat="1" applyFont="1" applyBorder="1" applyAlignment="1">
      <alignment horizontal="left" vertical="center"/>
    </xf>
    <xf numFmtId="168" fontId="62" fillId="0" borderId="1" xfId="14" applyNumberFormat="1" applyFont="1" applyFill="1" applyBorder="1" applyAlignment="1">
      <alignment horizontal="left" vertical="center"/>
    </xf>
    <xf numFmtId="168" fontId="56" fillId="0" borderId="1" xfId="0" applyNumberFormat="1" applyFont="1" applyBorder="1" applyAlignment="1">
      <alignment horizontal="left" vertical="center"/>
    </xf>
    <xf numFmtId="3" fontId="62" fillId="0" borderId="1" xfId="13" applyNumberFormat="1" applyFont="1" applyBorder="1" applyAlignment="1">
      <alignment horizontal="left" vertical="center"/>
    </xf>
    <xf numFmtId="0" fontId="56" fillId="0" borderId="1" xfId="0" applyFont="1" applyBorder="1" applyAlignment="1">
      <alignment horizontal="left" vertical="center"/>
    </xf>
    <xf numFmtId="0" fontId="57" fillId="0" borderId="1" xfId="13" applyFont="1" applyBorder="1" applyAlignment="1">
      <alignment horizontal="left" vertical="center"/>
    </xf>
    <xf numFmtId="3" fontId="57" fillId="0" borderId="1" xfId="13" applyNumberFormat="1" applyFont="1" applyFill="1" applyBorder="1" applyAlignment="1">
      <alignment horizontal="left" vertical="center"/>
    </xf>
    <xf numFmtId="9" fontId="57" fillId="0" borderId="1" xfId="2" applyFont="1" applyFill="1" applyBorder="1" applyAlignment="1">
      <alignment horizontal="left" vertical="center"/>
    </xf>
    <xf numFmtId="9" fontId="57" fillId="0" borderId="1" xfId="14" applyFont="1" applyFill="1" applyBorder="1" applyAlignment="1">
      <alignment horizontal="left" vertical="center"/>
    </xf>
    <xf numFmtId="0" fontId="6" fillId="27" borderId="17" xfId="0" applyFont="1" applyFill="1" applyBorder="1" applyAlignment="1">
      <alignment horizontal="left" vertical="center" wrapText="1"/>
    </xf>
    <xf numFmtId="0" fontId="6" fillId="27" borderId="14" xfId="0" applyFont="1" applyFill="1" applyBorder="1" applyAlignment="1">
      <alignment horizontal="left" wrapText="1"/>
    </xf>
    <xf numFmtId="1" fontId="13" fillId="27" borderId="14" xfId="0" applyNumberFormat="1" applyFont="1" applyFill="1" applyBorder="1" applyAlignment="1">
      <alignment horizontal="left" wrapText="1"/>
    </xf>
    <xf numFmtId="0" fontId="5" fillId="27" borderId="14" xfId="0" applyFont="1" applyFill="1" applyBorder="1" applyAlignment="1">
      <alignment horizontal="left" vertical="top" wrapText="1"/>
    </xf>
    <xf numFmtId="0" fontId="8" fillId="27" borderId="14" xfId="0" applyFont="1" applyFill="1" applyBorder="1" applyAlignment="1">
      <alignment horizontal="left" vertical="center" wrapText="1"/>
    </xf>
    <xf numFmtId="0" fontId="32" fillId="28" borderId="14" xfId="0" applyFont="1" applyFill="1" applyBorder="1" applyAlignment="1">
      <alignment horizontal="left" vertical="top" wrapText="1"/>
    </xf>
    <xf numFmtId="0" fontId="7" fillId="27" borderId="0" xfId="0" applyFont="1" applyFill="1" applyAlignment="1">
      <alignment horizontal="left" wrapText="1"/>
    </xf>
    <xf numFmtId="0" fontId="49" fillId="27" borderId="0" xfId="0" applyFont="1" applyFill="1" applyAlignment="1">
      <alignment horizontal="left" wrapText="1"/>
    </xf>
    <xf numFmtId="0" fontId="6" fillId="27" borderId="12" xfId="0" applyFont="1" applyFill="1" applyBorder="1" applyAlignment="1">
      <alignment horizontal="left" vertical="center" wrapText="1"/>
    </xf>
    <xf numFmtId="0" fontId="6" fillId="27" borderId="12" xfId="0" applyFont="1" applyFill="1" applyBorder="1" applyAlignment="1">
      <alignment horizontal="left" wrapText="1"/>
    </xf>
    <xf numFmtId="1" fontId="13" fillId="27" borderId="12" xfId="0" applyNumberFormat="1" applyFont="1" applyFill="1" applyBorder="1" applyAlignment="1">
      <alignment horizontal="left" wrapText="1"/>
    </xf>
    <xf numFmtId="0" fontId="5" fillId="27" borderId="12" xfId="0" applyFont="1" applyFill="1" applyBorder="1" applyAlignment="1">
      <alignment horizontal="left" vertical="top" wrapText="1"/>
    </xf>
    <xf numFmtId="0" fontId="8" fillId="27" borderId="12" xfId="0" applyFont="1" applyFill="1" applyBorder="1" applyAlignment="1">
      <alignment horizontal="left" vertical="center" wrapText="1"/>
    </xf>
    <xf numFmtId="0" fontId="32" fillId="28" borderId="12" xfId="0" applyFont="1" applyFill="1" applyBorder="1" applyAlignment="1">
      <alignment horizontal="left" vertical="top" wrapText="1"/>
    </xf>
    <xf numFmtId="1" fontId="49" fillId="0" borderId="0" xfId="0" applyNumberFormat="1" applyFont="1" applyAlignment="1">
      <alignment horizontal="left" wrapText="1"/>
    </xf>
    <xf numFmtId="0" fontId="7" fillId="29" borderId="0" xfId="0" applyFont="1" applyFill="1" applyAlignment="1">
      <alignment horizontal="left" wrapText="1"/>
    </xf>
    <xf numFmtId="0" fontId="55" fillId="0" borderId="1" xfId="13" applyFont="1" applyFill="1" applyBorder="1" applyAlignment="1">
      <alignment horizontal="center" vertical="center" wrapText="1"/>
    </xf>
    <xf numFmtId="176" fontId="7" fillId="0" borderId="0" xfId="0" applyNumberFormat="1" applyFont="1" applyAlignment="1">
      <alignment horizontal="left" wrapText="1"/>
    </xf>
    <xf numFmtId="176" fontId="49" fillId="0" borderId="0" xfId="0" applyNumberFormat="1" applyFont="1" applyAlignment="1">
      <alignment horizontal="left" wrapText="1"/>
    </xf>
    <xf numFmtId="0" fontId="49" fillId="29" borderId="0" xfId="0" applyFont="1" applyFill="1" applyAlignment="1">
      <alignment horizontal="left" wrapText="1"/>
    </xf>
    <xf numFmtId="0" fontId="7" fillId="29" borderId="0" xfId="0" applyFont="1" applyFill="1" applyBorder="1" applyAlignment="1">
      <alignment horizontal="left" wrapText="1"/>
    </xf>
    <xf numFmtId="0" fontId="54" fillId="29" borderId="0" xfId="0" applyFont="1" applyFill="1" applyBorder="1" applyAlignment="1">
      <alignment vertical="center" wrapText="1"/>
    </xf>
    <xf numFmtId="0" fontId="0" fillId="29" borderId="0" xfId="0" applyFill="1" applyBorder="1"/>
    <xf numFmtId="2" fontId="7" fillId="23" borderId="0" xfId="0" applyNumberFormat="1" applyFont="1" applyFill="1" applyAlignment="1">
      <alignment horizontal="left" wrapText="1"/>
    </xf>
    <xf numFmtId="2" fontId="49" fillId="23" borderId="0" xfId="0" applyNumberFormat="1" applyFont="1" applyFill="1" applyAlignment="1">
      <alignment horizontal="left" wrapText="1"/>
    </xf>
    <xf numFmtId="0" fontId="17"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67" fillId="0" borderId="14" xfId="0" applyFont="1" applyBorder="1" applyAlignment="1">
      <alignment horizontal="center" vertical="center" wrapText="1"/>
    </xf>
    <xf numFmtId="0" fontId="67" fillId="0" borderId="3" xfId="0" applyFont="1" applyBorder="1" applyAlignment="1">
      <alignment horizontal="center" vertical="center" wrapText="1"/>
    </xf>
    <xf numFmtId="0" fontId="17" fillId="12" borderId="3" xfId="0" applyFont="1" applyFill="1" applyBorder="1" applyAlignment="1">
      <alignment horizontal="center" vertical="center" wrapText="1"/>
    </xf>
    <xf numFmtId="0" fontId="5" fillId="0" borderId="11" xfId="0" applyFont="1" applyBorder="1" applyAlignment="1">
      <alignment horizontal="center" vertical="center" wrapText="1"/>
    </xf>
    <xf numFmtId="0" fontId="67" fillId="0" borderId="11" xfId="0" applyFont="1" applyBorder="1" applyAlignment="1">
      <alignment horizontal="center" vertical="center" wrapText="1"/>
    </xf>
    <xf numFmtId="0" fontId="17" fillId="0" borderId="3" xfId="0" applyFont="1" applyFill="1" applyBorder="1" applyAlignment="1">
      <alignment horizontal="center" vertical="center" wrapText="1"/>
    </xf>
    <xf numFmtId="0" fontId="5" fillId="0" borderId="16" xfId="0" applyFont="1" applyBorder="1" applyAlignment="1">
      <alignment horizontal="center" vertical="center" wrapText="1"/>
    </xf>
    <xf numFmtId="0" fontId="67" fillId="0" borderId="16" xfId="0" applyFont="1" applyBorder="1" applyAlignment="1">
      <alignment horizontal="center" vertical="center" wrapText="1"/>
    </xf>
    <xf numFmtId="0" fontId="5" fillId="0" borderId="18" xfId="0" applyFont="1" applyBorder="1" applyAlignment="1">
      <alignment horizontal="center" vertical="center" wrapText="1"/>
    </xf>
    <xf numFmtId="0" fontId="68" fillId="0" borderId="18" xfId="0" applyFont="1" applyBorder="1" applyAlignment="1">
      <alignment horizontal="center" vertical="center" wrapText="1"/>
    </xf>
    <xf numFmtId="0" fontId="17" fillId="0" borderId="3" xfId="0" applyFont="1" applyBorder="1" applyAlignment="1">
      <alignment horizontal="center" vertical="center" wrapText="1"/>
    </xf>
    <xf numFmtId="0" fontId="5" fillId="0" borderId="13" xfId="0" applyFont="1" applyBorder="1" applyAlignment="1">
      <alignment horizontal="center" vertical="center" wrapText="1"/>
    </xf>
    <xf numFmtId="167" fontId="67" fillId="0" borderId="13" xfId="0" applyNumberFormat="1" applyFont="1" applyFill="1" applyBorder="1" applyAlignment="1">
      <alignment horizontal="center" vertical="center" wrapText="1"/>
    </xf>
    <xf numFmtId="3" fontId="17" fillId="21" borderId="3" xfId="0" applyNumberFormat="1" applyFont="1" applyFill="1" applyBorder="1" applyAlignment="1">
      <alignment horizontal="center" vertical="center" wrapText="1"/>
    </xf>
    <xf numFmtId="3" fontId="17" fillId="0" borderId="3" xfId="0" applyNumberFormat="1" applyFont="1" applyBorder="1" applyAlignment="1">
      <alignment horizontal="center" vertical="center" wrapText="1"/>
    </xf>
    <xf numFmtId="171" fontId="67" fillId="0" borderId="16" xfId="0" applyNumberFormat="1" applyFont="1" applyFill="1" applyBorder="1" applyAlignment="1">
      <alignment horizontal="center" vertical="center" wrapText="1"/>
    </xf>
    <xf numFmtId="1" fontId="17" fillId="0" borderId="3" xfId="0" applyNumberFormat="1" applyFont="1" applyBorder="1" applyAlignment="1">
      <alignment horizontal="center" vertical="center" wrapText="1"/>
    </xf>
    <xf numFmtId="0" fontId="5" fillId="0" borderId="12" xfId="0" applyFont="1" applyBorder="1" applyAlignment="1">
      <alignment horizontal="center" vertical="center" wrapText="1"/>
    </xf>
    <xf numFmtId="171" fontId="17" fillId="0" borderId="12" xfId="0" applyNumberFormat="1" applyFont="1" applyFill="1" applyBorder="1" applyAlignment="1">
      <alignment horizontal="center" vertical="center" wrapText="1"/>
    </xf>
    <xf numFmtId="0" fontId="17" fillId="0" borderId="14" xfId="0" applyFont="1" applyFill="1" applyBorder="1" applyAlignment="1">
      <alignment horizontal="center" vertical="center" wrapText="1"/>
    </xf>
    <xf numFmtId="167" fontId="67" fillId="0" borderId="16" xfId="0" applyNumberFormat="1" applyFont="1" applyFill="1" applyBorder="1" applyAlignment="1">
      <alignment horizontal="center" vertical="center" wrapText="1"/>
    </xf>
    <xf numFmtId="0" fontId="17" fillId="0" borderId="16" xfId="0" applyFont="1" applyFill="1" applyBorder="1" applyAlignment="1">
      <alignment horizontal="center" vertical="center" wrapText="1"/>
    </xf>
    <xf numFmtId="165" fontId="67" fillId="0" borderId="14" xfId="0" applyNumberFormat="1" applyFont="1" applyFill="1" applyBorder="1" applyAlignment="1">
      <alignment horizontal="center" vertical="center" wrapText="1"/>
    </xf>
    <xf numFmtId="165" fontId="17" fillId="12" borderId="14" xfId="0" applyNumberFormat="1" applyFont="1" applyFill="1" applyBorder="1" applyAlignment="1">
      <alignment horizontal="center" vertical="center" wrapText="1"/>
    </xf>
    <xf numFmtId="165" fontId="17" fillId="0" borderId="3" xfId="0" applyNumberFormat="1" applyFont="1" applyBorder="1" applyAlignment="1">
      <alignment horizontal="center" vertical="center" wrapText="1"/>
    </xf>
    <xf numFmtId="0" fontId="5" fillId="0" borderId="17" xfId="0" applyFont="1" applyBorder="1" applyAlignment="1">
      <alignment horizontal="center" vertical="center" wrapText="1"/>
    </xf>
    <xf numFmtId="165" fontId="67" fillId="0" borderId="17" xfId="0" applyNumberFormat="1" applyFont="1" applyFill="1" applyBorder="1" applyAlignment="1">
      <alignment horizontal="center" vertical="center" wrapText="1"/>
    </xf>
    <xf numFmtId="165" fontId="67" fillId="0" borderId="11" xfId="0" applyNumberFormat="1" applyFont="1" applyBorder="1" applyAlignment="1">
      <alignment horizontal="center" vertical="center" wrapText="1"/>
    </xf>
    <xf numFmtId="165" fontId="17" fillId="21" borderId="3" xfId="0" applyNumberFormat="1" applyFont="1" applyFill="1" applyBorder="1" applyAlignment="1">
      <alignment horizontal="center" vertical="center" wrapText="1"/>
    </xf>
    <xf numFmtId="168" fontId="67" fillId="0" borderId="3" xfId="2" applyNumberFormat="1" applyFont="1" applyBorder="1" applyAlignment="1">
      <alignment horizontal="center" vertical="center" wrapText="1"/>
    </xf>
    <xf numFmtId="168" fontId="17" fillId="21" borderId="0" xfId="2" applyNumberFormat="1" applyFont="1" applyFill="1" applyAlignment="1">
      <alignment horizontal="center" vertical="center" wrapText="1"/>
    </xf>
    <xf numFmtId="168" fontId="67" fillId="0" borderId="16" xfId="2" applyNumberFormat="1" applyFont="1" applyBorder="1" applyAlignment="1">
      <alignment horizontal="center" vertical="center" wrapText="1"/>
    </xf>
    <xf numFmtId="168" fontId="17" fillId="0" borderId="0" xfId="2" applyNumberFormat="1" applyFont="1" applyFill="1" applyAlignment="1">
      <alignment horizontal="center" vertical="center" wrapText="1"/>
    </xf>
    <xf numFmtId="168" fontId="67" fillId="0" borderId="15" xfId="2" applyNumberFormat="1" applyFont="1" applyBorder="1" applyAlignment="1">
      <alignment horizontal="center" vertical="center" wrapText="1"/>
    </xf>
    <xf numFmtId="0" fontId="5" fillId="0" borderId="11" xfId="0" applyFont="1" applyFill="1" applyBorder="1" applyAlignment="1">
      <alignment horizontal="center" vertical="center" wrapText="1"/>
    </xf>
    <xf numFmtId="0" fontId="5" fillId="0" borderId="16" xfId="0" applyFont="1" applyFill="1" applyBorder="1" applyAlignment="1">
      <alignment horizontal="center" vertical="center" wrapText="1"/>
    </xf>
    <xf numFmtId="4" fontId="67" fillId="0" borderId="18" xfId="0" applyNumberFormat="1" applyFont="1" applyBorder="1" applyAlignment="1">
      <alignment horizontal="center" vertical="center" wrapText="1"/>
    </xf>
    <xf numFmtId="2" fontId="17" fillId="0" borderId="0" xfId="0" applyNumberFormat="1" applyFont="1" applyAlignment="1">
      <alignment horizontal="center" vertical="center" wrapText="1"/>
    </xf>
    <xf numFmtId="169" fontId="67" fillId="0" borderId="18" xfId="2" applyNumberFormat="1" applyFont="1" applyFill="1" applyBorder="1" applyAlignment="1">
      <alignment horizontal="center" vertical="center" wrapText="1"/>
    </xf>
    <xf numFmtId="2" fontId="67" fillId="0" borderId="11" xfId="0" applyNumberFormat="1" applyFont="1" applyFill="1" applyBorder="1" applyAlignment="1">
      <alignment horizontal="center" vertical="center" wrapText="1"/>
    </xf>
    <xf numFmtId="2" fontId="17" fillId="0" borderId="0" xfId="0" applyNumberFormat="1" applyFont="1" applyFill="1" applyAlignment="1">
      <alignment horizontal="center" vertical="center" wrapText="1"/>
    </xf>
    <xf numFmtId="0" fontId="5" fillId="18" borderId="15" xfId="0" applyFont="1" applyFill="1" applyBorder="1" applyAlignment="1">
      <alignment horizontal="center" vertical="center" wrapText="1"/>
    </xf>
    <xf numFmtId="2" fontId="67" fillId="18" borderId="15" xfId="0" applyNumberFormat="1" applyFont="1" applyFill="1" applyBorder="1" applyAlignment="1">
      <alignment horizontal="center" vertical="center" wrapText="1"/>
    </xf>
    <xf numFmtId="2" fontId="17" fillId="18" borderId="3" xfId="0" applyNumberFormat="1" applyFont="1" applyFill="1" applyBorder="1" applyAlignment="1">
      <alignment horizontal="center" vertical="center" wrapText="1"/>
    </xf>
    <xf numFmtId="0" fontId="68" fillId="0" borderId="16" xfId="0" applyFont="1" applyBorder="1" applyAlignment="1">
      <alignment horizontal="center" vertical="center" wrapText="1"/>
    </xf>
    <xf numFmtId="3" fontId="67" fillId="0" borderId="11" xfId="0" applyNumberFormat="1" applyFont="1" applyBorder="1" applyAlignment="1">
      <alignment horizontal="center" vertical="center" wrapText="1"/>
    </xf>
    <xf numFmtId="9" fontId="68" fillId="0" borderId="3" xfId="2" applyFont="1" applyBorder="1" applyAlignment="1">
      <alignment horizontal="center" vertical="center" wrapText="1"/>
    </xf>
    <xf numFmtId="168" fontId="13" fillId="0" borderId="3" xfId="2" applyNumberFormat="1" applyFont="1" applyBorder="1" applyAlignment="1">
      <alignment horizontal="center" vertical="center" wrapText="1"/>
    </xf>
    <xf numFmtId="3" fontId="67" fillId="0" borderId="3" xfId="0" applyNumberFormat="1" applyFont="1" applyBorder="1" applyAlignment="1">
      <alignment horizontal="center" vertical="center" wrapText="1"/>
    </xf>
    <xf numFmtId="9" fontId="68" fillId="0" borderId="16" xfId="2" applyFont="1" applyBorder="1" applyAlignment="1">
      <alignment horizontal="center" vertical="center" wrapText="1"/>
    </xf>
    <xf numFmtId="168" fontId="13" fillId="0" borderId="16" xfId="2" applyNumberFormat="1" applyFont="1" applyBorder="1" applyAlignment="1">
      <alignment horizontal="center" vertical="center" wrapText="1"/>
    </xf>
    <xf numFmtId="3" fontId="67" fillId="0" borderId="18" xfId="0" applyNumberFormat="1" applyFont="1" applyBorder="1" applyAlignment="1">
      <alignment horizontal="center" vertical="center" wrapText="1"/>
    </xf>
    <xf numFmtId="3" fontId="17" fillId="12" borderId="18" xfId="0" applyNumberFormat="1" applyFont="1" applyFill="1" applyBorder="1" applyAlignment="1">
      <alignment horizontal="center" vertical="center" wrapText="1"/>
    </xf>
    <xf numFmtId="4" fontId="67" fillId="0" borderId="12" xfId="0" applyNumberFormat="1" applyFont="1" applyBorder="1" applyAlignment="1">
      <alignment horizontal="center" vertical="center" wrapText="1"/>
    </xf>
    <xf numFmtId="176" fontId="17" fillId="0" borderId="12" xfId="0" applyNumberFormat="1" applyFont="1" applyBorder="1" applyAlignment="1">
      <alignment horizontal="center" vertical="center" wrapText="1"/>
    </xf>
    <xf numFmtId="0" fontId="5" fillId="0" borderId="14" xfId="0" applyFont="1" applyFill="1" applyBorder="1" applyAlignment="1">
      <alignment horizontal="center" vertical="center" wrapText="1"/>
    </xf>
    <xf numFmtId="4" fontId="67" fillId="0" borderId="14" xfId="0" applyNumberFormat="1" applyFont="1" applyBorder="1" applyAlignment="1">
      <alignment horizontal="center" vertical="center" wrapText="1"/>
    </xf>
    <xf numFmtId="176" fontId="17" fillId="0" borderId="14" xfId="0" applyNumberFormat="1" applyFont="1" applyBorder="1" applyAlignment="1">
      <alignment horizontal="center" vertical="center" wrapText="1"/>
    </xf>
    <xf numFmtId="4" fontId="67" fillId="0" borderId="16" xfId="0" applyNumberFormat="1" applyFont="1" applyBorder="1" applyAlignment="1">
      <alignment horizontal="center" vertical="center" wrapText="1"/>
    </xf>
    <xf numFmtId="176" fontId="17" fillId="0" borderId="16" xfId="0" applyNumberFormat="1" applyFont="1" applyBorder="1" applyAlignment="1">
      <alignment horizontal="center" vertical="center" wrapText="1"/>
    </xf>
    <xf numFmtId="3" fontId="67" fillId="0" borderId="14" xfId="0" applyNumberFormat="1" applyFont="1" applyBorder="1" applyAlignment="1">
      <alignment horizontal="center" vertical="center" wrapText="1"/>
    </xf>
    <xf numFmtId="3" fontId="67" fillId="0" borderId="16" xfId="0" applyNumberFormat="1" applyFont="1" applyBorder="1" applyAlignment="1">
      <alignment horizontal="center" vertical="center" wrapText="1"/>
    </xf>
    <xf numFmtId="3" fontId="17" fillId="0" borderId="14" xfId="0" applyNumberFormat="1" applyFont="1" applyBorder="1" applyAlignment="1">
      <alignment horizontal="center" vertical="center" wrapText="1"/>
    </xf>
    <xf numFmtId="9" fontId="67" fillId="0" borderId="3" xfId="2" applyFont="1" applyBorder="1" applyAlignment="1">
      <alignment horizontal="center" vertical="center" wrapText="1"/>
    </xf>
    <xf numFmtId="10" fontId="17" fillId="0" borderId="3" xfId="2" applyNumberFormat="1" applyFont="1" applyBorder="1" applyAlignment="1">
      <alignment horizontal="center" vertical="center" wrapText="1"/>
    </xf>
    <xf numFmtId="9" fontId="67" fillId="0" borderId="16" xfId="2" applyFont="1" applyBorder="1" applyAlignment="1">
      <alignment horizontal="center" vertical="center" wrapText="1"/>
    </xf>
    <xf numFmtId="10" fontId="17" fillId="0" borderId="16" xfId="2" applyNumberFormat="1" applyFont="1" applyBorder="1" applyAlignment="1">
      <alignment horizontal="center" vertical="center" wrapText="1"/>
    </xf>
    <xf numFmtId="165" fontId="17" fillId="0" borderId="14" xfId="0" applyNumberFormat="1" applyFont="1" applyBorder="1" applyAlignment="1">
      <alignment horizontal="center" vertical="center" wrapText="1"/>
    </xf>
    <xf numFmtId="10" fontId="67" fillId="0" borderId="14" xfId="2" applyNumberFormat="1" applyFont="1" applyBorder="1" applyAlignment="1">
      <alignment horizontal="center" vertical="center" wrapText="1"/>
    </xf>
    <xf numFmtId="10" fontId="17" fillId="0" borderId="14" xfId="2" applyNumberFormat="1" applyFont="1" applyBorder="1" applyAlignment="1">
      <alignment horizontal="center" vertical="center" wrapText="1"/>
    </xf>
    <xf numFmtId="0" fontId="5" fillId="18" borderId="12" xfId="0" applyFont="1" applyFill="1" applyBorder="1" applyAlignment="1">
      <alignment horizontal="center" vertical="center" wrapText="1"/>
    </xf>
    <xf numFmtId="10" fontId="67" fillId="18" borderId="12" xfId="2" applyNumberFormat="1" applyFont="1" applyFill="1" applyBorder="1" applyAlignment="1">
      <alignment horizontal="center" vertical="center" wrapText="1"/>
    </xf>
    <xf numFmtId="10" fontId="17" fillId="18" borderId="12" xfId="2" applyNumberFormat="1" applyFont="1" applyFill="1" applyBorder="1" applyAlignment="1">
      <alignment horizontal="center" vertical="center" wrapText="1"/>
    </xf>
    <xf numFmtId="4" fontId="67" fillId="0" borderId="11" xfId="0" applyNumberFormat="1" applyFont="1" applyFill="1" applyBorder="1" applyAlignment="1">
      <alignment horizontal="center" vertical="center" wrapText="1"/>
    </xf>
    <xf numFmtId="165" fontId="13" fillId="0" borderId="11" xfId="0" applyNumberFormat="1" applyFont="1" applyBorder="1" applyAlignment="1">
      <alignment horizontal="center" vertical="center" wrapText="1"/>
    </xf>
    <xf numFmtId="165" fontId="17" fillId="0" borderId="16" xfId="0" applyNumberFormat="1" applyFont="1" applyBorder="1" applyAlignment="1">
      <alignment horizontal="center" vertical="center" wrapText="1"/>
    </xf>
    <xf numFmtId="0" fontId="7" fillId="0" borderId="0" xfId="0" applyFont="1" applyAlignment="1">
      <alignment horizontal="center" wrapText="1"/>
    </xf>
    <xf numFmtId="49" fontId="14" fillId="0" borderId="6"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0" fontId="6" fillId="0" borderId="13" xfId="0" applyFont="1" applyFill="1" applyBorder="1" applyAlignment="1">
      <alignment horizontal="center" vertical="center" wrapText="1"/>
    </xf>
    <xf numFmtId="49" fontId="6" fillId="0" borderId="13" xfId="0" applyNumberFormat="1" applyFont="1" applyFill="1" applyBorder="1" applyAlignment="1">
      <alignment horizontal="center" vertical="center" wrapText="1"/>
    </xf>
    <xf numFmtId="0" fontId="13" fillId="0" borderId="13" xfId="0" applyFont="1" applyBorder="1" applyAlignment="1">
      <alignment horizontal="center" vertical="top" wrapText="1"/>
    </xf>
    <xf numFmtId="0" fontId="32" fillId="14" borderId="13" xfId="0" applyFont="1" applyFill="1" applyBorder="1" applyAlignment="1">
      <alignment horizontal="center" vertical="center" wrapText="1"/>
    </xf>
    <xf numFmtId="0" fontId="32" fillId="15" borderId="13" xfId="0" applyFont="1" applyFill="1" applyBorder="1" applyAlignment="1">
      <alignment horizontal="center" vertical="top" wrapText="1"/>
    </xf>
    <xf numFmtId="0" fontId="32" fillId="15" borderId="13" xfId="0" applyFont="1" applyFill="1" applyBorder="1" applyAlignment="1">
      <alignment horizontal="center" vertical="center" wrapText="1"/>
    </xf>
    <xf numFmtId="0" fontId="14" fillId="0" borderId="13" xfId="0" applyFont="1" applyBorder="1" applyAlignment="1">
      <alignment horizontal="center" vertical="center" wrapText="1"/>
    </xf>
    <xf numFmtId="0" fontId="67" fillId="0" borderId="13" xfId="0" applyFont="1" applyBorder="1" applyAlignment="1">
      <alignment horizontal="center" vertical="center" wrapText="1"/>
    </xf>
    <xf numFmtId="0" fontId="6" fillId="18" borderId="11" xfId="0" applyFont="1" applyFill="1" applyBorder="1" applyAlignment="1">
      <alignment horizontal="center" wrapText="1"/>
    </xf>
    <xf numFmtId="49" fontId="6" fillId="18" borderId="11" xfId="0" applyNumberFormat="1" applyFont="1" applyFill="1" applyBorder="1" applyAlignment="1">
      <alignment horizontal="center" wrapText="1"/>
    </xf>
    <xf numFmtId="0" fontId="8" fillId="18" borderId="11" xfId="0" applyFont="1" applyFill="1" applyBorder="1" applyAlignment="1">
      <alignment horizontal="center" vertical="center" wrapText="1"/>
    </xf>
    <xf numFmtId="0" fontId="6" fillId="18" borderId="16" xfId="0" applyFont="1" applyFill="1" applyBorder="1" applyAlignment="1">
      <alignment horizontal="center" wrapText="1"/>
    </xf>
    <xf numFmtId="49" fontId="6" fillId="18" borderId="16" xfId="0" applyNumberFormat="1" applyFont="1" applyFill="1" applyBorder="1" applyAlignment="1">
      <alignment horizontal="center" wrapText="1"/>
    </xf>
    <xf numFmtId="0" fontId="8" fillId="18" borderId="16" xfId="0" applyFont="1" applyFill="1" applyBorder="1" applyAlignment="1">
      <alignment horizontal="center" vertical="center" wrapText="1"/>
    </xf>
    <xf numFmtId="0" fontId="32" fillId="20" borderId="16" xfId="0" applyFont="1" applyFill="1" applyBorder="1" applyAlignment="1">
      <alignment horizontal="center" vertical="top" wrapText="1"/>
    </xf>
    <xf numFmtId="0" fontId="32" fillId="20" borderId="16" xfId="0" applyFont="1" applyFill="1" applyBorder="1" applyAlignment="1">
      <alignment horizontal="center" wrapText="1"/>
    </xf>
    <xf numFmtId="0" fontId="6" fillId="18" borderId="12" xfId="0" applyFont="1" applyFill="1" applyBorder="1" applyAlignment="1">
      <alignment horizontal="center" wrapText="1"/>
    </xf>
    <xf numFmtId="0" fontId="6" fillId="0" borderId="14" xfId="0" applyFont="1" applyFill="1" applyBorder="1" applyAlignment="1">
      <alignment horizontal="center" wrapText="1"/>
    </xf>
    <xf numFmtId="49" fontId="6" fillId="0" borderId="14" xfId="0" applyNumberFormat="1" applyFont="1" applyFill="1" applyBorder="1" applyAlignment="1">
      <alignment horizontal="center" wrapText="1"/>
    </xf>
    <xf numFmtId="0" fontId="5" fillId="0" borderId="14" xfId="0" applyFont="1" applyFill="1" applyBorder="1" applyAlignment="1">
      <alignment horizontal="center" vertical="top" wrapText="1"/>
    </xf>
    <xf numFmtId="0" fontId="8" fillId="16" borderId="14" xfId="0" applyFont="1" applyFill="1" applyBorder="1" applyAlignment="1">
      <alignment horizontal="center" vertical="center" wrapText="1"/>
    </xf>
    <xf numFmtId="0" fontId="32" fillId="15" borderId="14" xfId="0" applyFont="1" applyFill="1" applyBorder="1" applyAlignment="1">
      <alignment horizontal="center" vertical="top" wrapText="1"/>
    </xf>
    <xf numFmtId="0" fontId="32" fillId="15" borderId="14" xfId="0" applyFont="1" applyFill="1" applyBorder="1" applyAlignment="1">
      <alignment horizontal="center" wrapText="1"/>
    </xf>
    <xf numFmtId="0" fontId="6" fillId="0" borderId="3" xfId="0" applyFont="1" applyFill="1" applyBorder="1" applyAlignment="1">
      <alignment horizontal="center" wrapText="1"/>
    </xf>
    <xf numFmtId="49" fontId="6" fillId="0" borderId="3" xfId="0" applyNumberFormat="1" applyFont="1" applyFill="1" applyBorder="1" applyAlignment="1">
      <alignment horizontal="center" wrapText="1"/>
    </xf>
    <xf numFmtId="0" fontId="8" fillId="12" borderId="3" xfId="0" applyFont="1" applyFill="1" applyBorder="1" applyAlignment="1">
      <alignment horizontal="center" vertical="top" wrapText="1"/>
    </xf>
    <xf numFmtId="0" fontId="8" fillId="16" borderId="3" xfId="0" applyFont="1" applyFill="1" applyBorder="1" applyAlignment="1">
      <alignment horizontal="center" vertical="center" wrapText="1"/>
    </xf>
    <xf numFmtId="0" fontId="32" fillId="15" borderId="3" xfId="0" applyFont="1" applyFill="1" applyBorder="1" applyAlignment="1">
      <alignment horizontal="center" vertical="top" wrapText="1"/>
    </xf>
    <xf numFmtId="0" fontId="32" fillId="15" borderId="3" xfId="0" applyFont="1" applyFill="1" applyBorder="1" applyAlignment="1">
      <alignment horizontal="center" wrapText="1"/>
    </xf>
    <xf numFmtId="0" fontId="6" fillId="0" borderId="11" xfId="0" applyFont="1" applyFill="1" applyBorder="1" applyAlignment="1">
      <alignment horizontal="center" wrapText="1"/>
    </xf>
    <xf numFmtId="49" fontId="6" fillId="0" borderId="11" xfId="0" applyNumberFormat="1" applyFont="1" applyFill="1" applyBorder="1" applyAlignment="1">
      <alignment horizontal="center" wrapText="1"/>
    </xf>
    <xf numFmtId="0" fontId="5" fillId="0" borderId="11" xfId="0" applyFont="1" applyFill="1" applyBorder="1" applyAlignment="1">
      <alignment horizontal="center" vertical="top" wrapText="1"/>
    </xf>
    <xf numFmtId="0" fontId="8" fillId="16" borderId="11" xfId="0" applyFont="1" applyFill="1" applyBorder="1" applyAlignment="1">
      <alignment horizontal="center" vertical="center" wrapText="1"/>
    </xf>
    <xf numFmtId="0" fontId="32" fillId="15" borderId="11" xfId="0" applyFont="1" applyFill="1" applyBorder="1" applyAlignment="1">
      <alignment horizontal="center" vertical="top" wrapText="1"/>
    </xf>
    <xf numFmtId="0" fontId="32" fillId="15" borderId="11" xfId="0" applyFont="1" applyFill="1" applyBorder="1" applyAlignment="1">
      <alignment horizontal="center" wrapText="1"/>
    </xf>
    <xf numFmtId="0" fontId="5" fillId="0" borderId="3" xfId="0" applyFont="1" applyFill="1" applyBorder="1" applyAlignment="1">
      <alignment horizontal="center" vertical="top" wrapText="1"/>
    </xf>
    <xf numFmtId="0" fontId="6" fillId="0" borderId="16" xfId="0" applyFont="1" applyFill="1" applyBorder="1" applyAlignment="1">
      <alignment horizontal="center" wrapText="1"/>
    </xf>
    <xf numFmtId="49" fontId="6" fillId="0" borderId="16" xfId="0" applyNumberFormat="1" applyFont="1" applyFill="1" applyBorder="1" applyAlignment="1">
      <alignment horizontal="center" wrapText="1"/>
    </xf>
    <xf numFmtId="0" fontId="5" fillId="0" borderId="16" xfId="0" applyFont="1" applyFill="1" applyBorder="1" applyAlignment="1">
      <alignment horizontal="center" vertical="top" wrapText="1"/>
    </xf>
    <xf numFmtId="0" fontId="8" fillId="16" borderId="16" xfId="0" applyFont="1" applyFill="1" applyBorder="1" applyAlignment="1">
      <alignment horizontal="center" vertical="center" wrapText="1"/>
    </xf>
    <xf numFmtId="0" fontId="32" fillId="15" borderId="16" xfId="0" applyFont="1" applyFill="1" applyBorder="1" applyAlignment="1">
      <alignment horizontal="center" wrapText="1"/>
    </xf>
    <xf numFmtId="0" fontId="6" fillId="18" borderId="11" xfId="0" applyFont="1" applyFill="1" applyBorder="1" applyAlignment="1">
      <alignment horizontal="center" vertical="center" wrapText="1"/>
    </xf>
    <xf numFmtId="0" fontId="5" fillId="18" borderId="11" xfId="0" applyFont="1" applyFill="1" applyBorder="1" applyAlignment="1">
      <alignment horizontal="center" vertical="top" wrapText="1"/>
    </xf>
    <xf numFmtId="0" fontId="32" fillId="20" borderId="11" xfId="0" applyFont="1" applyFill="1" applyBorder="1" applyAlignment="1">
      <alignment horizontal="center" vertical="top" wrapText="1"/>
    </xf>
    <xf numFmtId="0" fontId="6" fillId="18" borderId="16" xfId="0" applyFont="1" applyFill="1" applyBorder="1" applyAlignment="1">
      <alignment horizontal="center" vertical="center" wrapText="1"/>
    </xf>
    <xf numFmtId="0" fontId="5" fillId="18" borderId="16" xfId="0" applyFont="1" applyFill="1" applyBorder="1" applyAlignment="1">
      <alignment horizontal="center" vertical="top" wrapText="1"/>
    </xf>
    <xf numFmtId="49" fontId="5" fillId="0" borderId="10" xfId="0" applyNumberFormat="1" applyFont="1" applyFill="1" applyBorder="1" applyAlignment="1">
      <alignment horizontal="center" vertical="center" wrapText="1"/>
    </xf>
    <xf numFmtId="49" fontId="5" fillId="0" borderId="18" xfId="0" applyNumberFormat="1" applyFont="1" applyFill="1" applyBorder="1" applyAlignment="1">
      <alignment horizontal="center" vertical="center" wrapText="1"/>
    </xf>
    <xf numFmtId="0" fontId="5" fillId="0" borderId="18" xfId="0" applyFont="1" applyFill="1" applyBorder="1" applyAlignment="1">
      <alignment horizontal="center" vertical="center" wrapText="1"/>
    </xf>
    <xf numFmtId="0" fontId="6" fillId="0" borderId="18" xfId="0" applyFont="1" applyFill="1" applyBorder="1" applyAlignment="1">
      <alignment horizontal="center" wrapText="1"/>
    </xf>
    <xf numFmtId="49" fontId="6" fillId="0" borderId="18" xfId="0" applyNumberFormat="1" applyFont="1" applyFill="1" applyBorder="1" applyAlignment="1">
      <alignment horizontal="center" wrapText="1"/>
    </xf>
    <xf numFmtId="0" fontId="5" fillId="0" borderId="18" xfId="0" applyFont="1" applyFill="1" applyBorder="1" applyAlignment="1">
      <alignment horizontal="center" vertical="top" wrapText="1"/>
    </xf>
    <xf numFmtId="0" fontId="8" fillId="16" borderId="18" xfId="0" applyFont="1" applyFill="1" applyBorder="1" applyAlignment="1">
      <alignment horizontal="center" vertical="center" wrapText="1"/>
    </xf>
    <xf numFmtId="0" fontId="32" fillId="15" borderId="18" xfId="0" applyFont="1" applyFill="1" applyBorder="1" applyAlignment="1">
      <alignment horizontal="center" wrapText="1"/>
    </xf>
    <xf numFmtId="49" fontId="5" fillId="0" borderId="6"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0" fontId="5" fillId="0" borderId="13" xfId="0" applyFont="1" applyFill="1" applyBorder="1" applyAlignment="1">
      <alignment horizontal="center" vertical="center" wrapText="1"/>
    </xf>
    <xf numFmtId="0" fontId="6" fillId="0" borderId="13" xfId="0" applyFont="1" applyFill="1" applyBorder="1" applyAlignment="1">
      <alignment horizontal="center" wrapText="1"/>
    </xf>
    <xf numFmtId="49" fontId="6" fillId="0" borderId="13" xfId="0" applyNumberFormat="1" applyFont="1" applyFill="1" applyBorder="1" applyAlignment="1">
      <alignment horizontal="center" wrapText="1"/>
    </xf>
    <xf numFmtId="0" fontId="5" fillId="0" borderId="13" xfId="0" applyFont="1" applyFill="1" applyBorder="1" applyAlignment="1">
      <alignment horizontal="center" vertical="top" wrapText="1"/>
    </xf>
    <xf numFmtId="0" fontId="8" fillId="16" borderId="13"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32" fillId="15" borderId="16" xfId="0" applyFont="1" applyFill="1" applyBorder="1" applyAlignment="1">
      <alignment horizontal="center" vertical="top" wrapText="1"/>
    </xf>
    <xf numFmtId="49" fontId="5" fillId="0" borderId="9" xfId="0" applyNumberFormat="1" applyFont="1" applyFill="1" applyBorder="1" applyAlignment="1">
      <alignment horizontal="center" vertical="center" wrapText="1"/>
    </xf>
    <xf numFmtId="0" fontId="6" fillId="0" borderId="17" xfId="0" applyFont="1" applyFill="1" applyBorder="1" applyAlignment="1">
      <alignment horizontal="center" vertical="center" wrapText="1"/>
    </xf>
    <xf numFmtId="0" fontId="5" fillId="0" borderId="17" xfId="0" applyFont="1" applyFill="1" applyBorder="1" applyAlignment="1">
      <alignment horizontal="center" vertical="center" wrapText="1"/>
    </xf>
    <xf numFmtId="49" fontId="13" fillId="0" borderId="3" xfId="0" applyNumberFormat="1" applyFont="1" applyFill="1" applyBorder="1" applyAlignment="1">
      <alignment horizontal="center" wrapText="1"/>
    </xf>
    <xf numFmtId="49" fontId="5" fillId="0" borderId="23" xfId="0" applyNumberFormat="1" applyFont="1" applyFill="1" applyBorder="1" applyAlignment="1">
      <alignment horizontal="center" vertical="center" wrapText="1"/>
    </xf>
    <xf numFmtId="0" fontId="6" fillId="0" borderId="14" xfId="0"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0" fontId="6" fillId="0" borderId="12" xfId="0" applyFont="1" applyFill="1" applyBorder="1" applyAlignment="1">
      <alignment horizontal="center" wrapText="1"/>
    </xf>
    <xf numFmtId="49" fontId="6" fillId="0" borderId="12" xfId="0" applyNumberFormat="1" applyFont="1" applyFill="1" applyBorder="1" applyAlignment="1">
      <alignment horizontal="center" wrapText="1"/>
    </xf>
    <xf numFmtId="0" fontId="5" fillId="0" borderId="12" xfId="0" applyFont="1" applyFill="1" applyBorder="1" applyAlignment="1">
      <alignment horizontal="center" vertical="top" wrapText="1"/>
    </xf>
    <xf numFmtId="0" fontId="8" fillId="16" borderId="12" xfId="0" applyFont="1" applyFill="1" applyBorder="1" applyAlignment="1">
      <alignment horizontal="center" vertical="center" wrapText="1"/>
    </xf>
    <xf numFmtId="0" fontId="32" fillId="15" borderId="12" xfId="0" applyFont="1" applyFill="1" applyBorder="1" applyAlignment="1">
      <alignment horizontal="center" vertical="top" wrapText="1"/>
    </xf>
    <xf numFmtId="49" fontId="5" fillId="0" borderId="16"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12" borderId="14" xfId="0" applyFont="1" applyFill="1" applyBorder="1" applyAlignment="1">
      <alignment horizontal="center" vertical="top" wrapText="1"/>
    </xf>
    <xf numFmtId="49" fontId="13" fillId="0" borderId="14" xfId="0" applyNumberFormat="1" applyFont="1" applyFill="1" applyBorder="1" applyAlignment="1">
      <alignment horizontal="center" wrapText="1"/>
    </xf>
    <xf numFmtId="0" fontId="6" fillId="0" borderId="17" xfId="0" applyFont="1" applyFill="1" applyBorder="1" applyAlignment="1">
      <alignment horizontal="center" wrapText="1"/>
    </xf>
    <xf numFmtId="0" fontId="8" fillId="16" borderId="17" xfId="0" applyFont="1" applyFill="1" applyBorder="1" applyAlignment="1">
      <alignment horizontal="center" vertical="center" wrapText="1"/>
    </xf>
    <xf numFmtId="0" fontId="32" fillId="15" borderId="17" xfId="0" applyFont="1" applyFill="1" applyBorder="1" applyAlignment="1">
      <alignment horizontal="center" vertical="top" wrapText="1"/>
    </xf>
    <xf numFmtId="0" fontId="32" fillId="15" borderId="17" xfId="0" applyFont="1" applyFill="1" applyBorder="1" applyAlignment="1">
      <alignment horizontal="center" wrapText="1"/>
    </xf>
    <xf numFmtId="0" fontId="6" fillId="0" borderId="15" xfId="0" applyFont="1" applyFill="1" applyBorder="1" applyAlignment="1">
      <alignment horizontal="center" wrapText="1"/>
    </xf>
    <xf numFmtId="49" fontId="6" fillId="0" borderId="15" xfId="0" applyNumberFormat="1" applyFont="1" applyFill="1" applyBorder="1" applyAlignment="1">
      <alignment horizontal="center" wrapText="1"/>
    </xf>
    <xf numFmtId="0" fontId="5" fillId="0" borderId="15" xfId="0" applyFont="1" applyFill="1" applyBorder="1" applyAlignment="1">
      <alignment horizontal="center" vertical="top" wrapText="1"/>
    </xf>
    <xf numFmtId="0" fontId="8" fillId="16" borderId="15" xfId="0" applyFont="1" applyFill="1" applyBorder="1" applyAlignment="1">
      <alignment horizontal="center" vertical="center" wrapText="1"/>
    </xf>
    <xf numFmtId="0" fontId="32" fillId="15" borderId="15" xfId="0" applyFont="1" applyFill="1" applyBorder="1" applyAlignment="1">
      <alignment horizontal="center" wrapText="1"/>
    </xf>
    <xf numFmtId="0" fontId="8" fillId="17" borderId="11" xfId="0" applyFont="1" applyFill="1" applyBorder="1" applyAlignment="1">
      <alignment horizontal="center" vertical="center" wrapText="1"/>
    </xf>
    <xf numFmtId="0" fontId="8" fillId="17" borderId="16" xfId="0" applyFont="1" applyFill="1" applyBorder="1" applyAlignment="1">
      <alignment horizontal="center" vertical="center" wrapText="1"/>
    </xf>
    <xf numFmtId="0" fontId="32" fillId="15" borderId="18" xfId="0" applyFont="1" applyFill="1" applyBorder="1" applyAlignment="1">
      <alignment horizontal="center" vertical="top" wrapText="1"/>
    </xf>
    <xf numFmtId="49" fontId="5" fillId="0" borderId="11" xfId="0" applyNumberFormat="1" applyFont="1" applyFill="1" applyBorder="1" applyAlignment="1">
      <alignment horizontal="center" vertical="center" wrapText="1"/>
    </xf>
    <xf numFmtId="0" fontId="48" fillId="16" borderId="11" xfId="0" applyFont="1" applyFill="1" applyBorder="1" applyAlignment="1">
      <alignment horizontal="center" vertical="center" wrapText="1"/>
    </xf>
    <xf numFmtId="49" fontId="5" fillId="18" borderId="15" xfId="0" applyNumberFormat="1" applyFont="1" applyFill="1" applyBorder="1" applyAlignment="1">
      <alignment horizontal="center" vertical="center" wrapText="1"/>
    </xf>
    <xf numFmtId="0" fontId="6" fillId="18" borderId="15" xfId="0" applyFont="1" applyFill="1" applyBorder="1" applyAlignment="1">
      <alignment horizontal="center" wrapText="1"/>
    </xf>
    <xf numFmtId="49" fontId="6" fillId="18" borderId="15" xfId="0" applyNumberFormat="1" applyFont="1" applyFill="1" applyBorder="1" applyAlignment="1">
      <alignment horizontal="center" wrapText="1"/>
    </xf>
    <xf numFmtId="0" fontId="5" fillId="18" borderId="15" xfId="0" applyFont="1" applyFill="1" applyBorder="1" applyAlignment="1">
      <alignment horizontal="center" vertical="top" wrapText="1"/>
    </xf>
    <xf numFmtId="0" fontId="48" fillId="18" borderId="15" xfId="0" applyFont="1" applyFill="1" applyBorder="1" applyAlignment="1">
      <alignment horizontal="center" vertical="center" wrapText="1"/>
    </xf>
    <xf numFmtId="0" fontId="32" fillId="20" borderId="15" xfId="0" applyFont="1" applyFill="1" applyBorder="1" applyAlignment="1">
      <alignment horizontal="center" vertical="top" wrapText="1"/>
    </xf>
    <xf numFmtId="0" fontId="32" fillId="20" borderId="15" xfId="0" applyFont="1" applyFill="1" applyBorder="1" applyAlignment="1">
      <alignment horizontal="center" wrapText="1"/>
    </xf>
    <xf numFmtId="0" fontId="5" fillId="12" borderId="18" xfId="0" applyFont="1" applyFill="1" applyBorder="1" applyAlignment="1">
      <alignment horizontal="center" vertical="top" wrapText="1"/>
    </xf>
    <xf numFmtId="0" fontId="32" fillId="30" borderId="18" xfId="0" applyFont="1" applyFill="1" applyBorder="1" applyAlignment="1">
      <alignment horizontal="center" vertical="top" wrapText="1"/>
    </xf>
    <xf numFmtId="0" fontId="32" fillId="15" borderId="12" xfId="0" applyFont="1" applyFill="1" applyBorder="1" applyAlignment="1">
      <alignment horizontal="center" wrapText="1"/>
    </xf>
    <xf numFmtId="0" fontId="6" fillId="0" borderId="28" xfId="0" applyFont="1" applyFill="1" applyBorder="1" applyAlignment="1">
      <alignment horizontal="center" vertical="center" wrapText="1"/>
    </xf>
    <xf numFmtId="0" fontId="5" fillId="0" borderId="3" xfId="0" applyFont="1" applyFill="1" applyBorder="1" applyAlignment="1">
      <alignment horizontal="center" vertical="center" wrapText="1"/>
    </xf>
    <xf numFmtId="49" fontId="13" fillId="0" borderId="16" xfId="0" applyNumberFormat="1" applyFont="1" applyFill="1" applyBorder="1" applyAlignment="1">
      <alignment horizontal="center" wrapText="1"/>
    </xf>
    <xf numFmtId="0" fontId="6" fillId="18" borderId="5" xfId="0" applyFont="1" applyFill="1" applyBorder="1" applyAlignment="1">
      <alignment horizontal="center" vertical="center" wrapText="1"/>
    </xf>
    <xf numFmtId="0" fontId="6" fillId="18" borderId="12" xfId="0" applyFont="1" applyFill="1" applyBorder="1" applyAlignment="1">
      <alignment horizontal="center" vertical="center" wrapText="1"/>
    </xf>
    <xf numFmtId="49" fontId="6" fillId="18" borderId="12" xfId="0" applyNumberFormat="1" applyFont="1" applyFill="1" applyBorder="1" applyAlignment="1">
      <alignment horizontal="center" wrapText="1"/>
    </xf>
    <xf numFmtId="0" fontId="5" fillId="18" borderId="12" xfId="0" applyFont="1" applyFill="1" applyBorder="1" applyAlignment="1">
      <alignment horizontal="center" vertical="top" wrapText="1"/>
    </xf>
    <xf numFmtId="0" fontId="8" fillId="18" borderId="12" xfId="0" applyFont="1" applyFill="1" applyBorder="1" applyAlignment="1">
      <alignment horizontal="center" vertical="center" wrapText="1"/>
    </xf>
    <xf numFmtId="0" fontId="32" fillId="20" borderId="12" xfId="0" applyFont="1" applyFill="1" applyBorder="1" applyAlignment="1">
      <alignment horizontal="center" vertical="top" wrapText="1"/>
    </xf>
    <xf numFmtId="0" fontId="32" fillId="20" borderId="12" xfId="0" applyFont="1" applyFill="1" applyBorder="1" applyAlignment="1">
      <alignment horizontal="center" wrapText="1"/>
    </xf>
    <xf numFmtId="49" fontId="5" fillId="0" borderId="4" xfId="0" applyNumberFormat="1" applyFont="1" applyFill="1" applyBorder="1" applyAlignment="1">
      <alignment horizontal="center" vertical="center" wrapText="1"/>
    </xf>
    <xf numFmtId="0" fontId="8" fillId="0" borderId="11" xfId="0" applyFont="1" applyFill="1" applyBorder="1" applyAlignment="1">
      <alignment horizontal="center" vertical="top" wrapText="1"/>
    </xf>
    <xf numFmtId="49" fontId="5" fillId="0" borderId="29" xfId="0" applyNumberFormat="1" applyFont="1" applyFill="1" applyBorder="1" applyAlignment="1">
      <alignment horizontal="center" vertical="center" wrapText="1"/>
    </xf>
    <xf numFmtId="0" fontId="5" fillId="0" borderId="29" xfId="0" applyFont="1" applyFill="1" applyBorder="1" applyAlignment="1">
      <alignment horizontal="center" vertical="center" wrapText="1"/>
    </xf>
    <xf numFmtId="0" fontId="6" fillId="0" borderId="29" xfId="0" applyFont="1" applyFill="1" applyBorder="1" applyAlignment="1">
      <alignment horizontal="center" wrapText="1"/>
    </xf>
    <xf numFmtId="0" fontId="8" fillId="0" borderId="16" xfId="0" applyFont="1" applyFill="1" applyBorder="1" applyAlignment="1">
      <alignment horizontal="center" vertical="top" wrapText="1"/>
    </xf>
    <xf numFmtId="49" fontId="49" fillId="0" borderId="0" xfId="0" applyNumberFormat="1" applyFont="1" applyFill="1" applyBorder="1" applyAlignment="1">
      <alignment horizontal="center" vertical="center" wrapText="1"/>
    </xf>
    <xf numFmtId="0" fontId="49"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0" xfId="0" applyFont="1" applyFill="1" applyBorder="1" applyAlignment="1">
      <alignment horizontal="center" vertical="top" wrapText="1"/>
    </xf>
    <xf numFmtId="0" fontId="6" fillId="29" borderId="11" xfId="0" applyFont="1" applyFill="1" applyBorder="1" applyAlignment="1">
      <alignment horizontal="center" wrapText="1"/>
    </xf>
    <xf numFmtId="49" fontId="6" fillId="29" borderId="11" xfId="0" applyNumberFormat="1" applyFont="1" applyFill="1" applyBorder="1" applyAlignment="1">
      <alignment horizontal="center" wrapText="1"/>
    </xf>
    <xf numFmtId="0" fontId="6" fillId="29" borderId="11" xfId="0" applyFont="1" applyFill="1" applyBorder="1" applyAlignment="1">
      <alignment horizontal="center" vertical="top" wrapText="1"/>
    </xf>
    <xf numFmtId="0" fontId="8" fillId="29" borderId="11" xfId="0" applyFont="1" applyFill="1" applyBorder="1" applyAlignment="1">
      <alignment horizontal="center" vertical="center" wrapText="1"/>
    </xf>
    <xf numFmtId="0" fontId="48" fillId="31" borderId="11" xfId="0" applyFont="1" applyFill="1" applyBorder="1" applyAlignment="1">
      <alignment horizontal="center" vertical="top" wrapText="1"/>
    </xf>
    <xf numFmtId="0" fontId="32" fillId="31" borderId="11" xfId="0" applyFont="1" applyFill="1" applyBorder="1" applyAlignment="1">
      <alignment horizontal="center" wrapText="1"/>
    </xf>
    <xf numFmtId="0" fontId="17" fillId="29" borderId="11" xfId="0" applyFont="1" applyFill="1" applyBorder="1" applyAlignment="1">
      <alignment horizontal="center" vertical="center" wrapText="1"/>
    </xf>
    <xf numFmtId="0" fontId="67" fillId="29" borderId="11" xfId="0" applyFont="1" applyFill="1" applyBorder="1" applyAlignment="1">
      <alignment horizontal="center" vertical="center" wrapText="1"/>
    </xf>
    <xf numFmtId="0" fontId="7" fillId="29" borderId="0" xfId="0" applyFont="1" applyFill="1" applyAlignment="1">
      <alignment horizontal="center" wrapText="1"/>
    </xf>
    <xf numFmtId="0" fontId="6" fillId="29" borderId="16" xfId="0" applyFont="1" applyFill="1" applyBorder="1" applyAlignment="1">
      <alignment horizontal="center" wrapText="1"/>
    </xf>
    <xf numFmtId="49" fontId="6" fillId="29" borderId="16" xfId="0" applyNumberFormat="1" applyFont="1" applyFill="1" applyBorder="1" applyAlignment="1">
      <alignment horizontal="center" wrapText="1"/>
    </xf>
    <xf numFmtId="0" fontId="6" fillId="29" borderId="16" xfId="0" applyFont="1" applyFill="1" applyBorder="1" applyAlignment="1">
      <alignment horizontal="center" vertical="top" wrapText="1"/>
    </xf>
    <xf numFmtId="0" fontId="8" fillId="29" borderId="16" xfId="0" applyFont="1" applyFill="1" applyBorder="1" applyAlignment="1">
      <alignment horizontal="center" vertical="center" wrapText="1"/>
    </xf>
    <xf numFmtId="0" fontId="32" fillId="31" borderId="16" xfId="0" applyFont="1" applyFill="1" applyBorder="1" applyAlignment="1">
      <alignment horizontal="center" vertical="top" wrapText="1"/>
    </xf>
    <xf numFmtId="0" fontId="32" fillId="31" borderId="16" xfId="0" applyFont="1" applyFill="1" applyBorder="1" applyAlignment="1">
      <alignment horizontal="center" wrapText="1"/>
    </xf>
    <xf numFmtId="0" fontId="17" fillId="29" borderId="16" xfId="0" applyFont="1" applyFill="1" applyBorder="1" applyAlignment="1">
      <alignment horizontal="center" vertical="center" wrapText="1"/>
    </xf>
    <xf numFmtId="0" fontId="67" fillId="29" borderId="16" xfId="0" applyFont="1" applyFill="1" applyBorder="1" applyAlignment="1">
      <alignment horizontal="center" vertical="center" wrapText="1"/>
    </xf>
    <xf numFmtId="0" fontId="6" fillId="29" borderId="14" xfId="0" applyFont="1" applyFill="1" applyBorder="1" applyAlignment="1">
      <alignment horizontal="center" wrapText="1"/>
    </xf>
    <xf numFmtId="49" fontId="6" fillId="29" borderId="14" xfId="0" applyNumberFormat="1" applyFont="1" applyFill="1" applyBorder="1" applyAlignment="1">
      <alignment horizontal="center" wrapText="1"/>
    </xf>
    <xf numFmtId="0" fontId="6" fillId="29" borderId="14" xfId="0" applyFont="1" applyFill="1" applyBorder="1" applyAlignment="1">
      <alignment horizontal="center" vertical="top" wrapText="1"/>
    </xf>
    <xf numFmtId="0" fontId="8" fillId="29" borderId="14" xfId="0" applyFont="1" applyFill="1" applyBorder="1" applyAlignment="1">
      <alignment horizontal="center" vertical="center" wrapText="1"/>
    </xf>
    <xf numFmtId="0" fontId="32" fillId="31" borderId="14" xfId="0" applyFont="1" applyFill="1" applyBorder="1" applyAlignment="1">
      <alignment horizontal="center" vertical="top" wrapText="1"/>
    </xf>
    <xf numFmtId="0" fontId="32" fillId="31" borderId="14" xfId="0" applyFont="1" applyFill="1" applyBorder="1" applyAlignment="1">
      <alignment horizontal="center" wrapText="1"/>
    </xf>
    <xf numFmtId="0" fontId="17" fillId="29" borderId="14" xfId="0" applyFont="1" applyFill="1" applyBorder="1" applyAlignment="1">
      <alignment horizontal="center" vertical="center" wrapText="1"/>
    </xf>
    <xf numFmtId="0" fontId="67" fillId="29" borderId="14" xfId="0" applyFont="1" applyFill="1" applyBorder="1" applyAlignment="1">
      <alignment horizontal="center" vertical="center" wrapText="1"/>
    </xf>
    <xf numFmtId="0" fontId="6" fillId="29" borderId="3" xfId="0" applyFont="1" applyFill="1" applyBorder="1" applyAlignment="1">
      <alignment horizontal="center" wrapText="1"/>
    </xf>
    <xf numFmtId="49" fontId="13" fillId="29" borderId="3" xfId="0" applyNumberFormat="1" applyFont="1" applyFill="1" applyBorder="1" applyAlignment="1">
      <alignment horizontal="center" wrapText="1"/>
    </xf>
    <xf numFmtId="0" fontId="6" fillId="29" borderId="3" xfId="0" applyFont="1" applyFill="1" applyBorder="1" applyAlignment="1">
      <alignment horizontal="center" vertical="top" wrapText="1"/>
    </xf>
    <xf numFmtId="0" fontId="8" fillId="29" borderId="3" xfId="0" applyFont="1" applyFill="1" applyBorder="1" applyAlignment="1">
      <alignment horizontal="center" vertical="center" wrapText="1"/>
    </xf>
    <xf numFmtId="0" fontId="32" fillId="31" borderId="3" xfId="0" applyFont="1" applyFill="1" applyBorder="1" applyAlignment="1">
      <alignment horizontal="center" vertical="top" wrapText="1"/>
    </xf>
    <xf numFmtId="0" fontId="32" fillId="31" borderId="3" xfId="0" applyFont="1" applyFill="1" applyBorder="1" applyAlignment="1">
      <alignment horizontal="center" wrapText="1"/>
    </xf>
    <xf numFmtId="0" fontId="17" fillId="29" borderId="3" xfId="0" applyFont="1" applyFill="1" applyBorder="1" applyAlignment="1">
      <alignment horizontal="center" vertical="center" wrapText="1"/>
    </xf>
    <xf numFmtId="0" fontId="67" fillId="29" borderId="3" xfId="0" applyFont="1" applyFill="1" applyBorder="1" applyAlignment="1">
      <alignment horizontal="center" vertical="center" wrapText="1"/>
    </xf>
    <xf numFmtId="0" fontId="6" fillId="29" borderId="12" xfId="0" applyFont="1" applyFill="1" applyBorder="1" applyAlignment="1">
      <alignment horizontal="center" wrapText="1"/>
    </xf>
    <xf numFmtId="49" fontId="13" fillId="29" borderId="16" xfId="0" applyNumberFormat="1" applyFont="1" applyFill="1" applyBorder="1" applyAlignment="1">
      <alignment horizontal="center" wrapText="1"/>
    </xf>
    <xf numFmtId="0" fontId="17" fillId="29" borderId="12" xfId="0" applyFont="1" applyFill="1" applyBorder="1" applyAlignment="1">
      <alignment horizontal="center" vertical="center" wrapText="1"/>
    </xf>
    <xf numFmtId="0" fontId="67" fillId="29" borderId="12" xfId="0" applyFont="1" applyFill="1" applyBorder="1" applyAlignment="1">
      <alignment horizontal="center" vertical="center" wrapText="1"/>
    </xf>
    <xf numFmtId="0" fontId="49" fillId="0" borderId="14" xfId="0" applyFont="1" applyBorder="1" applyAlignment="1">
      <alignment horizontal="center" vertical="center" wrapText="1"/>
    </xf>
    <xf numFmtId="0" fontId="49" fillId="21" borderId="14" xfId="0" applyFont="1" applyFill="1" applyBorder="1" applyAlignment="1">
      <alignment horizontal="center" vertical="center" wrapText="1"/>
    </xf>
    <xf numFmtId="0" fontId="49" fillId="23" borderId="0" xfId="0" applyFont="1" applyFill="1" applyAlignment="1">
      <alignment horizontal="center" vertical="center" wrapText="1"/>
    </xf>
    <xf numFmtId="0" fontId="7" fillId="23" borderId="0" xfId="0" applyFont="1" applyFill="1" applyAlignment="1">
      <alignment horizontal="center" wrapText="1"/>
    </xf>
    <xf numFmtId="0" fontId="6" fillId="27" borderId="3" xfId="0" applyFont="1" applyFill="1" applyBorder="1" applyAlignment="1">
      <alignment horizontal="center" wrapText="1"/>
    </xf>
    <xf numFmtId="49" fontId="6" fillId="27" borderId="3" xfId="0" applyNumberFormat="1" applyFont="1" applyFill="1" applyBorder="1" applyAlignment="1">
      <alignment horizontal="center" wrapText="1"/>
    </xf>
    <xf numFmtId="0" fontId="5" fillId="27" borderId="3" xfId="0" applyFont="1" applyFill="1" applyBorder="1" applyAlignment="1">
      <alignment horizontal="center" vertical="top" wrapText="1"/>
    </xf>
    <xf numFmtId="0" fontId="8" fillId="27" borderId="3" xfId="0" applyFont="1" applyFill="1" applyBorder="1" applyAlignment="1">
      <alignment horizontal="center" vertical="center" wrapText="1"/>
    </xf>
    <xf numFmtId="0" fontId="32" fillId="28" borderId="3" xfId="0" applyFont="1" applyFill="1" applyBorder="1" applyAlignment="1">
      <alignment horizontal="center" vertical="top" wrapText="1"/>
    </xf>
    <xf numFmtId="0" fontId="32" fillId="28" borderId="3" xfId="0" applyFont="1" applyFill="1" applyBorder="1" applyAlignment="1">
      <alignment horizontal="center" wrapText="1"/>
    </xf>
    <xf numFmtId="0" fontId="5" fillId="27" borderId="3" xfId="0" applyFont="1" applyFill="1" applyBorder="1" applyAlignment="1">
      <alignment horizontal="center" vertical="center" wrapText="1"/>
    </xf>
    <xf numFmtId="0" fontId="67" fillId="27" borderId="3" xfId="0" applyFont="1" applyFill="1" applyBorder="1" applyAlignment="1">
      <alignment horizontal="center" vertical="center" wrapText="1"/>
    </xf>
    <xf numFmtId="0" fontId="17" fillId="27" borderId="3" xfId="0" applyFont="1" applyFill="1" applyBorder="1" applyAlignment="1">
      <alignment horizontal="center" vertical="center" wrapText="1"/>
    </xf>
    <xf numFmtId="0" fontId="7" fillId="27" borderId="0" xfId="0" applyFont="1" applyFill="1" applyAlignment="1">
      <alignment horizontal="center" wrapText="1"/>
    </xf>
    <xf numFmtId="0" fontId="6" fillId="27" borderId="16" xfId="0" applyFont="1" applyFill="1" applyBorder="1" applyAlignment="1">
      <alignment horizontal="center" wrapText="1"/>
    </xf>
    <xf numFmtId="0" fontId="8" fillId="27" borderId="3" xfId="0" applyFont="1" applyFill="1" applyBorder="1" applyAlignment="1">
      <alignment horizontal="center" vertical="top" wrapText="1"/>
    </xf>
    <xf numFmtId="0" fontId="5" fillId="27" borderId="17" xfId="0" applyFont="1" applyFill="1" applyBorder="1" applyAlignment="1">
      <alignment horizontal="center" vertical="center" wrapText="1"/>
    </xf>
    <xf numFmtId="0" fontId="6" fillId="27" borderId="17" xfId="0" applyFont="1" applyFill="1" applyBorder="1" applyAlignment="1">
      <alignment horizontal="center" wrapText="1"/>
    </xf>
    <xf numFmtId="49" fontId="13" fillId="27" borderId="3" xfId="0" applyNumberFormat="1" applyFont="1" applyFill="1" applyBorder="1" applyAlignment="1">
      <alignment horizontal="center" wrapText="1"/>
    </xf>
    <xf numFmtId="0" fontId="8" fillId="27" borderId="16" xfId="0" applyFont="1" applyFill="1" applyBorder="1" applyAlignment="1">
      <alignment horizontal="center" vertical="top" wrapText="1"/>
    </xf>
    <xf numFmtId="0" fontId="32" fillId="28" borderId="17" xfId="0" applyFont="1" applyFill="1" applyBorder="1" applyAlignment="1">
      <alignment horizontal="center" wrapText="1"/>
    </xf>
    <xf numFmtId="0" fontId="67" fillId="27" borderId="17" xfId="0" applyFont="1" applyFill="1" applyBorder="1" applyAlignment="1">
      <alignment horizontal="center" vertical="center" wrapText="1"/>
    </xf>
    <xf numFmtId="0" fontId="17" fillId="0" borderId="15" xfId="0" applyFont="1" applyFill="1" applyBorder="1" applyAlignment="1">
      <alignment horizontal="center" vertical="center" wrapText="1"/>
    </xf>
    <xf numFmtId="0" fontId="17" fillId="0" borderId="14" xfId="0" applyFont="1" applyBorder="1" applyAlignment="1">
      <alignment horizontal="center" vertical="center" wrapText="1"/>
    </xf>
    <xf numFmtId="49" fontId="5" fillId="0" borderId="17" xfId="0" applyNumberFormat="1" applyFont="1" applyFill="1" applyBorder="1" applyAlignment="1">
      <alignment horizontal="center" vertical="center" wrapText="1"/>
    </xf>
    <xf numFmtId="0" fontId="12" fillId="0" borderId="11"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16" xfId="0" applyFont="1" applyBorder="1" applyAlignment="1">
      <alignment horizontal="center" vertical="center" wrapText="1"/>
    </xf>
    <xf numFmtId="1" fontId="7" fillId="0" borderId="0" xfId="0" applyNumberFormat="1" applyFont="1" applyAlignment="1">
      <alignment horizontal="center" wrapText="1"/>
    </xf>
    <xf numFmtId="10" fontId="7" fillId="0" borderId="0" xfId="0" applyNumberFormat="1" applyFont="1" applyAlignment="1">
      <alignment horizontal="center" wrapText="1"/>
    </xf>
    <xf numFmtId="10" fontId="7" fillId="23" borderId="0" xfId="0" applyNumberFormat="1" applyFont="1" applyFill="1" applyAlignment="1">
      <alignment horizontal="center" wrapText="1"/>
    </xf>
    <xf numFmtId="10" fontId="7" fillId="0" borderId="0" xfId="0" applyNumberFormat="1" applyFont="1" applyFill="1" applyAlignment="1">
      <alignment horizontal="center" wrapText="1"/>
    </xf>
    <xf numFmtId="0" fontId="7" fillId="0" borderId="0" xfId="0" applyFont="1" applyFill="1" applyAlignment="1">
      <alignment horizontal="center" wrapText="1"/>
    </xf>
    <xf numFmtId="2" fontId="7" fillId="23" borderId="0" xfId="0" applyNumberFormat="1" applyFont="1" applyFill="1" applyAlignment="1">
      <alignment horizontal="center" wrapText="1"/>
    </xf>
    <xf numFmtId="2" fontId="7" fillId="0" borderId="0" xfId="0" applyNumberFormat="1" applyFont="1" applyFill="1" applyAlignment="1">
      <alignment horizontal="center" wrapText="1"/>
    </xf>
    <xf numFmtId="0" fontId="49" fillId="23" borderId="3" xfId="0" applyFont="1" applyFill="1" applyBorder="1" applyAlignment="1">
      <alignment horizontal="center" vertical="center" wrapText="1"/>
    </xf>
    <xf numFmtId="0" fontId="49" fillId="23" borderId="0" xfId="0" quotePrefix="1" applyFont="1" applyFill="1" applyAlignment="1">
      <alignment horizontal="center" vertical="center" wrapText="1"/>
    </xf>
    <xf numFmtId="0" fontId="71" fillId="23" borderId="0" xfId="0" applyFont="1" applyFill="1" applyAlignment="1">
      <alignment horizontal="center" vertical="center" wrapText="1"/>
    </xf>
    <xf numFmtId="2" fontId="7" fillId="23" borderId="0" xfId="0" applyNumberFormat="1" applyFont="1" applyFill="1" applyAlignment="1">
      <alignment horizontal="center" vertical="center" wrapText="1"/>
    </xf>
    <xf numFmtId="10" fontId="7" fillId="23" borderId="0" xfId="0" applyNumberFormat="1" applyFont="1" applyFill="1" applyAlignment="1">
      <alignment horizontal="center" vertical="center" wrapText="1"/>
    </xf>
    <xf numFmtId="10" fontId="49" fillId="23" borderId="0" xfId="0" applyNumberFormat="1" applyFont="1" applyFill="1" applyAlignment="1">
      <alignment horizontal="center" vertical="center" wrapText="1"/>
    </xf>
    <xf numFmtId="4" fontId="7" fillId="23" borderId="0" xfId="0" applyNumberFormat="1" applyFont="1" applyFill="1" applyAlignment="1">
      <alignment horizontal="center" vertical="center" wrapText="1"/>
    </xf>
    <xf numFmtId="0" fontId="72" fillId="0" borderId="0" xfId="13" applyFont="1" applyAlignment="1"/>
    <xf numFmtId="0" fontId="56" fillId="0" borderId="0" xfId="13" applyFont="1" applyAlignment="1"/>
    <xf numFmtId="0" fontId="56" fillId="0" borderId="0" xfId="13" applyFont="1" applyAlignment="1">
      <alignment horizontal="left" vertical="center"/>
    </xf>
    <xf numFmtId="0" fontId="56" fillId="0" borderId="0" xfId="13" applyFont="1" applyFill="1" applyBorder="1" applyAlignment="1">
      <alignment horizontal="left" vertical="center" wrapText="1"/>
    </xf>
    <xf numFmtId="10" fontId="56" fillId="0" borderId="0" xfId="14" applyNumberFormat="1" applyFont="1" applyBorder="1" applyAlignment="1">
      <alignment vertical="center"/>
    </xf>
    <xf numFmtId="10" fontId="56" fillId="0" borderId="0" xfId="13" applyNumberFormat="1" applyFont="1" applyAlignment="1"/>
    <xf numFmtId="0" fontId="56" fillId="0" borderId="0" xfId="13" applyFont="1" applyFill="1" applyAlignment="1"/>
    <xf numFmtId="0" fontId="55" fillId="0" borderId="1" xfId="13" applyFont="1" applyBorder="1" applyAlignment="1">
      <alignment horizontal="left" vertical="center" wrapText="1"/>
    </xf>
    <xf numFmtId="0" fontId="55" fillId="0" borderId="1" xfId="13" applyFont="1" applyBorder="1" applyAlignment="1">
      <alignment vertical="center" wrapText="1"/>
    </xf>
    <xf numFmtId="0" fontId="55" fillId="0" borderId="1" xfId="13" applyFont="1" applyFill="1" applyBorder="1" applyAlignment="1">
      <alignment vertical="center" wrapText="1"/>
    </xf>
    <xf numFmtId="0" fontId="56" fillId="0" borderId="1" xfId="13" applyFont="1" applyBorder="1" applyAlignment="1">
      <alignment horizontal="left" vertical="center" wrapText="1"/>
    </xf>
    <xf numFmtId="0" fontId="56" fillId="0" borderId="1" xfId="13" applyFont="1" applyFill="1" applyBorder="1" applyAlignment="1">
      <alignment horizontal="right" vertical="center"/>
    </xf>
    <xf numFmtId="3" fontId="56" fillId="0" borderId="1" xfId="13" applyNumberFormat="1" applyFont="1" applyFill="1" applyBorder="1" applyAlignment="1">
      <alignment vertical="center"/>
    </xf>
    <xf numFmtId="3" fontId="56" fillId="0" borderId="1" xfId="13" applyNumberFormat="1" applyFont="1" applyBorder="1" applyAlignment="1">
      <alignment horizontal="right" vertical="center" wrapText="1"/>
    </xf>
    <xf numFmtId="3" fontId="56" fillId="0" borderId="1" xfId="13" applyNumberFormat="1" applyFont="1" applyBorder="1" applyAlignment="1">
      <alignment vertical="center"/>
    </xf>
    <xf numFmtId="0" fontId="55" fillId="0" borderId="1" xfId="13" applyFont="1" applyBorder="1" applyAlignment="1">
      <alignment horizontal="center" vertical="center" wrapText="1"/>
    </xf>
    <xf numFmtId="0" fontId="55" fillId="0" borderId="1" xfId="0" applyFont="1" applyBorder="1"/>
    <xf numFmtId="0" fontId="55" fillId="0" borderId="1" xfId="13" applyFont="1" applyBorder="1" applyAlignment="1">
      <alignment horizontal="right" vertical="center" wrapText="1"/>
    </xf>
    <xf numFmtId="0" fontId="55" fillId="0" borderId="1" xfId="13" applyFont="1" applyBorder="1" applyAlignment="1">
      <alignment horizontal="right"/>
    </xf>
    <xf numFmtId="0" fontId="56" fillId="32" borderId="1" xfId="13" applyFont="1" applyFill="1" applyBorder="1" applyAlignment="1">
      <alignment horizontal="left" vertical="center" wrapText="1"/>
    </xf>
    <xf numFmtId="4" fontId="56" fillId="32" borderId="1" xfId="13" applyNumberFormat="1" applyFont="1" applyFill="1" applyBorder="1" applyAlignment="1">
      <alignment horizontal="right" vertical="center" wrapText="1"/>
    </xf>
    <xf numFmtId="4" fontId="56" fillId="32" borderId="1" xfId="13" applyNumberFormat="1" applyFont="1" applyFill="1" applyBorder="1" applyAlignment="1">
      <alignment horizontal="right" vertical="center"/>
    </xf>
    <xf numFmtId="4" fontId="56" fillId="2" borderId="1" xfId="13" applyNumberFormat="1" applyFont="1" applyFill="1" applyBorder="1" applyAlignment="1">
      <alignment vertical="center"/>
    </xf>
    <xf numFmtId="4" fontId="56" fillId="0" borderId="1" xfId="13" applyNumberFormat="1" applyFont="1" applyBorder="1" applyAlignment="1">
      <alignment horizontal="right" vertical="center" wrapText="1"/>
    </xf>
    <xf numFmtId="4" fontId="56" fillId="0" borderId="1" xfId="13" applyNumberFormat="1" applyFont="1" applyBorder="1" applyAlignment="1">
      <alignment horizontal="right" vertical="center"/>
    </xf>
    <xf numFmtId="4" fontId="56" fillId="2" borderId="1" xfId="13" applyNumberFormat="1" applyFont="1" applyFill="1" applyBorder="1" applyAlignment="1">
      <alignment horizontal="right" vertical="center"/>
    </xf>
    <xf numFmtId="2" fontId="56" fillId="2" borderId="1" xfId="0" applyNumberFormat="1" applyFont="1" applyFill="1" applyBorder="1"/>
    <xf numFmtId="2" fontId="56" fillId="2" borderId="1" xfId="13" applyNumberFormat="1" applyFont="1" applyFill="1" applyBorder="1" applyAlignment="1"/>
    <xf numFmtId="0" fontId="72" fillId="0" borderId="0" xfId="13" applyFont="1" applyFill="1" applyAlignment="1"/>
    <xf numFmtId="10" fontId="56" fillId="32" borderId="1" xfId="13" applyNumberFormat="1" applyFont="1" applyFill="1" applyBorder="1" applyAlignment="1"/>
    <xf numFmtId="10" fontId="56" fillId="0" borderId="1" xfId="14" applyNumberFormat="1" applyFont="1" applyBorder="1" applyAlignment="1">
      <alignment vertical="center"/>
    </xf>
    <xf numFmtId="10" fontId="56" fillId="0" borderId="1" xfId="0" applyNumberFormat="1" applyFont="1" applyBorder="1"/>
    <xf numFmtId="10" fontId="56" fillId="32" borderId="1" xfId="14" applyNumberFormat="1" applyFont="1" applyFill="1" applyBorder="1" applyAlignment="1">
      <alignment vertical="center"/>
    </xf>
    <xf numFmtId="10" fontId="56" fillId="0" borderId="1" xfId="14" applyNumberFormat="1" applyFont="1" applyBorder="1" applyAlignment="1">
      <alignment horizontal="right" vertical="center"/>
    </xf>
    <xf numFmtId="10" fontId="56" fillId="2" borderId="1" xfId="13" applyNumberFormat="1" applyFont="1" applyFill="1" applyBorder="1" applyAlignment="1"/>
    <xf numFmtId="10" fontId="56" fillId="2" borderId="1" xfId="14" applyNumberFormat="1" applyFont="1" applyFill="1" applyBorder="1" applyAlignment="1">
      <alignment vertical="center"/>
    </xf>
    <xf numFmtId="10" fontId="56" fillId="0" borderId="1" xfId="0" applyNumberFormat="1" applyFont="1" applyBorder="1" applyAlignment="1">
      <alignment vertical="center"/>
    </xf>
    <xf numFmtId="10" fontId="56" fillId="2" borderId="1" xfId="0" applyNumberFormat="1" applyFont="1" applyFill="1" applyBorder="1" applyAlignment="1">
      <alignment vertical="center"/>
    </xf>
    <xf numFmtId="2" fontId="56" fillId="0" borderId="1" xfId="13" applyNumberFormat="1" applyFont="1" applyFill="1" applyBorder="1" applyAlignment="1">
      <alignment vertical="center"/>
    </xf>
    <xf numFmtId="2" fontId="56" fillId="2" borderId="1" xfId="13" applyNumberFormat="1" applyFont="1" applyFill="1" applyBorder="1" applyAlignment="1">
      <alignment vertical="center"/>
    </xf>
    <xf numFmtId="2" fontId="56" fillId="0" borderId="1" xfId="0" applyNumberFormat="1" applyFont="1" applyBorder="1" applyAlignment="1">
      <alignment vertical="center"/>
    </xf>
    <xf numFmtId="10" fontId="56" fillId="2" borderId="1" xfId="2" applyNumberFormat="1" applyFont="1" applyFill="1" applyBorder="1" applyAlignment="1">
      <alignment vertical="center"/>
    </xf>
    <xf numFmtId="10" fontId="56" fillId="0" borderId="1" xfId="2" applyNumberFormat="1" applyFont="1" applyBorder="1" applyAlignment="1">
      <alignment horizontal="right" vertical="center" wrapText="1"/>
    </xf>
    <xf numFmtId="0" fontId="55" fillId="2" borderId="1" xfId="13" applyFont="1" applyFill="1" applyBorder="1" applyAlignment="1">
      <alignment horizontal="center" vertical="center"/>
    </xf>
    <xf numFmtId="0" fontId="56" fillId="0" borderId="1" xfId="0" applyFont="1" applyBorder="1" applyAlignment="1">
      <alignment horizontal="left" vertical="center" wrapText="1"/>
    </xf>
    <xf numFmtId="3" fontId="56" fillId="2" borderId="1" xfId="13" applyNumberFormat="1" applyFont="1" applyFill="1" applyBorder="1" applyAlignment="1">
      <alignment horizontal="center" vertical="center"/>
    </xf>
    <xf numFmtId="0" fontId="56" fillId="0" borderId="1" xfId="13" applyFont="1" applyBorder="1" applyAlignment="1">
      <alignment horizontal="center" vertical="center" wrapText="1"/>
    </xf>
    <xf numFmtId="168" fontId="56" fillId="0" borderId="1" xfId="14" applyNumberFormat="1" applyFont="1" applyBorder="1" applyAlignment="1">
      <alignment horizontal="center" vertical="center"/>
    </xf>
    <xf numFmtId="3" fontId="56" fillId="0" borderId="1" xfId="13" applyNumberFormat="1" applyFont="1" applyBorder="1" applyAlignment="1">
      <alignment horizontal="center" vertical="center"/>
    </xf>
    <xf numFmtId="9" fontId="55" fillId="0" borderId="1" xfId="13" applyNumberFormat="1" applyFont="1" applyBorder="1" applyAlignment="1">
      <alignment horizontal="center" vertical="center" wrapText="1"/>
    </xf>
    <xf numFmtId="3" fontId="55" fillId="2" borderId="1" xfId="13" applyNumberFormat="1" applyFont="1" applyFill="1" applyBorder="1" applyAlignment="1">
      <alignment horizontal="center" vertical="center"/>
    </xf>
    <xf numFmtId="9" fontId="55" fillId="0" borderId="1" xfId="14" applyFont="1" applyBorder="1" applyAlignment="1">
      <alignment horizontal="center" vertical="center"/>
    </xf>
    <xf numFmtId="0" fontId="6" fillId="0" borderId="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6" fillId="0" borderId="3" xfId="0" applyFont="1" applyFill="1" applyBorder="1" applyAlignment="1">
      <alignment horizontal="center" vertical="top" wrapText="1"/>
    </xf>
    <xf numFmtId="0" fontId="32" fillId="15" borderId="14" xfId="0" applyFont="1" applyFill="1" applyBorder="1" applyAlignment="1">
      <alignment horizontal="center" vertical="center" wrapText="1"/>
    </xf>
    <xf numFmtId="0" fontId="73" fillId="12" borderId="0" xfId="0" applyFont="1" applyFill="1" applyAlignment="1">
      <alignment horizontal="center" vertical="center"/>
    </xf>
    <xf numFmtId="0" fontId="74" fillId="0" borderId="0" xfId="0" applyFont="1" applyAlignment="1">
      <alignment horizontal="center"/>
    </xf>
    <xf numFmtId="0" fontId="73" fillId="0" borderId="0" xfId="0" applyFont="1" applyFill="1" applyAlignment="1">
      <alignment horizontal="center" vertical="center"/>
    </xf>
    <xf numFmtId="0" fontId="56" fillId="0" borderId="3" xfId="0" applyFont="1" applyFill="1" applyBorder="1"/>
    <xf numFmtId="0" fontId="55" fillId="0" borderId="3" xfId="0" applyFont="1" applyFill="1" applyBorder="1"/>
    <xf numFmtId="0" fontId="74" fillId="0" borderId="0" xfId="0" applyFont="1" applyFill="1" applyBorder="1" applyAlignment="1">
      <alignment horizontal="center"/>
    </xf>
    <xf numFmtId="0" fontId="75" fillId="0" borderId="0" xfId="0" applyFont="1" applyFill="1" applyBorder="1" applyAlignment="1">
      <alignment horizontal="center"/>
    </xf>
    <xf numFmtId="0" fontId="0" fillId="0" borderId="0" xfId="0" applyBorder="1"/>
    <xf numFmtId="9" fontId="0" fillId="0" borderId="0" xfId="0" applyNumberFormat="1"/>
    <xf numFmtId="49" fontId="56" fillId="0" borderId="1" xfId="0" applyNumberFormat="1" applyFont="1" applyBorder="1" applyAlignment="1">
      <alignment wrapText="1"/>
    </xf>
    <xf numFmtId="0" fontId="0" fillId="0" borderId="22" xfId="0" applyFill="1" applyBorder="1" applyAlignment="1">
      <alignment vertical="center" wrapText="1"/>
    </xf>
    <xf numFmtId="165" fontId="49" fillId="33" borderId="0" xfId="0" applyNumberFormat="1" applyFont="1" applyFill="1" applyAlignment="1">
      <alignment horizontal="left" wrapText="1"/>
    </xf>
    <xf numFmtId="0" fontId="49" fillId="33" borderId="0" xfId="0" applyFont="1" applyFill="1" applyAlignment="1">
      <alignment horizontal="left" wrapText="1"/>
    </xf>
    <xf numFmtId="165" fontId="7" fillId="34" borderId="0" xfId="0" applyNumberFormat="1" applyFont="1" applyFill="1" applyAlignment="1">
      <alignment horizontal="left" wrapText="1"/>
    </xf>
    <xf numFmtId="165" fontId="49" fillId="0" borderId="0" xfId="0" applyNumberFormat="1" applyFont="1" applyFill="1" applyAlignment="1">
      <alignment horizontal="left" wrapText="1"/>
    </xf>
    <xf numFmtId="0" fontId="6" fillId="35" borderId="11" xfId="0" applyFont="1" applyFill="1" applyBorder="1" applyAlignment="1">
      <alignment horizontal="left" wrapText="1"/>
    </xf>
    <xf numFmtId="1" fontId="6" fillId="35" borderId="11" xfId="0" applyNumberFormat="1" applyFont="1" applyFill="1" applyBorder="1" applyAlignment="1">
      <alignment horizontal="left" wrapText="1"/>
    </xf>
    <xf numFmtId="0" fontId="5" fillId="35" borderId="11" xfId="0" applyFont="1" applyFill="1" applyBorder="1" applyAlignment="1">
      <alignment horizontal="left" vertical="top" wrapText="1"/>
    </xf>
    <xf numFmtId="0" fontId="8" fillId="35" borderId="11" xfId="0" applyFont="1" applyFill="1" applyBorder="1" applyAlignment="1">
      <alignment horizontal="left" vertical="center" wrapText="1"/>
    </xf>
    <xf numFmtId="0" fontId="32" fillId="36" borderId="11" xfId="0" applyFont="1" applyFill="1" applyBorder="1" applyAlignment="1">
      <alignment horizontal="left" vertical="top" wrapText="1"/>
    </xf>
    <xf numFmtId="0" fontId="7" fillId="35" borderId="0" xfId="0" applyFont="1" applyFill="1" applyAlignment="1">
      <alignment horizontal="left" wrapText="1"/>
    </xf>
    <xf numFmtId="0" fontId="49" fillId="35" borderId="0" xfId="0" applyFont="1" applyFill="1" applyAlignment="1">
      <alignment horizontal="left" wrapText="1"/>
    </xf>
    <xf numFmtId="0" fontId="6" fillId="35" borderId="3" xfId="0" applyFont="1" applyFill="1" applyBorder="1" applyAlignment="1">
      <alignment horizontal="left" wrapText="1"/>
    </xf>
    <xf numFmtId="1" fontId="6" fillId="35" borderId="3" xfId="0" applyNumberFormat="1" applyFont="1" applyFill="1" applyBorder="1" applyAlignment="1">
      <alignment horizontal="left" wrapText="1"/>
    </xf>
    <xf numFmtId="0" fontId="5" fillId="35" borderId="3" xfId="0" applyFont="1" applyFill="1" applyBorder="1" applyAlignment="1">
      <alignment horizontal="left" vertical="top" wrapText="1"/>
    </xf>
    <xf numFmtId="0" fontId="8" fillId="35" borderId="3" xfId="0" applyFont="1" applyFill="1" applyBorder="1" applyAlignment="1">
      <alignment horizontal="left" vertical="center" wrapText="1"/>
    </xf>
    <xf numFmtId="0" fontId="32" fillId="36" borderId="3" xfId="0" applyFont="1" applyFill="1" applyBorder="1" applyAlignment="1">
      <alignment horizontal="left" vertical="top" wrapText="1"/>
    </xf>
    <xf numFmtId="0" fontId="8" fillId="35" borderId="3" xfId="0" applyFont="1" applyFill="1" applyBorder="1" applyAlignment="1">
      <alignment horizontal="left" vertical="top" wrapText="1"/>
    </xf>
    <xf numFmtId="0" fontId="6" fillId="35" borderId="16" xfId="0" applyFont="1" applyFill="1" applyBorder="1" applyAlignment="1">
      <alignment horizontal="left" wrapText="1"/>
    </xf>
    <xf numFmtId="1" fontId="13" fillId="35" borderId="16" xfId="0" applyNumberFormat="1" applyFont="1" applyFill="1" applyBorder="1" applyAlignment="1">
      <alignment horizontal="left" wrapText="1"/>
    </xf>
    <xf numFmtId="0" fontId="8" fillId="35" borderId="16" xfId="0" applyFont="1" applyFill="1" applyBorder="1" applyAlignment="1">
      <alignment horizontal="left" vertical="top" wrapText="1"/>
    </xf>
    <xf numFmtId="0" fontId="8" fillId="35" borderId="16" xfId="0" applyFont="1" applyFill="1" applyBorder="1" applyAlignment="1">
      <alignment horizontal="left" vertical="center" wrapText="1"/>
    </xf>
    <xf numFmtId="0" fontId="32" fillId="36" borderId="16" xfId="0" applyFont="1" applyFill="1" applyBorder="1" applyAlignment="1">
      <alignment horizontal="left" vertical="top" wrapText="1"/>
    </xf>
    <xf numFmtId="0" fontId="6" fillId="0" borderId="3" xfId="0" applyFont="1" applyFill="1" applyBorder="1" applyAlignment="1">
      <alignment horizontal="left" vertical="center" wrapText="1"/>
    </xf>
    <xf numFmtId="49" fontId="6" fillId="0" borderId="3" xfId="0" applyNumberFormat="1" applyFont="1" applyFill="1" applyBorder="1" applyAlignment="1">
      <alignment horizontal="left" vertical="center" wrapText="1"/>
    </xf>
    <xf numFmtId="0" fontId="5" fillId="0" borderId="3" xfId="0" applyFont="1" applyFill="1" applyBorder="1" applyAlignment="1">
      <alignment horizontal="left" vertical="center" wrapText="1"/>
    </xf>
    <xf numFmtId="49" fontId="5" fillId="0" borderId="3" xfId="0" applyNumberFormat="1" applyFont="1" applyFill="1" applyBorder="1" applyAlignment="1">
      <alignment horizontal="left" vertical="center" wrapText="1"/>
    </xf>
    <xf numFmtId="0" fontId="6" fillId="0" borderId="3" xfId="0"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49" fontId="5" fillId="0" borderId="11" xfId="0" applyNumberFormat="1" applyFont="1" applyFill="1" applyBorder="1" applyAlignment="1">
      <alignment horizontal="left" vertical="center" wrapText="1"/>
    </xf>
    <xf numFmtId="49" fontId="5" fillId="0" borderId="3" xfId="0" applyNumberFormat="1" applyFont="1" applyFill="1" applyBorder="1" applyAlignment="1">
      <alignment horizontal="left" vertical="center" wrapText="1"/>
    </xf>
    <xf numFmtId="0" fontId="5" fillId="0" borderId="11"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16" xfId="0" applyFont="1" applyFill="1" applyBorder="1" applyAlignment="1">
      <alignment horizontal="left" vertical="center" wrapText="1"/>
    </xf>
    <xf numFmtId="49" fontId="5" fillId="0" borderId="4" xfId="0" applyNumberFormat="1"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16" xfId="0" applyFont="1" applyFill="1" applyBorder="1" applyAlignment="1">
      <alignment horizontal="left" vertical="center" wrapText="1"/>
    </xf>
    <xf numFmtId="0" fontId="13" fillId="27" borderId="19" xfId="0" applyFont="1" applyFill="1" applyBorder="1" applyAlignment="1">
      <alignment horizontal="left" vertical="center" wrapText="1"/>
    </xf>
    <xf numFmtId="0" fontId="13" fillId="27" borderId="20" xfId="0" applyFont="1" applyFill="1" applyBorder="1" applyAlignment="1">
      <alignment horizontal="left" vertical="center" wrapText="1"/>
    </xf>
    <xf numFmtId="0" fontId="13" fillId="0" borderId="19" xfId="0" applyFont="1" applyFill="1" applyBorder="1" applyAlignment="1">
      <alignment horizontal="left" vertical="center" wrapText="1"/>
    </xf>
    <xf numFmtId="0" fontId="13" fillId="0" borderId="20" xfId="0" applyFont="1" applyFill="1" applyBorder="1" applyAlignment="1">
      <alignment horizontal="left" vertical="center" wrapText="1"/>
    </xf>
    <xf numFmtId="49" fontId="5" fillId="35" borderId="6" xfId="0" applyNumberFormat="1" applyFont="1" applyFill="1" applyBorder="1" applyAlignment="1">
      <alignment horizontal="left" vertical="center" wrapText="1"/>
    </xf>
    <xf numFmtId="49" fontId="5" fillId="35" borderId="9" xfId="0" applyNumberFormat="1" applyFont="1" applyFill="1" applyBorder="1" applyAlignment="1">
      <alignment horizontal="left" vertical="center" wrapText="1"/>
    </xf>
    <xf numFmtId="49" fontId="5" fillId="35" borderId="5" xfId="0" applyNumberFormat="1" applyFont="1" applyFill="1" applyBorder="1" applyAlignment="1">
      <alignment horizontal="left" vertical="center" wrapText="1"/>
    </xf>
    <xf numFmtId="49" fontId="5" fillId="35" borderId="13" xfId="0" applyNumberFormat="1" applyFont="1" applyFill="1" applyBorder="1" applyAlignment="1">
      <alignment horizontal="left" vertical="center" wrapText="1"/>
    </xf>
    <xf numFmtId="49" fontId="5" fillId="35" borderId="17" xfId="0" applyNumberFormat="1" applyFont="1" applyFill="1" applyBorder="1" applyAlignment="1">
      <alignment horizontal="left" vertical="center" wrapText="1"/>
    </xf>
    <xf numFmtId="49" fontId="5" fillId="35" borderId="12" xfId="0" applyNumberFormat="1" applyFont="1" applyFill="1" applyBorder="1" applyAlignment="1">
      <alignment horizontal="left" vertical="center" wrapText="1"/>
    </xf>
    <xf numFmtId="0" fontId="5" fillId="35" borderId="13" xfId="0" applyFont="1" applyFill="1" applyBorder="1" applyAlignment="1">
      <alignment horizontal="left" vertical="center" wrapText="1"/>
    </xf>
    <xf numFmtId="0" fontId="5" fillId="35" borderId="17" xfId="0" applyFont="1" applyFill="1" applyBorder="1" applyAlignment="1">
      <alignment horizontal="left" vertical="center" wrapText="1"/>
    </xf>
    <xf numFmtId="0" fontId="5" fillId="35" borderId="12" xfId="0" applyFont="1" applyFill="1" applyBorder="1" applyAlignment="1">
      <alignment horizontal="left" vertical="center" wrapText="1"/>
    </xf>
    <xf numFmtId="49" fontId="5" fillId="0" borderId="6" xfId="0" applyNumberFormat="1" applyFont="1" applyFill="1" applyBorder="1" applyAlignment="1">
      <alignment horizontal="left" vertical="center" wrapText="1"/>
    </xf>
    <xf numFmtId="49" fontId="5" fillId="0" borderId="9" xfId="0" applyNumberFormat="1" applyFont="1" applyFill="1" applyBorder="1" applyAlignment="1">
      <alignment horizontal="left" vertical="center" wrapText="1"/>
    </xf>
    <xf numFmtId="49" fontId="5" fillId="0" borderId="5" xfId="0" applyNumberFormat="1" applyFont="1" applyFill="1" applyBorder="1" applyAlignment="1">
      <alignment horizontal="left" vertical="center" wrapText="1"/>
    </xf>
    <xf numFmtId="0" fontId="5" fillId="0" borderId="13" xfId="0" applyFont="1" applyFill="1" applyBorder="1" applyAlignment="1">
      <alignment horizontal="left" vertical="center" wrapText="1"/>
    </xf>
    <xf numFmtId="0" fontId="5" fillId="0" borderId="17" xfId="0" applyFont="1" applyFill="1" applyBorder="1" applyAlignment="1">
      <alignment horizontal="left" vertical="center" wrapText="1"/>
    </xf>
    <xf numFmtId="0" fontId="5" fillId="0" borderId="12" xfId="0" applyFont="1" applyFill="1" applyBorder="1" applyAlignment="1">
      <alignment horizontal="left" vertical="center" wrapText="1"/>
    </xf>
    <xf numFmtId="49" fontId="13" fillId="0" borderId="6" xfId="0" applyNumberFormat="1" applyFont="1" applyFill="1" applyBorder="1" applyAlignment="1">
      <alignment horizontal="left" vertical="center" wrapText="1"/>
    </xf>
    <xf numFmtId="49" fontId="13" fillId="0" borderId="9" xfId="0" applyNumberFormat="1" applyFont="1" applyFill="1" applyBorder="1" applyAlignment="1">
      <alignment horizontal="left" vertical="center" wrapText="1"/>
    </xf>
    <xf numFmtId="49" fontId="13" fillId="0" borderId="5" xfId="0" applyNumberFormat="1" applyFont="1" applyFill="1" applyBorder="1" applyAlignment="1">
      <alignment horizontal="left" vertical="center" wrapText="1"/>
    </xf>
    <xf numFmtId="0" fontId="5" fillId="12" borderId="13" xfId="0" applyFont="1" applyFill="1" applyBorder="1" applyAlignment="1">
      <alignment horizontal="left" vertical="center" wrapText="1"/>
    </xf>
    <xf numFmtId="0" fontId="5" fillId="12" borderId="17" xfId="0" applyFont="1" applyFill="1" applyBorder="1" applyAlignment="1">
      <alignment horizontal="left" vertical="center" wrapText="1"/>
    </xf>
    <xf numFmtId="0" fontId="5" fillId="12" borderId="12" xfId="0" applyFont="1" applyFill="1" applyBorder="1" applyAlignment="1">
      <alignment horizontal="left" vertical="center" wrapText="1"/>
    </xf>
    <xf numFmtId="49" fontId="5" fillId="0" borderId="13" xfId="0" applyNumberFormat="1" applyFont="1" applyFill="1" applyBorder="1" applyAlignment="1">
      <alignment horizontal="left" vertical="center" wrapText="1"/>
    </xf>
    <xf numFmtId="49" fontId="5" fillId="0" borderId="17" xfId="0" applyNumberFormat="1" applyFont="1" applyFill="1" applyBorder="1" applyAlignment="1">
      <alignment horizontal="left" vertical="center" wrapText="1"/>
    </xf>
    <xf numFmtId="49" fontId="5" fillId="0" borderId="12" xfId="0" applyNumberFormat="1" applyFont="1" applyFill="1" applyBorder="1" applyAlignment="1">
      <alignment horizontal="left" vertical="center" wrapText="1"/>
    </xf>
    <xf numFmtId="49" fontId="13" fillId="0" borderId="13" xfId="0" applyNumberFormat="1" applyFont="1" applyFill="1" applyBorder="1" applyAlignment="1">
      <alignment horizontal="left" vertical="center" wrapText="1"/>
    </xf>
    <xf numFmtId="49" fontId="13" fillId="0" borderId="17" xfId="0" applyNumberFormat="1" applyFont="1" applyFill="1" applyBorder="1" applyAlignment="1">
      <alignment horizontal="left" vertical="center" wrapText="1"/>
    </xf>
    <xf numFmtId="49" fontId="13" fillId="0" borderId="14" xfId="0" applyNumberFormat="1" applyFont="1" applyFill="1" applyBorder="1" applyAlignment="1">
      <alignment horizontal="left" vertical="center" wrapText="1"/>
    </xf>
    <xf numFmtId="0" fontId="5" fillId="0" borderId="14" xfId="0" applyFont="1" applyFill="1" applyBorder="1" applyAlignment="1">
      <alignment horizontal="left" vertical="center" wrapText="1"/>
    </xf>
    <xf numFmtId="49" fontId="13" fillId="0" borderId="19" xfId="0" applyNumberFormat="1" applyFont="1" applyFill="1" applyBorder="1" applyAlignment="1">
      <alignment horizontal="left" vertical="center" wrapText="1"/>
    </xf>
    <xf numFmtId="49" fontId="13" fillId="0" borderId="21" xfId="0" applyNumberFormat="1" applyFont="1" applyFill="1" applyBorder="1" applyAlignment="1">
      <alignment horizontal="left" vertical="center" wrapText="1"/>
    </xf>
    <xf numFmtId="49" fontId="13" fillId="0" borderId="20" xfId="0" applyNumberFormat="1" applyFont="1" applyFill="1" applyBorder="1" applyAlignment="1">
      <alignment horizontal="left" vertical="center" wrapText="1"/>
    </xf>
    <xf numFmtId="49" fontId="5" fillId="0" borderId="7" xfId="0" applyNumberFormat="1" applyFont="1" applyFill="1" applyBorder="1" applyAlignment="1">
      <alignment horizontal="left" vertical="center" wrapText="1"/>
    </xf>
    <xf numFmtId="49" fontId="5" fillId="0" borderId="8" xfId="0" applyNumberFormat="1"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7" xfId="0" applyFont="1" applyFill="1" applyBorder="1" applyAlignment="1">
      <alignment horizontal="left" vertical="center" wrapText="1"/>
    </xf>
    <xf numFmtId="0" fontId="5" fillId="21" borderId="3" xfId="0" applyFont="1" applyFill="1" applyBorder="1" applyAlignment="1">
      <alignment horizontal="left" vertical="top" wrapText="1"/>
    </xf>
    <xf numFmtId="49" fontId="6" fillId="0" borderId="4" xfId="0" applyNumberFormat="1" applyFont="1" applyFill="1" applyBorder="1" applyAlignment="1">
      <alignment horizontal="left" vertical="center" wrapText="1"/>
    </xf>
    <xf numFmtId="49" fontId="6" fillId="0" borderId="7" xfId="0" applyNumberFormat="1" applyFont="1" applyFill="1" applyBorder="1" applyAlignment="1">
      <alignment horizontal="left" vertical="center" wrapText="1"/>
    </xf>
    <xf numFmtId="49" fontId="6" fillId="0" borderId="8" xfId="0" applyNumberFormat="1" applyFont="1" applyFill="1" applyBorder="1" applyAlignment="1">
      <alignment horizontal="left" vertical="center" wrapText="1"/>
    </xf>
    <xf numFmtId="49" fontId="6" fillId="0" borderId="11" xfId="0" applyNumberFormat="1" applyFont="1" applyFill="1" applyBorder="1" applyAlignment="1">
      <alignment horizontal="left" vertical="center" wrapText="1"/>
    </xf>
    <xf numFmtId="49" fontId="6" fillId="0" borderId="3" xfId="0" applyNumberFormat="1" applyFont="1" applyFill="1" applyBorder="1" applyAlignment="1">
      <alignment horizontal="left" vertical="center" wrapText="1"/>
    </xf>
    <xf numFmtId="49" fontId="6" fillId="0" borderId="16" xfId="0" applyNumberFormat="1"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12" borderId="3" xfId="0" applyFont="1" applyFill="1" applyBorder="1" applyAlignment="1">
      <alignment horizontal="left" vertical="center" wrapText="1"/>
    </xf>
    <xf numFmtId="0" fontId="6" fillId="12" borderId="16" xfId="0" applyFont="1" applyFill="1" applyBorder="1" applyAlignment="1">
      <alignment horizontal="left" vertical="center" wrapText="1"/>
    </xf>
    <xf numFmtId="49" fontId="5" fillId="0" borderId="27" xfId="0" applyNumberFormat="1" applyFont="1" applyFill="1" applyBorder="1" applyAlignment="1">
      <alignment horizontal="left" vertical="center" wrapText="1"/>
    </xf>
    <xf numFmtId="0" fontId="5" fillId="12"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17"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55" fillId="0" borderId="1" xfId="0" applyFont="1" applyBorder="1" applyAlignment="1">
      <alignment horizontal="center" wrapText="1"/>
    </xf>
    <xf numFmtId="0" fontId="57" fillId="0" borderId="1" xfId="13" applyFont="1" applyFill="1" applyBorder="1" applyAlignment="1">
      <alignment horizontal="left" vertical="center"/>
    </xf>
    <xf numFmtId="0" fontId="57" fillId="0" borderId="1" xfId="13" applyFont="1" applyBorder="1" applyAlignment="1">
      <alignment horizontal="center" vertical="center" wrapText="1"/>
    </xf>
    <xf numFmtId="0" fontId="55" fillId="0" borderId="1" xfId="13" applyFont="1" applyFill="1" applyBorder="1" applyAlignment="1">
      <alignment horizontal="center" vertical="center" wrapText="1"/>
    </xf>
    <xf numFmtId="0" fontId="55" fillId="0" borderId="25" xfId="0" applyFont="1" applyBorder="1" applyAlignment="1">
      <alignment horizontal="center"/>
    </xf>
    <xf numFmtId="0" fontId="55" fillId="0" borderId="26" xfId="0" applyFont="1" applyBorder="1" applyAlignment="1">
      <alignment horizontal="center"/>
    </xf>
    <xf numFmtId="0" fontId="55" fillId="0" borderId="2" xfId="0" applyFont="1" applyBorder="1" applyAlignment="1">
      <alignment horizontal="center"/>
    </xf>
    <xf numFmtId="0" fontId="57" fillId="0" borderId="25" xfId="13" applyFont="1" applyBorder="1" applyAlignment="1">
      <alignment horizontal="center" vertical="center" wrapText="1"/>
    </xf>
    <xf numFmtId="0" fontId="57" fillId="0" borderId="26" xfId="13" applyFont="1" applyBorder="1" applyAlignment="1">
      <alignment horizontal="center" vertical="center" wrapText="1"/>
    </xf>
    <xf numFmtId="0" fontId="57" fillId="0" borderId="2" xfId="13" applyFont="1" applyBorder="1" applyAlignment="1">
      <alignment horizontal="center" vertical="center" wrapText="1"/>
    </xf>
    <xf numFmtId="0" fontId="56" fillId="0" borderId="0" xfId="0" applyFont="1" applyFill="1" applyAlignment="1">
      <alignment horizontal="center" wrapText="1"/>
    </xf>
    <xf numFmtId="0" fontId="55" fillId="0" borderId="25" xfId="0" applyFont="1" applyBorder="1" applyAlignment="1">
      <alignment horizontal="center" wrapText="1"/>
    </xf>
    <xf numFmtId="0" fontId="55" fillId="0" borderId="26" xfId="0" applyFont="1" applyBorder="1" applyAlignment="1">
      <alignment horizontal="center" wrapText="1"/>
    </xf>
    <xf numFmtId="0" fontId="55" fillId="0" borderId="2" xfId="0" applyFont="1" applyBorder="1" applyAlignment="1">
      <alignment horizontal="center" wrapText="1"/>
    </xf>
    <xf numFmtId="0" fontId="57" fillId="0" borderId="1" xfId="13" applyFont="1" applyBorder="1" applyAlignment="1">
      <alignment horizontal="left" vertical="center"/>
    </xf>
    <xf numFmtId="0" fontId="70" fillId="21" borderId="30" xfId="0" applyFont="1" applyFill="1" applyBorder="1" applyAlignment="1">
      <alignment horizontal="center" vertical="center" wrapText="1"/>
    </xf>
    <xf numFmtId="0" fontId="70" fillId="21" borderId="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3" xfId="0" applyFont="1" applyFill="1" applyBorder="1" applyAlignment="1">
      <alignment horizontal="center" vertical="top" wrapText="1"/>
    </xf>
    <xf numFmtId="0" fontId="5" fillId="0" borderId="16" xfId="0" applyFont="1" applyFill="1" applyBorder="1" applyAlignment="1">
      <alignment horizontal="center" vertical="top" wrapText="1"/>
    </xf>
    <xf numFmtId="49" fontId="5" fillId="0" borderId="4"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0" fontId="5" fillId="0" borderId="15" xfId="0" applyFont="1" applyFill="1" applyBorder="1" applyAlignment="1">
      <alignment horizontal="center" vertical="top" wrapText="1"/>
    </xf>
    <xf numFmtId="0" fontId="5" fillId="0" borderId="14" xfId="0" applyFont="1" applyFill="1" applyBorder="1" applyAlignment="1">
      <alignment horizontal="center" vertical="top" wrapText="1"/>
    </xf>
    <xf numFmtId="0" fontId="5" fillId="0" borderId="11" xfId="0"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16"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49" fontId="6" fillId="29" borderId="6" xfId="0" applyNumberFormat="1" applyFont="1" applyFill="1" applyBorder="1" applyAlignment="1">
      <alignment horizontal="center" vertical="center" wrapText="1"/>
    </xf>
    <xf numFmtId="49" fontId="6" fillId="29" borderId="9" xfId="0" applyNumberFormat="1" applyFont="1" applyFill="1" applyBorder="1" applyAlignment="1">
      <alignment horizontal="center" vertical="center" wrapText="1"/>
    </xf>
    <xf numFmtId="49" fontId="6" fillId="29" borderId="5" xfId="0" applyNumberFormat="1" applyFont="1" applyFill="1" applyBorder="1" applyAlignment="1">
      <alignment horizontal="center" vertical="center" wrapText="1"/>
    </xf>
    <xf numFmtId="49" fontId="6" fillId="29" borderId="13" xfId="0" applyNumberFormat="1" applyFont="1" applyFill="1" applyBorder="1" applyAlignment="1">
      <alignment horizontal="center" vertical="center" wrapText="1"/>
    </xf>
    <xf numFmtId="49" fontId="6" fillId="29" borderId="17" xfId="0" applyNumberFormat="1" applyFont="1" applyFill="1" applyBorder="1" applyAlignment="1">
      <alignment horizontal="center" vertical="center" wrapText="1"/>
    </xf>
    <xf numFmtId="49" fontId="6" fillId="29" borderId="12" xfId="0" applyNumberFormat="1" applyFont="1" applyFill="1" applyBorder="1" applyAlignment="1">
      <alignment horizontal="center" vertical="center" wrapText="1"/>
    </xf>
    <xf numFmtId="0" fontId="6" fillId="29" borderId="13" xfId="0" applyFont="1" applyFill="1" applyBorder="1" applyAlignment="1">
      <alignment horizontal="center" vertical="center" wrapText="1"/>
    </xf>
    <xf numFmtId="0" fontId="6" fillId="29" borderId="17" xfId="0" applyFont="1" applyFill="1" applyBorder="1" applyAlignment="1">
      <alignment horizontal="center" vertical="center" wrapText="1"/>
    </xf>
    <xf numFmtId="0" fontId="6" fillId="29" borderId="12" xfId="0" applyFont="1" applyFill="1" applyBorder="1" applyAlignment="1">
      <alignment horizontal="center" vertical="center" wrapText="1"/>
    </xf>
    <xf numFmtId="49" fontId="5" fillId="0" borderId="23" xfId="0" applyNumberFormat="1" applyFont="1" applyFill="1" applyBorder="1" applyAlignment="1">
      <alignment horizontal="center" vertical="center" wrapText="1"/>
    </xf>
    <xf numFmtId="49" fontId="5" fillId="0" borderId="14" xfId="0" applyNumberFormat="1" applyFont="1" applyFill="1" applyBorder="1" applyAlignment="1">
      <alignment horizontal="center" vertical="center" wrapText="1"/>
    </xf>
    <xf numFmtId="49" fontId="5" fillId="18" borderId="4" xfId="0" applyNumberFormat="1" applyFont="1" applyFill="1" applyBorder="1" applyAlignment="1">
      <alignment horizontal="center" vertical="center" wrapText="1"/>
    </xf>
    <xf numFmtId="49" fontId="5" fillId="18" borderId="8" xfId="0" applyNumberFormat="1" applyFont="1" applyFill="1" applyBorder="1" applyAlignment="1">
      <alignment horizontal="center" vertical="center" wrapText="1"/>
    </xf>
    <xf numFmtId="0" fontId="5" fillId="18" borderId="11" xfId="0" applyFont="1" applyFill="1" applyBorder="1" applyAlignment="1">
      <alignment horizontal="center" vertical="center" wrapText="1"/>
    </xf>
    <xf numFmtId="0" fontId="5" fillId="18" borderId="16" xfId="0" applyFont="1" applyFill="1" applyBorder="1" applyAlignment="1">
      <alignment horizontal="center" vertical="center" wrapText="1"/>
    </xf>
    <xf numFmtId="0" fontId="5" fillId="0" borderId="11" xfId="0" applyFont="1" applyFill="1" applyBorder="1" applyAlignment="1">
      <alignment horizontal="center" vertical="top" wrapText="1"/>
    </xf>
    <xf numFmtId="0" fontId="55" fillId="0" borderId="1" xfId="13" applyFont="1" applyBorder="1" applyAlignment="1">
      <alignment horizontal="center" vertical="center" wrapText="1"/>
    </xf>
    <xf numFmtId="0" fontId="55" fillId="0" borderId="25" xfId="13" applyFont="1" applyBorder="1" applyAlignment="1">
      <alignment horizontal="center" vertical="center" wrapText="1"/>
    </xf>
    <xf numFmtId="0" fontId="55" fillId="0" borderId="26" xfId="13" applyFont="1" applyBorder="1" applyAlignment="1">
      <alignment horizontal="center" vertical="center" wrapText="1"/>
    </xf>
    <xf numFmtId="0" fontId="55" fillId="0" borderId="2" xfId="13" applyFont="1" applyBorder="1" applyAlignment="1">
      <alignment horizontal="center" vertical="center" wrapText="1"/>
    </xf>
    <xf numFmtId="0" fontId="55" fillId="0" borderId="1" xfId="0" applyFont="1" applyBorder="1" applyAlignment="1">
      <alignment horizontal="center"/>
    </xf>
    <xf numFmtId="0" fontId="55" fillId="0" borderId="1" xfId="13" applyFont="1" applyBorder="1" applyAlignment="1">
      <alignment horizontal="center" vertical="center"/>
    </xf>
    <xf numFmtId="0" fontId="55" fillId="0" borderId="1" xfId="13" applyFont="1" applyFill="1" applyBorder="1" applyAlignment="1">
      <alignment horizontal="center" vertical="center"/>
    </xf>
    <xf numFmtId="0" fontId="73" fillId="21" borderId="0" xfId="0" applyFont="1" applyFill="1" applyAlignment="1">
      <alignment horizontal="center"/>
    </xf>
    <xf numFmtId="0" fontId="75" fillId="21" borderId="31" xfId="0" applyFont="1" applyFill="1" applyBorder="1" applyAlignment="1">
      <alignment horizontal="center" vertical="center" wrapText="1"/>
    </xf>
    <xf numFmtId="0" fontId="75" fillId="21" borderId="0" xfId="0" applyFont="1" applyFill="1" applyAlignment="1">
      <alignment horizontal="center"/>
    </xf>
    <xf numFmtId="0" fontId="76" fillId="21" borderId="0" xfId="0" applyFont="1" applyFill="1" applyAlignment="1">
      <alignment horizontal="center"/>
    </xf>
    <xf numFmtId="0" fontId="56" fillId="0" borderId="1" xfId="0" applyFont="1" applyBorder="1" applyAlignment="1">
      <alignment horizontal="center" wrapText="1"/>
    </xf>
    <xf numFmtId="0" fontId="56" fillId="0" borderId="3" xfId="0" applyFont="1" applyBorder="1" applyAlignment="1">
      <alignment horizontal="center"/>
    </xf>
    <xf numFmtId="0" fontId="56" fillId="0" borderId="1" xfId="0" applyFont="1" applyBorder="1" applyAlignment="1">
      <alignment horizontal="center"/>
    </xf>
    <xf numFmtId="0" fontId="7" fillId="0" borderId="3" xfId="0" applyFont="1" applyFill="1" applyBorder="1" applyAlignment="1">
      <alignment horizontal="center" vertical="center" wrapText="1"/>
    </xf>
    <xf numFmtId="0" fontId="7" fillId="0" borderId="3" xfId="0" applyFont="1" applyFill="1" applyBorder="1" applyAlignment="1">
      <alignment horizontal="center" vertical="center" wrapText="1"/>
    </xf>
    <xf numFmtId="1" fontId="5" fillId="0" borderId="3" xfId="0" applyNumberFormat="1" applyFont="1" applyFill="1" applyBorder="1" applyAlignment="1">
      <alignment horizontal="center" vertical="center" wrapText="1"/>
    </xf>
    <xf numFmtId="0" fontId="5" fillId="0" borderId="3" xfId="0" applyFont="1" applyFill="1" applyBorder="1" applyAlignment="1">
      <alignment horizontal="right" vertical="center"/>
    </xf>
    <xf numFmtId="167" fontId="5" fillId="0" borderId="3" xfId="0" applyNumberFormat="1" applyFont="1" applyFill="1" applyBorder="1" applyAlignment="1">
      <alignment horizontal="center" vertical="center" wrapText="1"/>
    </xf>
    <xf numFmtId="0" fontId="10" fillId="0" borderId="3" xfId="1" applyFont="1" applyFill="1" applyBorder="1" applyAlignment="1">
      <alignment horizontal="center" vertical="center" wrapText="1"/>
    </xf>
    <xf numFmtId="3" fontId="5" fillId="0" borderId="3" xfId="0" applyNumberFormat="1" applyFont="1" applyFill="1" applyBorder="1" applyAlignment="1">
      <alignment horizontal="justify" vertical="center" wrapText="1"/>
    </xf>
    <xf numFmtId="0" fontId="5" fillId="0" borderId="3" xfId="0" applyFont="1" applyFill="1" applyBorder="1" applyAlignment="1">
      <alignment horizontal="justify" vertical="center" wrapText="1"/>
    </xf>
    <xf numFmtId="0" fontId="6" fillId="0" borderId="3" xfId="1" applyFont="1" applyFill="1" applyBorder="1" applyAlignment="1">
      <alignment horizontal="justify" vertical="center" wrapText="1"/>
    </xf>
    <xf numFmtId="0" fontId="9" fillId="0" borderId="3" xfId="1" applyFont="1" applyFill="1" applyBorder="1" applyAlignment="1">
      <alignment horizontal="justify" vertical="center" wrapText="1"/>
    </xf>
    <xf numFmtId="167" fontId="5" fillId="0" borderId="3" xfId="0" applyNumberFormat="1" applyFont="1" applyFill="1" applyBorder="1" applyAlignment="1">
      <alignment horizontal="left" vertical="center" wrapText="1"/>
    </xf>
    <xf numFmtId="0" fontId="10" fillId="0" borderId="3" xfId="1" applyFont="1" applyFill="1" applyBorder="1" applyAlignment="1">
      <alignment horizontal="left" vertical="center" wrapText="1"/>
    </xf>
    <xf numFmtId="0" fontId="16" fillId="0" borderId="3" xfId="0" applyFont="1" applyFill="1" applyBorder="1" applyAlignment="1">
      <alignment horizontal="center" vertical="center" wrapText="1"/>
    </xf>
    <xf numFmtId="0" fontId="7" fillId="0" borderId="3" xfId="0" applyFont="1" applyFill="1" applyBorder="1"/>
    <xf numFmtId="174" fontId="5" fillId="0" borderId="3" xfId="0" applyNumberFormat="1" applyFont="1" applyFill="1" applyBorder="1" applyAlignment="1">
      <alignment horizontal="center" vertical="center" wrapText="1"/>
    </xf>
    <xf numFmtId="166" fontId="5" fillId="0" borderId="3" xfId="0"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165" fontId="5" fillId="0" borderId="3" xfId="0" applyNumberFormat="1" applyFont="1" applyFill="1" applyBorder="1" applyAlignment="1">
      <alignment horizontal="center" vertical="center" wrapText="1"/>
    </xf>
    <xf numFmtId="176" fontId="5" fillId="0" borderId="3" xfId="0" applyNumberFormat="1" applyFont="1" applyFill="1" applyBorder="1" applyAlignment="1">
      <alignment horizontal="center" vertical="center" wrapText="1"/>
    </xf>
    <xf numFmtId="10" fontId="5" fillId="0" borderId="3" xfId="0" applyNumberFormat="1" applyFont="1" applyFill="1" applyBorder="1" applyAlignment="1">
      <alignment horizontal="center" vertical="center" wrapText="1"/>
    </xf>
    <xf numFmtId="3" fontId="5" fillId="0" borderId="3" xfId="0" applyNumberFormat="1" applyFont="1" applyFill="1" applyBorder="1" applyAlignment="1">
      <alignment horizontal="center" vertical="center" wrapText="1"/>
    </xf>
    <xf numFmtId="3" fontId="12" fillId="0" borderId="3" xfId="0" applyNumberFormat="1" applyFont="1" applyFill="1" applyBorder="1" applyAlignment="1">
      <alignment horizontal="center" vertical="center" wrapText="1"/>
    </xf>
    <xf numFmtId="2" fontId="5" fillId="0" borderId="3" xfId="0" applyNumberFormat="1" applyFont="1" applyFill="1" applyBorder="1" applyAlignment="1">
      <alignment horizontal="center" vertical="center" wrapText="1"/>
    </xf>
    <xf numFmtId="0" fontId="10" fillId="0" borderId="3" xfId="1" applyFont="1" applyFill="1" applyBorder="1" applyAlignment="1" applyProtection="1">
      <alignment horizontal="center" vertical="center" wrapText="1"/>
    </xf>
    <xf numFmtId="169" fontId="5" fillId="0" borderId="3" xfId="0" applyNumberFormat="1" applyFont="1" applyFill="1" applyBorder="1" applyAlignment="1">
      <alignment horizontal="center" vertical="center" wrapText="1"/>
    </xf>
    <xf numFmtId="4" fontId="5" fillId="0" borderId="3" xfId="0" applyNumberFormat="1" applyFont="1" applyFill="1" applyBorder="1" applyAlignment="1">
      <alignment horizontal="center" vertical="center" wrapText="1"/>
    </xf>
    <xf numFmtId="175" fontId="5" fillId="0" borderId="3" xfId="0" applyNumberFormat="1" applyFont="1" applyFill="1" applyBorder="1" applyAlignment="1">
      <alignment horizontal="center" vertical="center" wrapText="1"/>
    </xf>
    <xf numFmtId="173" fontId="5" fillId="0" borderId="3" xfId="0" applyNumberFormat="1" applyFont="1" applyFill="1" applyBorder="1" applyAlignment="1">
      <alignment horizontal="center" vertical="center" wrapText="1"/>
    </xf>
    <xf numFmtId="9" fontId="5" fillId="0" borderId="3" xfId="0" applyNumberFormat="1" applyFont="1" applyFill="1" applyBorder="1" applyAlignment="1">
      <alignment horizontal="center" vertical="center" wrapText="1"/>
    </xf>
    <xf numFmtId="9" fontId="7" fillId="0" borderId="3" xfId="0" applyNumberFormat="1" applyFont="1" applyFill="1" applyBorder="1" applyAlignment="1">
      <alignment horizontal="center" vertical="center" wrapText="1"/>
    </xf>
    <xf numFmtId="171" fontId="5" fillId="0" borderId="3" xfId="0" applyNumberFormat="1" applyFont="1" applyFill="1" applyBorder="1" applyAlignment="1">
      <alignment horizontal="center" vertical="center" wrapText="1"/>
    </xf>
    <xf numFmtId="1" fontId="6" fillId="0" borderId="3" xfId="0" applyNumberFormat="1" applyFont="1" applyFill="1" applyBorder="1" applyAlignment="1">
      <alignment horizontal="center" vertical="center" wrapText="1"/>
    </xf>
    <xf numFmtId="166" fontId="6" fillId="0" borderId="3" xfId="0" applyNumberFormat="1" applyFont="1" applyFill="1" applyBorder="1" applyAlignment="1">
      <alignment horizontal="center" vertical="center" wrapText="1"/>
    </xf>
    <xf numFmtId="165" fontId="6" fillId="0" borderId="3" xfId="0" applyNumberFormat="1" applyFont="1" applyFill="1" applyBorder="1" applyAlignment="1">
      <alignment horizontal="center" vertical="center" wrapText="1"/>
    </xf>
    <xf numFmtId="10" fontId="6" fillId="0" borderId="3" xfId="0" applyNumberFormat="1" applyFont="1" applyFill="1" applyBorder="1" applyAlignment="1">
      <alignment horizontal="center" vertical="center" wrapText="1"/>
    </xf>
    <xf numFmtId="3" fontId="6" fillId="0" borderId="3" xfId="0" applyNumberFormat="1" applyFont="1" applyFill="1" applyBorder="1" applyAlignment="1">
      <alignment horizontal="center" vertical="center" wrapText="1"/>
    </xf>
    <xf numFmtId="3" fontId="14" fillId="0" borderId="3" xfId="0" applyNumberFormat="1" applyFont="1" applyFill="1" applyBorder="1" applyAlignment="1">
      <alignment horizontal="center" vertical="center" wrapText="1"/>
    </xf>
    <xf numFmtId="2" fontId="6" fillId="0" borderId="3" xfId="0" applyNumberFormat="1" applyFont="1" applyFill="1" applyBorder="1" applyAlignment="1">
      <alignment horizontal="center" vertical="center" wrapText="1"/>
    </xf>
    <xf numFmtId="9" fontId="6" fillId="0" borderId="3" xfId="0" applyNumberFormat="1" applyFont="1" applyFill="1" applyBorder="1" applyAlignment="1">
      <alignment horizontal="center" vertical="center" wrapText="1"/>
    </xf>
    <xf numFmtId="167" fontId="6" fillId="0" borderId="3" xfId="0" applyNumberFormat="1" applyFont="1" applyFill="1" applyBorder="1" applyAlignment="1">
      <alignment horizontal="center" vertical="center" wrapText="1"/>
    </xf>
    <xf numFmtId="0" fontId="6" fillId="0" borderId="3" xfId="1" applyFont="1" applyFill="1" applyBorder="1" applyAlignment="1" applyProtection="1">
      <alignment horizontal="center" vertical="center" wrapText="1"/>
    </xf>
    <xf numFmtId="10" fontId="15" fillId="0" borderId="3" xfId="1" applyNumberFormat="1" applyFont="1" applyFill="1" applyBorder="1" applyAlignment="1">
      <alignment horizontal="center" vertical="center" wrapText="1"/>
    </xf>
    <xf numFmtId="0" fontId="15" fillId="0" borderId="3" xfId="1" applyFont="1" applyFill="1" applyBorder="1" applyAlignment="1">
      <alignment horizontal="center" vertical="center" wrapText="1"/>
    </xf>
    <xf numFmtId="2" fontId="7" fillId="0" borderId="3" xfId="0" applyNumberFormat="1" applyFont="1" applyFill="1" applyBorder="1" applyAlignment="1">
      <alignment horizontal="center" vertical="center" wrapText="1"/>
    </xf>
    <xf numFmtId="178" fontId="5" fillId="0" borderId="3" xfId="3" applyNumberFormat="1" applyFont="1" applyFill="1" applyBorder="1" applyAlignment="1">
      <alignment horizontal="center" vertical="center" wrapText="1"/>
    </xf>
    <xf numFmtId="1" fontId="5" fillId="0" borderId="3" xfId="0" applyNumberFormat="1" applyFont="1" applyFill="1" applyBorder="1" applyAlignment="1">
      <alignment horizontal="left" vertical="center" wrapText="1"/>
    </xf>
    <xf numFmtId="166" fontId="5" fillId="0" borderId="3" xfId="0" applyNumberFormat="1" applyFont="1" applyFill="1" applyBorder="1" applyAlignment="1">
      <alignment horizontal="left" vertical="center" wrapText="1"/>
    </xf>
    <xf numFmtId="0" fontId="9" fillId="0" borderId="3" xfId="1" applyFont="1" applyFill="1" applyBorder="1" applyAlignment="1">
      <alignment horizontal="left" vertical="center" wrapText="1"/>
    </xf>
    <xf numFmtId="165" fontId="5" fillId="0" borderId="3" xfId="0" applyNumberFormat="1" applyFont="1" applyFill="1" applyBorder="1" applyAlignment="1">
      <alignment horizontal="left" vertical="center" wrapText="1"/>
    </xf>
    <xf numFmtId="10" fontId="5" fillId="0" borderId="3" xfId="0" applyNumberFormat="1" applyFont="1" applyFill="1" applyBorder="1" applyAlignment="1">
      <alignment horizontal="left" vertical="center" wrapText="1"/>
    </xf>
    <xf numFmtId="169" fontId="5" fillId="0" borderId="3" xfId="0" applyNumberFormat="1" applyFont="1" applyFill="1" applyBorder="1" applyAlignment="1">
      <alignment horizontal="left" vertical="center" wrapText="1"/>
    </xf>
    <xf numFmtId="3" fontId="5" fillId="0" borderId="3" xfId="0" applyNumberFormat="1" applyFont="1" applyFill="1" applyBorder="1" applyAlignment="1">
      <alignment horizontal="left" vertical="center" wrapText="1"/>
    </xf>
    <xf numFmtId="3" fontId="12" fillId="0" borderId="3" xfId="0" applyNumberFormat="1" applyFont="1" applyFill="1" applyBorder="1" applyAlignment="1">
      <alignment horizontal="left" vertical="center" wrapText="1"/>
    </xf>
    <xf numFmtId="10" fontId="9" fillId="0" borderId="3" xfId="1" applyNumberFormat="1" applyFont="1" applyFill="1" applyBorder="1" applyAlignment="1">
      <alignment horizontal="left" vertical="center" wrapText="1"/>
    </xf>
    <xf numFmtId="9" fontId="5" fillId="0" borderId="3" xfId="0" applyNumberFormat="1" applyFont="1" applyFill="1" applyBorder="1" applyAlignment="1">
      <alignment horizontal="left" vertical="center" wrapText="1"/>
    </xf>
    <xf numFmtId="0" fontId="9" fillId="0" borderId="3" xfId="1" applyFont="1" applyFill="1" applyBorder="1" applyAlignment="1">
      <alignment vertical="center" wrapText="1"/>
    </xf>
    <xf numFmtId="14" fontId="5" fillId="0" borderId="3" xfId="0" applyNumberFormat="1" applyFont="1" applyFill="1" applyBorder="1" applyAlignment="1">
      <alignment horizontal="center" vertical="center" wrapText="1"/>
    </xf>
    <xf numFmtId="10" fontId="10" fillId="0" borderId="3" xfId="1" applyNumberFormat="1" applyFont="1" applyFill="1" applyBorder="1" applyAlignment="1">
      <alignment horizontal="center" vertical="center" wrapText="1"/>
    </xf>
    <xf numFmtId="0" fontId="6" fillId="0" borderId="3" xfId="1" applyFont="1" applyFill="1" applyBorder="1" applyAlignment="1">
      <alignment horizontal="center" vertical="center" wrapText="1"/>
    </xf>
    <xf numFmtId="1" fontId="5" fillId="0" borderId="3" xfId="0" applyNumberFormat="1" applyFont="1" applyFill="1" applyBorder="1" applyAlignment="1">
      <alignment horizontal="center" vertical="center" wrapText="1" shrinkToFit="1"/>
    </xf>
    <xf numFmtId="174" fontId="6" fillId="0" borderId="3" xfId="0" applyNumberFormat="1" applyFont="1" applyFill="1" applyBorder="1" applyAlignment="1">
      <alignment horizontal="center" vertical="center" wrapText="1"/>
    </xf>
    <xf numFmtId="2" fontId="5" fillId="0" borderId="3" xfId="0" applyNumberFormat="1" applyFont="1" applyFill="1" applyBorder="1" applyAlignment="1">
      <alignment horizontal="center" vertical="center" wrapText="1" shrinkToFit="1"/>
    </xf>
    <xf numFmtId="3" fontId="5" fillId="0" borderId="3" xfId="0" applyNumberFormat="1" applyFont="1" applyFill="1" applyBorder="1" applyAlignment="1">
      <alignment horizontal="center" vertical="center" wrapText="1" shrinkToFit="1"/>
    </xf>
    <xf numFmtId="165" fontId="5" fillId="0" borderId="3" xfId="0" applyNumberFormat="1" applyFont="1" applyFill="1" applyBorder="1" applyAlignment="1">
      <alignment horizontal="center" vertical="center" wrapText="1" shrinkToFit="1"/>
    </xf>
    <xf numFmtId="0" fontId="6" fillId="0" borderId="3" xfId="0" applyNumberFormat="1" applyFont="1" applyFill="1" applyBorder="1" applyAlignment="1">
      <alignment horizontal="center" vertical="center" wrapText="1"/>
    </xf>
    <xf numFmtId="1" fontId="12" fillId="0" borderId="3" xfId="0" applyNumberFormat="1" applyFont="1" applyFill="1" applyBorder="1" applyAlignment="1">
      <alignment horizontal="center" vertical="center" wrapText="1" shrinkToFit="1"/>
    </xf>
    <xf numFmtId="14" fontId="6" fillId="0" borderId="3" xfId="0" applyNumberFormat="1" applyFont="1" applyFill="1" applyBorder="1" applyAlignment="1">
      <alignment horizontal="center" vertical="center" wrapText="1"/>
    </xf>
    <xf numFmtId="0" fontId="12" fillId="0" borderId="3" xfId="0" applyFont="1" applyFill="1" applyBorder="1" applyAlignment="1">
      <alignment horizontal="center" vertical="center" wrapText="1"/>
    </xf>
    <xf numFmtId="2" fontId="16" fillId="0" borderId="3" xfId="0" applyNumberFormat="1" applyFont="1" applyFill="1" applyBorder="1" applyAlignment="1">
      <alignment horizontal="center" vertical="center" wrapText="1"/>
    </xf>
    <xf numFmtId="170" fontId="5" fillId="0" borderId="3" xfId="0" applyNumberFormat="1" applyFont="1" applyFill="1" applyBorder="1" applyAlignment="1">
      <alignment horizontal="center" vertical="center" wrapText="1"/>
    </xf>
    <xf numFmtId="0" fontId="30" fillId="0" borderId="3" xfId="1" applyFont="1" applyFill="1" applyBorder="1" applyAlignment="1">
      <alignment horizontal="center" vertical="center" wrapText="1"/>
    </xf>
    <xf numFmtId="10" fontId="5" fillId="0" borderId="3" xfId="2" applyNumberFormat="1" applyFont="1" applyFill="1" applyBorder="1" applyAlignment="1">
      <alignment horizontal="center" vertical="center" wrapText="1"/>
    </xf>
    <xf numFmtId="14" fontId="5" fillId="0" borderId="3" xfId="0" applyNumberFormat="1" applyFont="1" applyFill="1" applyBorder="1" applyAlignment="1">
      <alignment horizontal="justify" vertical="center" wrapText="1"/>
    </xf>
    <xf numFmtId="10" fontId="5" fillId="0" borderId="3" xfId="0" applyNumberFormat="1" applyFont="1" applyFill="1" applyBorder="1" applyAlignment="1">
      <alignment horizontal="justify" vertical="center" wrapText="1"/>
    </xf>
    <xf numFmtId="165" fontId="5" fillId="0" borderId="3" xfId="0" applyNumberFormat="1" applyFont="1" applyFill="1" applyBorder="1" applyAlignment="1">
      <alignment horizontal="justify" vertical="center" wrapText="1"/>
    </xf>
    <xf numFmtId="3" fontId="12" fillId="0" borderId="3" xfId="0" applyNumberFormat="1" applyFont="1" applyFill="1" applyBorder="1" applyAlignment="1">
      <alignment horizontal="justify" vertical="center" wrapText="1"/>
    </xf>
    <xf numFmtId="0" fontId="9" fillId="0" borderId="3" xfId="1" applyFont="1" applyFill="1" applyBorder="1" applyAlignment="1" applyProtection="1">
      <alignment horizontal="left" vertical="center" wrapText="1"/>
    </xf>
    <xf numFmtId="168" fontId="5" fillId="0" borderId="3" xfId="0" applyNumberFormat="1" applyFont="1" applyFill="1" applyBorder="1" applyAlignment="1">
      <alignment horizontal="left" vertical="center" wrapText="1"/>
    </xf>
    <xf numFmtId="165" fontId="7" fillId="0" borderId="3" xfId="0" applyNumberFormat="1" applyFont="1" applyFill="1" applyBorder="1" applyAlignment="1">
      <alignment horizontal="left" vertical="center" wrapText="1"/>
    </xf>
    <xf numFmtId="10" fontId="7" fillId="0" borderId="3" xfId="0" applyNumberFormat="1" applyFont="1" applyFill="1" applyBorder="1" applyAlignment="1">
      <alignment horizontal="left" vertical="center" wrapText="1"/>
    </xf>
    <xf numFmtId="3" fontId="7" fillId="0" borderId="3" xfId="0" applyNumberFormat="1" applyFont="1" applyFill="1" applyBorder="1" applyAlignment="1">
      <alignment horizontal="left" vertical="center" wrapText="1"/>
    </xf>
    <xf numFmtId="0" fontId="13" fillId="0" borderId="3" xfId="0" applyFont="1" applyFill="1" applyBorder="1" applyAlignment="1">
      <alignment horizontal="left" vertical="center" wrapText="1"/>
    </xf>
    <xf numFmtId="3" fontId="13" fillId="0" borderId="3" xfId="0" applyNumberFormat="1" applyFont="1" applyFill="1" applyBorder="1" applyAlignment="1">
      <alignment horizontal="left" vertical="center" wrapText="1"/>
    </xf>
    <xf numFmtId="0" fontId="13" fillId="0" borderId="3" xfId="0" applyFont="1" applyFill="1" applyBorder="1" applyAlignment="1">
      <alignment horizontal="center" vertical="center" wrapText="1"/>
    </xf>
    <xf numFmtId="168" fontId="5" fillId="0" borderId="3" xfId="0" applyNumberFormat="1" applyFont="1" applyFill="1" applyBorder="1" applyAlignment="1">
      <alignment horizontal="center" vertical="center" wrapText="1"/>
    </xf>
    <xf numFmtId="9" fontId="5" fillId="0" borderId="3" xfId="2" applyFont="1" applyFill="1" applyBorder="1" applyAlignment="1">
      <alignment horizontal="center" vertical="center" wrapText="1"/>
    </xf>
    <xf numFmtId="0" fontId="31" fillId="0" borderId="3" xfId="0" applyFont="1" applyFill="1" applyBorder="1" applyAlignment="1">
      <alignment horizontal="center" vertical="center" wrapText="1"/>
    </xf>
    <xf numFmtId="0" fontId="33" fillId="0" borderId="3" xfId="0" applyFont="1" applyFill="1" applyBorder="1" applyAlignment="1">
      <alignment horizontal="center" vertical="center" wrapText="1"/>
    </xf>
    <xf numFmtId="3" fontId="14" fillId="0" borderId="3" xfId="0" applyNumberFormat="1" applyFont="1" applyFill="1" applyBorder="1" applyAlignment="1">
      <alignment horizontal="left" vertical="center" wrapText="1"/>
    </xf>
    <xf numFmtId="14" fontId="5" fillId="0" borderId="3" xfId="0" applyNumberFormat="1" applyFont="1" applyFill="1" applyBorder="1" applyAlignment="1">
      <alignment horizontal="left" vertical="center" wrapText="1"/>
    </xf>
    <xf numFmtId="0" fontId="10" fillId="0" borderId="3" xfId="1" applyFont="1" applyFill="1" applyBorder="1" applyAlignment="1">
      <alignment vertical="center" wrapText="1"/>
    </xf>
    <xf numFmtId="165" fontId="6" fillId="0" borderId="3" xfId="0" applyNumberFormat="1" applyFont="1" applyFill="1" applyBorder="1" applyAlignment="1">
      <alignment horizontal="left" vertical="center" wrapText="1"/>
    </xf>
    <xf numFmtId="2" fontId="5" fillId="0" borderId="3" xfId="0" applyNumberFormat="1" applyFont="1" applyFill="1" applyBorder="1" applyAlignment="1">
      <alignment horizontal="left" vertical="center" wrapText="1"/>
    </xf>
    <xf numFmtId="10" fontId="10" fillId="0" borderId="3" xfId="1" applyNumberFormat="1" applyFont="1" applyFill="1" applyBorder="1" applyAlignment="1" applyProtection="1">
      <alignment horizontal="left" vertical="center" wrapText="1"/>
    </xf>
    <xf numFmtId="3" fontId="10" fillId="0" borderId="3" xfId="1" applyNumberFormat="1" applyFont="1" applyFill="1" applyBorder="1" applyAlignment="1">
      <alignment horizontal="left" vertical="center" wrapText="1"/>
    </xf>
    <xf numFmtId="0" fontId="10" fillId="0" borderId="3" xfId="1" applyFont="1" applyFill="1" applyBorder="1" applyAlignment="1" applyProtection="1">
      <alignment horizontal="left" vertical="center" wrapText="1"/>
    </xf>
    <xf numFmtId="176" fontId="5" fillId="0" borderId="3" xfId="0" applyNumberFormat="1" applyFont="1" applyFill="1" applyBorder="1" applyAlignment="1">
      <alignment horizontal="left" vertical="center" wrapText="1"/>
    </xf>
    <xf numFmtId="179" fontId="5" fillId="0" borderId="3" xfId="0" applyNumberFormat="1" applyFont="1" applyFill="1" applyBorder="1" applyAlignment="1">
      <alignment horizontal="left" vertical="center" wrapText="1"/>
    </xf>
    <xf numFmtId="0" fontId="5" fillId="0" borderId="3" xfId="0" applyFont="1" applyFill="1" applyBorder="1" applyAlignment="1">
      <alignment vertical="center" wrapText="1"/>
    </xf>
    <xf numFmtId="0" fontId="7" fillId="0" borderId="3" xfId="0" applyFont="1" applyFill="1" applyBorder="1" applyAlignment="1">
      <alignment horizontal="left" vertical="center" wrapText="1"/>
    </xf>
    <xf numFmtId="1" fontId="6" fillId="0" borderId="3" xfId="0" applyNumberFormat="1" applyFont="1" applyFill="1" applyBorder="1" applyAlignment="1">
      <alignment horizontal="left" vertical="center" wrapText="1"/>
    </xf>
    <xf numFmtId="166" fontId="6" fillId="0" borderId="3" xfId="0" applyNumberFormat="1" applyFont="1" applyFill="1" applyBorder="1" applyAlignment="1">
      <alignment horizontal="left" vertical="center" wrapText="1"/>
    </xf>
    <xf numFmtId="0" fontId="18" fillId="0" borderId="3" xfId="1" applyFont="1" applyFill="1" applyBorder="1" applyAlignment="1">
      <alignment horizontal="left" vertical="center" wrapText="1"/>
    </xf>
    <xf numFmtId="0" fontId="18" fillId="0" borderId="3" xfId="1" applyFont="1" applyFill="1" applyBorder="1" applyAlignment="1">
      <alignment vertical="center" wrapText="1"/>
    </xf>
    <xf numFmtId="10" fontId="6" fillId="0" borderId="3" xfId="0" applyNumberFormat="1" applyFont="1" applyFill="1" applyBorder="1" applyAlignment="1">
      <alignment horizontal="left" vertical="center" wrapText="1"/>
    </xf>
    <xf numFmtId="3" fontId="6" fillId="0" borderId="3" xfId="0" applyNumberFormat="1" applyFont="1" applyFill="1" applyBorder="1" applyAlignment="1">
      <alignment horizontal="left" vertical="center" wrapText="1"/>
    </xf>
    <xf numFmtId="2" fontId="6" fillId="0" borderId="3" xfId="0" applyNumberFormat="1" applyFont="1" applyFill="1" applyBorder="1" applyAlignment="1">
      <alignment horizontal="left" vertical="center" wrapText="1"/>
    </xf>
    <xf numFmtId="10" fontId="18" fillId="0" borderId="3" xfId="1" applyNumberFormat="1" applyFont="1" applyFill="1" applyBorder="1" applyAlignment="1">
      <alignment horizontal="left" vertical="center" wrapText="1"/>
    </xf>
    <xf numFmtId="9" fontId="6" fillId="0" borderId="3" xfId="0" applyNumberFormat="1" applyFont="1" applyFill="1" applyBorder="1" applyAlignment="1">
      <alignment horizontal="left" vertical="center" wrapText="1"/>
    </xf>
    <xf numFmtId="167" fontId="6" fillId="0" borderId="3" xfId="0" applyNumberFormat="1" applyFont="1" applyFill="1" applyBorder="1" applyAlignment="1">
      <alignment horizontal="left" vertical="center" wrapText="1"/>
    </xf>
    <xf numFmtId="0" fontId="5" fillId="0" borderId="3" xfId="0" applyFont="1" applyFill="1" applyBorder="1" applyAlignment="1">
      <alignment horizontal="left" vertical="center" wrapText="1" justifyLastLine="1"/>
    </xf>
    <xf numFmtId="0" fontId="6" fillId="0" borderId="3" xfId="1" applyFont="1" applyFill="1" applyBorder="1" applyAlignment="1">
      <alignment vertical="center" wrapText="1"/>
    </xf>
    <xf numFmtId="0" fontId="21" fillId="0" borderId="3" xfId="1" applyFont="1" applyFill="1" applyBorder="1" applyAlignment="1">
      <alignment vertical="center" wrapText="1"/>
    </xf>
    <xf numFmtId="10" fontId="10" fillId="0" borderId="3" xfId="1" applyNumberFormat="1" applyFont="1" applyFill="1" applyBorder="1" applyAlignment="1">
      <alignment horizontal="left" vertical="center" wrapText="1"/>
    </xf>
    <xf numFmtId="0" fontId="6" fillId="0" borderId="3" xfId="1" applyFont="1" applyFill="1" applyBorder="1" applyAlignment="1">
      <alignment horizontal="left" vertical="center" wrapText="1"/>
    </xf>
    <xf numFmtId="0" fontId="16" fillId="0" borderId="3" xfId="0" applyFont="1" applyFill="1" applyBorder="1" applyAlignment="1">
      <alignment horizontal="left" vertical="center" wrapText="1"/>
    </xf>
    <xf numFmtId="0" fontId="38" fillId="0" borderId="3" xfId="0" applyFont="1" applyFill="1" applyBorder="1" applyAlignment="1">
      <alignment horizontal="left" vertical="center" wrapText="1"/>
    </xf>
    <xf numFmtId="4" fontId="5" fillId="0" borderId="3" xfId="0" applyNumberFormat="1" applyFont="1" applyFill="1" applyBorder="1" applyAlignment="1">
      <alignment horizontal="left" vertical="center" wrapText="1"/>
    </xf>
    <xf numFmtId="173" fontId="5" fillId="0" borderId="3" xfId="0" applyNumberFormat="1" applyFont="1" applyFill="1" applyBorder="1" applyAlignment="1">
      <alignment horizontal="left" vertical="center" wrapText="1"/>
    </xf>
    <xf numFmtId="165" fontId="5" fillId="0" borderId="3" xfId="0" applyNumberFormat="1" applyFont="1" applyFill="1" applyBorder="1" applyAlignment="1">
      <alignment vertical="center" wrapText="1"/>
    </xf>
    <xf numFmtId="0" fontId="16" fillId="0" borderId="3" xfId="1" applyFont="1" applyFill="1" applyBorder="1" applyAlignment="1">
      <alignment horizontal="left" vertical="center" wrapText="1"/>
    </xf>
    <xf numFmtId="11" fontId="5" fillId="0"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172" fontId="5" fillId="0" borderId="3" xfId="0" applyNumberFormat="1" applyFont="1" applyFill="1" applyBorder="1" applyAlignment="1">
      <alignment horizontal="center" vertical="center" wrapText="1"/>
    </xf>
    <xf numFmtId="0" fontId="15" fillId="0" borderId="3" xfId="1" applyFont="1" applyFill="1" applyBorder="1" applyAlignment="1" applyProtection="1">
      <alignment horizontal="left" vertical="center" wrapText="1"/>
    </xf>
    <xf numFmtId="0" fontId="15" fillId="0" borderId="3" xfId="1" applyFont="1" applyFill="1" applyBorder="1" applyAlignment="1" applyProtection="1">
      <alignment horizontal="center" vertical="center" wrapText="1"/>
    </xf>
    <xf numFmtId="2" fontId="7" fillId="0" borderId="3" xfId="0" applyNumberFormat="1" applyFont="1" applyFill="1" applyBorder="1" applyAlignment="1">
      <alignment horizontal="left" vertical="center" wrapText="1"/>
    </xf>
    <xf numFmtId="0" fontId="7" fillId="0" borderId="3" xfId="18" applyFont="1" applyFill="1" applyBorder="1" applyAlignment="1" applyProtection="1">
      <alignment vertical="center" wrapText="1"/>
    </xf>
    <xf numFmtId="0" fontId="52" fillId="0" borderId="3" xfId="18" applyFont="1" applyFill="1" applyBorder="1" applyAlignment="1" applyProtection="1">
      <alignment horizontal="left" vertical="center" wrapText="1"/>
    </xf>
    <xf numFmtId="0" fontId="9" fillId="0" borderId="3" xfId="18" applyFont="1" applyFill="1" applyBorder="1" applyAlignment="1" applyProtection="1">
      <alignment horizontal="left" vertical="center" wrapText="1"/>
    </xf>
    <xf numFmtId="0" fontId="12" fillId="0" borderId="3" xfId="0" applyFont="1" applyFill="1" applyBorder="1" applyAlignment="1">
      <alignment horizontal="left" vertical="center" wrapText="1"/>
    </xf>
    <xf numFmtId="10" fontId="6" fillId="0" borderId="3" xfId="1" applyNumberFormat="1" applyFont="1" applyFill="1" applyBorder="1" applyAlignment="1">
      <alignment horizontal="left" vertical="center" wrapText="1"/>
    </xf>
    <xf numFmtId="3" fontId="17" fillId="0" borderId="3" xfId="0" applyNumberFormat="1" applyFont="1" applyFill="1" applyBorder="1" applyAlignment="1">
      <alignment horizontal="left" vertical="center" wrapText="1"/>
    </xf>
    <xf numFmtId="171" fontId="5" fillId="0" borderId="3" xfId="0" applyNumberFormat="1" applyFont="1" applyFill="1" applyBorder="1" applyAlignment="1">
      <alignment horizontal="left" vertical="center" wrapText="1"/>
    </xf>
    <xf numFmtId="0" fontId="10" fillId="0" borderId="3" xfId="1" applyFont="1" applyFill="1" applyBorder="1" applyAlignment="1" applyProtection="1">
      <alignment vertical="center" wrapText="1"/>
    </xf>
    <xf numFmtId="0" fontId="5" fillId="0" borderId="3" xfId="1" applyFont="1" applyFill="1" applyBorder="1" applyAlignment="1">
      <alignment horizontal="left" vertical="center" wrapText="1"/>
    </xf>
    <xf numFmtId="0" fontId="7" fillId="0" borderId="3" xfId="1" applyFont="1" applyFill="1" applyBorder="1" applyAlignment="1">
      <alignment horizontal="left" vertical="center" wrapText="1"/>
    </xf>
    <xf numFmtId="0" fontId="9" fillId="0" borderId="3" xfId="17" applyFont="1" applyFill="1" applyBorder="1" applyAlignment="1" applyProtection="1">
      <alignment horizontal="left" vertical="center" wrapText="1"/>
    </xf>
    <xf numFmtId="0" fontId="20" fillId="0" borderId="3" xfId="0" applyFont="1" applyFill="1" applyBorder="1" applyAlignment="1">
      <alignment vertical="center" wrapText="1"/>
    </xf>
    <xf numFmtId="2" fontId="16" fillId="0" borderId="3" xfId="0" applyNumberFormat="1" applyFont="1" applyFill="1" applyBorder="1" applyAlignment="1">
      <alignment horizontal="left" vertical="center" wrapText="1"/>
    </xf>
    <xf numFmtId="0" fontId="10" fillId="0" borderId="3" xfId="4" applyFont="1" applyFill="1" applyBorder="1" applyAlignment="1" applyProtection="1">
      <alignment horizontal="left" vertical="center" wrapText="1"/>
    </xf>
    <xf numFmtId="0" fontId="10" fillId="0" borderId="3" xfId="4" applyFont="1" applyFill="1" applyBorder="1" applyAlignment="1" applyProtection="1">
      <alignment vertical="center" wrapText="1"/>
    </xf>
    <xf numFmtId="0" fontId="10" fillId="0" borderId="3" xfId="5" applyFont="1" applyFill="1" applyBorder="1" applyAlignment="1" applyProtection="1">
      <alignment horizontal="left" vertical="center" wrapText="1"/>
    </xf>
    <xf numFmtId="0" fontId="10" fillId="0" borderId="3" xfId="5" applyFont="1" applyFill="1" applyBorder="1" applyAlignment="1" applyProtection="1">
      <alignment vertical="center" wrapText="1"/>
    </xf>
    <xf numFmtId="0" fontId="7" fillId="0" borderId="3" xfId="0" applyFont="1" applyFill="1" applyBorder="1" applyAlignment="1">
      <alignment vertical="center" wrapText="1"/>
    </xf>
    <xf numFmtId="0" fontId="10" fillId="0" borderId="3" xfId="6" applyFont="1" applyFill="1" applyBorder="1" applyAlignment="1" applyProtection="1">
      <alignment horizontal="left" vertical="center" wrapText="1"/>
    </xf>
    <xf numFmtId="0" fontId="6" fillId="0" borderId="3" xfId="0" applyFont="1" applyFill="1" applyBorder="1" applyAlignment="1">
      <alignment horizontal="justify" vertical="center" wrapText="1"/>
    </xf>
    <xf numFmtId="0" fontId="6" fillId="0" borderId="3" xfId="1" applyFont="1" applyFill="1" applyBorder="1" applyAlignment="1" applyProtection="1">
      <alignment horizontal="left" vertical="center" wrapText="1"/>
    </xf>
    <xf numFmtId="0" fontId="15" fillId="0" borderId="3" xfId="1" applyFont="1" applyFill="1" applyBorder="1" applyAlignment="1">
      <alignment horizontal="left" vertical="center" wrapText="1"/>
    </xf>
    <xf numFmtId="0" fontId="39" fillId="0" borderId="3" xfId="0" applyFont="1" applyFill="1" applyBorder="1" applyAlignment="1">
      <alignment horizontal="justify" vertical="center" wrapText="1"/>
    </xf>
    <xf numFmtId="0" fontId="10" fillId="0" borderId="3" xfId="6" applyFont="1" applyFill="1" applyBorder="1" applyAlignment="1" applyProtection="1">
      <alignment vertical="center" wrapText="1"/>
    </xf>
    <xf numFmtId="10" fontId="10" fillId="0" borderId="3" xfId="4" applyNumberFormat="1" applyFont="1" applyFill="1" applyBorder="1" applyAlignment="1" applyProtection="1">
      <alignment horizontal="left" vertical="center" wrapText="1"/>
    </xf>
    <xf numFmtId="0" fontId="41" fillId="0" borderId="3" xfId="0" applyFont="1" applyFill="1" applyBorder="1" applyAlignment="1">
      <alignment vertical="center" wrapText="1"/>
    </xf>
    <xf numFmtId="174" fontId="5" fillId="0" borderId="3" xfId="0" applyNumberFormat="1" applyFont="1" applyFill="1" applyBorder="1" applyAlignment="1">
      <alignment horizontal="left" vertical="center" wrapText="1"/>
    </xf>
    <xf numFmtId="0" fontId="10" fillId="0" borderId="3" xfId="1" applyFont="1" applyFill="1" applyBorder="1" applyAlignment="1">
      <alignment horizontal="justify" vertical="center" wrapText="1"/>
    </xf>
    <xf numFmtId="169" fontId="10" fillId="0" borderId="3" xfId="1" applyNumberFormat="1" applyFont="1" applyFill="1" applyBorder="1" applyAlignment="1">
      <alignment horizontal="left" vertical="center" wrapText="1"/>
    </xf>
    <xf numFmtId="177" fontId="5" fillId="0" borderId="3" xfId="0" applyNumberFormat="1" applyFont="1" applyFill="1" applyBorder="1" applyAlignment="1">
      <alignment horizontal="left" vertical="center" wrapText="1"/>
    </xf>
    <xf numFmtId="170" fontId="5" fillId="0" borderId="3" xfId="0" applyNumberFormat="1" applyFont="1" applyFill="1" applyBorder="1" applyAlignment="1">
      <alignment horizontal="left" vertical="center" wrapText="1"/>
    </xf>
    <xf numFmtId="175" fontId="5" fillId="0" borderId="3" xfId="0" applyNumberFormat="1" applyFont="1" applyFill="1" applyBorder="1" applyAlignment="1">
      <alignment horizontal="left" vertical="center" wrapText="1"/>
    </xf>
    <xf numFmtId="180" fontId="5" fillId="0" borderId="3" xfId="0" applyNumberFormat="1" applyFont="1" applyFill="1" applyBorder="1" applyAlignment="1">
      <alignment horizontal="left" vertical="center" wrapText="1"/>
    </xf>
    <xf numFmtId="168" fontId="6" fillId="0" borderId="3" xfId="0" applyNumberFormat="1" applyFont="1" applyFill="1" applyBorder="1" applyAlignment="1">
      <alignment horizontal="left" vertical="center" wrapText="1"/>
    </xf>
    <xf numFmtId="10" fontId="15" fillId="0" borderId="3" xfId="1" applyNumberFormat="1" applyFont="1" applyFill="1" applyBorder="1" applyAlignment="1" applyProtection="1">
      <alignment horizontal="left" vertical="center" wrapText="1"/>
    </xf>
    <xf numFmtId="0" fontId="6" fillId="0" borderId="3" xfId="0" applyNumberFormat="1" applyFont="1" applyFill="1" applyBorder="1" applyAlignment="1">
      <alignment horizontal="left" vertical="center" wrapText="1"/>
    </xf>
    <xf numFmtId="10" fontId="13" fillId="0" borderId="3" xfId="0" applyNumberFormat="1" applyFont="1" applyFill="1" applyBorder="1" applyAlignment="1">
      <alignment horizontal="left" vertical="center" wrapText="1"/>
    </xf>
    <xf numFmtId="172" fontId="5" fillId="0" borderId="3" xfId="0" applyNumberFormat="1" applyFont="1" applyFill="1" applyBorder="1" applyAlignment="1">
      <alignment horizontal="left" vertical="center" wrapText="1"/>
    </xf>
    <xf numFmtId="172" fontId="6" fillId="0" borderId="3" xfId="0" applyNumberFormat="1" applyFont="1" applyFill="1" applyBorder="1" applyAlignment="1">
      <alignment horizontal="left" vertical="center" wrapText="1"/>
    </xf>
    <xf numFmtId="10" fontId="10" fillId="0" borderId="3" xfId="6" applyNumberFormat="1" applyFont="1" applyFill="1" applyBorder="1" applyAlignment="1" applyProtection="1">
      <alignment horizontal="left" vertical="center" wrapText="1"/>
    </xf>
    <xf numFmtId="0" fontId="6" fillId="0" borderId="3" xfId="0" applyFont="1" applyFill="1" applyBorder="1" applyAlignment="1">
      <alignment horizontal="left" vertical="center" wrapText="1" shrinkToFit="1"/>
    </xf>
    <xf numFmtId="0" fontId="10" fillId="0" borderId="3" xfId="1" applyFont="1" applyFill="1" applyBorder="1" applyAlignment="1" applyProtection="1">
      <alignment horizontal="justify" vertical="center" wrapText="1"/>
    </xf>
    <xf numFmtId="0" fontId="12" fillId="0" borderId="3" xfId="0" applyFont="1" applyFill="1" applyBorder="1" applyAlignment="1">
      <alignment vertical="center" wrapText="1"/>
    </xf>
    <xf numFmtId="4" fontId="6" fillId="0" borderId="3" xfId="0" applyNumberFormat="1" applyFont="1" applyFill="1" applyBorder="1" applyAlignment="1">
      <alignment horizontal="left" vertical="center" wrapText="1"/>
    </xf>
    <xf numFmtId="0" fontId="15" fillId="0" borderId="3" xfId="1" applyNumberFormat="1" applyFont="1" applyFill="1" applyBorder="1" applyAlignment="1" applyProtection="1">
      <alignment horizontal="left" vertical="center" wrapText="1"/>
    </xf>
    <xf numFmtId="168" fontId="5" fillId="0" borderId="3" xfId="2" applyNumberFormat="1" applyFont="1" applyFill="1" applyBorder="1" applyAlignment="1">
      <alignment horizontal="left" vertical="center" wrapText="1"/>
    </xf>
    <xf numFmtId="2" fontId="5" fillId="0" borderId="3" xfId="2" applyNumberFormat="1" applyFont="1" applyFill="1" applyBorder="1" applyAlignment="1">
      <alignment horizontal="left" vertical="center" wrapText="1"/>
    </xf>
    <xf numFmtId="2" fontId="12" fillId="0" borderId="3" xfId="0" applyNumberFormat="1" applyFont="1" applyFill="1" applyBorder="1" applyAlignment="1">
      <alignment horizontal="left" vertical="center" wrapText="1"/>
    </xf>
    <xf numFmtId="0" fontId="27" fillId="0" borderId="3" xfId="1" applyFont="1" applyFill="1" applyBorder="1" applyAlignment="1" applyProtection="1">
      <alignment horizontal="left" vertical="center" wrapText="1"/>
    </xf>
    <xf numFmtId="181" fontId="5" fillId="0" borderId="3" xfId="0" applyNumberFormat="1" applyFont="1" applyFill="1" applyBorder="1" applyAlignment="1">
      <alignment horizontal="left" vertical="center" wrapText="1"/>
    </xf>
    <xf numFmtId="0" fontId="10" fillId="0" borderId="3" xfId="1" applyNumberFormat="1" applyFont="1" applyFill="1" applyBorder="1" applyAlignment="1" applyProtection="1">
      <alignment vertical="center" wrapText="1"/>
    </xf>
    <xf numFmtId="0" fontId="18" fillId="0" borderId="3" xfId="1" applyFont="1" applyFill="1" applyBorder="1" applyAlignment="1" applyProtection="1">
      <alignment horizontal="left" vertical="center" wrapText="1"/>
    </xf>
    <xf numFmtId="174" fontId="6" fillId="0" borderId="3" xfId="0" applyNumberFormat="1" applyFont="1" applyFill="1" applyBorder="1" applyAlignment="1">
      <alignment horizontal="left" vertical="center" wrapText="1"/>
    </xf>
    <xf numFmtId="10" fontId="18" fillId="0" borderId="3" xfId="1" applyNumberFormat="1" applyFont="1" applyFill="1" applyBorder="1" applyAlignment="1" applyProtection="1">
      <alignment horizontal="left" vertical="center" wrapText="1"/>
    </xf>
    <xf numFmtId="0" fontId="40" fillId="0" borderId="3" xfId="1" applyFont="1" applyFill="1" applyBorder="1" applyAlignment="1" applyProtection="1">
      <alignment horizontal="left" vertical="center" wrapText="1"/>
    </xf>
    <xf numFmtId="0" fontId="6" fillId="0" borderId="3" xfId="7" applyFont="1" applyFill="1" applyBorder="1" applyAlignment="1">
      <alignment horizontal="left" vertical="center" wrapText="1"/>
    </xf>
    <xf numFmtId="1" fontId="6" fillId="0" borderId="3" xfId="7" applyNumberFormat="1" applyFont="1" applyFill="1" applyBorder="1" applyAlignment="1">
      <alignment horizontal="left" vertical="center" wrapText="1"/>
    </xf>
    <xf numFmtId="172" fontId="6" fillId="0" borderId="3" xfId="7" applyNumberFormat="1" applyFont="1" applyFill="1" applyBorder="1" applyAlignment="1">
      <alignment horizontal="left" vertical="center" wrapText="1"/>
    </xf>
    <xf numFmtId="165" fontId="6" fillId="0" borderId="3" xfId="7" applyNumberFormat="1" applyFont="1" applyFill="1" applyBorder="1" applyAlignment="1">
      <alignment horizontal="left" vertical="center" wrapText="1"/>
    </xf>
    <xf numFmtId="10" fontId="6" fillId="0" borderId="3" xfId="7" applyNumberFormat="1" applyFont="1" applyFill="1" applyBorder="1" applyAlignment="1">
      <alignment horizontal="left" vertical="center" wrapText="1"/>
    </xf>
    <xf numFmtId="2" fontId="6" fillId="0" borderId="3" xfId="7" applyNumberFormat="1" applyFont="1" applyFill="1" applyBorder="1" applyAlignment="1">
      <alignment horizontal="left" vertical="center" wrapText="1"/>
    </xf>
    <xf numFmtId="9" fontId="6" fillId="0" borderId="3" xfId="7" applyNumberFormat="1" applyFont="1" applyFill="1" applyBorder="1" applyAlignment="1">
      <alignment horizontal="left" vertical="center" wrapText="1"/>
    </xf>
    <xf numFmtId="3" fontId="6" fillId="0" borderId="3" xfId="7" applyNumberFormat="1" applyFont="1" applyFill="1" applyBorder="1" applyAlignment="1">
      <alignment horizontal="left" vertical="center" wrapText="1"/>
    </xf>
    <xf numFmtId="3" fontId="14" fillId="0" borderId="3" xfId="7" applyNumberFormat="1" applyFont="1" applyFill="1" applyBorder="1" applyAlignment="1">
      <alignment horizontal="left" vertical="center" wrapText="1"/>
    </xf>
    <xf numFmtId="0" fontId="5" fillId="0" borderId="3" xfId="7" applyFont="1" applyFill="1" applyBorder="1" applyAlignment="1">
      <alignment vertical="center" wrapText="1"/>
    </xf>
    <xf numFmtId="0" fontId="6" fillId="0" borderId="3" xfId="7" applyFont="1" applyFill="1" applyBorder="1" applyAlignment="1">
      <alignment vertical="center" wrapText="1"/>
    </xf>
    <xf numFmtId="0" fontId="18" fillId="0" borderId="3" xfId="6" applyFont="1" applyFill="1" applyBorder="1" applyAlignment="1" applyProtection="1">
      <alignment vertical="center" wrapText="1"/>
    </xf>
    <xf numFmtId="0" fontId="5" fillId="0" borderId="3" xfId="7" applyFont="1" applyFill="1" applyBorder="1" applyAlignment="1">
      <alignment horizontal="left" vertical="center" wrapText="1"/>
    </xf>
    <xf numFmtId="0" fontId="40" fillId="0" borderId="3" xfId="6" applyFont="1" applyFill="1" applyBorder="1" applyAlignment="1" applyProtection="1">
      <alignment horizontal="left" vertical="center" wrapText="1"/>
    </xf>
    <xf numFmtId="0" fontId="10" fillId="0" borderId="3" xfId="8" applyFont="1" applyFill="1" applyBorder="1" applyAlignment="1">
      <alignment horizontal="left" vertical="center" wrapText="1"/>
    </xf>
    <xf numFmtId="0" fontId="16" fillId="0" borderId="3" xfId="1" applyFont="1" applyFill="1" applyBorder="1" applyAlignment="1" applyProtection="1">
      <alignment horizontal="left" vertical="center" wrapText="1"/>
    </xf>
    <xf numFmtId="0" fontId="5" fillId="0" borderId="3" xfId="0" applyFont="1" applyFill="1" applyBorder="1" applyAlignment="1" applyProtection="1">
      <alignment horizontal="left" vertical="center" wrapText="1"/>
      <protection locked="0"/>
    </xf>
    <xf numFmtId="0" fontId="7" fillId="0" borderId="3" xfId="0" applyFont="1" applyFill="1" applyBorder="1" applyAlignment="1">
      <alignment horizontal="justify" vertical="center" wrapText="1"/>
    </xf>
  </cellXfs>
  <cellStyles count="20">
    <cellStyle name="Гиперссылка" xfId="1" builtinId="8"/>
    <cellStyle name="Гиперссылка 2" xfId="6" xr:uid="{00000000-0005-0000-0000-000002000000}"/>
    <cellStyle name="Гиперссылка 2 2" xfId="8" xr:uid="{00000000-0005-0000-0000-000003000000}"/>
    <cellStyle name="Гиперссылка 2 3" xfId="9" xr:uid="{00000000-0005-0000-0000-000004000000}"/>
    <cellStyle name="Гиперссылка 3" xfId="4" xr:uid="{00000000-0005-0000-0000-000005000000}"/>
    <cellStyle name="Гиперссылка 4" xfId="5" xr:uid="{00000000-0005-0000-0000-000006000000}"/>
    <cellStyle name="Гиперссылка 4 2" xfId="15" xr:uid="{00000000-0005-0000-0000-000007000000}"/>
    <cellStyle name="Гиперссылка 5" xfId="17" xr:uid="{00000000-0005-0000-0000-000008000000}"/>
    <cellStyle name="Гиперссылка 6" xfId="18" xr:uid="{00000000-0005-0000-0000-000009000000}"/>
    <cellStyle name="Обычный" xfId="0" builtinId="0"/>
    <cellStyle name="Обычный 2" xfId="7" xr:uid="{00000000-0005-0000-0000-00000B000000}"/>
    <cellStyle name="Обычный 2 2" xfId="12" xr:uid="{00000000-0005-0000-0000-00000C000000}"/>
    <cellStyle name="Обычный 3" xfId="10" xr:uid="{00000000-0005-0000-0000-00000D000000}"/>
    <cellStyle name="Обычный 4" xfId="13" xr:uid="{00000000-0005-0000-0000-00000E000000}"/>
    <cellStyle name="Процентный" xfId="2" builtinId="5"/>
    <cellStyle name="Процентный 2" xfId="14" xr:uid="{00000000-0005-0000-0000-000010000000}"/>
    <cellStyle name="Финансовый" xfId="3" builtinId="3"/>
    <cellStyle name="Финансовый 2" xfId="16" xr:uid="{00000000-0005-0000-0000-000012000000}"/>
    <cellStyle name="Финансовый 3" xfId="19" xr:uid="{00000000-0005-0000-0000-000013000000}"/>
    <cellStyle name="Îáű÷íűé_ÂŰŐÎÄ" xfId="11" xr:uid="{00000000-0005-0000-0000-00000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Бюджетная</a:t>
            </a:r>
            <a:r>
              <a:rPr lang="ru-RU" baseline="0"/>
              <a:t> поддержка из регионального бюджета на 1 чел, руб</a:t>
            </a:r>
          </a:p>
          <a:p>
            <a:pPr>
              <a:defRPr/>
            </a:pPr>
            <a:r>
              <a:rPr lang="ru-RU" baseline="0"/>
              <a:t>(смежные+ИБ)</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округа!$D$41:$D$102</c:f>
              <c:strCache>
                <c:ptCount val="62"/>
                <c:pt idx="0">
                  <c:v>Сахалинская область</c:v>
                </c:pt>
                <c:pt idx="1">
                  <c:v>Калининградская область</c:v>
                </c:pt>
                <c:pt idx="2">
                  <c:v>Башкортостан, республика</c:v>
                </c:pt>
                <c:pt idx="3">
                  <c:v>Саха (Якутия) республика</c:v>
                </c:pt>
                <c:pt idx="4">
                  <c:v>Новгородская область</c:v>
                </c:pt>
                <c:pt idx="5">
                  <c:v>Ненецкий АО</c:v>
                </c:pt>
                <c:pt idx="6">
                  <c:v>Чукотский АО</c:v>
                </c:pt>
                <c:pt idx="7">
                  <c:v>Тульская область</c:v>
                </c:pt>
                <c:pt idx="8">
                  <c:v>Татарстан, респ.</c:v>
                </c:pt>
                <c:pt idx="9">
                  <c:v>Иркутская область</c:v>
                </c:pt>
                <c:pt idx="10">
                  <c:v>Ленинградская область</c:v>
                </c:pt>
                <c:pt idx="11">
                  <c:v>Чувашская республика</c:v>
                </c:pt>
                <c:pt idx="12">
                  <c:v>Кировская область</c:v>
                </c:pt>
                <c:pt idx="13">
                  <c:v>ХМАО-Югра</c:v>
                </c:pt>
                <c:pt idx="14">
                  <c:v>Костромская область</c:v>
                </c:pt>
                <c:pt idx="15">
                  <c:v>Ставропольский край</c:v>
                </c:pt>
                <c:pt idx="16">
                  <c:v>Ярославская область</c:v>
                </c:pt>
                <c:pt idx="17">
                  <c:v>Рязанская область</c:v>
                </c:pt>
                <c:pt idx="18">
                  <c:v>Тамбовская область</c:v>
                </c:pt>
                <c:pt idx="19">
                  <c:v>Карелия, республика</c:v>
                </c:pt>
                <c:pt idx="20">
                  <c:v>Нижегородская область</c:v>
                </c:pt>
                <c:pt idx="21">
                  <c:v>Коми, республика</c:v>
                </c:pt>
                <c:pt idx="22">
                  <c:v>Курская область</c:v>
                </c:pt>
                <c:pt idx="23">
                  <c:v>Тверская область</c:v>
                </c:pt>
                <c:pt idx="24">
                  <c:v>Калужская область</c:v>
                </c:pt>
                <c:pt idx="25">
                  <c:v>Ульяновская область</c:v>
                </c:pt>
                <c:pt idx="26">
                  <c:v>Хабаровский край</c:v>
                </c:pt>
                <c:pt idx="27">
                  <c:v>Амурская область</c:v>
                </c:pt>
                <c:pt idx="28">
                  <c:v>Воронежская область</c:v>
                </c:pt>
                <c:pt idx="29">
                  <c:v>Тюменская область</c:v>
                </c:pt>
                <c:pt idx="30">
                  <c:v>Брянская область</c:v>
                </c:pt>
                <c:pt idx="31">
                  <c:v>Вологодская область</c:v>
                </c:pt>
                <c:pt idx="32">
                  <c:v>Липецкая область</c:v>
                </c:pt>
                <c:pt idx="33">
                  <c:v>Бурятия, республика</c:v>
                </c:pt>
                <c:pt idx="34">
                  <c:v>Самарская область</c:v>
                </c:pt>
                <c:pt idx="35">
                  <c:v>Алтайский край</c:v>
                </c:pt>
                <c:pt idx="36">
                  <c:v>Владимирская область</c:v>
                </c:pt>
                <c:pt idx="37">
                  <c:v>Пермский край</c:v>
                </c:pt>
                <c:pt idx="38">
                  <c:v>Новосибирская область</c:v>
                </c:pt>
                <c:pt idx="39">
                  <c:v>Томская область</c:v>
                </c:pt>
                <c:pt idx="40">
                  <c:v>Оренбургская область</c:v>
                </c:pt>
                <c:pt idx="41">
                  <c:v>Красноярский край</c:v>
                </c:pt>
                <c:pt idx="42">
                  <c:v>Санкт-Петербург</c:v>
                </c:pt>
                <c:pt idx="43">
                  <c:v>Кемеровская область</c:v>
                </c:pt>
                <c:pt idx="44">
                  <c:v>Удмуртия республика</c:v>
                </c:pt>
                <c:pt idx="45">
                  <c:v>Свердловская область</c:v>
                </c:pt>
                <c:pt idx="46">
                  <c:v>Мари-Эл республика</c:v>
                </c:pt>
                <c:pt idx="47">
                  <c:v>Саратовская область</c:v>
                </c:pt>
                <c:pt idx="48">
                  <c:v>Мурманская область</c:v>
                </c:pt>
                <c:pt idx="49">
                  <c:v>Забайкальский край</c:v>
                </c:pt>
                <c:pt idx="50">
                  <c:v>Орловская область</c:v>
                </c:pt>
                <c:pt idx="51">
                  <c:v>Волгоградская область</c:v>
                </c:pt>
                <c:pt idx="52">
                  <c:v>Калмыкия, республика</c:v>
                </c:pt>
                <c:pt idx="53">
                  <c:v>Архангельская область</c:v>
                </c:pt>
                <c:pt idx="54">
                  <c:v>Курганская область</c:v>
                </c:pt>
                <c:pt idx="55">
                  <c:v>Алтай, республика</c:v>
                </c:pt>
                <c:pt idx="56">
                  <c:v>Адыгея, республика</c:v>
                </c:pt>
                <c:pt idx="57">
                  <c:v>Белгородская область</c:v>
                </c:pt>
                <c:pt idx="58">
                  <c:v>Псковская область</c:v>
                </c:pt>
                <c:pt idx="59">
                  <c:v>Пензенская область</c:v>
                </c:pt>
                <c:pt idx="60">
                  <c:v>Астраханская область</c:v>
                </c:pt>
                <c:pt idx="61">
                  <c:v>Смоленская область</c:v>
                </c:pt>
              </c:strCache>
            </c:strRef>
          </c:cat>
          <c:val>
            <c:numRef>
              <c:f>округа!$E$41:$E$102</c:f>
              <c:numCache>
                <c:formatCode>General</c:formatCode>
                <c:ptCount val="62"/>
                <c:pt idx="0">
                  <c:v>1666.2303898621201</c:v>
                </c:pt>
                <c:pt idx="1">
                  <c:v>897.16444453709676</c:v>
                </c:pt>
                <c:pt idx="2">
                  <c:v>667.37815416095327</c:v>
                </c:pt>
                <c:pt idx="3">
                  <c:v>515.16086608459045</c:v>
                </c:pt>
                <c:pt idx="4">
                  <c:v>468.85923624685807</c:v>
                </c:pt>
                <c:pt idx="5">
                  <c:v>443.05208096429391</c:v>
                </c:pt>
                <c:pt idx="6">
                  <c:v>426.837139969985</c:v>
                </c:pt>
                <c:pt idx="7">
                  <c:v>304.25026757724424</c:v>
                </c:pt>
                <c:pt idx="8">
                  <c:v>272.13428774612527</c:v>
                </c:pt>
                <c:pt idx="9">
                  <c:v>271.45791274758005</c:v>
                </c:pt>
                <c:pt idx="10">
                  <c:v>237.07186987851929</c:v>
                </c:pt>
                <c:pt idx="11">
                  <c:v>215.89194396793025</c:v>
                </c:pt>
                <c:pt idx="12">
                  <c:v>204.83643781243711</c:v>
                </c:pt>
                <c:pt idx="13">
                  <c:v>189.62267768008837</c:v>
                </c:pt>
                <c:pt idx="14">
                  <c:v>145.92980841221367</c:v>
                </c:pt>
                <c:pt idx="15">
                  <c:v>141.51563473420094</c:v>
                </c:pt>
                <c:pt idx="16">
                  <c:v>135.21676465040616</c:v>
                </c:pt>
                <c:pt idx="17">
                  <c:v>130.05671655756407</c:v>
                </c:pt>
                <c:pt idx="18">
                  <c:v>124.04422968348467</c:v>
                </c:pt>
                <c:pt idx="19">
                  <c:v>123.03996563711272</c:v>
                </c:pt>
                <c:pt idx="20">
                  <c:v>113.47254490406804</c:v>
                </c:pt>
                <c:pt idx="21">
                  <c:v>109.09500782809569</c:v>
                </c:pt>
                <c:pt idx="22">
                  <c:v>101.70697334476685</c:v>
                </c:pt>
                <c:pt idx="23">
                  <c:v>92.963912452658349</c:v>
                </c:pt>
                <c:pt idx="24">
                  <c:v>91.982130821946413</c:v>
                </c:pt>
                <c:pt idx="25">
                  <c:v>91.563219135902514</c:v>
                </c:pt>
                <c:pt idx="26">
                  <c:v>91.084351929034227</c:v>
                </c:pt>
                <c:pt idx="27">
                  <c:v>90.102688288179039</c:v>
                </c:pt>
                <c:pt idx="28">
                  <c:v>87.593233571781425</c:v>
                </c:pt>
                <c:pt idx="29">
                  <c:v>84.623977207952848</c:v>
                </c:pt>
                <c:pt idx="30">
                  <c:v>80.244813552011607</c:v>
                </c:pt>
                <c:pt idx="31">
                  <c:v>70.491779338000271</c:v>
                </c:pt>
                <c:pt idx="32">
                  <c:v>61.887159410109277</c:v>
                </c:pt>
                <c:pt idx="33">
                  <c:v>60.938143325883402</c:v>
                </c:pt>
                <c:pt idx="34">
                  <c:v>51.899153958227572</c:v>
                </c:pt>
                <c:pt idx="35">
                  <c:v>50.710048202502989</c:v>
                </c:pt>
                <c:pt idx="36">
                  <c:v>45.472832590613095</c:v>
                </c:pt>
                <c:pt idx="37">
                  <c:v>44.429470389976316</c:v>
                </c:pt>
                <c:pt idx="38">
                  <c:v>40.346565552259712</c:v>
                </c:pt>
                <c:pt idx="39">
                  <c:v>36.556196437504838</c:v>
                </c:pt>
                <c:pt idx="40">
                  <c:v>35.715725276682072</c:v>
                </c:pt>
                <c:pt idx="41">
                  <c:v>34.353724905405308</c:v>
                </c:pt>
                <c:pt idx="42">
                  <c:v>33.667225810831688</c:v>
                </c:pt>
                <c:pt idx="43">
                  <c:v>32.857536697479986</c:v>
                </c:pt>
                <c:pt idx="44">
                  <c:v>32.343375624596121</c:v>
                </c:pt>
                <c:pt idx="45">
                  <c:v>32.335023497689647</c:v>
                </c:pt>
                <c:pt idx="46">
                  <c:v>32.043740262794323</c:v>
                </c:pt>
                <c:pt idx="47">
                  <c:v>31.25421832681776</c:v>
                </c:pt>
                <c:pt idx="48">
                  <c:v>30.34656896253097</c:v>
                </c:pt>
                <c:pt idx="49">
                  <c:v>23.654941650936919</c:v>
                </c:pt>
                <c:pt idx="50">
                  <c:v>23.101687343767612</c:v>
                </c:pt>
                <c:pt idx="51">
                  <c:v>20.880080279377356</c:v>
                </c:pt>
                <c:pt idx="52">
                  <c:v>19.778856232828595</c:v>
                </c:pt>
                <c:pt idx="53">
                  <c:v>18.25792075430995</c:v>
                </c:pt>
                <c:pt idx="54">
                  <c:v>13.714801821983478</c:v>
                </c:pt>
                <c:pt idx="55">
                  <c:v>11.75767879594031</c:v>
                </c:pt>
                <c:pt idx="56">
                  <c:v>10.797183161998779</c:v>
                </c:pt>
                <c:pt idx="57">
                  <c:v>5.8122411650575723</c:v>
                </c:pt>
                <c:pt idx="58">
                  <c:v>5.5742870180318151</c:v>
                </c:pt>
                <c:pt idx="59">
                  <c:v>3.1253978212165721</c:v>
                </c:pt>
                <c:pt idx="60">
                  <c:v>1.1882082216087546</c:v>
                </c:pt>
                <c:pt idx="61">
                  <c:v>0.53269353856268142</c:v>
                </c:pt>
              </c:numCache>
            </c:numRef>
          </c:val>
          <c:smooth val="0"/>
          <c:extLst>
            <c:ext xmlns:c16="http://schemas.microsoft.com/office/drawing/2014/chart" uri="{C3380CC4-5D6E-409C-BE32-E72D297353CC}">
              <c16:uniqueId val="{00000000-93DA-47E9-A303-AB1D6520C831}"/>
            </c:ext>
          </c:extLst>
        </c:ser>
        <c:dLbls>
          <c:showLegendKey val="0"/>
          <c:showVal val="0"/>
          <c:showCatName val="0"/>
          <c:showSerName val="0"/>
          <c:showPercent val="0"/>
          <c:showBubbleSize val="0"/>
        </c:dLbls>
        <c:marker val="1"/>
        <c:smooth val="0"/>
        <c:axId val="458712496"/>
        <c:axId val="458712888"/>
      </c:lineChart>
      <c:catAx>
        <c:axId val="45871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58712888"/>
        <c:crosses val="autoZero"/>
        <c:auto val="1"/>
        <c:lblAlgn val="ctr"/>
        <c:lblOffset val="100"/>
        <c:noMultiLvlLbl val="0"/>
      </c:catAx>
      <c:valAx>
        <c:axId val="4587128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5871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ДФО</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0"/>
          <c:order val="0"/>
          <c:tx>
            <c:strRef>
              <c:f>округа!$E$11</c:f>
              <c:strCache>
                <c:ptCount val="1"/>
                <c:pt idx="0">
                  <c:v>Доля бюджетных средств на ИБ в бюджете субъекта</c:v>
                </c:pt>
              </c:strCache>
            </c:strRef>
          </c:tx>
          <c:spPr>
            <a:ln w="28575" cap="rnd">
              <a:solidFill>
                <a:schemeClr val="accent1"/>
              </a:solidFill>
              <a:round/>
            </a:ln>
            <a:effectLst/>
          </c:spPr>
          <c:marker>
            <c:symbol val="none"/>
          </c:marker>
          <c:cat>
            <c:strRef>
              <c:f>округа!$D$12:$D$22</c:f>
              <c:strCache>
                <c:ptCount val="11"/>
                <c:pt idx="0">
                  <c:v>Амурская область (1)</c:v>
                </c:pt>
                <c:pt idx="1">
                  <c:v>Бурятия, республика (1)</c:v>
                </c:pt>
                <c:pt idx="2">
                  <c:v>Еврейская АО (0)</c:v>
                </c:pt>
                <c:pt idx="3">
                  <c:v>Забайкальский край (1)</c:v>
                </c:pt>
                <c:pt idx="4">
                  <c:v>Камчатский край (0)</c:v>
                </c:pt>
                <c:pt idx="5">
                  <c:v>Магаданская область (0)</c:v>
                </c:pt>
                <c:pt idx="6">
                  <c:v>Приморский край (0)</c:v>
                </c:pt>
                <c:pt idx="7">
                  <c:v>Саха (Якутия) республика (1)</c:v>
                </c:pt>
                <c:pt idx="8">
                  <c:v>Сахалинская область (3)</c:v>
                </c:pt>
                <c:pt idx="9">
                  <c:v>Хабаровский край (2)</c:v>
                </c:pt>
                <c:pt idx="10">
                  <c:v>Чукотский АО (1)</c:v>
                </c:pt>
              </c:strCache>
            </c:strRef>
          </c:cat>
          <c:val>
            <c:numRef>
              <c:f>округа!$E$12:$E$22</c:f>
              <c:numCache>
                <c:formatCode>0.00%</c:formatCode>
                <c:ptCount val="11"/>
                <c:pt idx="0">
                  <c:v>1.1000000000000001E-3</c:v>
                </c:pt>
                <c:pt idx="1">
                  <c:v>8.9999999999999998E-4</c:v>
                </c:pt>
                <c:pt idx="2">
                  <c:v>0</c:v>
                </c:pt>
                <c:pt idx="3">
                  <c:v>2.9999999999999997E-4</c:v>
                </c:pt>
                <c:pt idx="4">
                  <c:v>0</c:v>
                </c:pt>
                <c:pt idx="5">
                  <c:v>0</c:v>
                </c:pt>
                <c:pt idx="6">
                  <c:v>0</c:v>
                </c:pt>
                <c:pt idx="7">
                  <c:v>2.3E-3</c:v>
                </c:pt>
                <c:pt idx="8">
                  <c:v>4.4999999999999997E-3</c:v>
                </c:pt>
                <c:pt idx="9">
                  <c:v>9.3000000000000005E-4</c:v>
                </c:pt>
                <c:pt idx="10">
                  <c:v>4.0000000000000002E-4</c:v>
                </c:pt>
              </c:numCache>
            </c:numRef>
          </c:val>
          <c:smooth val="0"/>
          <c:extLst>
            <c:ext xmlns:c16="http://schemas.microsoft.com/office/drawing/2014/chart" uri="{C3380CC4-5D6E-409C-BE32-E72D297353CC}">
              <c16:uniqueId val="{00000000-1F8D-4C1E-B52D-93E68D69B174}"/>
            </c:ext>
          </c:extLst>
        </c:ser>
        <c:dLbls>
          <c:showLegendKey val="0"/>
          <c:showVal val="0"/>
          <c:showCatName val="0"/>
          <c:showSerName val="0"/>
          <c:showPercent val="0"/>
          <c:showBubbleSize val="0"/>
        </c:dLbls>
        <c:marker val="1"/>
        <c:smooth val="0"/>
        <c:axId val="458713672"/>
        <c:axId val="458714064"/>
      </c:lineChart>
      <c:lineChart>
        <c:grouping val="standard"/>
        <c:varyColors val="0"/>
        <c:ser>
          <c:idx val="1"/>
          <c:order val="1"/>
          <c:tx>
            <c:strRef>
              <c:f>округа!$F$11</c:f>
              <c:strCache>
                <c:ptCount val="1"/>
                <c:pt idx="0">
                  <c:v>Бюджетная поддержка на 1 чел, руб </c:v>
                </c:pt>
              </c:strCache>
            </c:strRef>
          </c:tx>
          <c:spPr>
            <a:ln w="28575" cap="rnd">
              <a:solidFill>
                <a:schemeClr val="accent2"/>
              </a:solidFill>
              <a:round/>
            </a:ln>
            <a:effectLst/>
          </c:spPr>
          <c:marker>
            <c:symbol val="none"/>
          </c:marker>
          <c:cat>
            <c:strRef>
              <c:f>округа!$D$12:$D$22</c:f>
              <c:strCache>
                <c:ptCount val="11"/>
                <c:pt idx="0">
                  <c:v>Амурская область (1)</c:v>
                </c:pt>
                <c:pt idx="1">
                  <c:v>Бурятия, республика (1)</c:v>
                </c:pt>
                <c:pt idx="2">
                  <c:v>Еврейская АО (0)</c:v>
                </c:pt>
                <c:pt idx="3">
                  <c:v>Забайкальский край (1)</c:v>
                </c:pt>
                <c:pt idx="4">
                  <c:v>Камчатский край (0)</c:v>
                </c:pt>
                <c:pt idx="5">
                  <c:v>Магаданская область (0)</c:v>
                </c:pt>
                <c:pt idx="6">
                  <c:v>Приморский край (0)</c:v>
                </c:pt>
                <c:pt idx="7">
                  <c:v>Саха (Якутия) республика (1)</c:v>
                </c:pt>
                <c:pt idx="8">
                  <c:v>Сахалинская область (3)</c:v>
                </c:pt>
                <c:pt idx="9">
                  <c:v>Хабаровский край (2)</c:v>
                </c:pt>
                <c:pt idx="10">
                  <c:v>Чукотский АО (1)</c:v>
                </c:pt>
              </c:strCache>
            </c:strRef>
          </c:cat>
          <c:val>
            <c:numRef>
              <c:f>округа!$F$12:$F$22</c:f>
              <c:numCache>
                <c:formatCode>0.00</c:formatCode>
                <c:ptCount val="11"/>
                <c:pt idx="0">
                  <c:v>90.1</c:v>
                </c:pt>
                <c:pt idx="1">
                  <c:v>60.94</c:v>
                </c:pt>
                <c:pt idx="2">
                  <c:v>0</c:v>
                </c:pt>
                <c:pt idx="3">
                  <c:v>23.65</c:v>
                </c:pt>
                <c:pt idx="4">
                  <c:v>0</c:v>
                </c:pt>
                <c:pt idx="5">
                  <c:v>0</c:v>
                </c:pt>
                <c:pt idx="6">
                  <c:v>0</c:v>
                </c:pt>
                <c:pt idx="7">
                  <c:v>515.16</c:v>
                </c:pt>
                <c:pt idx="8">
                  <c:v>1666.23</c:v>
                </c:pt>
                <c:pt idx="9">
                  <c:v>91.08</c:v>
                </c:pt>
                <c:pt idx="10">
                  <c:v>426.84</c:v>
                </c:pt>
              </c:numCache>
            </c:numRef>
          </c:val>
          <c:smooth val="0"/>
          <c:extLst>
            <c:ext xmlns:c16="http://schemas.microsoft.com/office/drawing/2014/chart" uri="{C3380CC4-5D6E-409C-BE32-E72D297353CC}">
              <c16:uniqueId val="{00000001-1F8D-4C1E-B52D-93E68D69B174}"/>
            </c:ext>
          </c:extLst>
        </c:ser>
        <c:dLbls>
          <c:showLegendKey val="0"/>
          <c:showVal val="0"/>
          <c:showCatName val="0"/>
          <c:showSerName val="0"/>
          <c:showPercent val="0"/>
          <c:showBubbleSize val="0"/>
        </c:dLbls>
        <c:marker val="1"/>
        <c:smooth val="0"/>
        <c:axId val="457963872"/>
        <c:axId val="458714848"/>
      </c:lineChart>
      <c:catAx>
        <c:axId val="458713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58714064"/>
        <c:crosses val="autoZero"/>
        <c:auto val="1"/>
        <c:lblAlgn val="ctr"/>
        <c:lblOffset val="100"/>
        <c:noMultiLvlLbl val="0"/>
      </c:catAx>
      <c:valAx>
        <c:axId val="4587140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58713672"/>
        <c:crosses val="autoZero"/>
        <c:crossBetween val="between"/>
      </c:valAx>
      <c:valAx>
        <c:axId val="45871484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57963872"/>
        <c:crosses val="max"/>
        <c:crossBetween val="between"/>
      </c:valAx>
      <c:catAx>
        <c:axId val="457963872"/>
        <c:scaling>
          <c:orientation val="minMax"/>
        </c:scaling>
        <c:delete val="1"/>
        <c:axPos val="b"/>
        <c:numFmt formatCode="General" sourceLinked="1"/>
        <c:majorTickMark val="out"/>
        <c:minorTickMark val="none"/>
        <c:tickLblPos val="nextTo"/>
        <c:crossAx val="458714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ПФО</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1"/>
          <c:tx>
            <c:strRef>
              <c:f>округа!$F$24</c:f>
              <c:strCache>
                <c:ptCount val="1"/>
                <c:pt idx="0">
                  <c:v>Бюджетная поддержка на 1 чел, руб </c:v>
                </c:pt>
              </c:strCache>
            </c:strRef>
          </c:tx>
          <c:spPr>
            <a:ln w="28575" cap="rnd">
              <a:solidFill>
                <a:schemeClr val="accent2"/>
              </a:solidFill>
              <a:round/>
            </a:ln>
            <a:effectLst/>
          </c:spPr>
          <c:marker>
            <c:symbol val="none"/>
          </c:marker>
          <c:cat>
            <c:strRef>
              <c:f>округа!$D$25:$D$38</c:f>
              <c:strCache>
                <c:ptCount val="14"/>
                <c:pt idx="0">
                  <c:v>Башкортостан, республика (4)</c:v>
                </c:pt>
                <c:pt idx="1">
                  <c:v>Кировская область (3)</c:v>
                </c:pt>
                <c:pt idx="2">
                  <c:v>Мари-Эл республика (1)</c:v>
                </c:pt>
                <c:pt idx="3">
                  <c:v>Мордовия, республика (0)</c:v>
                </c:pt>
                <c:pt idx="4">
                  <c:v>Нижегородская область (1)</c:v>
                </c:pt>
                <c:pt idx="5">
                  <c:v>Оренбургская область (1)</c:v>
                </c:pt>
                <c:pt idx="6">
                  <c:v>Пензенская область (1)</c:v>
                </c:pt>
                <c:pt idx="7">
                  <c:v>Пермский край (1) </c:v>
                </c:pt>
                <c:pt idx="8">
                  <c:v>Самарская область (1)</c:v>
                </c:pt>
                <c:pt idx="9">
                  <c:v>Саратовская область (1)</c:v>
                </c:pt>
                <c:pt idx="10">
                  <c:v>Татарстан, респ. (3)</c:v>
                </c:pt>
                <c:pt idx="11">
                  <c:v>Удмуртия республика (1)</c:v>
                </c:pt>
                <c:pt idx="12">
                  <c:v>Ульяновская область (1)</c:v>
                </c:pt>
                <c:pt idx="13">
                  <c:v>Чувашская республика (1)</c:v>
                </c:pt>
              </c:strCache>
            </c:strRef>
          </c:cat>
          <c:val>
            <c:numRef>
              <c:f>округа!$F$25:$F$38</c:f>
              <c:numCache>
                <c:formatCode>0.00</c:formatCode>
                <c:ptCount val="14"/>
                <c:pt idx="0">
                  <c:v>667.38</c:v>
                </c:pt>
                <c:pt idx="1">
                  <c:v>204.84</c:v>
                </c:pt>
                <c:pt idx="2">
                  <c:v>32.04</c:v>
                </c:pt>
                <c:pt idx="3">
                  <c:v>0</c:v>
                </c:pt>
                <c:pt idx="4">
                  <c:v>113.47</c:v>
                </c:pt>
                <c:pt idx="5">
                  <c:v>35.72</c:v>
                </c:pt>
                <c:pt idx="6">
                  <c:v>3.13</c:v>
                </c:pt>
                <c:pt idx="7">
                  <c:v>44.43</c:v>
                </c:pt>
                <c:pt idx="8">
                  <c:v>51.9</c:v>
                </c:pt>
                <c:pt idx="9">
                  <c:v>31.25</c:v>
                </c:pt>
                <c:pt idx="10">
                  <c:v>272.13</c:v>
                </c:pt>
                <c:pt idx="11">
                  <c:v>32.340000000000003</c:v>
                </c:pt>
                <c:pt idx="12">
                  <c:v>91.56</c:v>
                </c:pt>
                <c:pt idx="13">
                  <c:v>215.89</c:v>
                </c:pt>
              </c:numCache>
            </c:numRef>
          </c:val>
          <c:smooth val="0"/>
          <c:extLst>
            <c:ext xmlns:c16="http://schemas.microsoft.com/office/drawing/2014/chart" uri="{C3380CC4-5D6E-409C-BE32-E72D297353CC}">
              <c16:uniqueId val="{00000001-4624-4E35-A2D7-762282317C8F}"/>
            </c:ext>
          </c:extLst>
        </c:ser>
        <c:dLbls>
          <c:showLegendKey val="0"/>
          <c:showVal val="0"/>
          <c:showCatName val="0"/>
          <c:showSerName val="0"/>
          <c:showPercent val="0"/>
          <c:showBubbleSize val="0"/>
        </c:dLbls>
        <c:marker val="1"/>
        <c:smooth val="0"/>
        <c:axId val="457961912"/>
        <c:axId val="457959168"/>
      </c:lineChart>
      <c:lineChart>
        <c:grouping val="standard"/>
        <c:varyColors val="0"/>
        <c:ser>
          <c:idx val="0"/>
          <c:order val="0"/>
          <c:tx>
            <c:strRef>
              <c:f>округа!$E$24</c:f>
              <c:strCache>
                <c:ptCount val="1"/>
                <c:pt idx="0">
                  <c:v>Доля бюджетных средств на ИБ в бюджете субъекта</c:v>
                </c:pt>
              </c:strCache>
            </c:strRef>
          </c:tx>
          <c:spPr>
            <a:ln w="28575" cap="rnd">
              <a:solidFill>
                <a:schemeClr val="accent1"/>
              </a:solidFill>
              <a:round/>
            </a:ln>
            <a:effectLst/>
          </c:spPr>
          <c:marker>
            <c:symbol val="none"/>
          </c:marker>
          <c:cat>
            <c:strRef>
              <c:f>округа!$D$25:$D$38</c:f>
              <c:strCache>
                <c:ptCount val="14"/>
                <c:pt idx="0">
                  <c:v>Башкортостан, республика (4)</c:v>
                </c:pt>
                <c:pt idx="1">
                  <c:v>Кировская область (3)</c:v>
                </c:pt>
                <c:pt idx="2">
                  <c:v>Мари-Эл республика (1)</c:v>
                </c:pt>
                <c:pt idx="3">
                  <c:v>Мордовия, республика (0)</c:v>
                </c:pt>
                <c:pt idx="4">
                  <c:v>Нижегородская область (1)</c:v>
                </c:pt>
                <c:pt idx="5">
                  <c:v>Оренбургская область (1)</c:v>
                </c:pt>
                <c:pt idx="6">
                  <c:v>Пензенская область (1)</c:v>
                </c:pt>
                <c:pt idx="7">
                  <c:v>Пермский край (1) </c:v>
                </c:pt>
                <c:pt idx="8">
                  <c:v>Самарская область (1)</c:v>
                </c:pt>
                <c:pt idx="9">
                  <c:v>Саратовская область (1)</c:v>
                </c:pt>
                <c:pt idx="10">
                  <c:v>Татарстан, респ. (3)</c:v>
                </c:pt>
                <c:pt idx="11">
                  <c:v>Удмуртия республика (1)</c:v>
                </c:pt>
                <c:pt idx="12">
                  <c:v>Ульяновская область (1)</c:v>
                </c:pt>
                <c:pt idx="13">
                  <c:v>Чувашская республика (1)</c:v>
                </c:pt>
              </c:strCache>
            </c:strRef>
          </c:cat>
          <c:val>
            <c:numRef>
              <c:f>округа!$E$25:$E$38</c:f>
              <c:numCache>
                <c:formatCode>0.00%</c:formatCode>
                <c:ptCount val="14"/>
                <c:pt idx="0">
                  <c:v>1.2500000000000001E-2</c:v>
                </c:pt>
                <c:pt idx="1">
                  <c:v>4.4000000000000003E-3</c:v>
                </c:pt>
                <c:pt idx="2">
                  <c:v>6.9999999999999999E-4</c:v>
                </c:pt>
                <c:pt idx="3">
                  <c:v>0</c:v>
                </c:pt>
                <c:pt idx="4">
                  <c:v>1.8709589236779644E-3</c:v>
                </c:pt>
                <c:pt idx="5">
                  <c:v>6.9999999999999999E-4</c:v>
                </c:pt>
                <c:pt idx="6">
                  <c:v>1E-4</c:v>
                </c:pt>
                <c:pt idx="7">
                  <c:v>9.1751418188019713E-4</c:v>
                </c:pt>
                <c:pt idx="8">
                  <c:v>8.9999999999999998E-4</c:v>
                </c:pt>
                <c:pt idx="9">
                  <c:v>7.2900000000000005E-4</c:v>
                </c:pt>
                <c:pt idx="10">
                  <c:v>3.8500000000000001E-3</c:v>
                </c:pt>
                <c:pt idx="11">
                  <c:v>5.5999999999999995E-4</c:v>
                </c:pt>
                <c:pt idx="12">
                  <c:v>1.8E-3</c:v>
                </c:pt>
                <c:pt idx="13">
                  <c:v>4.5841460080453386E-3</c:v>
                </c:pt>
              </c:numCache>
            </c:numRef>
          </c:val>
          <c:smooth val="0"/>
          <c:extLst>
            <c:ext xmlns:c16="http://schemas.microsoft.com/office/drawing/2014/chart" uri="{C3380CC4-5D6E-409C-BE32-E72D297353CC}">
              <c16:uniqueId val="{00000000-4624-4E35-A2D7-762282317C8F}"/>
            </c:ext>
          </c:extLst>
        </c:ser>
        <c:dLbls>
          <c:showLegendKey val="0"/>
          <c:showVal val="0"/>
          <c:showCatName val="0"/>
          <c:showSerName val="0"/>
          <c:showPercent val="0"/>
          <c:showBubbleSize val="0"/>
        </c:dLbls>
        <c:marker val="1"/>
        <c:smooth val="0"/>
        <c:axId val="457956816"/>
        <c:axId val="457962304"/>
      </c:lineChart>
      <c:catAx>
        <c:axId val="457961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57959168"/>
        <c:crosses val="autoZero"/>
        <c:auto val="1"/>
        <c:lblAlgn val="ctr"/>
        <c:lblOffset val="100"/>
        <c:noMultiLvlLbl val="0"/>
      </c:catAx>
      <c:valAx>
        <c:axId val="4579591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57961912"/>
        <c:crosses val="autoZero"/>
        <c:crossBetween val="between"/>
      </c:valAx>
      <c:valAx>
        <c:axId val="45796230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57956816"/>
        <c:crosses val="max"/>
        <c:crossBetween val="between"/>
      </c:valAx>
      <c:catAx>
        <c:axId val="457956816"/>
        <c:scaling>
          <c:orientation val="minMax"/>
        </c:scaling>
        <c:delete val="1"/>
        <c:axPos val="b"/>
        <c:numFmt formatCode="General" sourceLinked="1"/>
        <c:majorTickMark val="out"/>
        <c:minorTickMark val="none"/>
        <c:tickLblPos val="nextTo"/>
        <c:crossAx val="4579623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1011464</xdr:colOff>
      <xdr:row>45</xdr:row>
      <xdr:rowOff>143330</xdr:rowOff>
    </xdr:from>
    <xdr:to>
      <xdr:col>21</xdr:col>
      <xdr:colOff>126999</xdr:colOff>
      <xdr:row>72</xdr:row>
      <xdr:rowOff>172357</xdr:rowOff>
    </xdr:to>
    <xdr:graphicFrame macro="">
      <xdr:nvGraphicFramePr>
        <xdr:cNvPr id="7" name="Диаграмма 6">
          <a:extLst>
            <a:ext uri="{FF2B5EF4-FFF2-40B4-BE49-F238E27FC236}">
              <a16:creationId xmlns:a16="http://schemas.microsoft.com/office/drawing/2014/main" id="{4FF4CFA9-1451-4BAB-BEE9-FC078F4893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167822</xdr:colOff>
      <xdr:row>0</xdr:row>
      <xdr:rowOff>0</xdr:rowOff>
    </xdr:from>
    <xdr:to>
      <xdr:col>20</xdr:col>
      <xdr:colOff>571499</xdr:colOff>
      <xdr:row>19</xdr:row>
      <xdr:rowOff>81642</xdr:rowOff>
    </xdr:to>
    <xdr:graphicFrame macro="">
      <xdr:nvGraphicFramePr>
        <xdr:cNvPr id="2" name="Диаграмма 1">
          <a:extLst>
            <a:ext uri="{FF2B5EF4-FFF2-40B4-BE49-F238E27FC236}">
              <a16:creationId xmlns:a16="http://schemas.microsoft.com/office/drawing/2014/main" id="{38F584B6-AD5A-4E15-81B4-CC35E436F4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45359</xdr:colOff>
      <xdr:row>23</xdr:row>
      <xdr:rowOff>9070</xdr:rowOff>
    </xdr:from>
    <xdr:to>
      <xdr:col>20</xdr:col>
      <xdr:colOff>371929</xdr:colOff>
      <xdr:row>40</xdr:row>
      <xdr:rowOff>163284</xdr:rowOff>
    </xdr:to>
    <xdr:graphicFrame macro="">
      <xdr:nvGraphicFramePr>
        <xdr:cNvPr id="3" name="Диаграмма 2">
          <a:extLst>
            <a:ext uri="{FF2B5EF4-FFF2-40B4-BE49-F238E27FC236}">
              <a16:creationId xmlns:a16="http://schemas.microsoft.com/office/drawing/2014/main" id="{1E183E5A-2C34-413A-B84D-C585C6E6D9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045;&#1083;&#1077;&#1085;&#1072;/Downloads/&#1040;&#1085;&#1082;&#1077;&#1090;&#1072;%20&#1086;&#1090;%20&#1044;&#1077;&#1087;&#1072;&#1088;&#1090;&#1072;&#1084;&#1077;&#1085;&#1090;&#1072;%20&#1092;&#1080;&#1085;&#1072;&#1085;&#1089;&#1086;&#107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ловарь"/>
      <sheetName val="муниципальная практика"/>
      <sheetName val="участие в региональной практике"/>
    </sheetNames>
    <sheetDataSet>
      <sheetData sheetId="0" refreshError="1"/>
      <sheetData sheetId="1" refreshError="1">
        <row r="13">
          <cell r="F13" t="str">
            <v>https://екатеринбург.рф/официально/документы/постановления/п_2018/23803</v>
          </cell>
        </row>
      </sheetData>
      <sheetData sheetId="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https://akstat.gks.ru/folder/33349" TargetMode="External"/><Relationship Id="rId170" Type="http://schemas.openxmlformats.org/officeDocument/2006/relationships/hyperlink" Target="http://docs.cntd.ru/document/460267690" TargetMode="External"/><Relationship Id="rId268" Type="http://schemas.openxmlformats.org/officeDocument/2006/relationships/hyperlink" Target="http://adm.rkursk.ru/" TargetMode="External"/><Relationship Id="rId475" Type="http://schemas.openxmlformats.org/officeDocument/2006/relationships/hyperlink" Target="http://fintotsk.ru/file/download/224" TargetMode="External"/><Relationship Id="rId682" Type="http://schemas.openxmlformats.org/officeDocument/2006/relationships/hyperlink" Target="https://ok.ru/barysh.org/topic/70393281820014" TargetMode="External"/><Relationship Id="rId128" Type="http://schemas.openxmlformats.org/officeDocument/2006/relationships/hyperlink" Target="mailto:reformirdsh@mail.ru" TargetMode="External"/><Relationship Id="rId335" Type="http://schemas.openxmlformats.org/officeDocument/2006/relationships/hyperlink" Target="http://ppmi.sakha.gov.ru/Home" TargetMode="External"/><Relationship Id="rId542" Type="http://schemas.openxmlformats.org/officeDocument/2006/relationships/hyperlink" Target="http://www.pohgor.ru/sociosfera/prestige-pricing/image-projects_15.html" TargetMode="External"/><Relationship Id="rId987" Type="http://schemas.openxmlformats.org/officeDocument/2006/relationships/hyperlink" Target="https://tasu.ru/ekonomika-i-finansy/initsiativnoe-byudzhetirovanie/zayavki-uchastnikov/" TargetMode="External"/><Relationship Id="rId402" Type="http://schemas.openxmlformats.org/officeDocument/2006/relationships/hyperlink" Target="mailto:uprvp@adm44.ru" TargetMode="External"/><Relationship Id="rId847" Type="http://schemas.openxmlformats.org/officeDocument/2006/relationships/hyperlink" Target="http://admlangepas.ru/open-budget/proactive-budgeting/" TargetMode="External"/><Relationship Id="rId1032" Type="http://schemas.openxmlformats.org/officeDocument/2006/relationships/hyperlink" Target="mailto:nar_rfo@mail.ru" TargetMode="External"/><Relationship Id="rId707" Type="http://schemas.openxmlformats.org/officeDocument/2006/relationships/hyperlink" Target="http://karsunmo.ru/normdocnarbudget.html" TargetMode="External"/><Relationship Id="rId914" Type="http://schemas.openxmlformats.org/officeDocument/2006/relationships/hyperlink" Target="http://budget.depfinnbr.ru/initsiativnoe-byudzhetirovanie/proekt-ritm" TargetMode="External"/><Relationship Id="rId43" Type="http://schemas.openxmlformats.org/officeDocument/2006/relationships/hyperlink" Target="https://vk.com/btv29" TargetMode="External"/><Relationship Id="rId192" Type="http://schemas.openxmlformats.org/officeDocument/2006/relationships/hyperlink" Target="https://krl.gks.ru/folder/31905" TargetMode="External"/><Relationship Id="rId497" Type="http://schemas.openxmlformats.org/officeDocument/2006/relationships/hyperlink" Target="https://vmeste-region.ru/news/440" TargetMode="External"/><Relationship Id="rId357" Type="http://schemas.openxmlformats.org/officeDocument/2006/relationships/hyperlink" Target="http://dsh.kurganobl.ru/3930.html" TargetMode="External"/><Relationship Id="rId217" Type="http://schemas.openxmlformats.org/officeDocument/2006/relationships/hyperlink" Target="http://kalugastat.old.gks.ru/wps/wcm/connect/rosstat_ts/kalugastat/ru/statistics/population/" TargetMode="External"/><Relationship Id="rId564" Type="http://schemas.openxmlformats.org/officeDocument/2006/relationships/hyperlink" Target="http://vlfin.ru/nashi-stati/lichnye-finansy/zdes-moya-kopeechka-vot-nasha-skameechka-initsiativnoe-byudzhetirovanie-prineslo-oshchutimye-plody/?sphrase_id=7835;" TargetMode="External"/><Relationship Id="rId771" Type="http://schemas.openxmlformats.org/officeDocument/2006/relationships/hyperlink" Target="http://admbelgor.ru/gorod/bud/?ELEMENT_ID=64159" TargetMode="External"/><Relationship Id="rId869" Type="http://schemas.openxmlformats.org/officeDocument/2006/relationships/hyperlink" Target="https://adm.gov86.org/399/416/2121/2124/_p2_aview_b1176" TargetMode="External"/><Relationship Id="rId424" Type="http://schemas.openxmlformats.org/officeDocument/2006/relationships/hyperlink" Target="mailto:oof@adm.orel.ru" TargetMode="External"/><Relationship Id="rId631" Type="http://schemas.openxmlformats.org/officeDocument/2006/relationships/hyperlink" Target="http://npatula.ru/storage/files/132969520-132986687.pdf" TargetMode="External"/><Relationship Id="rId729" Type="http://schemas.openxmlformats.org/officeDocument/2006/relationships/hyperlink" Target="http://stkulatka.ulregion.ru/mz/marat/1933.html" TargetMode="External"/><Relationship Id="rId1054" Type="http://schemas.openxmlformats.org/officeDocument/2006/relationships/hyperlink" Target="http://www.adm-sarapul.ru/city/finansy/podderzhka-proektov-mestnykh-initsiativ/index.php" TargetMode="External"/><Relationship Id="rId936" Type="http://schemas.openxmlformats.org/officeDocument/2006/relationships/hyperlink" Target="mailto:kohanovich@yamalfin.ru" TargetMode="External"/><Relationship Id="rId65" Type="http://schemas.openxmlformats.org/officeDocument/2006/relationships/hyperlink" Target="https://vk.com/cigi_isi_rb" TargetMode="External"/><Relationship Id="rId130" Type="http://schemas.openxmlformats.org/officeDocument/2006/relationships/hyperlink" Target="https://avo.ru/web/dsx/ustojcivoe-razvitie-sel-skih-territorij" TargetMode="External"/><Relationship Id="rId368" Type="http://schemas.openxmlformats.org/officeDocument/2006/relationships/hyperlink" Target="http://kirovstat.old.gks.ru/wps/wcm/connect/rosstat_ts/kirovstat/resources/551499004d0ea8fc9022bbc5b34c73c1/&#1054;&#1094;&#1077;&#1085;&#1082;&#1072;+&#1095;&#1080;&#1089;&#1083;&#1077;&#1085;&#1085;&#1086;&#1089;&#1090;&#1080;.htm" TargetMode="External"/><Relationship Id="rId575" Type="http://schemas.openxmlformats.org/officeDocument/2006/relationships/hyperlink" Target="http://pravo.tatarstan.ru/rus/npa_kabmin/post?npa_id=283319" TargetMode="External"/><Relationship Id="rId782" Type="http://schemas.openxmlformats.org/officeDocument/2006/relationships/hyperlink" Target="http://berezovo.ru/regulatory/77344/?sphrase_id=91281" TargetMode="External"/><Relationship Id="rId228" Type="http://schemas.openxmlformats.org/officeDocument/2006/relationships/hyperlink" Target="https://drive.google.com/drive/folders/1PHF-XbBxESkQqGv8lDNKoAg6CSNRTRe3" TargetMode="External"/><Relationship Id="rId435" Type="http://schemas.openxmlformats.org/officeDocument/2006/relationships/hyperlink" Target="mailto:onkopytova@minter.permkrai.ru" TargetMode="External"/><Relationship Id="rId642" Type="http://schemas.openxmlformats.org/officeDocument/2006/relationships/hyperlink" Target="http://www.cap.ru/doc/laws/2019/06/03/ruling_338278" TargetMode="External"/><Relationship Id="rId1065" Type="http://schemas.openxmlformats.org/officeDocument/2006/relationships/hyperlink" Target="https://minter.ryazangov.ru/activities/direction/podderzhka-mestnykh-initsiativ/" TargetMode="External"/><Relationship Id="rId281" Type="http://schemas.openxmlformats.org/officeDocument/2006/relationships/hyperlink" Target="http://mfnso.nso.ru/page/2626" TargetMode="External"/><Relationship Id="rId502" Type="http://schemas.openxmlformats.org/officeDocument/2006/relationships/hyperlink" Target="https://www.kuibsamara.ru/allfiles/201809/Protokol_zasedaniya_komissii_TKD(1651-30C2W).pdf" TargetMode="External"/><Relationship Id="rId947" Type="http://schemas.openxmlformats.org/officeDocument/2006/relationships/hyperlink" Target="https://vk.com/id497767521?w=wall497767521_147%2Fall" TargetMode="External"/><Relationship Id="rId76" Type="http://schemas.openxmlformats.org/officeDocument/2006/relationships/hyperlink" Target="mailto:Yunusova.lr@bashkortostan.ru" TargetMode="External"/><Relationship Id="rId141" Type="http://schemas.openxmlformats.org/officeDocument/2006/relationships/hyperlink" Target="http://pravo.govvrn.ru/" TargetMode="External"/><Relationship Id="rId379" Type="http://schemas.openxmlformats.org/officeDocument/2006/relationships/hyperlink" Target="https://pib.sakhminfin.ru/vote" TargetMode="External"/><Relationship Id="rId586" Type="http://schemas.openxmlformats.org/officeDocument/2006/relationships/hyperlink" Target="https://www.tambov.gov.ru/gmspk/urt.html" TargetMode="External"/><Relationship Id="rId793" Type="http://schemas.openxmlformats.org/officeDocument/2006/relationships/hyperlink" Target="http://www.admkonda.ru/narodnyy-byudzhet-gp-kondinskoe.html" TargetMode="External"/><Relationship Id="rId807" Type="http://schemas.openxmlformats.org/officeDocument/2006/relationships/hyperlink" Target="http://www.lugovoikonda.ru/normativnye-akty1.html" TargetMode="External"/><Relationship Id="rId7" Type="http://schemas.openxmlformats.org/officeDocument/2006/relationships/hyperlink" Target="https://minregion-ra.ru/wp-content/uploads/2018/03/%D0%9F%D0%BE%D1%81%D1%82%D0%B0%D0%BD%D0%BE%D0%B2%D0%BB%D0%B5%D0%BD%D0%B8%D0%B5-%E2%84%96-25-%D0%BE%D1%82-31.01.2018.pdf" TargetMode="External"/><Relationship Id="rId239" Type="http://schemas.openxmlformats.org/officeDocument/2006/relationships/hyperlink" Target="https://&#1094;&#1084;&#1087;&#1080;.&#1088;&#1092;/" TargetMode="External"/><Relationship Id="rId446" Type="http://schemas.openxmlformats.org/officeDocument/2006/relationships/hyperlink" Target="http://www.sorochinsk56.ru/index.php?id=1041" TargetMode="External"/><Relationship Id="rId653" Type="http://schemas.openxmlformats.org/officeDocument/2006/relationships/hyperlink" Target="https://minstroy.49gov.ru/common/upload/25/editor/file/Gorsreda_brandbook_new.pdf" TargetMode="External"/><Relationship Id="rId1076" Type="http://schemas.openxmlformats.org/officeDocument/2006/relationships/printerSettings" Target="../printerSettings/printerSettings1.bin"/><Relationship Id="rId292" Type="http://schemas.openxmlformats.org/officeDocument/2006/relationships/hyperlink" Target="http://msu.lenobl.ru/programmy-i-plany/docs/" TargetMode="External"/><Relationship Id="rId306" Type="http://schemas.openxmlformats.org/officeDocument/2006/relationships/hyperlink" Target="http://docs.cntd.ru/document/450230428" TargetMode="External"/><Relationship Id="rId860" Type="http://schemas.openxmlformats.org/officeDocument/2006/relationships/hyperlink" Target="http://&#1075;&#1086;&#1088;&#1086;&#1076;&#1072;-&#1088;&#1086;&#1089;&#1089;&#1080;&#1103;.&#1088;&#1092;/sity_id.php?id=72" TargetMode="External"/><Relationship Id="rId958" Type="http://schemas.openxmlformats.org/officeDocument/2006/relationships/hyperlink" Target="http://&#1087;&#1088;&#1080;&#1091;&#1088;&#1072;&#1083;&#1100;&#1089;&#1082;&#1080;&#1081;&#1088;&#1072;&#1081;&#1086;&#1085;.&#1088;&#1092;/economy/initsiativnoe-byudzhetirovanie/" TargetMode="External"/><Relationship Id="rId87" Type="http://schemas.openxmlformats.org/officeDocument/2006/relationships/hyperlink" Target="https://ilesh.bashkortostan.ru/documents/active/226376/" TargetMode="External"/><Relationship Id="rId513" Type="http://schemas.openxmlformats.org/officeDocument/2006/relationships/hyperlink" Target="https://gks.ru/dbscripts/munst/munst36/DBInet.cgi" TargetMode="External"/><Relationship Id="rId597" Type="http://schemas.openxmlformats.org/officeDocument/2006/relationships/hyperlink" Target="http://reshaem.vmeste76.ru/" TargetMode="External"/><Relationship Id="rId720" Type="http://schemas.openxmlformats.org/officeDocument/2006/relationships/hyperlink" Target="http://pavlovka.ulregion.ru/narodni_budjet/7250/" TargetMode="External"/><Relationship Id="rId818" Type="http://schemas.openxmlformats.org/officeDocument/2006/relationships/hyperlink" Target="mailto:admmul86@yandex.ru" TargetMode="External"/><Relationship Id="rId152" Type="http://schemas.openxmlformats.org/officeDocument/2006/relationships/hyperlink" Target="http://docs.cntd.ru/document/412308423" TargetMode="External"/><Relationship Id="rId457" Type="http://schemas.openxmlformats.org/officeDocument/2006/relationships/hyperlink" Target="mailto:fin-otdel@esoo.ru" TargetMode="External"/><Relationship Id="rId1003" Type="http://schemas.openxmlformats.org/officeDocument/2006/relationships/hyperlink" Target="mailto:kohanovich@yamalfin.ru" TargetMode="External"/><Relationship Id="rId664" Type="http://schemas.openxmlformats.org/officeDocument/2006/relationships/hyperlink" Target="mailto:Kulakova_MaV@mf.udmr.ru" TargetMode="External"/><Relationship Id="rId871" Type="http://schemas.openxmlformats.org/officeDocument/2006/relationships/hyperlink" Target="https://adm.gov86.org/436/2925/2964/2975/" TargetMode="External"/><Relationship Id="rId969" Type="http://schemas.openxmlformats.org/officeDocument/2006/relationships/hyperlink" Target="http://www.admiharp.ru/" TargetMode="External"/><Relationship Id="rId14" Type="http://schemas.openxmlformats.org/officeDocument/2006/relationships/hyperlink" Target="https://minregion-ra.ru/wp-content/uploads/2018/03/%D0%9F%D0%BE%D1%81%D1%82%D0%B0%D0%BD%D0%BE%D0%B2%D0%BB%D0%B5%D0%BD%D0%B8%D0%B5-%E2%84%96-25-%D0%BE%D1%82-31.01.2018.pdf" TargetMode="External"/><Relationship Id="rId317" Type="http://schemas.openxmlformats.org/officeDocument/2006/relationships/hyperlink" Target="mailto:mf-fea@minfin.mari.ru" TargetMode="External"/><Relationship Id="rId524" Type="http://schemas.openxmlformats.org/officeDocument/2006/relationships/hyperlink" Target="https://samadm.ru/upload/iblock/5e6/Informatsionnoe-soobshchenie.pdf" TargetMode="External"/><Relationship Id="rId731" Type="http://schemas.openxmlformats.org/officeDocument/2006/relationships/hyperlink" Target="http://www.terenga.ru/node/10496" TargetMode="External"/><Relationship Id="rId98" Type="http://schemas.openxmlformats.org/officeDocument/2006/relationships/hyperlink" Target="mailto:Yunusova.lr@bashkortostan.ru" TargetMode="External"/><Relationship Id="rId163" Type="http://schemas.openxmlformats.org/officeDocument/2006/relationships/hyperlink" Target="https://vologdastat.gks.ru/storage/mediabank/-%D0%9E%D1%86%D0%B5%D0%BD%D0%BA%D0%B0%20%D1%87%D0%B8%D1%81%D0%BB%D0%B5%D0%BD%D0%BD%D0%BE%D1%81%D1%82%D0%B8%20(%D1%80%D0%B0%D0%B9%D0%BE%D0%BD%D1%8B%20%D0%B8%20%D0%93%D0%9E).htm" TargetMode="External"/><Relationship Id="rId370" Type="http://schemas.openxmlformats.org/officeDocument/2006/relationships/hyperlink" Target="http://publication.pravo.gov.ru/Document/View/4800201904040004?index=0&amp;rangeSize=1" TargetMode="External"/><Relationship Id="rId829" Type="http://schemas.openxmlformats.org/officeDocument/2006/relationships/hyperlink" Target="https://www.gks.ru/scripts/db_inet2/passport/table.aspx?opt=718164082019" TargetMode="External"/><Relationship Id="rId1014" Type="http://schemas.openxmlformats.org/officeDocument/2006/relationships/hyperlink" Target="http://www.hanimey.ru/tinybrowser/files/budgetnaya-iniciativa/protokol_zasedaniya_komissii_ot_11_aprelya_compressed.pdf" TargetMode="External"/><Relationship Id="rId230" Type="http://schemas.openxmlformats.org/officeDocument/2006/relationships/hyperlink" Target="mailto:k312@krasfin.ru" TargetMode="External"/><Relationship Id="rId468" Type="http://schemas.openxmlformats.org/officeDocument/2006/relationships/hyperlink" Target="http://fin-or.ru/ckfinder/userfiles/files/PostNarBUD.pdf" TargetMode="External"/><Relationship Id="rId675" Type="http://schemas.openxmlformats.org/officeDocument/2006/relationships/hyperlink" Target="https://vk.com/mozhraion" TargetMode="External"/><Relationship Id="rId882" Type="http://schemas.openxmlformats.org/officeDocument/2006/relationships/hyperlink" Target="https://cloud.mail.ru/public/3Ypa/4uBRDJWX4/" TargetMode="External"/><Relationship Id="rId25" Type="http://schemas.openxmlformats.org/officeDocument/2006/relationships/hyperlink" Target="http://&#1072;&#1083;&#1090;&#1072;&#1081;&#1087;&#1088;&#1077;&#1076;&#1083;&#1072;&#1075;&#1072;&#1081;.&#1088;&#1092;/documents/normativnye-pravovye-akty/" TargetMode="External"/><Relationship Id="rId328" Type="http://schemas.openxmlformats.org/officeDocument/2006/relationships/hyperlink" Target="https://minfin.saratov.gov.ru/budget/proekty/proekt-po-podderzhke-mestnykh-initsiativ-v-saratovskoj-oblasti/o-proekte" TargetMode="External"/><Relationship Id="rId535" Type="http://schemas.openxmlformats.org/officeDocument/2006/relationships/hyperlink" Target="mailto:resursnyicentr-syzran@yandex.ru" TargetMode="External"/><Relationship Id="rId742" Type="http://schemas.openxmlformats.org/officeDocument/2006/relationships/hyperlink" Target="mailto:admfalova@mail.ru" TargetMode="External"/><Relationship Id="rId174" Type="http://schemas.openxmlformats.org/officeDocument/2006/relationships/hyperlink" Target="mailto:aad80@rambler.ru" TargetMode="External"/><Relationship Id="rId381" Type="http://schemas.openxmlformats.org/officeDocument/2006/relationships/hyperlink" Target="https://pib.sakhminfin.ru/" TargetMode="External"/><Relationship Id="rId602" Type="http://schemas.openxmlformats.org/officeDocument/2006/relationships/hyperlink" Target="http://ufo.ulntc.ru/index.php?mgf=ppmi" TargetMode="External"/><Relationship Id="rId1025" Type="http://schemas.openxmlformats.org/officeDocument/2006/relationships/hyperlink" Target="mailto:evn_adm@mail.ru" TargetMode="External"/><Relationship Id="rId241" Type="http://schemas.openxmlformats.org/officeDocument/2006/relationships/hyperlink" Target="http://docs.cntd.ru/document/553364140" TargetMode="External"/><Relationship Id="rId479" Type="http://schemas.openxmlformats.org/officeDocument/2006/relationships/hyperlink" Target="https://penza-gorod.ru/line_of_activity/public_self_government/konkurs-sotsialno-znachimykh-proektov-napravlennykh-na-razvitie-territorialnogo-obshchestvennogo-sam/2019-god/" TargetMode="External"/><Relationship Id="rId686" Type="http://schemas.openxmlformats.org/officeDocument/2006/relationships/hyperlink" Target="https://mo-veshkaima.ru/view_news.php?id=14236" TargetMode="External"/><Relationship Id="rId893" Type="http://schemas.openxmlformats.org/officeDocument/2006/relationships/hyperlink" Target="http://budget.magnitogorsk.ru/Menu/Presentation/110?ItemId=110" TargetMode="External"/><Relationship Id="rId907" Type="http://schemas.openxmlformats.org/officeDocument/2006/relationships/hyperlink" Target="mailto:GritsenkoSM@adm.lbt.yanao.ru" TargetMode="External"/><Relationship Id="rId36" Type="http://schemas.openxmlformats.org/officeDocument/2006/relationships/hyperlink" Target="https://vk.com/club82210903" TargetMode="External"/><Relationship Id="rId339" Type="http://schemas.openxmlformats.org/officeDocument/2006/relationships/hyperlink" Target="https://minfin.midural.ru/document/category/20" TargetMode="External"/><Relationship Id="rId546" Type="http://schemas.openxmlformats.org/officeDocument/2006/relationships/hyperlink" Target="mailto:pohgor@samtel.ru" TargetMode="External"/><Relationship Id="rId753" Type="http://schemas.openxmlformats.org/officeDocument/2006/relationships/hyperlink" Target="http://kuzovatovo.ulregion.ru/5906/5914/17247/17253/19345.html" TargetMode="External"/><Relationship Id="rId101" Type="http://schemas.openxmlformats.org/officeDocument/2006/relationships/hyperlink" Target="mailto:svod2@beldepfin.ru" TargetMode="External"/><Relationship Id="rId185" Type="http://schemas.openxmlformats.org/officeDocument/2006/relationships/hyperlink" Target="http://minfin.kirov.ru.opt-images.1c-bitrix-cdn.ru/upload/medialibrary/documents/2019_03/%D0%BD%D0%B1.png" TargetMode="External"/><Relationship Id="rId406" Type="http://schemas.openxmlformats.org/officeDocument/2006/relationships/hyperlink" Target="mailto:gorod@kfin.gov.spb.ru" TargetMode="External"/><Relationship Id="rId960" Type="http://schemas.openxmlformats.org/officeDocument/2006/relationships/hyperlink" Target="http://&#1087;&#1088;&#1080;&#1091;&#1088;&#1072;&#1083;&#1100;&#1089;&#1082;&#1080;&#1081;&#1088;&#1072;&#1081;&#1086;&#1085;.&#1088;&#1092;/economy/initsiativnoe-byudzhetirovanie/" TargetMode="External"/><Relationship Id="rId1036" Type="http://schemas.openxmlformats.org/officeDocument/2006/relationships/hyperlink" Target="http://www.sbor.ru/finance/bd/otkrbud/plan" TargetMode="External"/><Relationship Id="rId392" Type="http://schemas.openxmlformats.org/officeDocument/2006/relationships/hyperlink" Target="consultantplus://offline/ref=C1AFF30CF9F51AC2281A9C390E570C3C83C4D71A97692F9E5E14E786DF03A36D9CD8F8F0BD6DE4A4934BA80201A00920BD864AC89E28287C517C38FAB3EC3872TCH" TargetMode="External"/><Relationship Id="rId613" Type="http://schemas.openxmlformats.org/officeDocument/2006/relationships/hyperlink" Target="https://habstat.gks.ru/storage/mediabank/&#1055;&#1088;&#1077;&#1076;&#1074;&#1072;&#1088;&#1080;&#1090;&#1077;&#1083;&#1100;&#1085;&#1072;&#1103;%20&#1095;&#1080;&#1089;&#1083;&#1077;&#1085;&#1085;&#1086;&#1089;&#1090;&#1100;%20&#1085;&#1072;&#1089;&#1077;&#1083;&#1077;&#1085;&#1080;&#1103;%20&#1061;&#1072;&#1073;&#1072;&#1088;&#1086;&#1074;&#1089;&#1082;&#1086;&#1075;&#1086;%20&#1082;&#1088;&#1072;&#1103;%20&#1087;&#1086;%20&#1084;&#1091;&#1085;&#1080;&#1094;&#1080;&#1087;&#1072;&#1083;&#1100;&#1085;&#1099;&#1084;%20&#1086;&#1073;&#1088;&#1072;&#1079;&#1086;&#1074;&#1072;&#1085;&#1080;&#1103;&#1084;%20&#1085;&#1072;%201%20&#1103;&#1085;&#1074;&#1072;&#1088;&#1103;%202020%20&#1075;&#1086;&#1076;&#1072;.doc" TargetMode="External"/><Relationship Id="rId697" Type="http://schemas.openxmlformats.org/officeDocument/2006/relationships/hyperlink" Target="mailto:fin@ulmeria.ru" TargetMode="External"/><Relationship Id="rId820" Type="http://schemas.openxmlformats.org/officeDocument/2006/relationships/hyperlink" Target="https://www.gks.ru/scripts/db_inet2/passport/table.aspx?opt=718164232019" TargetMode="External"/><Relationship Id="rId918" Type="http://schemas.openxmlformats.org/officeDocument/2006/relationships/hyperlink" Target="http://muravlenko.yanao.ru/" TargetMode="External"/><Relationship Id="rId252" Type="http://schemas.openxmlformats.org/officeDocument/2006/relationships/hyperlink" Target="http://docs.cntd.ru/document/553386375" TargetMode="External"/><Relationship Id="rId47" Type="http://schemas.openxmlformats.org/officeDocument/2006/relationships/hyperlink" Target="http://www.arhcity.ru/?page=31/2" TargetMode="External"/><Relationship Id="rId112" Type="http://schemas.openxmlformats.org/officeDocument/2006/relationships/hyperlink" Target="mailto:ufins@mail.ru" TargetMode="External"/><Relationship Id="rId557" Type="http://schemas.openxmlformats.org/officeDocument/2006/relationships/hyperlink" Target="https://sverdl.gks.ru/" TargetMode="External"/><Relationship Id="rId764" Type="http://schemas.openxmlformats.org/officeDocument/2006/relationships/hyperlink" Target="https://budget.admsov.com/in-bu.php" TargetMode="External"/><Relationship Id="rId971" Type="http://schemas.openxmlformats.org/officeDocument/2006/relationships/hyperlink" Target="http://www.admiharp.ru/informaciya-po-iniciativnomu-byudzhetirovaniyu.html" TargetMode="External"/><Relationship Id="rId196" Type="http://schemas.openxmlformats.org/officeDocument/2006/relationships/hyperlink" Target="mailto:refbud@minfin.karelia.ru" TargetMode="External"/><Relationship Id="rId417" Type="http://schemas.openxmlformats.org/officeDocument/2006/relationships/hyperlink" Target="http://docs.cntd.ru/document/450337050" TargetMode="External"/><Relationship Id="rId624" Type="http://schemas.openxmlformats.org/officeDocument/2006/relationships/hyperlink" Target="https://ovmf2.consultant.ru/cgi/online.cgi?req=doc&amp;cacheid=404DD1EC082D4FCCF4299E9CB98D49B9&amp;SORTTYPE=0&amp;BASENODE=24478&amp;ts=1349080547042415260708871616&amp;base=RLAW926&amp;n=206331&amp;rnd=A295B63355621B91DB5DAD71B89A7BD9" TargetMode="External"/><Relationship Id="rId831" Type="http://schemas.openxmlformats.org/officeDocument/2006/relationships/hyperlink" Target="mailto:reshetnikovasa86@mail.ru" TargetMode="External"/><Relationship Id="rId1047" Type="http://schemas.openxmlformats.org/officeDocument/2006/relationships/hyperlink" Target="http://finotdnovoorsk.ru/postanovlenie-o-narodnom-byudzhete" TargetMode="External"/><Relationship Id="rId263" Type="http://schemas.openxmlformats.org/officeDocument/2006/relationships/hyperlink" Target="http://adm.rkursk.ru/index.php?id=109&amp;mat_id=57127&amp;query=46-%E7%EA%EE" TargetMode="External"/><Relationship Id="rId470" Type="http://schemas.openxmlformats.org/officeDocument/2006/relationships/hyperlink" Target="mailto:onl-or@mail.ru" TargetMode="External"/><Relationship Id="rId929" Type="http://schemas.openxmlformats.org/officeDocument/2006/relationships/hyperlink" Target="mailto:oaravodina@nadym.yanao.ru" TargetMode="External"/><Relationship Id="rId58" Type="http://schemas.openxmlformats.org/officeDocument/2006/relationships/hyperlink" Target="http://docs.cntd.ru/document/553216517" TargetMode="External"/><Relationship Id="rId123" Type="http://schemas.openxmlformats.org/officeDocument/2006/relationships/hyperlink" Target="mailto:kazorin32@yandex.ru" TargetMode="External"/><Relationship Id="rId330" Type="http://schemas.openxmlformats.org/officeDocument/2006/relationships/hyperlink" Target="mailto:zaytsevds@saratov.gov.ru" TargetMode="External"/><Relationship Id="rId568" Type="http://schemas.openxmlformats.org/officeDocument/2006/relationships/hyperlink" Target="https://tomsk.gov.ru/documents/front/view/id/50135" TargetMode="External"/><Relationship Id="rId775" Type="http://schemas.openxmlformats.org/officeDocument/2006/relationships/hyperlink" Target="http://admsorum.ru/admininstration-actions/budget/proactive/" TargetMode="External"/><Relationship Id="rId982" Type="http://schemas.openxmlformats.org/officeDocument/2006/relationships/hyperlink" Target="mailto:kohanovich@yamalfin.ru" TargetMode="External"/><Relationship Id="rId428" Type="http://schemas.openxmlformats.org/officeDocument/2006/relationships/hyperlink" Target="https://base.garant.ru/45060122/" TargetMode="External"/><Relationship Id="rId635" Type="http://schemas.openxmlformats.org/officeDocument/2006/relationships/hyperlink" Target="mailto:Anna.Nikolaeva3@tularegion.ru" TargetMode="External"/><Relationship Id="rId842" Type="http://schemas.openxmlformats.org/officeDocument/2006/relationships/hyperlink" Target="http://admlangepas.ru/open-budget/proactive-budgeting/legal-regulation2870/municipal-legal-acts5266/postanovlenie-1264-ot-02-07-2019/" TargetMode="External"/><Relationship Id="rId1058" Type="http://schemas.openxmlformats.org/officeDocument/2006/relationships/hyperlink" Target="https://udmstat.gks.ru/folder/51924" TargetMode="External"/><Relationship Id="rId274" Type="http://schemas.openxmlformats.org/officeDocument/2006/relationships/hyperlink" Target="http://adm.rkursk.ru/index.php?id=109&amp;mat_id=70756&amp;query=684-%EF%E0%20(&#1059;&#1082;&#1072;&#1079;&#1072;&#1085;&#1085;&#1072;&#1103;%20&#1089;&#1089;&#1099;&#1083;&#1082;&#1072;,%20&#1086;&#1090;&#1088;&#1072;&#1078;&#1072;&#1077;&#1090;%20&#1087;&#1077;&#1088;&#1074;&#1085;&#1072;&#1095;&#1072;&#1083;&#1100;&#1085;&#1091;&#1102;%20&#1088;&#1077;&#1076;&#1072;&#1082;&#1094;&#1080;&#1102;%20&#1076;&#1086;&#1082;&#1091;&#1084;&#1077;&#1085;&#1090;&#1072;,%20&#1072;&#1082;&#1090;&#1091;&#1072;&#1083;&#1080;&#1079;&#1080;&#1088;&#1086;&#1074;&#1072;&#1085;&#1085;&#1072;&#1103;%20&#1074;&#1077;&#1088;&#1089;&#1080;&#1103;%20&#1074;%20&#1080;&#1085;&#1092;&#1086;&#1088;&#1084;&#1072;&#1094;&#1080;&#1086;&#1085;&#1085;&#1086;&#1081;%20&#1089;&#1080;&#1089;&#1090;&#1077;&#1084;&#1077;%20&#1050;&#1086;&#1085;&#1089;&#1091;&#1083;&#1100;&#1090;&#1072;&#1085;&#1090;&#1055;&#1083;&#1102;&#1089;)" TargetMode="External"/><Relationship Id="rId481" Type="http://schemas.openxmlformats.org/officeDocument/2006/relationships/hyperlink" Target="mailto:AndreevaKA@penza-gorod.ru" TargetMode="External"/><Relationship Id="rId702" Type="http://schemas.openxmlformats.org/officeDocument/2006/relationships/hyperlink" Target="https://www.mo-veshkaima.ru/view_news.php?id=20102" TargetMode="External"/><Relationship Id="rId69" Type="http://schemas.openxmlformats.org/officeDocument/2006/relationships/hyperlink" Target="https://ppmi.bashkortostan.ru/" TargetMode="External"/><Relationship Id="rId134" Type="http://schemas.openxmlformats.org/officeDocument/2006/relationships/hyperlink" Target="mailto:mn_anisimova@govvrn.ru" TargetMode="External"/><Relationship Id="rId579" Type="http://schemas.openxmlformats.org/officeDocument/2006/relationships/hyperlink" Target="https://tatstat.gks.ru/naselenie" TargetMode="External"/><Relationship Id="rId786" Type="http://schemas.openxmlformats.org/officeDocument/2006/relationships/hyperlink" Target="https://docs.google.com/forms/d/e/1FAIpQLSdf9Vnhw8cn0B_jr8sLNrIdRvOgI4QM0837shhaKy4zdncPWw/viewform" TargetMode="External"/><Relationship Id="rId993" Type="http://schemas.openxmlformats.org/officeDocument/2006/relationships/hyperlink" Target="https://www.&#1078;&#1080;&#1074;&#1105;&#1084;&#1085;&#1072;&#1089;&#1077;&#1074;&#1077;&#1088;&#1077;.&#1088;&#1092;/homely/" TargetMode="External"/><Relationship Id="rId341" Type="http://schemas.openxmlformats.org/officeDocument/2006/relationships/hyperlink" Target="mailto:e.smetankina@egov66.ru" TargetMode="External"/><Relationship Id="rId439" Type="http://schemas.openxmlformats.org/officeDocument/2006/relationships/hyperlink" Target="http://www.pskov.ru/vlast/ispolnitelnaya/administratsiya-oblasti/apparat/upravlenie-po-mestnomu-samoupr/territorialnoe-obshchestvennoe" TargetMode="External"/><Relationship Id="rId646" Type="http://schemas.openxmlformats.org/officeDocument/2006/relationships/hyperlink" Target="consultantplus://offline/ref=FE8CB40832768A1442E38704304D241D525205F116D3309D1AD9C0FBAF9E9D2AE93AB6D5D005653D46AC1D80B8CF40A94EE05283EA5F33B82B6C5B18621F0801e540K" TargetMode="External"/><Relationship Id="rId1069" Type="http://schemas.openxmlformats.org/officeDocument/2006/relationships/hyperlink" Target="https://vologdastat.gks.ru/main_indicators%20&#1087;&#1086;%20&#1076;&#1072;&#1085;&#1085;&#1099;&#1084;%20&#1042;&#1086;&#1083;&#1086;&#1075;&#1076;&#1072;&#1089;&#1090;&#1072;&#1090;%20&#1087;&#1086;%20&#1089;&#1086;&#1089;&#1090;&#1086;&#1103;&#1085;&#1080;&#1102;%20&#1085;&#1072;%2001.01.2020%20&#1095;&#1080;&#1089;&#1083;&#1077;&#1085;&#1085;&#1086;&#1089;&#1090;&#1100;%20&#1078;&#1080;&#1090;&#1077;&#1083;&#1077;&#1081;%20-%20314834%20&#1095;&#1077;&#1083;.%20&#1054;&#1073;&#1085;&#1086;&#1074;&#1083;&#1077;&#1085;&#1085;&#1099;&#1077;%20&#1076;&#1072;&#1085;&#1085;&#1099;&#1077;%20&#1085;&#1072;%20&#1091;&#1082;&#1072;&#1079;&#1072;&#1085;&#1085;&#1086;&#1084;%20&#1089;&#1072;&#1081;&#1090;&#1077;%20&#1073;&#1091;&#1076;&#1091;&#1090;%20&#1088;&#1072;&#1079;&#1084;&#1077;&#1097;&#1077;&#1085;&#1099;%20&#1082;%2001.07.2020" TargetMode="External"/><Relationship Id="rId201" Type="http://schemas.openxmlformats.org/officeDocument/2006/relationships/hyperlink" Target="https://krl.gks.ru/folder/31905" TargetMode="External"/><Relationship Id="rId285" Type="http://schemas.openxmlformats.org/officeDocument/2006/relationships/hyperlink" Target="https://apparat.gov-murman.ru/documents/programs/?PAGEN_1=8" TargetMode="External"/><Relationship Id="rId506" Type="http://schemas.openxmlformats.org/officeDocument/2006/relationships/hyperlink" Target="https://vmeste-region.ru/news/440" TargetMode="External"/><Relationship Id="rId853" Type="http://schemas.openxmlformats.org/officeDocument/2006/relationships/hyperlink" Target="mailto:otdelpredp@admugansk.ru" TargetMode="External"/><Relationship Id="rId492" Type="http://schemas.openxmlformats.org/officeDocument/2006/relationships/hyperlink" Target="https://ru.wikipedia.org/wiki/%D0%A0%D0%B0%D0%B9%D0%BE%D0%BD%D1%8B_%D0%A1%D0%B0%D0%BC%D0%B0%D1%80%D1%8B" TargetMode="External"/><Relationship Id="rId713" Type="http://schemas.openxmlformats.org/officeDocument/2006/relationships/hyperlink" Target="https://uln.gks.ru/" TargetMode="External"/><Relationship Id="rId797" Type="http://schemas.openxmlformats.org/officeDocument/2006/relationships/hyperlink" Target="http://admkuma.ru/tinybrowser/files/byudzhet/narodnyi/2019/file..doc" TargetMode="External"/><Relationship Id="rId920" Type="http://schemas.openxmlformats.org/officeDocument/2006/relationships/hyperlink" Target="http://muravlenko.yanao.ru/ekonomika-i-zhkh/municipalnye-finansy/bjudzhetnaya-iniciativa-grazhdan/dokumenty-bjudzhetnaya-iniciativa-grazhdan/49980-postanovlenie-o-realizacii-proekta-byudzhetnaya-iniciativa-grazhdan-na-territorii-goroda-muravlenko.html" TargetMode="External"/><Relationship Id="rId145" Type="http://schemas.openxmlformats.org/officeDocument/2006/relationships/hyperlink" Target="mailto:l_presnaykova@govvrn.ru" TargetMode="External"/><Relationship Id="rId352" Type="http://schemas.openxmlformats.org/officeDocument/2006/relationships/hyperlink" Target="https://www.garant.ru/hotlaw/ryazan/1237639/" TargetMode="External"/><Relationship Id="rId212" Type="http://schemas.openxmlformats.org/officeDocument/2006/relationships/hyperlink" Target="http://kalugastat.old.gks.ru/wps/wcm/connect/rosstat_ts/kalugastat/ru/statistics/population/" TargetMode="External"/><Relationship Id="rId657" Type="http://schemas.openxmlformats.org/officeDocument/2006/relationships/hyperlink" Target="http://glazrayon.ru/city/economica/statistika/naselenie/" TargetMode="External"/><Relationship Id="rId864" Type="http://schemas.openxmlformats.org/officeDocument/2006/relationships/hyperlink" Target="mailto:VandreySA@NVraion.ru" TargetMode="External"/><Relationship Id="rId296" Type="http://schemas.openxmlformats.org/officeDocument/2006/relationships/hyperlink" Target="https://petrostat.gks.ru/folder/29437" TargetMode="External"/><Relationship Id="rId517" Type="http://schemas.openxmlformats.org/officeDocument/2006/relationships/hyperlink" Target="https://www.samadm.ru/authority/octobyarsky_district/your-builder-yard-october/" TargetMode="External"/><Relationship Id="rId724" Type="http://schemas.openxmlformats.org/officeDocument/2006/relationships/hyperlink" Target="http://sengilej.ru/filemanager.aspx?fileid=8032" TargetMode="External"/><Relationship Id="rId931" Type="http://schemas.openxmlformats.org/officeDocument/2006/relationships/hyperlink" Target="https://&#1078;&#1080;&#1074;&#1105;&#1084;&#1085;&#1072;&#1089;&#1077;&#1074;&#1077;&#1088;&#1077;.&#1088;&#1092;/homely/" TargetMode="External"/><Relationship Id="rId60" Type="http://schemas.openxmlformats.org/officeDocument/2006/relationships/hyperlink" Target="http://&#1088;&#1077;&#1072;&#1083;&#1100;&#1085;&#1099;&#1077;-&#1076;&#1077;&#1083;&#1072;.&#1088;&#1092;/" TargetMode="External"/><Relationship Id="rId156" Type="http://schemas.openxmlformats.org/officeDocument/2006/relationships/hyperlink" Target="http://rctos.ru/" TargetMode="External"/><Relationship Id="rId363" Type="http://schemas.openxmlformats.org/officeDocument/2006/relationships/hyperlink" Target="mailto:kudriavtseva@depfin.kirov.ru" TargetMode="External"/><Relationship Id="rId570" Type="http://schemas.openxmlformats.org/officeDocument/2006/relationships/hyperlink" Target="https://www.tambov.gov.ru/assets/files/urt/pao-864.pdf" TargetMode="External"/><Relationship Id="rId1007" Type="http://schemas.openxmlformats.org/officeDocument/2006/relationships/hyperlink" Target="http://www.mo-urengoy.ru/bydinigra" TargetMode="External"/><Relationship Id="rId223" Type="http://schemas.openxmlformats.org/officeDocument/2006/relationships/hyperlink" Target="https://arhangelskstat.gks.ru/storage/mediabank/Popul2020%D0%9D%D0%90%D0%9E.xls" TargetMode="External"/><Relationship Id="rId430" Type="http://schemas.openxmlformats.org/officeDocument/2006/relationships/hyperlink" Target="mailto:ivbormotova@mfin.permkrai.ru" TargetMode="External"/><Relationship Id="rId668" Type="http://schemas.openxmlformats.org/officeDocument/2006/relationships/hyperlink" Target="mailto:kizner@inbox.ru" TargetMode="External"/><Relationship Id="rId875" Type="http://schemas.openxmlformats.org/officeDocument/2006/relationships/hyperlink" Target="http://priobie.ru/index.php/65-&#1080;&#1085;&#1080;&#1094;&#1080;&#1072;&#1090;&#1080;&#1074;&#1085;&#1086;&#1077;-&#1073;&#1102;&#1076;&#1078;&#1077;&#1090;&#1080;&#1088;&#1086;&#1074;&#1072;&#1085;&#1080;&#1077;" TargetMode="External"/><Relationship Id="rId1060" Type="http://schemas.openxmlformats.org/officeDocument/2006/relationships/hyperlink" Target="https://www.gks.ru/scripts/db_inet2/passport/table.aspx?opt=719161512019" TargetMode="External"/><Relationship Id="rId18" Type="http://schemas.openxmlformats.org/officeDocument/2006/relationships/hyperlink" Target="https://akstat.gks.ru/folder/33349" TargetMode="External"/><Relationship Id="rId528" Type="http://schemas.openxmlformats.org/officeDocument/2006/relationships/hyperlink" Target="mailto:BystrovaEA@samadm.ru" TargetMode="External"/><Relationship Id="rId735" Type="http://schemas.openxmlformats.org/officeDocument/2006/relationships/hyperlink" Target="mailto:upr.fin.ulraion@yandex.ru" TargetMode="External"/><Relationship Id="rId942" Type="http://schemas.openxmlformats.org/officeDocument/2006/relationships/hyperlink" Target="http://lopchari-adm.ru/byudzhetnye-iniciativy.html" TargetMode="External"/><Relationship Id="rId167" Type="http://schemas.openxmlformats.org/officeDocument/2006/relationships/hyperlink" Target="https://minstroy39.ru/komf_sreda/" TargetMode="External"/><Relationship Id="rId374" Type="http://schemas.openxmlformats.org/officeDocument/2006/relationships/hyperlink" Target="mailto:PetrovVA@admlr.lipetsk.ru" TargetMode="External"/><Relationship Id="rId581" Type="http://schemas.openxmlformats.org/officeDocument/2006/relationships/hyperlink" Target="mailto:Tamara.Rubinskaya@tatar.ru" TargetMode="External"/><Relationship Id="rId1018" Type="http://schemas.openxmlformats.org/officeDocument/2006/relationships/hyperlink" Target="https://www.youtube.com/watch?v=uHl2F-R43MM" TargetMode="External"/><Relationship Id="rId71" Type="http://schemas.openxmlformats.org/officeDocument/2006/relationships/hyperlink" Target="https://bakaly.bashkortostan.ru/documents/active/164587/" TargetMode="External"/><Relationship Id="rId234" Type="http://schemas.openxmlformats.org/officeDocument/2006/relationships/hyperlink" Target="mailto:bud_komfin@novreg.ru" TargetMode="External"/><Relationship Id="rId679" Type="http://schemas.openxmlformats.org/officeDocument/2006/relationships/hyperlink" Target="http://barysh.org/regulatory/Post2015/490.pdf" TargetMode="External"/><Relationship Id="rId802" Type="http://schemas.openxmlformats.org/officeDocument/2006/relationships/hyperlink" Target="http://admkonda.ru/konkursnyy-otbor-po-proektu-narodnyy-byudzhet.html" TargetMode="External"/><Relationship Id="rId886" Type="http://schemas.openxmlformats.org/officeDocument/2006/relationships/hyperlink" Target="http://www.admsr.ru/budget/initsiativnoe-byudzhetirovanie/golosovanie/golos/?ID=73" TargetMode="External"/><Relationship Id="rId2" Type="http://schemas.openxmlformats.org/officeDocument/2006/relationships/hyperlink" Target="http://www.minfin01-maykop.ru/Show/Category/10?page=3&amp;ItemId=57" TargetMode="External"/><Relationship Id="rId29" Type="http://schemas.openxmlformats.org/officeDocument/2006/relationships/hyperlink" Target="mailto:acfi@fin.ab.ru" TargetMode="External"/><Relationship Id="rId441" Type="http://schemas.openxmlformats.org/officeDocument/2006/relationships/hyperlink" Target="http://&#1073;&#1091;&#1079;&#1091;&#1083;&#1091;&#1082;.&#1088;&#1092;/content/%D0%BD%D0%B0%D1%80%D0%BE%D0%B4%D0%BD%D1%8B%D0%B9-%D0%B1%D1%8E%D0%B4%D0%B6%D0%B5%D1%82" TargetMode="External"/><Relationship Id="rId539" Type="http://schemas.openxmlformats.org/officeDocument/2006/relationships/hyperlink" Target="mailto:econom@nvkb.ru" TargetMode="External"/><Relationship Id="rId746" Type="http://schemas.openxmlformats.org/officeDocument/2006/relationships/hyperlink" Target="mailto:chek_v@mail.ru" TargetMode="External"/><Relationship Id="rId1071" Type="http://schemas.openxmlformats.org/officeDocument/2006/relationships/hyperlink" Target="http://www.consultant.ru/regbase/cgi/online.cgi?req=doc&amp;base=RLAW095&amp;n=160367&amp;dst=" TargetMode="External"/><Relationship Id="rId178" Type="http://schemas.openxmlformats.org/officeDocument/2006/relationships/hyperlink" Target="https://psy-prk.ru/novosti/tvoy-kuzbass-tvoya-initsiativa/" TargetMode="External"/><Relationship Id="rId301" Type="http://schemas.openxmlformats.org/officeDocument/2006/relationships/hyperlink" Target="https://petrostat.gks.ru/folder/29437" TargetMode="External"/><Relationship Id="rId953" Type="http://schemas.openxmlformats.org/officeDocument/2006/relationships/hyperlink" Target="https://vk.com/public178831418?w=wall-178831418_99" TargetMode="External"/><Relationship Id="rId1029" Type="http://schemas.openxmlformats.org/officeDocument/2006/relationships/hyperlink" Target="https://minfin.astrobl.ru/site-page/vedomstvennye-celevye-programmy-vcp" TargetMode="External"/><Relationship Id="rId82" Type="http://schemas.openxmlformats.org/officeDocument/2006/relationships/hyperlink" Target="https://buraevo.bashkortostan.ru/documents/active/160764/" TargetMode="External"/><Relationship Id="rId385" Type="http://schemas.openxmlformats.org/officeDocument/2006/relationships/hyperlink" Target="https://yadi.sk/d/CpocWYq0qV7ydA" TargetMode="External"/><Relationship Id="rId592" Type="http://schemas.openxmlformats.org/officeDocument/2006/relationships/hyperlink" Target="mailto:litvinov@mfsk.ru" TargetMode="External"/><Relationship Id="rId606" Type="http://schemas.openxmlformats.org/officeDocument/2006/relationships/hyperlink" Target="https://laws.khv.gov.ru/" TargetMode="External"/><Relationship Id="rId813" Type="http://schemas.openxmlformats.org/officeDocument/2006/relationships/hyperlink" Target="mailto:leushi@mail.ru" TargetMode="External"/><Relationship Id="rId245" Type="http://schemas.openxmlformats.org/officeDocument/2006/relationships/hyperlink" Target="mailto:ppmi-53@mail.ru" TargetMode="External"/><Relationship Id="rId452" Type="http://schemas.openxmlformats.org/officeDocument/2006/relationships/hyperlink" Target="https://yadi.sk/i/fwJ-40gj3NnnN5" TargetMode="External"/><Relationship Id="rId897" Type="http://schemas.openxmlformats.org/officeDocument/2006/relationships/hyperlink" Target="https://chuvash.gks.ru/storage/mediabank/2020%2003%2030%20%D1%8D%D0%BA%D1%81%D1%87%D0%B8%D1%81%D0%BB.pdf" TargetMode="External"/><Relationship Id="rId105" Type="http://schemas.openxmlformats.org/officeDocument/2006/relationships/hyperlink" Target="mailto:svod2@beldepfin.ru" TargetMode="External"/><Relationship Id="rId312" Type="http://schemas.openxmlformats.org/officeDocument/2006/relationships/hyperlink" Target="http://mari-el.gov.ru/mecon/Pages/competitions.aspx" TargetMode="External"/><Relationship Id="rId757" Type="http://schemas.openxmlformats.org/officeDocument/2006/relationships/hyperlink" Target="https://cherdakli.com/" TargetMode="External"/><Relationship Id="rId964" Type="http://schemas.openxmlformats.org/officeDocument/2006/relationships/hyperlink" Target="http://mo-aksarka.ru/byudzhetnaya-iniciativa-grazhdan-1.html" TargetMode="External"/><Relationship Id="rId93" Type="http://schemas.openxmlformats.org/officeDocument/2006/relationships/hyperlink" Target="mailto:fu.kaltas@bashkortostan.ru" TargetMode="External"/><Relationship Id="rId189" Type="http://schemas.openxmlformats.org/officeDocument/2006/relationships/hyperlink" Target="http://admoblkaluga.ru/sub/finan/inciativ.php" TargetMode="External"/><Relationship Id="rId396" Type="http://schemas.openxmlformats.org/officeDocument/2006/relationships/hyperlink" Target="consultantplus://offline/ref=6F5496872F65B7B6CAFE8510AC837EA10722FCDC181F76E091826D734B6E86904169785BA163292AAB30F55F25CE51EC55663B2FDE095DA44B68990F39554DT9K3L" TargetMode="External"/><Relationship Id="rId617" Type="http://schemas.openxmlformats.org/officeDocument/2006/relationships/hyperlink" Target="mailto:e.a.barabanova@adm.khv.ru" TargetMode="External"/><Relationship Id="rId824" Type="http://schemas.openxmlformats.org/officeDocument/2006/relationships/hyperlink" Target="mailto:adm_polov@mail.ru" TargetMode="External"/><Relationship Id="rId256" Type="http://schemas.openxmlformats.org/officeDocument/2006/relationships/hyperlink" Target="https://apk.novreg.ru/documents/13.html" TargetMode="External"/><Relationship Id="rId463" Type="http://schemas.openxmlformats.org/officeDocument/2006/relationships/hyperlink" Target="http://finotdnovoorsk.ru/protokolyi-komissii" TargetMode="External"/><Relationship Id="rId670" Type="http://schemas.openxmlformats.org/officeDocument/2006/relationships/hyperlink" Target="mailto:Kulakova_MaV@mf.udmr.ru" TargetMode="External"/><Relationship Id="rId116" Type="http://schemas.openxmlformats.org/officeDocument/2006/relationships/hyperlink" Target="mailto:avb@volgafin.ru" TargetMode="External"/><Relationship Id="rId323" Type="http://schemas.openxmlformats.org/officeDocument/2006/relationships/hyperlink" Target="https://yadi.sk/d/grWA1E3b0X2FnA" TargetMode="External"/><Relationship Id="rId530" Type="http://schemas.openxmlformats.org/officeDocument/2006/relationships/hyperlink" Target="mailto:Semenjukta@samadm.ru" TargetMode="External"/><Relationship Id="rId768" Type="http://schemas.openxmlformats.org/officeDocument/2006/relationships/hyperlink" Target="http://admhmansy.ru/rule/admhmansy/adm/department-of-finance-management/new-byudzhet/initsiativnoe-byudzhetirovanie/" TargetMode="External"/><Relationship Id="rId975" Type="http://schemas.openxmlformats.org/officeDocument/2006/relationships/hyperlink" Target="http://adminbelka.ru/fotootchet.html" TargetMode="External"/><Relationship Id="rId20" Type="http://schemas.openxmlformats.org/officeDocument/2006/relationships/hyperlink" Target="mailto:arhipova@mcx.gorny.ru" TargetMode="External"/><Relationship Id="rId628" Type="http://schemas.openxmlformats.org/officeDocument/2006/relationships/hyperlink" Target="http://ib.mfur.ru/" TargetMode="External"/><Relationship Id="rId835" Type="http://schemas.openxmlformats.org/officeDocument/2006/relationships/hyperlink" Target="http://admkogalym.ru/economics/budget/initsiativnoe-byudzhetirovanie/" TargetMode="External"/><Relationship Id="rId267" Type="http://schemas.openxmlformats.org/officeDocument/2006/relationships/hyperlink" Target="http://adm.rkursk.ru/index.php?id=693&amp;mat_id=101320" TargetMode="External"/><Relationship Id="rId474" Type="http://schemas.openxmlformats.org/officeDocument/2006/relationships/hyperlink" Target="mailto:finotd_sv@mail.orb.ru" TargetMode="External"/><Relationship Id="rId1020" Type="http://schemas.openxmlformats.org/officeDocument/2006/relationships/hyperlink" Target="https://selkup.yanao.ru/projects/267/" TargetMode="External"/><Relationship Id="rId127" Type="http://schemas.openxmlformats.org/officeDocument/2006/relationships/hyperlink" Target="https://dtf.avo.ru/podderzka-iniciativ-naselenia" TargetMode="External"/><Relationship Id="rId681" Type="http://schemas.openxmlformats.org/officeDocument/2006/relationships/hyperlink" Target="https://uln.gks.ru/folder/40275" TargetMode="External"/><Relationship Id="rId779" Type="http://schemas.openxmlformats.org/officeDocument/2006/relationships/hyperlink" Target="mailto:ahmetchinann@admbel.ru" TargetMode="External"/><Relationship Id="rId902" Type="http://schemas.openxmlformats.org/officeDocument/2006/relationships/hyperlink" Target="https://youtu.be/R_sb-TSnhls?t=558" TargetMode="External"/><Relationship Id="rId986" Type="http://schemas.openxmlformats.org/officeDocument/2006/relationships/hyperlink" Target="https://tasu.ru/files/819.pdf" TargetMode="External"/><Relationship Id="rId31" Type="http://schemas.openxmlformats.org/officeDocument/2006/relationships/hyperlink" Target="https://cloud.mail.ru/public/4LdD/Pk1m2qRpw" TargetMode="External"/><Relationship Id="rId334" Type="http://schemas.openxmlformats.org/officeDocument/2006/relationships/hyperlink" Target="mailto:proekt2@sakha.gov.ru" TargetMode="External"/><Relationship Id="rId541" Type="http://schemas.openxmlformats.org/officeDocument/2006/relationships/hyperlink" Target="http://www.pohgor.ru/documents/municipal-programm/predpisanija_38.html;" TargetMode="External"/><Relationship Id="rId639" Type="http://schemas.openxmlformats.org/officeDocument/2006/relationships/hyperlink" Target="http://agro.cap.ru/action/activity/" TargetMode="External"/><Relationship Id="rId180" Type="http://schemas.openxmlformats.org/officeDocument/2006/relationships/hyperlink" Target="http://publication.pravo.gov.ru/Document/View/4200201908130001" TargetMode="External"/><Relationship Id="rId278" Type="http://schemas.openxmlformats.org/officeDocument/2006/relationships/hyperlink" Target="https://government-nnov.ru/?id=207040" TargetMode="External"/><Relationship Id="rId401" Type="http://schemas.openxmlformats.org/officeDocument/2006/relationships/hyperlink" Target="http://adm44.ru/Local/razvitie_sp-np/" TargetMode="External"/><Relationship Id="rId846" Type="http://schemas.openxmlformats.org/officeDocument/2006/relationships/hyperlink" Target="http://&#1094;&#1077;&#1085;&#1090;&#1088;86.&#1088;&#1092;/2019/12/%D1%80%D0%B5%D0%B0%D0%BB%D0%B8%D0%B7%D0%B0%D1%86%D0%B8%D1%8F-%D0%BF%D1%80%D0%BE%D0%B5%D0%BA%D1%82%D0%B0-%D0%B8%D0%BD%D0%B8%D1%86%D0%B8%D0%B0%D1%82%D0%B8%D0%B2%D0%BD%D0%BE%D0%B3%D0%BE-%D0%B1%D1%8E/" TargetMode="External"/><Relationship Id="rId1031" Type="http://schemas.openxmlformats.org/officeDocument/2006/relationships/hyperlink" Target="https://astrastat.gks.ru/" TargetMode="External"/><Relationship Id="rId485" Type="http://schemas.openxmlformats.org/officeDocument/2006/relationships/hyperlink" Target="http://old-chertkov.donland.ru/Data/Sites/34/media/&#1089;&#1077;&#1083;&#1100;&#1089;&#1082;&#1080;&#1077;&#1087;&#1086;&#1089;&#1077;&#1083;&#1077;&#1085;&#1080;&#1103;/&#1095;&#1077;&#1088;&#1090;&#1082;&#1086;&#1074;&#1086;/&#1084;&#1091;&#1085;&#1087;&#1088;&#1086;&#1077;&#1082;&#1090;/&#1087;&#1086;&#1089;&#1090;&#1072;&#1085;&#1086;&#1074;&#1083;&#1077;&#1085;&#1080;&#1077;&#8470;298&#1086;&#1090;29.12.2016&#1089;&#1074;&#1077;&#1090;&#1083;&#1072;&#1103;&#1091;&#1083;&#1080;&#1094;&#1072;.doc" TargetMode="External"/><Relationship Id="rId692" Type="http://schemas.openxmlformats.org/officeDocument/2006/relationships/hyperlink" Target="http://dimitrovgrad.ru/uprfin/nbudget/" TargetMode="External"/><Relationship Id="rId706" Type="http://schemas.openxmlformats.org/officeDocument/2006/relationships/hyperlink" Target="http://karsunmo.ru/narbudget.html" TargetMode="External"/><Relationship Id="rId913" Type="http://schemas.openxmlformats.org/officeDocument/2006/relationships/hyperlink" Target="https://tumstat.gks.ru/ofstat_ynao" TargetMode="External"/><Relationship Id="rId42" Type="http://schemas.openxmlformats.org/officeDocument/2006/relationships/hyperlink" Target="http://www.arhcity.ru/?page=2371/1" TargetMode="External"/><Relationship Id="rId138" Type="http://schemas.openxmlformats.org/officeDocument/2006/relationships/hyperlink" Target="mailto:jtolstova@" TargetMode="External"/><Relationship Id="rId345" Type="http://schemas.openxmlformats.org/officeDocument/2006/relationships/hyperlink" Target="https://sverdl.gks.ru/folder/26418" TargetMode="External"/><Relationship Id="rId552" Type="http://schemas.openxmlformats.org/officeDocument/2006/relationships/hyperlink" Target="mailto:admin_amo@%20mail.ru" TargetMode="External"/><Relationship Id="rId997" Type="http://schemas.openxmlformats.org/officeDocument/2006/relationships/hyperlink" Target="https://www.puradm.ru/one-doc/4235" TargetMode="External"/><Relationship Id="rId191" Type="http://schemas.openxmlformats.org/officeDocument/2006/relationships/hyperlink" Target="http://old.gov.karelia.ru/Projects/Initiatives/" TargetMode="External"/><Relationship Id="rId205" Type="http://schemas.openxmlformats.org/officeDocument/2006/relationships/hyperlink" Target="https://www.kaluga-gov.ru/?q=&#1080;&#1085;&#1080;&#1094;&#1080;&#1072;&#1090;&#1080;&#1074;&#1085;&#1086;&#1077;-&#1073;&#1102;&#1076;&#1078;&#1077;&#1090;&#1080;&#1088;&#1086;&#1074;&#1072;&#1085;&#1080;&#1077;_442365699" TargetMode="External"/><Relationship Id="rId412" Type="http://schemas.openxmlformats.org/officeDocument/2006/relationships/hyperlink" Target="http://budget.admkrsk.ru/budgeting/Pages/memo.aspx" TargetMode="External"/><Relationship Id="rId857" Type="http://schemas.openxmlformats.org/officeDocument/2006/relationships/hyperlink" Target="https://www.n-vartovsk.ru/ibudget/" TargetMode="External"/><Relationship Id="rId1042" Type="http://schemas.openxmlformats.org/officeDocument/2006/relationships/hyperlink" Target="https://df.gov35.ru/dokumenty-strategicheskogo-planirovaniya/gosudarstvennaya-programma-departamenta-finansov/aktualnaya-versiya-gosudarstvennoy-programmy/" TargetMode="External"/><Relationship Id="rId289" Type="http://schemas.openxmlformats.org/officeDocument/2006/relationships/hyperlink" Target="http://budget.orb.ru/new/init-budg" TargetMode="External"/><Relationship Id="rId496" Type="http://schemas.openxmlformats.org/officeDocument/2006/relationships/hyperlink" Target="https://twitter.com/orlova_d/status/1182927343561723905" TargetMode="External"/><Relationship Id="rId717" Type="http://schemas.openxmlformats.org/officeDocument/2006/relationships/hyperlink" Target="http://novospasskoe.ulregion.ru/ekonomika/142/budjet_mo_novospasskoe_gor_poselenie.html" TargetMode="External"/><Relationship Id="rId924" Type="http://schemas.openxmlformats.org/officeDocument/2006/relationships/hyperlink" Target="http://www.gubadm.ru/" TargetMode="External"/><Relationship Id="rId53" Type="http://schemas.openxmlformats.org/officeDocument/2006/relationships/hyperlink" Target="mailto:Yunusova.LR@bashkortostan.ru" TargetMode="External"/><Relationship Id="rId149" Type="http://schemas.openxmlformats.org/officeDocument/2006/relationships/hyperlink" Target="mailto:jtolstova@" TargetMode="External"/><Relationship Id="rId356" Type="http://schemas.openxmlformats.org/officeDocument/2006/relationships/hyperlink" Target="mailto:gumenyh_nb@kurganobl.ru" TargetMode="External"/><Relationship Id="rId563" Type="http://schemas.openxmlformats.org/officeDocument/2006/relationships/hyperlink" Target="https://depfin.tomsk.gov.ru/initsiativnoe-bjudzhetirovanie" TargetMode="External"/><Relationship Id="rId770" Type="http://schemas.openxmlformats.org/officeDocument/2006/relationships/hyperlink" Target="http://admbelgor.ru/gorod/bud/?ELEMENT_ID=64159" TargetMode="External"/><Relationship Id="rId216" Type="http://schemas.openxmlformats.org/officeDocument/2006/relationships/hyperlink" Target="http://www.borovskr.ru/documenty/normacty/?ELEMENT_ID=10576&amp;sphrase_id=7765" TargetMode="External"/><Relationship Id="rId423" Type="http://schemas.openxmlformats.org/officeDocument/2006/relationships/hyperlink" Target="https://orel-region.ru/" TargetMode="External"/><Relationship Id="rId868" Type="http://schemas.openxmlformats.org/officeDocument/2006/relationships/hyperlink" Target="https://www.gks.ru/" TargetMode="External"/><Relationship Id="rId1053" Type="http://schemas.openxmlformats.org/officeDocument/2006/relationships/hyperlink" Target="http://www.mozhga-rayon.ru/about/info/initsiativnoe-byudzhetirovanie-nashe-selo/" TargetMode="External"/><Relationship Id="rId630" Type="http://schemas.openxmlformats.org/officeDocument/2006/relationships/hyperlink" Target="https://cloud.mail.ru/public/WEih/2g8FYmMBH/" TargetMode="External"/><Relationship Id="rId728" Type="http://schemas.openxmlformats.org/officeDocument/2006/relationships/hyperlink" Target="http://stkulatka.ulregion.ru/mz/marat/1933.html" TargetMode="External"/><Relationship Id="rId935" Type="http://schemas.openxmlformats.org/officeDocument/2006/relationships/hyperlink" Target="https://tumstat.gks.ru/storage/mediabank/%D0%A1%D1%80%D0%B5%D0%B4%D0%BD%D0%B5%D0%B3%D0%BE%D0%B4%D0%BE%D0%B2%D0%B0%D1%8F%20%D0%AF%D0%9D%D0%90%D0%9E_2019.htm" TargetMode="External"/><Relationship Id="rId64" Type="http://schemas.openxmlformats.org/officeDocument/2006/relationships/hyperlink" Target="http://docs.cntd.ru/document/553216517" TargetMode="External"/><Relationship Id="rId367" Type="http://schemas.openxmlformats.org/officeDocument/2006/relationships/hyperlink" Target="http://socialkirov.ru/images/PPMIImages/&#1055;&#1055;&#1052;&#1048;_&#1083;&#1086;&#1075;&#1086;.png" TargetMode="External"/><Relationship Id="rId574" Type="http://schemas.openxmlformats.org/officeDocument/2006/relationships/hyperlink" Target="mailto:fu15@fin.tambov.gov.ru" TargetMode="External"/><Relationship Id="rId227" Type="http://schemas.openxmlformats.org/officeDocument/2006/relationships/hyperlink" Target="http://ppmi24.ru/" TargetMode="External"/><Relationship Id="rId781" Type="http://schemas.openxmlformats.org/officeDocument/2006/relationships/hyperlink" Target="mailto:ahmetchinann@admbel.ru" TargetMode="External"/><Relationship Id="rId879" Type="http://schemas.openxmlformats.org/officeDocument/2006/relationships/hyperlink" Target="http://www.admrad.ru/komfin-budgetinit/" TargetMode="External"/><Relationship Id="rId434" Type="http://schemas.openxmlformats.org/officeDocument/2006/relationships/hyperlink" Target="http://minter.permkrai.ru/documents/legal-acts;" TargetMode="External"/><Relationship Id="rId641" Type="http://schemas.openxmlformats.org/officeDocument/2006/relationships/hyperlink" Target="https://chuvash.gks.ru/demog" TargetMode="External"/><Relationship Id="rId739" Type="http://schemas.openxmlformats.org/officeDocument/2006/relationships/hyperlink" Target="https://cherdakli.com/" TargetMode="External"/><Relationship Id="rId1064" Type="http://schemas.openxmlformats.org/officeDocument/2006/relationships/hyperlink" Target="http://minfin-rzn.ru/participation/" TargetMode="External"/><Relationship Id="rId280" Type="http://schemas.openxmlformats.org/officeDocument/2006/relationships/hyperlink" Target="http://mfnso.nso.ru/page/2632" TargetMode="External"/><Relationship Id="rId501" Type="http://schemas.openxmlformats.org/officeDocument/2006/relationships/hyperlink" Target="mailto:EmeljanovaTN@samadm.ru" TargetMode="External"/><Relationship Id="rId946" Type="http://schemas.openxmlformats.org/officeDocument/2006/relationships/hyperlink" Target="http://admin-moovg.ru/documents/1255.html" TargetMode="External"/><Relationship Id="rId75" Type="http://schemas.openxmlformats.org/officeDocument/2006/relationships/hyperlink" Target="mailto:cent.buh@mail.ru" TargetMode="External"/><Relationship Id="rId140" Type="http://schemas.openxmlformats.org/officeDocument/2006/relationships/hyperlink" Target="http://pravo.govvrn.ru/content/&#1079;&#1072;&#1082;&#1086;&#1085;-&#1074;&#1086;&#1088;&#1086;&#1085;&#1077;&#1078;&#1089;&#1082;&#1086;&#1081;-&#1086;&#1073;&#1083;&#1072;&#1089;&#1090;&#1080;-&#1086;&#1090;-20122018-&#8470;-168-&#1086;&#1079;" TargetMode="External"/><Relationship Id="rId378" Type="http://schemas.openxmlformats.org/officeDocument/2006/relationships/hyperlink" Target="https://www.youtube.com/watch?v=DNii10B8ujw" TargetMode="External"/><Relationship Id="rId585" Type="http://schemas.openxmlformats.org/officeDocument/2006/relationships/hyperlink" Target="mailto:fu15@fin.tambov.gov.ru" TargetMode="External"/><Relationship Id="rId792" Type="http://schemas.openxmlformats.org/officeDocument/2006/relationships/hyperlink" Target="mailto:finans@kondadm.ru" TargetMode="External"/><Relationship Id="rId806" Type="http://schemas.openxmlformats.org/officeDocument/2006/relationships/hyperlink" Target="https://www.gks.ru/scripts/db_inet2/passport/table.aspx?opt=718161632019" TargetMode="External"/><Relationship Id="rId6" Type="http://schemas.openxmlformats.org/officeDocument/2006/relationships/hyperlink" Target="mailto:atsygankova@minfin-maykop.ru" TargetMode="External"/><Relationship Id="rId238" Type="http://schemas.openxmlformats.org/officeDocument/2006/relationships/hyperlink" Target="https://vk.com/narodbudget_no" TargetMode="External"/><Relationship Id="rId445" Type="http://schemas.openxmlformats.org/officeDocument/2006/relationships/hyperlink" Target="https://vk.com/buzuluk_town?w=wall-120041745_4604" TargetMode="External"/><Relationship Id="rId652" Type="http://schemas.openxmlformats.org/officeDocument/2006/relationships/hyperlink" Target="https://vk.com/tmncomfort" TargetMode="External"/><Relationship Id="rId1075" Type="http://schemas.openxmlformats.org/officeDocument/2006/relationships/hyperlink" Target="mailto:Namestnikova.Elena@vologda-city.ru" TargetMode="External"/><Relationship Id="rId291" Type="http://schemas.openxmlformats.org/officeDocument/2006/relationships/hyperlink" Target="http://lenobl.ru/dokumenty/opublikovanie-pravovyh-aktov/oficialno-opublikovanie-npa-s-10-iyunya-2013-goda/oficialnoe-opublikovanie-pravovyh-aktov-leningradskoj-oblasti-s-10-iyu/" TargetMode="External"/><Relationship Id="rId305" Type="http://schemas.openxmlformats.org/officeDocument/2006/relationships/hyperlink" Target="https://signal.rkomi.ru/budzhet/razrabotan-logotip-proekta-narodnyy-byudzhet" TargetMode="External"/><Relationship Id="rId512" Type="http://schemas.openxmlformats.org/officeDocument/2006/relationships/hyperlink" Target="https://www.samadm.ru/docs/official-publication/15628/" TargetMode="External"/><Relationship Id="rId957" Type="http://schemas.openxmlformats.org/officeDocument/2006/relationships/hyperlink" Target="mailto:kohanovich@yamalfin.ru" TargetMode="External"/><Relationship Id="rId86" Type="http://schemas.openxmlformats.org/officeDocument/2006/relationships/hyperlink" Target="mailto:Yunusova.lr@bashkortostan.ru" TargetMode="External"/><Relationship Id="rId151" Type="http://schemas.openxmlformats.org/officeDocument/2006/relationships/hyperlink" Target="http://docs.cntd.ru/document/473803135" TargetMode="External"/><Relationship Id="rId389" Type="http://schemas.openxmlformats.org/officeDocument/2006/relationships/hyperlink" Target="https://yadi.sk/d/zn8f23T-Oysjgw" TargetMode="External"/><Relationship Id="rId596" Type="http://schemas.openxmlformats.org/officeDocument/2006/relationships/hyperlink" Target="https://cloud.mail.ru/public/2WKM/41EgFvThG" TargetMode="External"/><Relationship Id="rId817" Type="http://schemas.openxmlformats.org/officeDocument/2006/relationships/hyperlink" Target="http://admmul.ru/narodnyy-byudzhet.html" TargetMode="External"/><Relationship Id="rId1002" Type="http://schemas.openxmlformats.org/officeDocument/2006/relationships/hyperlink" Target="mailto:budget@dfik.ru" TargetMode="External"/><Relationship Id="rId249" Type="http://schemas.openxmlformats.org/officeDocument/2006/relationships/hyperlink" Target="https://www.facebook.com/photo.php?fbid=157086638982451&amp;set=g.1825803114105110&amp;type=1&amp;theater&amp;ifg=1%20&#1080;&#1079;&#1075;&#1086;&#1090;&#1086;&#1074;&#1083;&#1077;&#1085;&#1099;%20&#1082;&#1072;&#1083;&#1077;&#1085;&#1076;&#1072;&#1088;&#1080;,%20&#1073;&#1083;&#1086;&#1082;&#1085;&#1086;&#1090;&#1099;,%20&#1088;&#1091;&#1095;&#1082;&#1080;,%20&#1073;&#1091;&#1082;&#1083;&#1077;&#1090;&#1099;%20%22&#1048;&#1085;&#1080;&#1094;&#1080;&#1072;&#1090;&#1080;&#1074;&#1085;&#1086;&#1077;%20&#1073;&#1102;&#1076;&#1078;&#1077;&#1090;&#1080;&#1088;&#1086;&#1074;&#1072;&#1085;&#1080;&#1077;%20&#1053;&#1086;&#1074;&#1075;&#1086;&#1088;&#1086;&#1076;&#1089;&#1082;&#1086;&#1081;%20&#1086;&#1073;&#1083;&#1072;&#1089;&#1090;&#1080;.%20&#1055;&#1088;&#1086;&#1077;&#1082;&#1090;&#1099;,%20&#1088;&#1077;&#1072;&#1083;&#1080;&#1079;&#1086;&#1074;&#1072;&#1085;&#1085;&#1099;&#1077;%20&#1074;%202019%20&#1075;&#1086;&#1076;&#1091;%22" TargetMode="External"/><Relationship Id="rId456" Type="http://schemas.openxmlformats.org/officeDocument/2006/relationships/hyperlink" Target="mailto:ktn@bz-orb.ru" TargetMode="External"/><Relationship Id="rId663" Type="http://schemas.openxmlformats.org/officeDocument/2006/relationships/hyperlink" Target="mailto:zavadm@yandex.ru" TargetMode="External"/><Relationship Id="rId870" Type="http://schemas.openxmlformats.org/officeDocument/2006/relationships/hyperlink" Target="https://tumstat.gks.ru/ofstat_xmao" TargetMode="External"/><Relationship Id="rId13" Type="http://schemas.openxmlformats.org/officeDocument/2006/relationships/hyperlink" Target="https://akstat.gks.ru/folder/33349" TargetMode="External"/><Relationship Id="rId109" Type="http://schemas.openxmlformats.org/officeDocument/2006/relationships/hyperlink" Target="http://belrn.ru/" TargetMode="External"/><Relationship Id="rId316" Type="http://schemas.openxmlformats.org/officeDocument/2006/relationships/hyperlink" Target="mailto:sprav_min@mail.ru" TargetMode="External"/><Relationship Id="rId523" Type="http://schemas.openxmlformats.org/officeDocument/2006/relationships/hyperlink" Target="mailto:econom.promadm@gmail.com" TargetMode="External"/><Relationship Id="rId968" Type="http://schemas.openxmlformats.org/officeDocument/2006/relationships/hyperlink" Target="mailto:karpova-eb@priuralye.com" TargetMode="External"/><Relationship Id="rId97" Type="http://schemas.openxmlformats.org/officeDocument/2006/relationships/hyperlink" Target="mailto:miaki_rfu@ufamts.ru" TargetMode="External"/><Relationship Id="rId730" Type="http://schemas.openxmlformats.org/officeDocument/2006/relationships/hyperlink" Target="https://www.mo-veshkaima.ru/view_news.php?id=20102" TargetMode="External"/><Relationship Id="rId828" Type="http://schemas.openxmlformats.org/officeDocument/2006/relationships/hyperlink" Target="http://admkonda.ru/normativno-pravovye-akty-nb-bolchary.html" TargetMode="External"/><Relationship Id="rId1013" Type="http://schemas.openxmlformats.org/officeDocument/2006/relationships/hyperlink" Target="mailto:budget@dfik.ru" TargetMode="External"/><Relationship Id="rId162" Type="http://schemas.openxmlformats.org/officeDocument/2006/relationships/hyperlink" Target="https://df.gov35.ru/dokumenty-strategicheskogo-planirovaniya/gosudarstvennaya-programma-departamenta-finansov/aktualnaya-versiya-gosudarstvennoy-programmy/" TargetMode="External"/><Relationship Id="rId467" Type="http://schemas.openxmlformats.org/officeDocument/2006/relationships/hyperlink" Target="http://finotdnovoorsk.ru/kadrovoe-obespechenie" TargetMode="External"/><Relationship Id="rId674" Type="http://schemas.openxmlformats.org/officeDocument/2006/relationships/hyperlink" Target="mailto:budget.raifo@gmail.com" TargetMode="External"/><Relationship Id="rId881" Type="http://schemas.openxmlformats.org/officeDocument/2006/relationships/hyperlink" Target="https://tumstat.gks.ru/storage/mediabank/%D0%A7%D0%B8%D1%81%D0%BB%D0%B5%D0%BD%D0%BD%D0%BE%D1%81%D1%82%D1%8C_%D0%A5%D0%9C%D0%90%D0%9E_2019.htm" TargetMode="External"/><Relationship Id="rId979" Type="http://schemas.openxmlformats.org/officeDocument/2006/relationships/hyperlink" Target="http://adm-yarsale.ru/documents/706.html" TargetMode="External"/><Relationship Id="rId24" Type="http://schemas.openxmlformats.org/officeDocument/2006/relationships/hyperlink" Target="http://docs.cntd.ru/document/550264265" TargetMode="External"/><Relationship Id="rId327" Type="http://schemas.openxmlformats.org/officeDocument/2006/relationships/hyperlink" Target="https://srtv.gks.ru/folder/59967" TargetMode="External"/><Relationship Id="rId534" Type="http://schemas.openxmlformats.org/officeDocument/2006/relationships/hyperlink" Target="https://yadi.sk/i/S3VNNsdL57pYeg" TargetMode="External"/><Relationship Id="rId741" Type="http://schemas.openxmlformats.org/officeDocument/2006/relationships/hyperlink" Target="https://cherdakli.com/?p=18029" TargetMode="External"/><Relationship Id="rId839" Type="http://schemas.openxmlformats.org/officeDocument/2006/relationships/hyperlink" Target="https://www.gks.ru/scripts/db_inet2/passport/table.aspx?opt=718830002019" TargetMode="External"/><Relationship Id="rId173" Type="http://schemas.openxmlformats.org/officeDocument/2006/relationships/hyperlink" Target="https://www.instagram.com/p/B3cU87rIsm6/?igshid=1eywunj46ylh6" TargetMode="External"/><Relationship Id="rId380" Type="http://schemas.openxmlformats.org/officeDocument/2006/relationships/hyperlink" Target="mailto:y.sidorova@sakhminfin.ru" TargetMode="External"/><Relationship Id="rId601" Type="http://schemas.openxmlformats.org/officeDocument/2006/relationships/hyperlink" Target="http://ufo.ulntc.ru/index.php?mgf=ppmi" TargetMode="External"/><Relationship Id="rId1024" Type="http://schemas.openxmlformats.org/officeDocument/2006/relationships/hyperlink" Target="http://www.admomsk.ru/web/guest/government/divisions/62/social-relations/org" TargetMode="External"/><Relationship Id="rId240" Type="http://schemas.openxmlformats.org/officeDocument/2006/relationships/hyperlink" Target="mailto:bud_komfin@novreg.ru" TargetMode="External"/><Relationship Id="rId478" Type="http://schemas.openxmlformats.org/officeDocument/2006/relationships/hyperlink" Target="http://fintotsk.ru/hearing/12" TargetMode="External"/><Relationship Id="rId685" Type="http://schemas.openxmlformats.org/officeDocument/2006/relationships/hyperlink" Target="mailto:veshkaim@mail.ru" TargetMode="External"/><Relationship Id="rId892" Type="http://schemas.openxmlformats.org/officeDocument/2006/relationships/hyperlink" Target="https://www.youtube.com/watch?v=EBMASKhAnC0" TargetMode="External"/><Relationship Id="rId906" Type="http://schemas.openxmlformats.org/officeDocument/2006/relationships/hyperlink" Target="https://lbt.yanao.ru/activity/730/" TargetMode="External"/><Relationship Id="rId35" Type="http://schemas.openxmlformats.org/officeDocument/2006/relationships/hyperlink" Target="http://portal.dvinaland.ru/docs/pub/a16eece709bc76b71bf44543d9de3cd7/613-37-oz.doc" TargetMode="External"/><Relationship Id="rId100" Type="http://schemas.openxmlformats.org/officeDocument/2006/relationships/hyperlink" Target="https://belg.gks.ru/population" TargetMode="External"/><Relationship Id="rId338" Type="http://schemas.openxmlformats.org/officeDocument/2006/relationships/hyperlink" Target="http://economy.midural.ru/npa_goss_progr_so_sov_soc_econom_pol" TargetMode="External"/><Relationship Id="rId545" Type="http://schemas.openxmlformats.org/officeDocument/2006/relationships/hyperlink" Target="mailto:invest-pokhvistnevo@yandex.ru" TargetMode="External"/><Relationship Id="rId752" Type="http://schemas.openxmlformats.org/officeDocument/2006/relationships/hyperlink" Target="http://kuzovatovo.ulregion.ru/5886/norma/6793/7975/" TargetMode="External"/><Relationship Id="rId184" Type="http://schemas.openxmlformats.org/officeDocument/2006/relationships/hyperlink" Target="http://www.minfin.kirov.ru/otkrytyy-byudzhet/dlya-spetsialistov/narodniy-byudzhet/nb/doc/" TargetMode="External"/><Relationship Id="rId391" Type="http://schemas.openxmlformats.org/officeDocument/2006/relationships/hyperlink" Target="http://adm-tomari.ru/vote/vote_result.php?VOTE_ID=12" TargetMode="External"/><Relationship Id="rId405" Type="http://schemas.openxmlformats.org/officeDocument/2006/relationships/hyperlink" Target="https://tvoybudget.spb.ru/press" TargetMode="External"/><Relationship Id="rId612" Type="http://schemas.openxmlformats.org/officeDocument/2006/relationships/hyperlink" Target="http://docs.cntd.ru/document/465300676" TargetMode="External"/><Relationship Id="rId1035" Type="http://schemas.openxmlformats.org/officeDocument/2006/relationships/hyperlink" Target="http://www.sbor.ru/Files/file/ob_utverzhdenii_polozheniya_o_proekte_po_partitsipatornomu_byudzhetirovaniyu_-ya_planiruyu_byudzhet-.doc" TargetMode="External"/><Relationship Id="rId251" Type="http://schemas.openxmlformats.org/officeDocument/2006/relationships/hyperlink" Target="mailto:bud_komfin@novreg.ru" TargetMode="External"/><Relationship Id="rId489" Type="http://schemas.openxmlformats.org/officeDocument/2006/relationships/hyperlink" Target="mailto:VlasovaIM@samadm.ru" TargetMode="External"/><Relationship Id="rId696" Type="http://schemas.openxmlformats.org/officeDocument/2006/relationships/hyperlink" Target="http://uln.old.gks.ru/wps/wcm/connect/rosstat_ts/uln/ru/statistics/population/" TargetMode="External"/><Relationship Id="rId917" Type="http://schemas.openxmlformats.org/officeDocument/2006/relationships/hyperlink" Target="https://&#1078;&#1080;&#1074;&#1105;&#1084;&#1085;&#1072;&#1089;&#1077;&#1074;&#1077;&#1088;&#1077;.&#1088;&#1092;/homely/" TargetMode="External"/><Relationship Id="rId46" Type="http://schemas.openxmlformats.org/officeDocument/2006/relationships/hyperlink" Target="mailto:novoselova@arhcity.ru" TargetMode="External"/><Relationship Id="rId349" Type="http://schemas.openxmlformats.org/officeDocument/2006/relationships/hyperlink" Target="http://www.pravo.gov66.ru/24373/" TargetMode="External"/><Relationship Id="rId556" Type="http://schemas.openxmlformats.org/officeDocument/2006/relationships/hyperlink" Target="mailto:horobrih@efbu.ru" TargetMode="External"/><Relationship Id="rId763" Type="http://schemas.openxmlformats.org/officeDocument/2006/relationships/hyperlink" Target="mailto:admfeu@admsov.com" TargetMode="External"/><Relationship Id="rId111" Type="http://schemas.openxmlformats.org/officeDocument/2006/relationships/hyperlink" Target="http://belrn.ru/2017/05/05/iniciativnoe-participatornoe-byudzhe/;" TargetMode="External"/><Relationship Id="rId195" Type="http://schemas.openxmlformats.org/officeDocument/2006/relationships/hyperlink" Target="mailto:vilaeva.msu@mail.ru" TargetMode="External"/><Relationship Id="rId209" Type="http://schemas.openxmlformats.org/officeDocument/2006/relationships/hyperlink" Target="mailto:yudina_sa@kaluga-gov.ru" TargetMode="External"/><Relationship Id="rId416" Type="http://schemas.openxmlformats.org/officeDocument/2006/relationships/hyperlink" Target="http://pnz.old.gks.ru/wps/wcm/connect/rosstat_ts/pnz/ru/statistics/population/" TargetMode="External"/><Relationship Id="rId970" Type="http://schemas.openxmlformats.org/officeDocument/2006/relationships/hyperlink" Target="http://www.admiharp.ru/protokol-zasedaniya-konkursnoy-komissii-po-provedeniyu-konkursnogo-otbora-proektov-initciativnogo-byudzhetirovaniya-byudzhetnaya-initciativa-grazhdan-v-munitcipal-nom-obrazovanii-poselok-kharp-ot-29-05-2019.html" TargetMode="External"/><Relationship Id="rId1046" Type="http://schemas.openxmlformats.org/officeDocument/2006/relationships/hyperlink" Target="http://mo-ko.orb.ru/simplepage/1595" TargetMode="External"/><Relationship Id="rId623" Type="http://schemas.openxmlformats.org/officeDocument/2006/relationships/hyperlink" Target="mailto:KrotovaGG@admhmao.ru" TargetMode="External"/><Relationship Id="rId830" Type="http://schemas.openxmlformats.org/officeDocument/2006/relationships/hyperlink" Target="http://shugur.ru/narodnyy-byudzhet.html" TargetMode="External"/><Relationship Id="rId928" Type="http://schemas.openxmlformats.org/officeDocument/2006/relationships/hyperlink" Target="http://nadymregion.ru/regulatory/documents/423271/" TargetMode="External"/><Relationship Id="rId57" Type="http://schemas.openxmlformats.org/officeDocument/2006/relationships/hyperlink" Target="mailto:Yunusova.LR@bashkortostan.ru" TargetMode="External"/><Relationship Id="rId262" Type="http://schemas.openxmlformats.org/officeDocument/2006/relationships/hyperlink" Target="http://adm.rkursk.ru/index.php?id=109&amp;mat_id=58335&amp;query=548-%EF%E0%20(&#1059;&#1082;&#1072;&#1079;&#1072;&#1085;&#1085;&#1072;&#1103;%20&#1089;&#1089;&#1099;&#1083;&#1082;&#1072;,%20&#1086;&#1090;&#1088;&#1072;&#1078;&#1072;&#1077;&#1090;%20&#1087;&#1077;&#1088;&#1074;&#1085;&#1072;&#1095;&#1072;&#1083;&#1100;&#1085;&#1091;&#1102;%20&#1088;&#1077;&#1076;&#1072;&#1082;&#1094;&#1080;&#1102;%20&#1076;&#1086;&#1082;&#1091;&#1084;&#1077;&#1085;&#1090;&#1072;,%20&#1072;&#1082;&#1090;&#1091;&#1072;&#1083;&#1080;&#1079;&#1080;&#1088;&#1086;&#1074;&#1072;&#1085;&#1085;&#1072;&#1103;%20&#1074;&#1077;&#1088;&#1089;&#1080;&#1103;%20&#1074;%20&#1080;&#1085;&#1092;&#1086;&#1088;&#1084;&#1072;&#1094;&#1080;&#1086;&#1085;&#1085;&#1086;&#1081;%20&#1089;&#1080;&#1089;&#1090;&#1077;&#1084;&#1077;%20&#1050;&#1086;&#1085;&#1089;&#1091;&#1083;&#1100;&#1090;&#1072;&#1085;&#1090;&#1055;&#1083;&#1102;&#1089;)" TargetMode="External"/><Relationship Id="rId567" Type="http://schemas.openxmlformats.org/officeDocument/2006/relationships/hyperlink" Target="https://depfin.tomsk.gov.ru/uploads/ckfinder/285/userfiles/images/%D0%BA%D1%80%D1%83%D0%B3%D0%B8.jpg" TargetMode="External"/><Relationship Id="rId122" Type="http://schemas.openxmlformats.org/officeDocument/2006/relationships/hyperlink" Target="https://bryansk.gks.ru/folder/25514" TargetMode="External"/><Relationship Id="rId774" Type="http://schemas.openxmlformats.org/officeDocument/2006/relationships/hyperlink" Target="http://admsorum.ru/admininstration-actions/budget/proactive/" TargetMode="External"/><Relationship Id="rId981" Type="http://schemas.openxmlformats.org/officeDocument/2006/relationships/hyperlink" Target="mailto:adm.yarsale@mail.ru" TargetMode="External"/><Relationship Id="rId1057" Type="http://schemas.openxmlformats.org/officeDocument/2006/relationships/hyperlink" Target="https://gks.ru/compendium/document/13282" TargetMode="External"/><Relationship Id="rId427" Type="http://schemas.openxmlformats.org/officeDocument/2006/relationships/hyperlink" Target="mailto:kant@adm.orel.ru" TargetMode="External"/><Relationship Id="rId634" Type="http://schemas.openxmlformats.org/officeDocument/2006/relationships/hyperlink" Target="https://my-files.ru/juxqsm" TargetMode="External"/><Relationship Id="rId841" Type="http://schemas.openxmlformats.org/officeDocument/2006/relationships/hyperlink" Target="http://admkogalym.ru/upload/dokumenty-KF/protokoly-obshchikh-sobraniy-initsiativnykh-grupp-grazhdan.pdf" TargetMode="External"/><Relationship Id="rId273" Type="http://schemas.openxmlformats.org/officeDocument/2006/relationships/hyperlink" Target="mailto:belovidova@kfin.reg-kursk.ru" TargetMode="External"/><Relationship Id="rId480" Type="http://schemas.openxmlformats.org/officeDocument/2006/relationships/hyperlink" Target="https://www.gks.ru/scripts/db_inet2/passport/table.aspx?opt=567010002019" TargetMode="External"/><Relationship Id="rId701" Type="http://schemas.openxmlformats.org/officeDocument/2006/relationships/hyperlink" Target="mailto:ermolovka00@mail.ru" TargetMode="External"/><Relationship Id="rId939" Type="http://schemas.openxmlformats.org/officeDocument/2006/relationships/hyperlink" Target="mailto:kohanovich@yamalfin.ru" TargetMode="External"/><Relationship Id="rId68" Type="http://schemas.openxmlformats.org/officeDocument/2006/relationships/hyperlink" Target="mailto:nasretdinovalf@isi-rb.ru" TargetMode="External"/><Relationship Id="rId133" Type="http://schemas.openxmlformats.org/officeDocument/2006/relationships/hyperlink" Target="https://dsx.avo.ru/programmy" TargetMode="External"/><Relationship Id="rId340" Type="http://schemas.openxmlformats.org/officeDocument/2006/relationships/hyperlink" Target="http://economy.midural.ru/content/perechen-npa-aktualnye-redakcii" TargetMode="External"/><Relationship Id="rId578" Type="http://schemas.openxmlformats.org/officeDocument/2006/relationships/hyperlink" Target="mailto:Madina.Sabirzyanova@tatar.ru" TargetMode="External"/><Relationship Id="rId785" Type="http://schemas.openxmlformats.org/officeDocument/2006/relationships/hyperlink" Target="https://www.youtube.com/channel/UCGdpyToy8AOnijRkLCNbr9A" TargetMode="External"/><Relationship Id="rId992" Type="http://schemas.openxmlformats.org/officeDocument/2006/relationships/hyperlink" Target="mailto:kohanovich@yamalfin.ru" TargetMode="External"/><Relationship Id="rId200" Type="http://schemas.openxmlformats.org/officeDocument/2006/relationships/hyperlink" Target="mailto:vilaeva.msu@mail.ru" TargetMode="External"/><Relationship Id="rId438" Type="http://schemas.openxmlformats.org/officeDocument/2006/relationships/hyperlink" Target="mailto:vl.bernatskiy@obladmin.pskov.ru" TargetMode="External"/><Relationship Id="rId645" Type="http://schemas.openxmlformats.org/officeDocument/2006/relationships/hyperlink" Target="https://admtyumen.ru/ogv_ru/finance/programs/program.htm?id=1190@egTargetGrant" TargetMode="External"/><Relationship Id="rId852" Type="http://schemas.openxmlformats.org/officeDocument/2006/relationships/hyperlink" Target="http://www.admugansk.ru/category/1496?page=2" TargetMode="External"/><Relationship Id="rId1068" Type="http://schemas.openxmlformats.org/officeDocument/2006/relationships/hyperlink" Target="mailto:n_chumina@cherepovetscity.ru" TargetMode="External"/><Relationship Id="rId284" Type="http://schemas.openxmlformats.org/officeDocument/2006/relationships/hyperlink" Target="https://murmanskstat.gks.ru/folder/72764" TargetMode="External"/><Relationship Id="rId491" Type="http://schemas.openxmlformats.org/officeDocument/2006/relationships/hyperlink" Target="http://www.zdsamara.ru/dlya-naseleniya/tvoy-konstruktor-dvora/" TargetMode="External"/><Relationship Id="rId505" Type="http://schemas.openxmlformats.org/officeDocument/2006/relationships/hyperlink" Target="https://www.kuibsamara.ru/allfiles/201906/post____(2112-Vwb6E).pdf," TargetMode="External"/><Relationship Id="rId712" Type="http://schemas.openxmlformats.org/officeDocument/2006/relationships/hyperlink" Target="http://adm-melekess.ru/strukturnye-podrazdelenija/narodnyi-byudzhet.html" TargetMode="External"/><Relationship Id="rId79" Type="http://schemas.openxmlformats.org/officeDocument/2006/relationships/hyperlink" Target="http://starojanb-bal.ru/obyavlenie-5/" TargetMode="External"/><Relationship Id="rId144" Type="http://schemas.openxmlformats.org/officeDocument/2006/relationships/hyperlink" Target="http://www.tosvrn.ru/" TargetMode="External"/><Relationship Id="rId589" Type="http://schemas.openxmlformats.org/officeDocument/2006/relationships/hyperlink" Target="https://tmb.gks.ru/storage/mediabank/chis18-19s.pdf" TargetMode="External"/><Relationship Id="rId796" Type="http://schemas.openxmlformats.org/officeDocument/2006/relationships/hyperlink" Target="http://admkuma.ru/polozhenie-o-provedenii-konkursnogo-otbora-proektov-narodnyy-byudzhet-v-gorodskom-poselenii-kuminskiy.html" TargetMode="External"/><Relationship Id="rId351" Type="http://schemas.openxmlformats.org/officeDocument/2006/relationships/hyperlink" Target="mailto:mi.korosteleva@egov66.ru" TargetMode="External"/><Relationship Id="rId449" Type="http://schemas.openxmlformats.org/officeDocument/2006/relationships/hyperlink" Target="http://www.sorochinsk56.ru/index.php?id=1046" TargetMode="External"/><Relationship Id="rId656" Type="http://schemas.openxmlformats.org/officeDocument/2006/relationships/hyperlink" Target="http://glazrayon.ru/city/fin/podderzhka/norm/" TargetMode="External"/><Relationship Id="rId863" Type="http://schemas.openxmlformats.org/officeDocument/2006/relationships/hyperlink" Target="mailto:OgurcovaEV@Nvraion.ru" TargetMode="External"/><Relationship Id="rId211" Type="http://schemas.openxmlformats.org/officeDocument/2006/relationships/hyperlink" Target="http://maloyar.ru/wp-content/uploads/2020/03/&#1055;&#1086;&#1089;&#1090;&#1072;&#1085;&#1086;&#1074;&#1083;&#1077;&#1085;&#1080;&#1077;-&#1086;&#1090;-5-02-2019-N101.pdf" TargetMode="External"/><Relationship Id="rId295" Type="http://schemas.openxmlformats.org/officeDocument/2006/relationships/hyperlink" Target="mailto:kravchenko@lenobfin.ru" TargetMode="External"/><Relationship Id="rId309" Type="http://schemas.openxmlformats.org/officeDocument/2006/relationships/hyperlink" Target="http://ppmi.sakha.gov.ru/" TargetMode="External"/><Relationship Id="rId516" Type="http://schemas.openxmlformats.org/officeDocument/2006/relationships/hyperlink" Target="https://samarastat.gks.ru/population" TargetMode="External"/><Relationship Id="rId723" Type="http://schemas.openxmlformats.org/officeDocument/2006/relationships/hyperlink" Target="https://radishevo.ulregion.ru/165/4218/" TargetMode="External"/><Relationship Id="rId930" Type="http://schemas.openxmlformats.org/officeDocument/2006/relationships/hyperlink" Target="https://ibb.co/Ph7dWXS" TargetMode="External"/><Relationship Id="rId1006" Type="http://schemas.openxmlformats.org/officeDocument/2006/relationships/hyperlink" Target="http://www.mo-urengoy.ru/index.php?option=com_content&amp;view=article&amp;id=4614" TargetMode="External"/><Relationship Id="rId155" Type="http://schemas.openxmlformats.org/officeDocument/2006/relationships/hyperlink" Target="https://burstat.gks.ru/demo" TargetMode="External"/><Relationship Id="rId362" Type="http://schemas.openxmlformats.org/officeDocument/2006/relationships/hyperlink" Target="http://www.kirovreg.ru/publ/AkOUP.nsf/ad98c6e24f10e5c4c3256f2300420e1e/73fb623fa1da0c3144257bcc0022b60d?OpenDocument" TargetMode="External"/><Relationship Id="rId222" Type="http://schemas.openxmlformats.org/officeDocument/2006/relationships/hyperlink" Target="mailto:staleev@adm-nao.ru" TargetMode="External"/><Relationship Id="rId667" Type="http://schemas.openxmlformats.org/officeDocument/2006/relationships/hyperlink" Target="http://mykizner.ru/" TargetMode="External"/><Relationship Id="rId874" Type="http://schemas.openxmlformats.org/officeDocument/2006/relationships/hyperlink" Target="mailto:pradm_feu@mail.ru" TargetMode="External"/><Relationship Id="rId17" Type="http://schemas.openxmlformats.org/officeDocument/2006/relationships/hyperlink" Target="https://vk.com/official_ga" TargetMode="External"/><Relationship Id="rId527" Type="http://schemas.openxmlformats.org/officeDocument/2006/relationships/hyperlink" Target="https://samadm.ru/upload/iblock/385/7f9c67391e8bb5eea7c573300942a052.jpg" TargetMode="External"/><Relationship Id="rId734" Type="http://schemas.openxmlformats.org/officeDocument/2006/relationships/hyperlink" Target="https://www.gks.ru/scripts/db_inet2/passport/pass.aspx?base=munst73&amp;r=73652000" TargetMode="External"/><Relationship Id="rId941" Type="http://schemas.openxmlformats.org/officeDocument/2006/relationships/hyperlink" Target="mailto:lopchari-adm@mail.ru" TargetMode="External"/><Relationship Id="rId70" Type="http://schemas.openxmlformats.org/officeDocument/2006/relationships/hyperlink" Target="mailto:Yunusova.LR@bashkortostan.ru" TargetMode="External"/><Relationship Id="rId166" Type="http://schemas.openxmlformats.org/officeDocument/2006/relationships/hyperlink" Target="https://irkobl.ru/sites/economy/razvitie-municipalnyh-obrazovaniy/initiatives/" TargetMode="External"/><Relationship Id="rId373" Type="http://schemas.openxmlformats.org/officeDocument/2006/relationships/hyperlink" Target="http://admlip.ru/news/igor_artamonov_glavnyy_pokazatel_effektivnosti_raboty_vlasti_udovletvorennost_lyudey/?sphrase_id=1208682" TargetMode="External"/><Relationship Id="rId580" Type="http://schemas.openxmlformats.org/officeDocument/2006/relationships/hyperlink" Target="mailto:Marina.Chistopolova@tatar.ru" TargetMode="External"/><Relationship Id="rId801" Type="http://schemas.openxmlformats.org/officeDocument/2006/relationships/hyperlink" Target="https://www.gks.ru/scripts/db_inet2/passport/table.aspx?opt=718161542019" TargetMode="External"/><Relationship Id="rId1017" Type="http://schemas.openxmlformats.org/officeDocument/2006/relationships/hyperlink" Target="https://www.youtube.com/watch?v=zUafcIxOgqI" TargetMode="External"/><Relationship Id="rId1" Type="http://schemas.openxmlformats.org/officeDocument/2006/relationships/hyperlink" Target="http://www.minfin01-maykop.ru/Show/Category/7?ItemId=55" TargetMode="External"/><Relationship Id="rId233" Type="http://schemas.openxmlformats.org/officeDocument/2006/relationships/hyperlink" Target="https://&#1094;&#1084;&#1087;&#1080;.&#1088;&#1092;/" TargetMode="External"/><Relationship Id="rId440" Type="http://schemas.openxmlformats.org/officeDocument/2006/relationships/hyperlink" Target="http://&#1073;&#1091;&#1079;&#1091;&#1083;&#1091;&#1082;.&#1088;&#1092;/sites/default/files/files/2016/1510/20.08.2019_no1253-p.docx" TargetMode="External"/><Relationship Id="rId678" Type="http://schemas.openxmlformats.org/officeDocument/2006/relationships/hyperlink" Target="mailto:zkh@saradmin.udmnet.ru" TargetMode="External"/><Relationship Id="rId885" Type="http://schemas.openxmlformats.org/officeDocument/2006/relationships/hyperlink" Target="http://www.admsr.ru/upload/iblock/65b/3257_npa.docx" TargetMode="External"/><Relationship Id="rId1070" Type="http://schemas.openxmlformats.org/officeDocument/2006/relationships/hyperlink" Target="mailto:KonovalovaEA@df.gov35.ru" TargetMode="External"/><Relationship Id="rId28" Type="http://schemas.openxmlformats.org/officeDocument/2006/relationships/hyperlink" Target="http://&#1072;&#1083;&#1090;&#1072;&#1081;&#1087;&#1088;&#1077;&#1076;&#1083;&#1072;&#1075;&#1072;&#1081;.&#1088;&#1092;/documents/vspomogatelnie-material/" TargetMode="External"/><Relationship Id="rId300" Type="http://schemas.openxmlformats.org/officeDocument/2006/relationships/hyperlink" Target="mailto:vv_nikiforov@lenreg.ru" TargetMode="External"/><Relationship Id="rId538" Type="http://schemas.openxmlformats.org/officeDocument/2006/relationships/hyperlink" Target="https://vk.com/club51180168?z=photo-51180168_301206419%2Falbum-51180168_0%2Frev" TargetMode="External"/><Relationship Id="rId745" Type="http://schemas.openxmlformats.org/officeDocument/2006/relationships/hyperlink" Target="http://bsizgan.ulregion.ru/econom/bjudzhet_rajona/narod-budzhet.html" TargetMode="External"/><Relationship Id="rId952" Type="http://schemas.openxmlformats.org/officeDocument/2006/relationships/hyperlink" Target="http://adminshur.ru/budjetnaya_iniciativa_grajdan_2019" TargetMode="External"/><Relationship Id="rId81" Type="http://schemas.openxmlformats.org/officeDocument/2006/relationships/hyperlink" Target="mailto:Yunusova.lr@bashkortostan.ru" TargetMode="External"/><Relationship Id="rId177" Type="http://schemas.openxmlformats.org/officeDocument/2006/relationships/hyperlink" Target="mailto:kaz-kazakovskay@mail.ru" TargetMode="External"/><Relationship Id="rId384" Type="http://schemas.openxmlformats.org/officeDocument/2006/relationships/hyperlink" Target="https://pib.sakhminfin.ru/show/ppi" TargetMode="External"/><Relationship Id="rId591" Type="http://schemas.openxmlformats.org/officeDocument/2006/relationships/hyperlink" Target="http://newalexandrovsk.ru/upload/iblock/da3/da3836c2c102e07f37151d847ab25a69.pdf" TargetMode="External"/><Relationship Id="rId605" Type="http://schemas.openxmlformats.org/officeDocument/2006/relationships/hyperlink" Target="http://ufo.ulntc.ru/index.php?mgf=ppmi/npa" TargetMode="External"/><Relationship Id="rId812" Type="http://schemas.openxmlformats.org/officeDocument/2006/relationships/hyperlink" Target="mailto:lugovoikonda@mail.ru" TargetMode="External"/><Relationship Id="rId1028" Type="http://schemas.openxmlformats.org/officeDocument/2006/relationships/hyperlink" Target="https://minfin.astrobl.ru/site-page/vedomstvennye-celevye-programmy-vcp" TargetMode="External"/><Relationship Id="rId244" Type="http://schemas.openxmlformats.org/officeDocument/2006/relationships/hyperlink" Target="https://&#1094;&#1084;&#1087;&#1080;.&#1088;&#1092;/proekty/" TargetMode="External"/><Relationship Id="rId689" Type="http://schemas.openxmlformats.org/officeDocument/2006/relationships/hyperlink" Target="https://www.mo-veshkaima.ru/view_news.php?id=20102" TargetMode="External"/><Relationship Id="rId896" Type="http://schemas.openxmlformats.org/officeDocument/2006/relationships/hyperlink" Target="http://gov.cap.ru/SiteMap.aspx?gov_id=916&amp;id=2735344&amp;title=Iniciativnoe_byudzhetirovanie_v_g._Cheboksari" TargetMode="External"/><Relationship Id="rId39" Type="http://schemas.openxmlformats.org/officeDocument/2006/relationships/hyperlink" Target="http://www.arhcity.ru/?page=2373/1" TargetMode="External"/><Relationship Id="rId451" Type="http://schemas.openxmlformats.org/officeDocument/2006/relationships/hyperlink" Target="mailto:foa_adm@mail.ru" TargetMode="External"/><Relationship Id="rId549" Type="http://schemas.openxmlformats.org/officeDocument/2006/relationships/hyperlink" Target="https://vk.com/nkootr?w=wall-170038948_403" TargetMode="External"/><Relationship Id="rId756" Type="http://schemas.openxmlformats.org/officeDocument/2006/relationships/hyperlink" Target="mailto:cherdaklyuf@mail.ru" TargetMode="External"/><Relationship Id="rId104" Type="http://schemas.openxmlformats.org/officeDocument/2006/relationships/hyperlink" Target="https://belg.gks.ru/population" TargetMode="External"/><Relationship Id="rId188" Type="http://schemas.openxmlformats.org/officeDocument/2006/relationships/hyperlink" Target="mailto:zubovasb@adm.kaluga.ru" TargetMode="External"/><Relationship Id="rId311" Type="http://schemas.openxmlformats.org/officeDocument/2006/relationships/hyperlink" Target="https://minfin.sakha.gov.ru/uploads/ckfinder/userfiles/files/%D0%BF%D0%BE%D1%81%D1%82%D0%B0%D0%BD%D0%BE%D0%B2%D0%BB%D0%B5%D0%BD%D0%B8%D0%B5%202019.pdf" TargetMode="External"/><Relationship Id="rId395" Type="http://schemas.openxmlformats.org/officeDocument/2006/relationships/hyperlink" Target="mailto:dolg@depfin.adm44.ru" TargetMode="External"/><Relationship Id="rId409" Type="http://schemas.openxmlformats.org/officeDocument/2006/relationships/hyperlink" Target="https://lipstat.gks.ru/storage/mediabank/%D0%AD%D0%BA%D1%81%D0%BF%D1%80%D0%B5%D1%81%D1%81_%D0%BF%D1%80%D0%B5%D0%B4%D0%B22020.pdf" TargetMode="External"/><Relationship Id="rId963" Type="http://schemas.openxmlformats.org/officeDocument/2006/relationships/hyperlink" Target="http://mo-aksarka.ru/documents/1434.html" TargetMode="External"/><Relationship Id="rId1039" Type="http://schemas.openxmlformats.org/officeDocument/2006/relationships/hyperlink" Target="https://akstat.gks.ru/folder/33349" TargetMode="External"/><Relationship Id="rId92" Type="http://schemas.openxmlformats.org/officeDocument/2006/relationships/hyperlink" Target="https://bashstat.gks.ru/folder/25491" TargetMode="External"/><Relationship Id="rId616" Type="http://schemas.openxmlformats.org/officeDocument/2006/relationships/hyperlink" Target="https://guvp.khabkrai.ru/" TargetMode="External"/><Relationship Id="rId823" Type="http://schemas.openxmlformats.org/officeDocument/2006/relationships/hyperlink" Target="http://adm-polov.ru/informaciya.html" TargetMode="External"/><Relationship Id="rId255" Type="http://schemas.openxmlformats.org/officeDocument/2006/relationships/hyperlink" Target="mailto:bud_komfin@novreg.ru" TargetMode="External"/><Relationship Id="rId462" Type="http://schemas.openxmlformats.org/officeDocument/2006/relationships/hyperlink" Target="http://finotdnovoorsk.ru/postanovlenie-o-narodnom-byudzhete" TargetMode="External"/><Relationship Id="rId115" Type="http://schemas.openxmlformats.org/officeDocument/2006/relationships/hyperlink" Target="mailto:avb@volgafin.ru" TargetMode="External"/><Relationship Id="rId322" Type="http://schemas.openxmlformats.org/officeDocument/2006/relationships/hyperlink" Target="https://www.samregion.ru/open_government/institutions-gubernatorskij-proekt-sodejstvie/" TargetMode="External"/><Relationship Id="rId767" Type="http://schemas.openxmlformats.org/officeDocument/2006/relationships/hyperlink" Target="https://crowd.admhmansy.ru/" TargetMode="External"/><Relationship Id="rId974" Type="http://schemas.openxmlformats.org/officeDocument/2006/relationships/hyperlink" Target="http://adminbelka.ru/byudzhetnaya-iniciativa-grazhdan.html" TargetMode="External"/><Relationship Id="rId199" Type="http://schemas.openxmlformats.org/officeDocument/2006/relationships/hyperlink" Target="http://old.gov.karelia.ru/Projects/Initiatives/" TargetMode="External"/><Relationship Id="rId627" Type="http://schemas.openxmlformats.org/officeDocument/2006/relationships/hyperlink" Target="http://www.udmurt.ru/regulatory/index.php?typeid=31183294&amp;regnum=196&amp;sdate=21.05.2019&amp;edate=&amp;sdatepub=&amp;edatepub=&amp;q=&amp;doccnt=" TargetMode="External"/><Relationship Id="rId834" Type="http://schemas.openxmlformats.org/officeDocument/2006/relationships/hyperlink" Target="http://www.admoil.ru/narodnyj-byudzhet" TargetMode="External"/><Relationship Id="rId266" Type="http://schemas.openxmlformats.org/officeDocument/2006/relationships/hyperlink" Target="https://kurskstat.gks.ru/" TargetMode="External"/><Relationship Id="rId473" Type="http://schemas.openxmlformats.org/officeDocument/2006/relationships/hyperlink" Target="mailto:ponomrf@mail.ru" TargetMode="External"/><Relationship Id="rId680" Type="http://schemas.openxmlformats.org/officeDocument/2006/relationships/hyperlink" Target="http://barysh.org/city/finance/narodnyi_budget/" TargetMode="External"/><Relationship Id="rId901" Type="http://schemas.openxmlformats.org/officeDocument/2006/relationships/hyperlink" Target="https://df.salekhard.org/byudzhetnaya-initsiativa-grazhdan/" TargetMode="External"/><Relationship Id="rId30" Type="http://schemas.openxmlformats.org/officeDocument/2006/relationships/hyperlink" Target="mailto:init@fin22.ru" TargetMode="External"/><Relationship Id="rId126" Type="http://schemas.openxmlformats.org/officeDocument/2006/relationships/hyperlink" Target="mailto:bud@vladfin.ru" TargetMode="External"/><Relationship Id="rId333" Type="http://schemas.openxmlformats.org/officeDocument/2006/relationships/hyperlink" Target="https://youtu.be/MFAABUpO15k" TargetMode="External"/><Relationship Id="rId540" Type="http://schemas.openxmlformats.org/officeDocument/2006/relationships/hyperlink" Target="mailto:cssr-nsk@bk.ru" TargetMode="External"/><Relationship Id="rId778" Type="http://schemas.openxmlformats.org/officeDocument/2006/relationships/hyperlink" Target="mailto:ahmetchinann@admbel.ru" TargetMode="External"/><Relationship Id="rId985" Type="http://schemas.openxmlformats.org/officeDocument/2006/relationships/hyperlink" Target="mailto:kohanovich@yamalfin.ru" TargetMode="External"/><Relationship Id="rId638" Type="http://schemas.openxmlformats.org/officeDocument/2006/relationships/hyperlink" Target="http://www.agro.cap.ru/action/activity/iniciativnoe-byudzhetirovanie" TargetMode="External"/><Relationship Id="rId845" Type="http://schemas.openxmlformats.org/officeDocument/2006/relationships/hyperlink" Target="https://vk.com/wall-166261622_2643" TargetMode="External"/><Relationship Id="rId1030" Type="http://schemas.openxmlformats.org/officeDocument/2006/relationships/hyperlink" Target="http://pravo-astrobl.ru/wp-content/plugins/pdfjs-viewer-shortcode/web/viewer.php?file=http://pravo-astrobl.ru/wp-content/uploads/2019/08/a95877297b4cde9d76c93e14b4d484e7.pdf&amp;download=1&amp;print=true&amp;openfile=true" TargetMode="External"/><Relationship Id="rId277" Type="http://schemas.openxmlformats.org/officeDocument/2006/relationships/hyperlink" Target="mailto:goa@mvp.kreml.nnov.ru" TargetMode="External"/><Relationship Id="rId400" Type="http://schemas.openxmlformats.org/officeDocument/2006/relationships/hyperlink" Target="consultantplus://offline/ref=55AB044EF2AE989F64BAC01863E5C4A9ADFF11BADF275679A20855BC8E46D11C9C7059606921C791BA63221FB7AD46C4F510AAEFFC56605E2760CEN9c9M" TargetMode="External"/><Relationship Id="rId484" Type="http://schemas.openxmlformats.org/officeDocument/2006/relationships/hyperlink" Target="mailto:prikhodko@minfin.donland.ru" TargetMode="External"/><Relationship Id="rId705" Type="http://schemas.openxmlformats.org/officeDocument/2006/relationships/hyperlink" Target="https://www.mo-veshkaima.ru/view_news.php?id=20102" TargetMode="External"/><Relationship Id="rId137" Type="http://schemas.openxmlformats.org/officeDocument/2006/relationships/hyperlink" Target="https://voronezhstat.gks.ru/" TargetMode="External"/><Relationship Id="rId344" Type="http://schemas.openxmlformats.org/officeDocument/2006/relationships/hyperlink" Target="http://energy.midural.ru/gosudarstvennaya-programma/" TargetMode="External"/><Relationship Id="rId691" Type="http://schemas.openxmlformats.org/officeDocument/2006/relationships/hyperlink" Target="http://dimitrovgradpress.ru/index.php?option=com_content&amp;view=article&amp;id=2583:607&amp;catid=9&amp;Itemid=103" TargetMode="External"/><Relationship Id="rId789" Type="http://schemas.openxmlformats.org/officeDocument/2006/relationships/hyperlink" Target="http://admkonda.ru/normativno-pravovye-akty-nb-mejd.html" TargetMode="External"/><Relationship Id="rId912" Type="http://schemas.openxmlformats.org/officeDocument/2006/relationships/hyperlink" Target="mailto:sannikov@depfinnbr.ru" TargetMode="External"/><Relationship Id="rId996" Type="http://schemas.openxmlformats.org/officeDocument/2006/relationships/hyperlink" Target="mailto:kohanovich@yamalfin.ru" TargetMode="External"/><Relationship Id="rId41" Type="http://schemas.openxmlformats.org/officeDocument/2006/relationships/hyperlink" Target="https://&#1073;&#1102;&#1076;&#1078;&#1077;&#1090;&#1090;&#1074;&#1086;&#1080;&#1093;&#1074;&#1086;&#1079;&#1084;&#1086;&#1078;&#1085;&#1086;&#1089;&#1090;&#1077;&#1081;.&#1088;&#1092;/" TargetMode="External"/><Relationship Id="rId551" Type="http://schemas.openxmlformats.org/officeDocument/2006/relationships/hyperlink" Target="http://www.bezenchukgp.ru/file_download/3582/Vestnik+10+%28154%29++22.05.2019.docx" TargetMode="External"/><Relationship Id="rId649" Type="http://schemas.openxmlformats.org/officeDocument/2006/relationships/hyperlink" Target="https://admtyumen.ru/ogv_ru/finance/programs/program.htm?id=1138@egTargetGrant" TargetMode="External"/><Relationship Id="rId856" Type="http://schemas.openxmlformats.org/officeDocument/2006/relationships/hyperlink" Target="https://www.n-vartovsk.ru/ibudget/" TargetMode="External"/><Relationship Id="rId190" Type="http://schemas.openxmlformats.org/officeDocument/2006/relationships/hyperlink" Target="http://kalugastat.old.gks.ru/wps/wcm/connect/rosstat_ts/kalugastat/ru/statistics/population/" TargetMode="External"/><Relationship Id="rId204" Type="http://schemas.openxmlformats.org/officeDocument/2006/relationships/hyperlink" Target="https://admoblkaluga.ru/sub/minsocial/soczash/semia/dem_atlas/chislennost-naseleni.php" TargetMode="External"/><Relationship Id="rId288" Type="http://schemas.openxmlformats.org/officeDocument/2006/relationships/hyperlink" Target="mailto:tssh@mail.orb.ru" TargetMode="External"/><Relationship Id="rId411" Type="http://schemas.openxmlformats.org/officeDocument/2006/relationships/hyperlink" Target="https://admnvrsk.ru/dokumenty/dokumenty-administratsii/normativnye-pravovye-akty/postanovlenija/document-20190620114643-159789/?sphrase_id=10454" TargetMode="External"/><Relationship Id="rId509" Type="http://schemas.openxmlformats.org/officeDocument/2006/relationships/hyperlink" Target="mailto:LunevAV@samadm.ru" TargetMode="External"/><Relationship Id="rId1041" Type="http://schemas.openxmlformats.org/officeDocument/2006/relationships/hyperlink" Target="https://akstat.gks.ru/folder/33349" TargetMode="External"/><Relationship Id="rId495" Type="http://schemas.openxmlformats.org/officeDocument/2006/relationships/hyperlink" Target="mailto:SolovevaOE@samadm.ru" TargetMode="External"/><Relationship Id="rId716" Type="http://schemas.openxmlformats.org/officeDocument/2006/relationships/hyperlink" Target="http://www.novospasskoe-city.ru/news/v_kinoteatre_oktjabr_idut_remontnye_raboty/2019-11-13-16813" TargetMode="External"/><Relationship Id="rId923" Type="http://schemas.openxmlformats.org/officeDocument/2006/relationships/hyperlink" Target="http://www.gks.ru/scripts/db_inet2/passport/pass.aspx?base=munst71&amp;r=71952000" TargetMode="External"/><Relationship Id="rId52" Type="http://schemas.openxmlformats.org/officeDocument/2006/relationships/hyperlink" Target="https://bashstat.gks.ru/folder/25491" TargetMode="External"/><Relationship Id="rId148" Type="http://schemas.openxmlformats.org/officeDocument/2006/relationships/hyperlink" Target="mailto:ivnesterenko@govvrn.ru" TargetMode="External"/><Relationship Id="rId355" Type="http://schemas.openxmlformats.org/officeDocument/2006/relationships/hyperlink" Target="http://gkh.kurganobl.ru/wp-content/uploads/2017/09/&#1054;-&#1075;&#1086;&#1089;&#1091;&#1076;&#1072;&#1088;&#1089;&#1090;&#1074;&#1077;&#1085;&#1085;&#1086;&#1081;-&#1087;&#1088;&#1086;&#1075;&#1088;&#1072;&#1084;&#1084;&#1077;-&#1050;&#1091;&#1088;&#1075;&#1072;&#1085;&#1089;&#1082;&#1086;&#1081;-&#1086;&#1073;&#1083;&#1072;&#1089;&#1090;&#1080;-&#1060;&#1086;&#1088;&#1084;&#1080;&#1088;&#1086;&#1074;&#1072;&#1085;&#1080;&#1077;-&#1082;&#1086;&#1084;&#1092;&#1086;&#1088;&#1090;&#1085;&#1086;&#1081;-&#1075;&#1086;&#1088;-&#1089;&#1088;&#1077;&#1076;&#1099;-&#1085;&#1072;-2018-2022-&#1075;&#1086;&#1076;&#1099;-7.pdf" TargetMode="External"/><Relationship Id="rId562" Type="http://schemas.openxmlformats.org/officeDocument/2006/relationships/hyperlink" Target="https://tmsk.gks.ru/storage/mediabank/%D0%A7%D0%B8%D1%81%D0%BB%D0%B5%D0%BD%D0%BD%D0%BE%D1%81%D1%82%D1%8C%20%D0%BD%D0%B0%D1%81%D0%B5%D0%BB%D0%B5%D0%BD%D0%B8%D1%8F(12).pdf" TargetMode="External"/><Relationship Id="rId215" Type="http://schemas.openxmlformats.org/officeDocument/2006/relationships/hyperlink" Target="http://admmaloyaroslavec.ru/ru/programma-podderzhki-mestnyh-iniciativ" TargetMode="External"/><Relationship Id="rId422" Type="http://schemas.openxmlformats.org/officeDocument/2006/relationships/hyperlink" Target="http://orel.old.gks.ru/wps/wcm/connect/rosstat_ts/orel/ru/statistics/population/" TargetMode="External"/><Relationship Id="rId867" Type="http://schemas.openxmlformats.org/officeDocument/2006/relationships/hyperlink" Target="mailto:LashovaEA@hmrn.ru" TargetMode="External"/><Relationship Id="rId1052" Type="http://schemas.openxmlformats.org/officeDocument/2006/relationships/hyperlink" Target="http://www.udmurt.ru/regulatory/index.php?typeid=31183294&amp;regnum=196&amp;sdate=21.05.2019&amp;edate=&amp;sdatepub=&amp;edatepub=&amp;q=&amp;doccnt=" TargetMode="External"/><Relationship Id="rId299" Type="http://schemas.openxmlformats.org/officeDocument/2006/relationships/hyperlink" Target="https://msu.lenobl.ru/ru/" TargetMode="External"/><Relationship Id="rId727" Type="http://schemas.openxmlformats.org/officeDocument/2006/relationships/hyperlink" Target="mailto:fin.ot@mail.ru" TargetMode="External"/><Relationship Id="rId934" Type="http://schemas.openxmlformats.org/officeDocument/2006/relationships/hyperlink" Target="http://pangody.org/index.php/&#1080;&#1085;&#1092;&#1086;&#1088;&#1084;&#1072;&#1094;&#1080;&#1103;/&#1073;&#1102;&#1076;&#1078;&#1077;&#1090;&#1085;&#1072;&#1103;-&#1080;&#1085;&#1080;&#1094;&#1080;&#1072;&#1090;&#1080;&#1074;&#1072;-&#1075;&#1088;&#1072;&#1078;&#1076;&#1072;&#1085;" TargetMode="External"/><Relationship Id="rId63" Type="http://schemas.openxmlformats.org/officeDocument/2006/relationships/hyperlink" Target="mailto:Yunusova.LR@bashkortostan.ru" TargetMode="External"/><Relationship Id="rId159" Type="http://schemas.openxmlformats.org/officeDocument/2006/relationships/hyperlink" Target="https://okuvshinnikov.ru/prog/programma_gubernatora_narodnyj_byudzhet/" TargetMode="External"/><Relationship Id="rId366" Type="http://schemas.openxmlformats.org/officeDocument/2006/relationships/hyperlink" Target="http://www.socialkirov.ru/social/root/ppmi/Info.htm" TargetMode="External"/><Relationship Id="rId573" Type="http://schemas.openxmlformats.org/officeDocument/2006/relationships/hyperlink" Target="http://agro.tmbreg.ru/files/doc/PAO-2013-1314.pdf" TargetMode="External"/><Relationship Id="rId780" Type="http://schemas.openxmlformats.org/officeDocument/2006/relationships/hyperlink" Target="mailto:ahmetchinann@admbel.ru" TargetMode="External"/><Relationship Id="rId226" Type="http://schemas.openxmlformats.org/officeDocument/2006/relationships/hyperlink" Target="https://krasstat.gks.ru/folder/39102" TargetMode="External"/><Relationship Id="rId433" Type="http://schemas.openxmlformats.org/officeDocument/2006/relationships/hyperlink" Target="http://docs.cntd.ru/document/444971152" TargetMode="External"/><Relationship Id="rId878" Type="http://schemas.openxmlformats.org/officeDocument/2006/relationships/hyperlink" Target="mailto:djadkinaeg@admradugny.ru" TargetMode="External"/><Relationship Id="rId1063" Type="http://schemas.openxmlformats.org/officeDocument/2006/relationships/hyperlink" Target="https://yadi.sk/d/arZkxRQtzUkxNA" TargetMode="External"/><Relationship Id="rId640" Type="http://schemas.openxmlformats.org/officeDocument/2006/relationships/hyperlink" Target="http://www.cap.ru/doc/laws/2018/07/02/decree_311127/" TargetMode="External"/><Relationship Id="rId738" Type="http://schemas.openxmlformats.org/officeDocument/2006/relationships/hyperlink" Target="mailto:cherdaklyuf@mail.ru" TargetMode="External"/><Relationship Id="rId945" Type="http://schemas.openxmlformats.org/officeDocument/2006/relationships/hyperlink" Target="mailto:kohanovich@yamalfin.ru" TargetMode="External"/><Relationship Id="rId74" Type="http://schemas.openxmlformats.org/officeDocument/2006/relationships/hyperlink" Target="http://bakaly-sp.ru/category/news/next/7" TargetMode="External"/><Relationship Id="rId377" Type="http://schemas.openxmlformats.org/officeDocument/2006/relationships/hyperlink" Target="https://yadi.sk/d/uWkKQGPwE_uIJw" TargetMode="External"/><Relationship Id="rId500" Type="http://schemas.openxmlformats.org/officeDocument/2006/relationships/hyperlink" Target="mailto:ProvkinaSV@samadm.ru" TargetMode="External"/><Relationship Id="rId584" Type="http://schemas.openxmlformats.org/officeDocument/2006/relationships/hyperlink" Target="mailto:Z.Muhamedyarova@tatar.ru" TargetMode="External"/><Relationship Id="rId805" Type="http://schemas.openxmlformats.org/officeDocument/2006/relationships/hyperlink" Target="mailto:adm-mortka@mail.ru" TargetMode="External"/><Relationship Id="rId5" Type="http://schemas.openxmlformats.org/officeDocument/2006/relationships/hyperlink" Target="https://www.youtube.com/watch?v=oSSRFF3AzgY&amp;feature=youtu.be" TargetMode="External"/><Relationship Id="rId237" Type="http://schemas.openxmlformats.org/officeDocument/2006/relationships/hyperlink" Target="https://&#1094;&#1084;&#1087;&#1080;.&#1088;&#1092;/proekty/doroga-k-domu/" TargetMode="External"/><Relationship Id="rId791" Type="http://schemas.openxmlformats.org/officeDocument/2006/relationships/hyperlink" Target="http://www.admkonda.ru/documents/10031.html" TargetMode="External"/><Relationship Id="rId889" Type="http://schemas.openxmlformats.org/officeDocument/2006/relationships/hyperlink" Target="mailto:homichlv@admsr.ru" TargetMode="External"/><Relationship Id="rId1074" Type="http://schemas.openxmlformats.org/officeDocument/2006/relationships/hyperlink" Target="mailto:uios@vologda-city.ru" TargetMode="External"/><Relationship Id="rId444" Type="http://schemas.openxmlformats.org/officeDocument/2006/relationships/hyperlink" Target="http://&#1073;&#1091;&#1079;&#1091;&#1083;&#1091;&#1082;.&#1088;&#1092;/%D0%BE%D0%BF%D1%80%D0%BE%D1%81/%D0%BA%D0%B0%D0%BA-%D0%B2%D1%8B-%D1%81%D1%87%D0%B8%D1%82%D0%B0%D0%B5%D1%82%D0%B5-%D0%B2-%D0%BA%D0%B0%D0%BA%D0%BE%D0%BC-%D0%B8%D0%B7-%D0%BF%D0%B5%D1%80%D0%B5%D1%87%D0%B8%D1%81%D0%BB%D0%B5%D0%BD%D0%BD%D1%8B%D1%85-%D1%80%D0%B0%D0%B9%D0%BE%D0%BD%D0%BE%D0%B2-%D0%B3%D0%BE%D1%80%D0%BE%D0%B4%D0%B0-%D0%B1%D1%83%D0%B7%D1%83%D0%BB%D1%83%D0%BA%D0%B0-%D0%BD%D0%B5%D0%BE%D0%B1%D1%85%D0%BE%D0%B4%D0%B8%D0%BC%D0%BE-%D1%80%D0%B5%D0%B0%D0%BB%D0%B8%D0%B7%D0%BE%D0%B2%D0%B0%D1%82%D1%8C-%D0%BF%D1%80%D0%BE%D0%B5%D0%BA%D1%82" TargetMode="External"/><Relationship Id="rId651" Type="http://schemas.openxmlformats.org/officeDocument/2006/relationships/hyperlink" Target="http://gorodsreda.ru/" TargetMode="External"/><Relationship Id="rId749" Type="http://schemas.openxmlformats.org/officeDocument/2006/relationships/hyperlink" Target="http://www.b-nagatkinskoe.ru/" TargetMode="External"/><Relationship Id="rId290" Type="http://schemas.openxmlformats.org/officeDocument/2006/relationships/hyperlink" Target="https://orenstat.gks.ru/folder/26298" TargetMode="External"/><Relationship Id="rId304" Type="http://schemas.openxmlformats.org/officeDocument/2006/relationships/hyperlink" Target="https://komi.gks.ru/population%20&#1085;&#1072;%2001.01.2020" TargetMode="External"/><Relationship Id="rId388" Type="http://schemas.openxmlformats.org/officeDocument/2006/relationships/hyperlink" Target="https://gks.ru/compendium/document/13282" TargetMode="External"/><Relationship Id="rId511" Type="http://schemas.openxmlformats.org/officeDocument/2006/relationships/hyperlink" Target="https://twitter.com/Leninski_golos" TargetMode="External"/><Relationship Id="rId609" Type="http://schemas.openxmlformats.org/officeDocument/2006/relationships/hyperlink" Target="https://minsh.khabkrai.ru/events/Informaciya-o-konkursah/1583" TargetMode="External"/><Relationship Id="rId956" Type="http://schemas.openxmlformats.org/officeDocument/2006/relationships/hyperlink" Target="mailto:glava-07@mail.ru" TargetMode="External"/><Relationship Id="rId85" Type="http://schemas.openxmlformats.org/officeDocument/2006/relationships/hyperlink" Target="mailto:bur_rfu@ufamts.ru" TargetMode="External"/><Relationship Id="rId150" Type="http://schemas.openxmlformats.org/officeDocument/2006/relationships/hyperlink" Target="http://pravo.govvrn.ru/?q=node/1170" TargetMode="External"/><Relationship Id="rId595" Type="http://schemas.openxmlformats.org/officeDocument/2006/relationships/hyperlink" Target="http://www.yarregion.ru/depts/drp/Documents/&#1059;&#1082;&#1072;&#1079;%20&#1043;&#1091;&#1073;&#1077;&#1088;&#1085;&#1072;&#1090;&#1086;&#1088;&#1072;%20&#1071;&#1054;%20&#8470;%2050%20(&#1074;%20&#1088;&#1077;&#1076;.%20&#8470;141).DOCX" TargetMode="External"/><Relationship Id="rId816" Type="http://schemas.openxmlformats.org/officeDocument/2006/relationships/hyperlink" Target="http://admmul.ru/documents/1805.html" TargetMode="External"/><Relationship Id="rId1001" Type="http://schemas.openxmlformats.org/officeDocument/2006/relationships/hyperlink" Target="https://www.&#1078;&#1080;&#1074;&#1105;&#1084;&#1085;&#1072;&#1089;&#1077;&#1074;&#1077;&#1088;&#1077;.&#1088;&#1092;/solve/archive/1282/" TargetMode="External"/><Relationship Id="rId248" Type="http://schemas.openxmlformats.org/officeDocument/2006/relationships/hyperlink" Target="https://&#1094;&#1084;&#1087;&#1080;.&#1088;&#1092;/" TargetMode="External"/><Relationship Id="rId455" Type="http://schemas.openxmlformats.org/officeDocument/2006/relationships/hyperlink" Target="mailto:asfin@inbox.ru" TargetMode="External"/><Relationship Id="rId662" Type="http://schemas.openxmlformats.org/officeDocument/2006/relationships/hyperlink" Target="https://vk.com/andreikoniashin" TargetMode="External"/><Relationship Id="rId12" Type="http://schemas.openxmlformats.org/officeDocument/2006/relationships/hyperlink" Target="mailto:gnezdilova@minfin.gorny.ru" TargetMode="External"/><Relationship Id="rId108" Type="http://schemas.openxmlformats.org/officeDocument/2006/relationships/hyperlink" Target="http://www.budget-belrn.ru/images/Zakon/Belgorodskiy_rayon/metod_rekom_particip_bud.pdf" TargetMode="External"/><Relationship Id="rId315" Type="http://schemas.openxmlformats.org/officeDocument/2006/relationships/hyperlink" Target="https://vk.com/terin12" TargetMode="External"/><Relationship Id="rId522" Type="http://schemas.openxmlformats.org/officeDocument/2006/relationships/hyperlink" Target="https://samadm.ru/docs/official-publication/21680/" TargetMode="External"/><Relationship Id="rId967" Type="http://schemas.openxmlformats.org/officeDocument/2006/relationships/hyperlink" Target="mailto:kohanovich@yamalfin.ru" TargetMode="External"/><Relationship Id="rId96" Type="http://schemas.openxmlformats.org/officeDocument/2006/relationships/hyperlink" Target="https://bashstat.gks.ru/folder/25491" TargetMode="External"/><Relationship Id="rId161" Type="http://schemas.openxmlformats.org/officeDocument/2006/relationships/hyperlink" Target="http://krassever.ru/tag?keyword=%C2%AB%D0%9D%D0%B0%D1%80%D0%BE%D0%B4%D0%BD%D1%8B%D0%B9%20%D0%B1%D1%8E%D0%B4%D0%B6%D0%B5%D1%82%C2%BB" TargetMode="External"/><Relationship Id="rId399" Type="http://schemas.openxmlformats.org/officeDocument/2006/relationships/hyperlink" Target="mailto:dolg@depfin.adm44.ru" TargetMode="External"/><Relationship Id="rId827" Type="http://schemas.openxmlformats.org/officeDocument/2006/relationships/hyperlink" Target="mailto:admbol2016@mail.ru" TargetMode="External"/><Relationship Id="rId1012" Type="http://schemas.openxmlformats.org/officeDocument/2006/relationships/hyperlink" Target="http://hanimey.ru/realizovannye-iniciativy.html" TargetMode="External"/><Relationship Id="rId259" Type="http://schemas.openxmlformats.org/officeDocument/2006/relationships/hyperlink" Target="https://jkh.novreg.ru/documents/129.html" TargetMode="External"/><Relationship Id="rId466" Type="http://schemas.openxmlformats.org/officeDocument/2006/relationships/hyperlink" Target="https://ok.ru/group/55033267880141/topic/144179921808333" TargetMode="External"/><Relationship Id="rId673" Type="http://schemas.openxmlformats.org/officeDocument/2006/relationships/hyperlink" Target="http://www.mozhga-rayon.ru/about/info/initsiativnoe-byudzhetirovanie-nashe-selo/" TargetMode="External"/><Relationship Id="rId880" Type="http://schemas.openxmlformats.org/officeDocument/2006/relationships/hyperlink" Target="http://budget.admsurgut.ru/budget/330738467" TargetMode="External"/><Relationship Id="rId23" Type="http://schemas.openxmlformats.org/officeDocument/2006/relationships/hyperlink" Target="http://docs.cntd.ru/document/444790925" TargetMode="External"/><Relationship Id="rId119" Type="http://schemas.openxmlformats.org/officeDocument/2006/relationships/hyperlink" Target="http://minfin.kalmregion.ru/deyatelnost/gosudarstvennaya-programma-rk-upravlenie-gosudarstvennymi-finansami-rk-na-2013-2020-gody/" TargetMode="External"/><Relationship Id="rId326" Type="http://schemas.openxmlformats.org/officeDocument/2006/relationships/hyperlink" Target="https://minfin.saratov.gov.ru/index.php?option=com_acrfilestorage&amp;task=download&amp;on=2060" TargetMode="External"/><Relationship Id="rId533" Type="http://schemas.openxmlformats.org/officeDocument/2006/relationships/hyperlink" Target="https://vk.com/rescentrsyz" TargetMode="External"/><Relationship Id="rId978" Type="http://schemas.openxmlformats.org/officeDocument/2006/relationships/hyperlink" Target="mailto:kohanovich@yamalfin.ru" TargetMode="External"/><Relationship Id="rId740" Type="http://schemas.openxmlformats.org/officeDocument/2006/relationships/hyperlink" Target="https://uln.gks.ru/folder/40275" TargetMode="External"/><Relationship Id="rId838" Type="http://schemas.openxmlformats.org/officeDocument/2006/relationships/hyperlink" Target="https://clck.ru/Mj3DX" TargetMode="External"/><Relationship Id="rId1023" Type="http://schemas.openxmlformats.org/officeDocument/2006/relationships/hyperlink" Target="mailto:kohanovich@yamalfin.ru" TargetMode="External"/><Relationship Id="rId172" Type="http://schemas.openxmlformats.org/officeDocument/2006/relationships/hyperlink" Target="https://stavstat.gks.ru/folder/29768?print=1" TargetMode="External"/><Relationship Id="rId477" Type="http://schemas.openxmlformats.org/officeDocument/2006/relationships/hyperlink" Target="mailto:raifo@esoo.ru" TargetMode="External"/><Relationship Id="rId600" Type="http://schemas.openxmlformats.org/officeDocument/2006/relationships/hyperlink" Target="http://ufo.ulntc.ru/index.php?mgf=ppmi/proekt" TargetMode="External"/><Relationship Id="rId684" Type="http://schemas.openxmlformats.org/officeDocument/2006/relationships/hyperlink" Target="https://www.mo-veshkaima.ru/view_news.php?id=20102" TargetMode="External"/><Relationship Id="rId337" Type="http://schemas.openxmlformats.org/officeDocument/2006/relationships/hyperlink" Target="http://ppmi.sakha.gov.ru/" TargetMode="External"/><Relationship Id="rId891" Type="http://schemas.openxmlformats.org/officeDocument/2006/relationships/hyperlink" Target="http://www.adm.ugorsk.ru/regulatory/npa/4985/?arrFilter_ff%5BNAME%5D=&amp;arrFilter_pf%5Bno%5D=2056&amp;arrFilter_pf%5Bst%5D=&amp;arrFilter_pf%5Bpd%5D=&amp;arrFilter_pf%5Brg%5D=&amp;set_filter=%D0%A4%D0%B8%D0%BB%D1%8C%D1%82%D1%80&amp;set_filter=Y" TargetMode="External"/><Relationship Id="rId905" Type="http://schemas.openxmlformats.org/officeDocument/2006/relationships/hyperlink" Target="https://df.salekhard.org/byudzhetnaya-initsiativa-grazhdan/2019/contest3.php" TargetMode="External"/><Relationship Id="rId989" Type="http://schemas.openxmlformats.org/officeDocument/2006/relationships/hyperlink" Target="https://tasu.ru/ekonomika-i-finansy/initsiativnoe-byudzhetirovanie/;" TargetMode="External"/><Relationship Id="rId34" Type="http://schemas.openxmlformats.org/officeDocument/2006/relationships/hyperlink" Target="https://youtu.be/TYBfuFnaUVo" TargetMode="External"/><Relationship Id="rId544" Type="http://schemas.openxmlformats.org/officeDocument/2006/relationships/hyperlink" Target="http://www.pohgor.ru/sociosfera/prestige-pricing/image-projects_15.html" TargetMode="External"/><Relationship Id="rId751" Type="http://schemas.openxmlformats.org/officeDocument/2006/relationships/hyperlink" Target="mailto:kuz-fu@mail.ru." TargetMode="External"/><Relationship Id="rId849" Type="http://schemas.openxmlformats.org/officeDocument/2006/relationships/hyperlink" Target="http://admlangepas.ru/open-budget/proactive-budgeting/what-is-proactive-budgeting848/leaflet-for-proactive-budgeting/" TargetMode="External"/><Relationship Id="rId183" Type="http://schemas.openxmlformats.org/officeDocument/2006/relationships/hyperlink" Target="http://www.kirovreg.ru/publ/AkOUP.nsf/de017b98ac867075c32571440061b25c/a477b32730cd333b43258256004958f1?OpenDocument" TargetMode="External"/><Relationship Id="rId390" Type="http://schemas.openxmlformats.org/officeDocument/2006/relationships/hyperlink" Target="https://pib.sakhminfin.ru/show/ppi" TargetMode="External"/><Relationship Id="rId404" Type="http://schemas.openxmlformats.org/officeDocument/2006/relationships/hyperlink" Target="http://gov.spb.ru/law?d&amp;nd=822403529&amp;nh=0" TargetMode="External"/><Relationship Id="rId611" Type="http://schemas.openxmlformats.org/officeDocument/2006/relationships/hyperlink" Target="mailto:v.i.rayshutis@adm.khv.ru" TargetMode="External"/><Relationship Id="rId1034" Type="http://schemas.openxmlformats.org/officeDocument/2006/relationships/hyperlink" Target="mailto:analitik_np@mail.ru" TargetMode="External"/><Relationship Id="rId250" Type="http://schemas.openxmlformats.org/officeDocument/2006/relationships/hyperlink" Target="http://docs.cntd.ru/document/553386375" TargetMode="External"/><Relationship Id="rId488" Type="http://schemas.openxmlformats.org/officeDocument/2006/relationships/hyperlink" Target="mailto:KulikovaED@samadm.ru" TargetMode="External"/><Relationship Id="rId695" Type="http://schemas.openxmlformats.org/officeDocument/2006/relationships/hyperlink" Target="mailto:novfinotdel@ya.ru" TargetMode="External"/><Relationship Id="rId709" Type="http://schemas.openxmlformats.org/officeDocument/2006/relationships/hyperlink" Target="mailto:ob-gordeeva@mail.ru" TargetMode="External"/><Relationship Id="rId916" Type="http://schemas.openxmlformats.org/officeDocument/2006/relationships/hyperlink" Target="mailto:kohanovich@yamalfin.ru" TargetMode="External"/><Relationship Id="rId45" Type="http://schemas.openxmlformats.org/officeDocument/2006/relationships/hyperlink" Target="mailto:bulatovaka@arhcity.ru" TargetMode="External"/><Relationship Id="rId110" Type="http://schemas.openxmlformats.org/officeDocument/2006/relationships/hyperlink" Target="https://vk.com/belrn" TargetMode="External"/><Relationship Id="rId348" Type="http://schemas.openxmlformats.org/officeDocument/2006/relationships/hyperlink" Target="http://www.pravo.gov66.ru/7356/" TargetMode="External"/><Relationship Id="rId555" Type="http://schemas.openxmlformats.org/officeDocument/2006/relationships/hyperlink" Target="http://&#1092;&#1080;&#1085;&#1072;&#1085;&#1089;&#1099;.&#1077;&#1082;&#1072;&#1090;&#1077;&#1088;&#1080;&#1085;&#1073;&#1091;&#1088;&#1075;.&#1088;&#1092;/initsiativnoe-byudjetirovanie/" TargetMode="External"/><Relationship Id="rId762" Type="http://schemas.openxmlformats.org/officeDocument/2006/relationships/hyperlink" Target="https://www.youtube.com/watch?v=ctQrBhyhkzM%20," TargetMode="External"/><Relationship Id="rId194" Type="http://schemas.openxmlformats.org/officeDocument/2006/relationships/hyperlink" Target="https://vk.com/tosrk?z=photo-169034427_457239153%2Falbum-169034427_0%2Frev" TargetMode="External"/><Relationship Id="rId208" Type="http://schemas.openxmlformats.org/officeDocument/2006/relationships/hyperlink" Target="https://www.kaluga-gov.ru/?q=&#1089;&#1090;&#1072;&#1090;&#1100;&#1103;/&#1087;&#1088;&#1080;&#1077;&#1084;-&#1087;&#1088;&#1086;&#1077;&#1082;&#1090;&#1086;&#1074;-&#1080;&#1085;&#1080;&#1094;&#1080;&#1072;&#1090;&#1080;&#1074;&#1085;&#1086;&#1075;&#1086;-&#1073;&#1102;&#1076;&#1078;&#1077;&#1090;&#1080;&#1088;&#1086;&#1074;&#1072;&#1085;&#1080;&#1103;-&#1087;&#1088;&#1086;&#1076;&#1086;&#1083;&#1078;&#1072;&#1077;&#1090;&#1089;&#1103;_535892050" TargetMode="External"/><Relationship Id="rId415" Type="http://schemas.openxmlformats.org/officeDocument/2006/relationships/hyperlink" Target="mailto:finupr@sura.ru" TargetMode="External"/><Relationship Id="rId622" Type="http://schemas.openxmlformats.org/officeDocument/2006/relationships/hyperlink" Target="https://depprom.admhmao.ru/programmy/razvitie-agropromyshlennogo-kompleksa-/1956256/gosudarstvennaya-programma-khanty-mansiyskogo-avtonomnogo-okruga-yugry-razvitie-agropromyshlennogo-k" TargetMode="External"/><Relationship Id="rId1045" Type="http://schemas.openxmlformats.org/officeDocument/2006/relationships/hyperlink" Target="http://docs.cntd.ru/document/450230428" TargetMode="External"/><Relationship Id="rId261" Type="http://schemas.openxmlformats.org/officeDocument/2006/relationships/hyperlink" Target="http://docs.cntd.ru/document/553230534" TargetMode="External"/><Relationship Id="rId499" Type="http://schemas.openxmlformats.org/officeDocument/2006/relationships/hyperlink" Target="https://samadm.ru/upload/iblock/c39/postanovlenie-konstruktor-dvora.docx" TargetMode="External"/><Relationship Id="rId927" Type="http://schemas.openxmlformats.org/officeDocument/2006/relationships/hyperlink" Target="mailto:kohanovich@yamalfin.ru" TargetMode="External"/><Relationship Id="rId56" Type="http://schemas.openxmlformats.org/officeDocument/2006/relationships/hyperlink" Target="https://regionrb.info/" TargetMode="External"/><Relationship Id="rId359" Type="http://schemas.openxmlformats.org/officeDocument/2006/relationships/hyperlink" Target="http://www.sport.kurganobl.ru/5990.html" TargetMode="External"/><Relationship Id="rId566" Type="http://schemas.openxmlformats.org/officeDocument/2006/relationships/hyperlink" Target="https://depfin.tomsk.gov.ru/pravovoe-regulirovanie" TargetMode="External"/><Relationship Id="rId773" Type="http://schemas.openxmlformats.org/officeDocument/2006/relationships/hyperlink" Target="mailto:ahmetchinann@admbel.ru" TargetMode="External"/><Relationship Id="rId121" Type="http://schemas.openxmlformats.org/officeDocument/2006/relationships/hyperlink" Target="http://minfin.kalmregion.ru/deyatelnost/initsiativnoe-byudzhetirovanie/" TargetMode="External"/><Relationship Id="rId219" Type="http://schemas.openxmlformats.org/officeDocument/2006/relationships/hyperlink" Target="mailto:foborovsk@adm.kaluga.ru" TargetMode="External"/><Relationship Id="rId426" Type="http://schemas.openxmlformats.org/officeDocument/2006/relationships/hyperlink" Target="http://publication.pravo.gov.ru/Document/View/5700201912040001" TargetMode="External"/><Relationship Id="rId633" Type="http://schemas.openxmlformats.org/officeDocument/2006/relationships/hyperlink" Target="https://or71.ru/primi_uchastie/narodniy_budjet_new/" TargetMode="External"/><Relationship Id="rId980" Type="http://schemas.openxmlformats.org/officeDocument/2006/relationships/hyperlink" Target="http://adm-yarsale.ru/byudzhetnaya-iniciativa-grazhdan.html" TargetMode="External"/><Relationship Id="rId1056" Type="http://schemas.openxmlformats.org/officeDocument/2006/relationships/hyperlink" Target="https://orenstat.gks.ru/folder/26298" TargetMode="External"/><Relationship Id="rId840" Type="http://schemas.openxmlformats.org/officeDocument/2006/relationships/hyperlink" Target="http://admkogalym.ru/upload/dokumenty-KF/forma-ankety-dlya-uchastiya-v-oprose.pdf" TargetMode="External"/><Relationship Id="rId938" Type="http://schemas.openxmlformats.org/officeDocument/2006/relationships/hyperlink" Target="http://azov-adm.ru/byudzhetnaya-iniciativa-grazhdan.html" TargetMode="External"/><Relationship Id="rId67" Type="http://schemas.openxmlformats.org/officeDocument/2006/relationships/hyperlink" Target="https://vk.com/cigi_isi_rb?z=photo-135547201_456239017%2Falbum-135547201_0%2Frev" TargetMode="External"/><Relationship Id="rId272" Type="http://schemas.openxmlformats.org/officeDocument/2006/relationships/hyperlink" Target="http://adm.rkursk.ru/index.php?id=10&amp;mat_id=75907&amp;query=%EF%F0%EE%E5%EA%F2+%ED%E0%F0%EE%E4%ED%FB%E9+%E1%FE%E4%E6%E5%F2+732-%EF%E0," TargetMode="External"/><Relationship Id="rId577" Type="http://schemas.openxmlformats.org/officeDocument/2006/relationships/hyperlink" Target="http://minfin.tatarstan.ru/rus/byudzhet-2019.htm?pub_id=2188106" TargetMode="External"/><Relationship Id="rId700" Type="http://schemas.openxmlformats.org/officeDocument/2006/relationships/hyperlink" Target="http://&#1092;&#1080;&#1085;-73.&#1088;&#1092;/byudzhet/narodnyj-byudzhet.html" TargetMode="External"/><Relationship Id="rId132" Type="http://schemas.openxmlformats.org/officeDocument/2006/relationships/hyperlink" Target="https://dsx.avo.ru/documents/33276/217251/&#1055;&#1088;&#1080;&#1082;&#1072;&#1079;_178.pdf/8b03831e-f902-3bee-1dbe-4991d22451ae?version=1.0&amp;t=1522655961448" TargetMode="External"/><Relationship Id="rId784" Type="http://schemas.openxmlformats.org/officeDocument/2006/relationships/hyperlink" Target="http://berezovo.ru/activity/finance/initsiativnoe-byudzhetirovanie/" TargetMode="External"/><Relationship Id="rId991" Type="http://schemas.openxmlformats.org/officeDocument/2006/relationships/hyperlink" Target="mailto:irinaantonova@tazovsky.yanao.ru" TargetMode="External"/><Relationship Id="rId1067" Type="http://schemas.openxmlformats.org/officeDocument/2006/relationships/hyperlink" Target="https://mayor.cherinfo.ru/decree/102141-postanovlenie-merii-goroda-cerepovca-ot-18062019-no-2883-o-proekte-narodnyj-budzet-tos" TargetMode="External"/><Relationship Id="rId437" Type="http://schemas.openxmlformats.org/officeDocument/2006/relationships/hyperlink" Target="mailto:vl.bernatskiy@obladmin.pskov.ru" TargetMode="External"/><Relationship Id="rId644" Type="http://schemas.openxmlformats.org/officeDocument/2006/relationships/hyperlink" Target="mailto:minstroy_str@cap.ru" TargetMode="External"/><Relationship Id="rId851" Type="http://schemas.openxmlformats.org/officeDocument/2006/relationships/hyperlink" Target="mailto:PastukLV@admmegion,ru" TargetMode="External"/><Relationship Id="rId283" Type="http://schemas.openxmlformats.org/officeDocument/2006/relationships/hyperlink" Target="https://mingrad.gov-murman.ru/activities/init_bydjet/" TargetMode="External"/><Relationship Id="rId490" Type="http://schemas.openxmlformats.org/officeDocument/2006/relationships/hyperlink" Target="http://www.zdsamara.ru/dlya-naseleniya/tvoy-konstruktor-dvora/" TargetMode="External"/><Relationship Id="rId504" Type="http://schemas.openxmlformats.org/officeDocument/2006/relationships/hyperlink" Target="https://www.kuibsamara.ru/konstruktor_dvora/" TargetMode="External"/><Relationship Id="rId711" Type="http://schemas.openxmlformats.org/officeDocument/2006/relationships/hyperlink" Target="mailto:uprobr2@mail.ru" TargetMode="External"/><Relationship Id="rId949" Type="http://schemas.openxmlformats.org/officeDocument/2006/relationships/hyperlink" Target="http://www.admin-moovg.ru/obshcestvennye-obsuzhdeniya-byudzhetnoy-initciativy-grazhdan-27-06-19.html" TargetMode="External"/><Relationship Id="rId78" Type="http://schemas.openxmlformats.org/officeDocument/2006/relationships/hyperlink" Target="https://bashstat.gks.ru/folder/25491" TargetMode="External"/><Relationship Id="rId143" Type="http://schemas.openxmlformats.org/officeDocument/2006/relationships/hyperlink" Target="http://www.tosvrn.ru/" TargetMode="External"/><Relationship Id="rId350" Type="http://schemas.openxmlformats.org/officeDocument/2006/relationships/hyperlink" Target="http://midural.ru/100034/" TargetMode="External"/><Relationship Id="rId588" Type="http://schemas.openxmlformats.org/officeDocument/2006/relationships/hyperlink" Target="https://www.tambov.gov.ru/news/view/proekt-narodnaya-iniciativa-novye-usloviya-novye-idei.html" TargetMode="External"/><Relationship Id="rId795" Type="http://schemas.openxmlformats.org/officeDocument/2006/relationships/hyperlink" Target="http://www.admkonda.ru/narodnyy-byudzhet-gp-kondinskoe.html" TargetMode="External"/><Relationship Id="rId809" Type="http://schemas.openxmlformats.org/officeDocument/2006/relationships/hyperlink" Target="https://www.gks.ru/scripts/db_inet2/passport/table.aspx?opt=718161572019" TargetMode="External"/><Relationship Id="rId9" Type="http://schemas.openxmlformats.org/officeDocument/2006/relationships/hyperlink" Target="https://minregion-ra.ru/deyatelnost/strategicheskoe-napravlenie-zhkkh-i-gorodskaya-sreda.php" TargetMode="External"/><Relationship Id="rId210" Type="http://schemas.openxmlformats.org/officeDocument/2006/relationships/hyperlink" Target="mailto:ivanova_ee@kaluga-gov.ru" TargetMode="External"/><Relationship Id="rId448" Type="http://schemas.openxmlformats.org/officeDocument/2006/relationships/hyperlink" Target="mailto:gorfo@esoo.ru" TargetMode="External"/><Relationship Id="rId655" Type="http://schemas.openxmlformats.org/officeDocument/2006/relationships/hyperlink" Target="https://tumstat.gks.ru/storage/mediabank/&#1063;&#1080;&#1089;&#1083;&#1077;&#1085;&#1085;&#1086;&#1089;&#1090;&#1100;%20&#1085;&#1072;&#1089;&#1077;&#1083;&#1077;&#1085;&#1080;&#1103;.htm" TargetMode="External"/><Relationship Id="rId862" Type="http://schemas.openxmlformats.org/officeDocument/2006/relationships/hyperlink" Target="https://gp-izluchinsk.ru/obshchestvennoe-obsuzhdenie2/2430-1/" TargetMode="External"/><Relationship Id="rId1078" Type="http://schemas.openxmlformats.org/officeDocument/2006/relationships/comments" Target="../comments1.xml"/><Relationship Id="rId294" Type="http://schemas.openxmlformats.org/officeDocument/2006/relationships/hyperlink" Target="mailto:vv_nikiforov@lenreg.ru" TargetMode="External"/><Relationship Id="rId308" Type="http://schemas.openxmlformats.org/officeDocument/2006/relationships/hyperlink" Target="http://ppmi.sakha.gov.ru/Application" TargetMode="External"/><Relationship Id="rId515" Type="http://schemas.openxmlformats.org/officeDocument/2006/relationships/hyperlink" Target="mailto:oktadm@samadm.ru" TargetMode="External"/><Relationship Id="rId722" Type="http://schemas.openxmlformats.org/officeDocument/2006/relationships/hyperlink" Target="http://www.radishevo.ulregion.ru/165/4218/15180/" TargetMode="External"/><Relationship Id="rId89" Type="http://schemas.openxmlformats.org/officeDocument/2006/relationships/hyperlink" Target="mailto:ilishtfu@ufamts.ru" TargetMode="External"/><Relationship Id="rId154" Type="http://schemas.openxmlformats.org/officeDocument/2006/relationships/hyperlink" Target="http://docs.cntd.ru/document/550102882" TargetMode="External"/><Relationship Id="rId361" Type="http://schemas.openxmlformats.org/officeDocument/2006/relationships/hyperlink" Target="mailto:sport.fin@kurganobl.ru" TargetMode="External"/><Relationship Id="rId599" Type="http://schemas.openxmlformats.org/officeDocument/2006/relationships/hyperlink" Target="mailto:shirokova@yarregion.ru" TargetMode="External"/><Relationship Id="rId1005" Type="http://schemas.openxmlformats.org/officeDocument/2006/relationships/hyperlink" Target="https://gks.ru/compendium/document/13282?print=1" TargetMode="External"/><Relationship Id="rId459" Type="http://schemas.openxmlformats.org/officeDocument/2006/relationships/hyperlink" Target="http://mo-ko.orb.ru/" TargetMode="External"/><Relationship Id="rId666" Type="http://schemas.openxmlformats.org/officeDocument/2006/relationships/hyperlink" Target="http://mykizner.ru/city/Udmurtstat/Udmurtstat_inform/chislennost_naselen.php?ELEMENT_ID=18434" TargetMode="External"/><Relationship Id="rId873" Type="http://schemas.openxmlformats.org/officeDocument/2006/relationships/hyperlink" Target="https://adm.gov86.org/436/2925/2964/2975/3100/" TargetMode="External"/><Relationship Id="rId16" Type="http://schemas.openxmlformats.org/officeDocument/2006/relationships/hyperlink" Target="http://www.gornoaltaysk.ru/formirovanie-sovremennoy-gorodskoy-sredy/" TargetMode="External"/><Relationship Id="rId221" Type="http://schemas.openxmlformats.org/officeDocument/2006/relationships/hyperlink" Target="http://smi.adm-nao.ru/iniciativnoe-byudzhetirovanie/informaciya-o-pobeditelyah-konkursov/" TargetMode="External"/><Relationship Id="rId319" Type="http://schemas.openxmlformats.org/officeDocument/2006/relationships/hyperlink" Target="mailto:apparat@samregion.ru" TargetMode="External"/><Relationship Id="rId526" Type="http://schemas.openxmlformats.org/officeDocument/2006/relationships/hyperlink" Target="https://samadm.ru/authority/samarsky_district/the-formation-of-a-comfortable-urban-environment-sam/" TargetMode="External"/><Relationship Id="rId733" Type="http://schemas.openxmlformats.org/officeDocument/2006/relationships/hyperlink" Target="http://ulraion.ru/page/230" TargetMode="External"/><Relationship Id="rId940" Type="http://schemas.openxmlformats.org/officeDocument/2006/relationships/hyperlink" Target="http://lopchari-adm.ru/documents/2930.html" TargetMode="External"/><Relationship Id="rId1016" Type="http://schemas.openxmlformats.org/officeDocument/2006/relationships/hyperlink" Target="http://selkup-adm.ru/node/14463" TargetMode="External"/><Relationship Id="rId165" Type="http://schemas.openxmlformats.org/officeDocument/2006/relationships/hyperlink" Target="https://irkobl.ru/sites/economy/targeted/departmental/state-programs/" TargetMode="External"/><Relationship Id="rId372" Type="http://schemas.openxmlformats.org/officeDocument/2006/relationships/hyperlink" Target="http://admlip.ru/news/igor_artamonov_vstretilsya_s_aktivistami_tosov_oktyabrskogo_okruga_lipetska/?sphrase_id=1208681" TargetMode="External"/><Relationship Id="rId677" Type="http://schemas.openxmlformats.org/officeDocument/2006/relationships/hyperlink" Target="http://www.adm-sarapul.ru/city/finansy/podderzhka-proektov-mestnykh-initsiativ/norm_doc" TargetMode="External"/><Relationship Id="rId800" Type="http://schemas.openxmlformats.org/officeDocument/2006/relationships/hyperlink" Target="mailto:admkuma@yandex.ru" TargetMode="External"/><Relationship Id="rId232" Type="http://schemas.openxmlformats.org/officeDocument/2006/relationships/hyperlink" Target="https://drive.google.com/open?id=1w25Zz-ExkDh-aT7lSyclttjRfN0XL4kV" TargetMode="External"/><Relationship Id="rId884" Type="http://schemas.openxmlformats.org/officeDocument/2006/relationships/hyperlink" Target="mailto:vatagina_aa@admsurgut.ru" TargetMode="External"/><Relationship Id="rId27" Type="http://schemas.openxmlformats.org/officeDocument/2006/relationships/hyperlink" Target="http://&#1072;&#1083;&#1090;&#1072;&#1081;&#1087;&#1088;&#1077;&#1076;&#1083;&#1072;&#1075;&#1072;&#1081;.&#1088;&#1092;/" TargetMode="External"/><Relationship Id="rId537" Type="http://schemas.openxmlformats.org/officeDocument/2006/relationships/hyperlink" Target="http://www.nvkb.ru/city/cssr/" TargetMode="External"/><Relationship Id="rId744" Type="http://schemas.openxmlformats.org/officeDocument/2006/relationships/hyperlink" Target="http://bsizgan.ulregion.ru/npa/par-2017/6990.html" TargetMode="External"/><Relationship Id="rId951" Type="http://schemas.openxmlformats.org/officeDocument/2006/relationships/hyperlink" Target="http://adminshur.ru/budjetnaya_iniciativa_grajdan_2019" TargetMode="External"/><Relationship Id="rId80" Type="http://schemas.openxmlformats.org/officeDocument/2006/relationships/hyperlink" Target="mailto:mkusp@yandex.ru" TargetMode="External"/><Relationship Id="rId176" Type="http://schemas.openxmlformats.org/officeDocument/2006/relationships/hyperlink" Target="mailto:kaz-kazakovskay@mail.ru" TargetMode="External"/><Relationship Id="rId383" Type="http://schemas.openxmlformats.org/officeDocument/2006/relationships/hyperlink" Target="https://gks.ru/compendium/document/13282" TargetMode="External"/><Relationship Id="rId590" Type="http://schemas.openxmlformats.org/officeDocument/2006/relationships/hyperlink" Target="https://www.tambov.gov.ru/assets/files/urt/pao-864.pdf" TargetMode="External"/><Relationship Id="rId604" Type="http://schemas.openxmlformats.org/officeDocument/2006/relationships/hyperlink" Target="http://ufo.ulntc.ru/index.php?mgf=ppmi/npa" TargetMode="External"/><Relationship Id="rId811" Type="http://schemas.openxmlformats.org/officeDocument/2006/relationships/hyperlink" Target="http://www.lugovoikonda.ru/narodnyy-byudzhet.html" TargetMode="External"/><Relationship Id="rId1027" Type="http://schemas.openxmlformats.org/officeDocument/2006/relationships/hyperlink" Target="mailto:evn_adm@mail.ru" TargetMode="External"/><Relationship Id="rId243" Type="http://schemas.openxmlformats.org/officeDocument/2006/relationships/hyperlink" Target="https://minfin.novreg.ru/dlya-grazhdan.html" TargetMode="External"/><Relationship Id="rId450" Type="http://schemas.openxmlformats.org/officeDocument/2006/relationships/hyperlink" Target="mailto:poi@ys.orb.ru" TargetMode="External"/><Relationship Id="rId688" Type="http://schemas.openxmlformats.org/officeDocument/2006/relationships/hyperlink" Target="mailto:veshkaim@mail.ru" TargetMode="External"/><Relationship Id="rId895" Type="http://schemas.openxmlformats.org/officeDocument/2006/relationships/hyperlink" Target="mailto:gcheb_ivs2@cap.ru" TargetMode="External"/><Relationship Id="rId909" Type="http://schemas.openxmlformats.org/officeDocument/2006/relationships/hyperlink" Target="https://www.&#1078;&#1080;&#1074;&#1105;&#1084;&#1085;&#1072;&#1089;&#1077;&#1074;&#1077;&#1088;&#1077;.&#1088;&#1092;/solve/archive/1290/" TargetMode="External"/><Relationship Id="rId38" Type="http://schemas.openxmlformats.org/officeDocument/2006/relationships/hyperlink" Target="mailto:Dyagileva@dvinaland.ru" TargetMode="External"/><Relationship Id="rId103" Type="http://schemas.openxmlformats.org/officeDocument/2006/relationships/hyperlink" Target="http://www.dkp31.ru/search/?q=%D0%BE+%D0%BF%D1%80%D0%BE%D0%B2%D0%B5%D0%B4%D0%B5%D0%BD%D0%B8%D0%B8+%D0%B5%D0%B6%D0%B5%D0%B3%D0%BE%D0%B4%D0%BD%D0%BE%D0%B3%D0%BE&amp;order=-_score;" TargetMode="External"/><Relationship Id="rId310" Type="http://schemas.openxmlformats.org/officeDocument/2006/relationships/hyperlink" Target="https://sakha.gks.ru/folder/32348" TargetMode="External"/><Relationship Id="rId548" Type="http://schemas.openxmlformats.org/officeDocument/2006/relationships/hyperlink" Target="mailto:nkootr@bk.ru" TargetMode="External"/><Relationship Id="rId755" Type="http://schemas.openxmlformats.org/officeDocument/2006/relationships/hyperlink" Target="https://ok.ru/profile/569954170553" TargetMode="External"/><Relationship Id="rId962" Type="http://schemas.openxmlformats.org/officeDocument/2006/relationships/hyperlink" Target="mailto:karpova-eb@priuralye.com" TargetMode="External"/><Relationship Id="rId91" Type="http://schemas.openxmlformats.org/officeDocument/2006/relationships/hyperlink" Target="https://kaltasin.bashkortostan.ru/documents/active/147977/" TargetMode="External"/><Relationship Id="rId187" Type="http://schemas.openxmlformats.org/officeDocument/2006/relationships/hyperlink" Target="consultantplus://offline/ref=09AE4D5AC8EAABD9DECB9A81845B47C311F458723588A06EE65587D6DBBBA9038ACCF005B9E528F9AA17C0F3603CBB580CF1F6714C95DFE6382A516A3B4B900DvDf7H" TargetMode="External"/><Relationship Id="rId394" Type="http://schemas.openxmlformats.org/officeDocument/2006/relationships/hyperlink" Target="mailto:story@adm44.ru" TargetMode="External"/><Relationship Id="rId408" Type="http://schemas.openxmlformats.org/officeDocument/2006/relationships/hyperlink" Target="mailto:lukyanova@kfin.gov.spb.ru" TargetMode="External"/><Relationship Id="rId615" Type="http://schemas.openxmlformats.org/officeDocument/2006/relationships/hyperlink" Target="https://guvp.khabkrai.ru/" TargetMode="External"/><Relationship Id="rId822" Type="http://schemas.openxmlformats.org/officeDocument/2006/relationships/hyperlink" Target="https://www.gks.ru/scripts/db_inet2/passport/table.aspx?opt=718164202019" TargetMode="External"/><Relationship Id="rId1038" Type="http://schemas.openxmlformats.org/officeDocument/2006/relationships/hyperlink" Target="https://vk.com/sbor.budget" TargetMode="External"/><Relationship Id="rId254" Type="http://schemas.openxmlformats.org/officeDocument/2006/relationships/hyperlink" Target="mailto:ppmi-53@mail.ru" TargetMode="External"/><Relationship Id="rId699" Type="http://schemas.openxmlformats.org/officeDocument/2006/relationships/hyperlink" Target="http://&#1092;&#1080;&#1085;-73.&#1088;&#1092;/novosti/1293-informatsionnoe-soobshchenie-o-nachale-realizatsii-proekta-narodnyj-byudzhet-26-04-2019.html" TargetMode="External"/><Relationship Id="rId49" Type="http://schemas.openxmlformats.org/officeDocument/2006/relationships/hyperlink" Target="mailto:akhmetova.ff@bashkortostan.ru" TargetMode="External"/><Relationship Id="rId114" Type="http://schemas.openxmlformats.org/officeDocument/2006/relationships/hyperlink" Target="https://gubtrk.ru/news/society/9695-211119" TargetMode="External"/><Relationship Id="rId461" Type="http://schemas.openxmlformats.org/officeDocument/2006/relationships/hyperlink" Target="http://kurfin.ru/&#1085;&#1072;&#1088;&#1086;&#1076;&#1085;&#1099;&#1081;-&#1073;&#1102;&#1076;&#1078;&#1077;&#1090;/&#1085;&#1072;&#1088;&#1086;&#1076;&#1085;&#1099;&#1081;-&#1073;&#1102;&#1076;&#1078;&#1077;&#1090;-&#1085;&#1087;&#1072;/" TargetMode="External"/><Relationship Id="rId559" Type="http://schemas.openxmlformats.org/officeDocument/2006/relationships/hyperlink" Target="mailto:samoupr@admin-smolensk.ru" TargetMode="External"/><Relationship Id="rId766" Type="http://schemas.openxmlformats.org/officeDocument/2006/relationships/hyperlink" Target="http://admhmansy.ru/upload/medialibrary/360/PROTOKOL-15-marta-2019-g.pdf" TargetMode="External"/><Relationship Id="rId198" Type="http://schemas.openxmlformats.org/officeDocument/2006/relationships/hyperlink" Target="http://old.gov.karelia.ru/Projects/Initiatives/" TargetMode="External"/><Relationship Id="rId321" Type="http://schemas.openxmlformats.org/officeDocument/2006/relationships/hyperlink" Target="https://twitter.com/SOdeistvie63" TargetMode="External"/><Relationship Id="rId419" Type="http://schemas.openxmlformats.org/officeDocument/2006/relationships/hyperlink" Target="https://orel-region.ru/index.php?head=17&amp;part=19&amp;number=411&amp;page=1" TargetMode="External"/><Relationship Id="rId626" Type="http://schemas.openxmlformats.org/officeDocument/2006/relationships/hyperlink" Target="http://www.admoil.ru/finans/narodni-budget/logotip.rar" TargetMode="External"/><Relationship Id="rId973" Type="http://schemas.openxmlformats.org/officeDocument/2006/relationships/hyperlink" Target="mailto:karpova-eb@priuralye.com" TargetMode="External"/><Relationship Id="rId1049" Type="http://schemas.openxmlformats.org/officeDocument/2006/relationships/hyperlink" Target="http://monitoring61.ru/" TargetMode="External"/><Relationship Id="rId833" Type="http://schemas.openxmlformats.org/officeDocument/2006/relationships/hyperlink" Target="http://www.admoil.ru/finans/narodni-budget/676-pa-26.04.2017.rar" TargetMode="External"/><Relationship Id="rId265" Type="http://schemas.openxmlformats.org/officeDocument/2006/relationships/hyperlink" Target="mailto:stroyapk@rkursk.ru" TargetMode="External"/><Relationship Id="rId472" Type="http://schemas.openxmlformats.org/officeDocument/2006/relationships/hyperlink" Target="http://m.orb.ru/document/94/6/e/6ec5d89468a46327873df8d7b94fdaa3.zip" TargetMode="External"/><Relationship Id="rId900" Type="http://schemas.openxmlformats.org/officeDocument/2006/relationships/hyperlink" Target="https://www.salekhard.org/about/info/news/14350/" TargetMode="External"/><Relationship Id="rId125" Type="http://schemas.openxmlformats.org/officeDocument/2006/relationships/hyperlink" Target="https://gorsreda.avo.ru/" TargetMode="External"/><Relationship Id="rId332" Type="http://schemas.openxmlformats.org/officeDocument/2006/relationships/hyperlink" Target="mailto:minfin@sakha.gov.ru" TargetMode="External"/><Relationship Id="rId777" Type="http://schemas.openxmlformats.org/officeDocument/2006/relationships/hyperlink" Target="http://admbel.ru/local-control/administration/finans/ini/" TargetMode="External"/><Relationship Id="rId984" Type="http://schemas.openxmlformats.org/officeDocument/2006/relationships/hyperlink" Target="mailto:adm_salemal@mail.ru" TargetMode="External"/><Relationship Id="rId637" Type="http://schemas.openxmlformats.org/officeDocument/2006/relationships/hyperlink" Target="http://agro.cap.ru/action/activity/iniciativnoe-byudzhetirovanie/postanovlenie-71" TargetMode="External"/><Relationship Id="rId844" Type="http://schemas.openxmlformats.org/officeDocument/2006/relationships/hyperlink" Target="https://www.gks.ru/scripts/db_inet2/passport/table.aspx?opt=718720002019" TargetMode="External"/><Relationship Id="rId276" Type="http://schemas.openxmlformats.org/officeDocument/2006/relationships/hyperlink" Target="https://mvp.government-nnov.ru/?id=48287" TargetMode="External"/><Relationship Id="rId483" Type="http://schemas.openxmlformats.org/officeDocument/2006/relationships/hyperlink" Target="mailto:feu-budjet7@mail.ru" TargetMode="External"/><Relationship Id="rId690" Type="http://schemas.openxmlformats.org/officeDocument/2006/relationships/hyperlink" Target="mailto:r235kab@yandex.ru" TargetMode="External"/><Relationship Id="rId704" Type="http://schemas.openxmlformats.org/officeDocument/2006/relationships/hyperlink" Target="mailto:mo-kargino@mail.ru" TargetMode="External"/><Relationship Id="rId911" Type="http://schemas.openxmlformats.org/officeDocument/2006/relationships/hyperlink" Target="http://budget.depfinnbr.ru/initsiativnoe-byudzhetirovanie/proekt-ritm" TargetMode="External"/><Relationship Id="rId40" Type="http://schemas.openxmlformats.org/officeDocument/2006/relationships/hyperlink" Target="http://www.arhcity.ru/?page=2371/1" TargetMode="External"/><Relationship Id="rId136" Type="http://schemas.openxmlformats.org/officeDocument/2006/relationships/hyperlink" Target="https://www.govvrn.ru/documents/34650/1195896/&#1056;&#1072;&#1089;&#1087;&#1086;&#1088;&#1103;&#1078;&#1077;&#1085;&#1080;&#1077;+&#1087;&#1088;&#1072;&#1074;&#1080;&#1090;&#1077;&#1083;&#1100;&#1089;&#1090;&#1074;&#1072;+&#1042;&#1086;&#1088;&#1086;&#1085;&#1077;&#1078;&#1089;&#1082;&#1086;&#1081;+&#1086;&#1073;&#1083;&#1072;&#1089;&#1090;&#1080;+&#1086;&#1090;+19.04.2017+&#8470;+282-&#1088;+&#171;&#1054;+&#1088;&#1072;&#1079;&#1074;&#1080;&#1090;&#1080;&#1080;+&#1080;&#1085;&#1080;&#1094;&#1080;&#1072;&#1090;&#1080;&#1074;&#1085;&#1086;&#1075;&#1086;+&#1073;&#1102;&#1076;&#1078;&#1077;&#1090;&#1080;&#1088;&#1086;&#1074;&#1072;&#1085;&#1080;&#1103;+&#1085;&#1072;+&#1090;&#1077;&#1088;&#1088;&#1080;&#1090;&#1086;&#1088;&#1080;&#1080;+&#1042;&#1086;&#1088;&#1086;&#1085;&#1077;&#1078;&#1089;&#1082;&#1086;&#1081;+&#1086;&#1073;&#1083;&#1072;&#1089;&#1090;&#1080;&#187;.doc/2dbf0463-7acd-3f10-2d53-82f2f7eda972?version=1.0;" TargetMode="External"/><Relationship Id="rId343" Type="http://schemas.openxmlformats.org/officeDocument/2006/relationships/hyperlink" Target="http://energy.midural.ru/gosudarstvennaya-programma/" TargetMode="External"/><Relationship Id="rId550" Type="http://schemas.openxmlformats.org/officeDocument/2006/relationships/hyperlink" Target="http://www.otradny24.ru/news-short/38817/?sphrase_id=382502" TargetMode="External"/><Relationship Id="rId788" Type="http://schemas.openxmlformats.org/officeDocument/2006/relationships/hyperlink" Target="https://www.gks.ru/scripts/db_inet2/passport/table.aspx?opt=718161602019" TargetMode="External"/><Relationship Id="rId995" Type="http://schemas.openxmlformats.org/officeDocument/2006/relationships/hyperlink" Target="http://admnahodka.ru/documents/2205.html" TargetMode="External"/><Relationship Id="rId203" Type="http://schemas.openxmlformats.org/officeDocument/2006/relationships/hyperlink" Target="https://www.kaluga-gov.ru/?q=&#1080;&#1085;&#1092;&#1086;&#1088;&#1084;&#1072;&#1094;&#1080;&#1103;-&#1086;&#1090;-&#1087;&#1086;&#1076;&#1088;&#1072;&#1079;&#1076;&#1077;&#1083;&#1077;&#1085;&#1080;&#1103;/&#1088;&#1077;&#1096;&#1077;&#1085;&#1080;&#1077;-&#1075;&#1086;&#1088;&#1086;&#1076;&#1089;&#1082;&#1086;&#1081;-&#1076;&#1091;&#1084;&#1099;-&#1075;&#1086;&#1088;&#1086;&#1076;&#1072;-&#1082;&#1072;&#1083;&#1091;&#1075;&#1080;-&#1086;&#1090;-05122018-&#8470;-262-&#1086;-&#1088;&#1077;&#1072;&#1083;&#1080;&#1079;&#1072;&#1094;&#1080;&#1080;https://www.kaluga-gov.ru/?q=&#1080;&#1085;&#1092;&#1086;&#1088;&#1084;&#1072;&#1094;&#1080;&#1103;-&#1086;&#1090;-&#1087;&#1086;&#1076;&#1088;&#1072;&#1079;&#1076;&#1077;&#1083;&#1077;&#1085;&#1080;&#1103;/&#1088;&#1077;&#1096;&#1077;&#1085;&#1080;&#1077;-&#1075;&#1086;&#1088;&#1086;&#1076;&#1089;&#1082;&#1086;&#1081;-&#1076;&#1091;&#1084;&#1099;-&#1075;&#1086;&#1088;&#1086;&#1076;&#1072;-&#1082;&#1072;&#1083;&#1091;&#1075;&#1080;-&#1086;&#1090;-05122018-&#8470;-262-&#1086;-&#1088;&#1077;&#1072;&#1083;&#1080;&#1079;&#1072;&#1094;&#1080;&#1080;" TargetMode="External"/><Relationship Id="rId648" Type="http://schemas.openxmlformats.org/officeDocument/2006/relationships/hyperlink" Target="mailto:MarkovPP@72to.ru" TargetMode="External"/><Relationship Id="rId855" Type="http://schemas.openxmlformats.org/officeDocument/2006/relationships/hyperlink" Target="http://www.admugansk.ru/category/5" TargetMode="External"/><Relationship Id="rId1040" Type="http://schemas.openxmlformats.org/officeDocument/2006/relationships/hyperlink" Target="https://akstat.gks.ru/folder/33349" TargetMode="External"/><Relationship Id="rId287" Type="http://schemas.openxmlformats.org/officeDocument/2006/relationships/hyperlink" Target="http://project.orb.ru/wp-content/uploads/2020/03/&#1042;&#1086;&#1074;&#1083;&#1077;&#1095;&#1077;&#1085;&#1080;&#1077;-&#1078;&#1080;&#1090;&#1077;&#1083;&#1077;&#1081;-&#1052;&#1054;-&#1054;&#1088;&#1077;&#1085;&#1073;&#1091;&#1088;&#1075;&#1089;&#1082;&#1086;&#1081;-&#1086;&#1073;&#1083;&#1072;&#1089;&#1090;&#1080;-&#1074;-&#1087;&#1088;&#1086;&#1094;&#1077;&#1089;&#1089;-&#1074;&#1099;&#1073;&#1086;&#1088;&#1072;-&#1080;-&#1088;&#1077;&#1072;&#1083;&#1080;&#1079;&#1072;&#1094;&#1080;&#1080;-&#1087;&#1088;&#1086;&#1077;&#1082;&#1090;&#1086;&#1074;-&#1088;&#1072;&#1079;&#1074;&#1080;&#1090;&#1080;&#1103;-&#1086;&#1073;&#1097;&#1077;&#1089;&#1090;&#1074;&#1077;&#1085;&#1085;&#1086;&#1081;-&#1080;&#1085;&#1092;&#1088;&#1072;&#1089;&#1090;&#1088;&#1091;&#1082;&#1090;&#1091;&#1088;&#1099;.pdf" TargetMode="External"/><Relationship Id="rId410" Type="http://schemas.openxmlformats.org/officeDocument/2006/relationships/hyperlink" Target="mailto:o.vinogradov@admlr.lipetsk.ru" TargetMode="External"/><Relationship Id="rId494" Type="http://schemas.openxmlformats.org/officeDocument/2006/relationships/hyperlink" Target="mailto:Orlova-d@yandex.ru" TargetMode="External"/><Relationship Id="rId508" Type="http://schemas.openxmlformats.org/officeDocument/2006/relationships/hyperlink" Target="mailto:KogdinAA@samadm.ru" TargetMode="External"/><Relationship Id="rId715" Type="http://schemas.openxmlformats.org/officeDocument/2006/relationships/hyperlink" Target="mailto:56782@mail.ru" TargetMode="External"/><Relationship Id="rId922" Type="http://schemas.openxmlformats.org/officeDocument/2006/relationships/hyperlink" Target="https://gubadm.ru/gubadm/mfinan/byudzhetnaya-initsiativa-grazhdan.php" TargetMode="External"/><Relationship Id="rId147" Type="http://schemas.openxmlformats.org/officeDocument/2006/relationships/hyperlink" Target="http://www.tosvrn.ru/" TargetMode="External"/><Relationship Id="rId354" Type="http://schemas.openxmlformats.org/officeDocument/2006/relationships/hyperlink" Target="http://gkh.kurganobl.ru/wp-content/uploads/2017/09/&#1054;-&#1075;&#1086;&#1089;&#1091;&#1076;&#1072;&#1088;&#1089;&#1090;&#1074;&#1077;&#1085;&#1085;&#1086;&#1081;-&#1087;&#1088;&#1086;&#1075;&#1088;&#1072;&#1084;&#1084;&#1077;-&#1050;&#1091;&#1088;&#1075;&#1072;&#1085;&#1089;&#1082;&#1086;&#1081;-&#1086;&#1073;&#1083;&#1072;&#1089;&#1090;&#1080;-&#1060;&#1086;&#1088;&#1084;&#1080;&#1088;&#1086;&#1074;&#1072;&#1085;&#1080;&#1077;-&#1082;&#1086;&#1084;&#1092;&#1086;&#1088;&#1090;&#1085;&#1086;&#1081;-&#1075;&#1086;&#1088;-&#1089;&#1088;&#1077;&#1076;&#1099;-&#1085;&#1072;-2018-2022-&#1075;&#1086;&#1076;&#1099;-7.pdf" TargetMode="External"/><Relationship Id="rId799" Type="http://schemas.openxmlformats.org/officeDocument/2006/relationships/hyperlink" Target="mailto:admkuma@yandex.ru" TargetMode="External"/><Relationship Id="rId51" Type="http://schemas.openxmlformats.org/officeDocument/2006/relationships/hyperlink" Target="http://docs.cntd.ru/document/553216517" TargetMode="External"/><Relationship Id="rId561" Type="http://schemas.openxmlformats.org/officeDocument/2006/relationships/hyperlink" Target="mailto:fin@admin-smolensk.ru" TargetMode="External"/><Relationship Id="rId659" Type="http://schemas.openxmlformats.org/officeDocument/2006/relationships/hyperlink" Target="http://&#1079;&#1072;&#1074;&#1100;&#1103;&#1083;&#1086;&#1074;&#1089;&#1082;&#1080;&#1081;.&#1088;&#1092;/about/initsiativnoe-byudzhetirovanie/" TargetMode="External"/><Relationship Id="rId866" Type="http://schemas.openxmlformats.org/officeDocument/2006/relationships/hyperlink" Target="mailto:LashovaEA@hmrn.ru" TargetMode="External"/><Relationship Id="rId214" Type="http://schemas.openxmlformats.org/officeDocument/2006/relationships/hyperlink" Target="mailto:fomaloyar@adm.kaluga.ru" TargetMode="External"/><Relationship Id="rId298" Type="http://schemas.openxmlformats.org/officeDocument/2006/relationships/hyperlink" Target="https://msu.lenobl.ru/programmy-i-plany/selskie-starosty/" TargetMode="External"/><Relationship Id="rId421" Type="http://schemas.openxmlformats.org/officeDocument/2006/relationships/hyperlink" Target="mailto:oof@adm.orel.ru" TargetMode="External"/><Relationship Id="rId519" Type="http://schemas.openxmlformats.org/officeDocument/2006/relationships/hyperlink" Target="https://vk.com/wall-159089020_990" TargetMode="External"/><Relationship Id="rId1051" Type="http://schemas.openxmlformats.org/officeDocument/2006/relationships/hyperlink" Target="http://ufo.ulntc.ru/index.php?mgf=ppmi/npa" TargetMode="External"/><Relationship Id="rId158" Type="http://schemas.openxmlformats.org/officeDocument/2006/relationships/hyperlink" Target="mailto:KonovalovaEA@df.gov35.ru" TargetMode="External"/><Relationship Id="rId726" Type="http://schemas.openxmlformats.org/officeDocument/2006/relationships/hyperlink" Target="http://sengilej.ru/filemanager.aspx?folderid=433" TargetMode="External"/><Relationship Id="rId933" Type="http://schemas.openxmlformats.org/officeDocument/2006/relationships/hyperlink" Target="mailto:admin@pangody.org" TargetMode="External"/><Relationship Id="rId1009" Type="http://schemas.openxmlformats.org/officeDocument/2006/relationships/hyperlink" Target="mailto:kohanovich@yamalfin.ru" TargetMode="External"/><Relationship Id="rId62" Type="http://schemas.openxmlformats.org/officeDocument/2006/relationships/hyperlink" Target="mailto:popova.o@bashkortostan.ru" TargetMode="External"/><Relationship Id="rId365" Type="http://schemas.openxmlformats.org/officeDocument/2006/relationships/hyperlink" Target="http://www.kirovreg.ru/publ/AkOUP.nsf/de017b98ac867075c32571440061b25c/5bccd3a33e16a8e043257e58002e5e7d?OpenDocument" TargetMode="External"/><Relationship Id="rId572" Type="http://schemas.openxmlformats.org/officeDocument/2006/relationships/hyperlink" Target="mailto:rnn@%20agro.tambov.gov.ru" TargetMode="External"/><Relationship Id="rId225" Type="http://schemas.openxmlformats.org/officeDocument/2006/relationships/hyperlink" Target="http://zakon.krskstate.ru/0/doc/15433" TargetMode="External"/><Relationship Id="rId432" Type="http://schemas.openxmlformats.org/officeDocument/2006/relationships/hyperlink" Target="http://minter.permkrai.ru/documents/legal-acts;" TargetMode="External"/><Relationship Id="rId877" Type="http://schemas.openxmlformats.org/officeDocument/2006/relationships/hyperlink" Target="mailto:lukinaiv@admradugny.ru" TargetMode="External"/><Relationship Id="rId1062" Type="http://schemas.openxmlformats.org/officeDocument/2006/relationships/hyperlink" Target="mailto:snn-mt@adm1.ryazan.su" TargetMode="External"/><Relationship Id="rId737" Type="http://schemas.openxmlformats.org/officeDocument/2006/relationships/hyperlink" Target="https://ok.ru/profile/569954170553" TargetMode="External"/><Relationship Id="rId944" Type="http://schemas.openxmlformats.org/officeDocument/2006/relationships/hyperlink" Target="mailto:admmuji@mail.%20Ru" TargetMode="External"/><Relationship Id="rId73" Type="http://schemas.openxmlformats.org/officeDocument/2006/relationships/hyperlink" Target="http://taktagul.ru/page/anketirovanie-naselenija-po-nashe-selo-1" TargetMode="External"/><Relationship Id="rId169" Type="http://schemas.openxmlformats.org/officeDocument/2006/relationships/hyperlink" Target="https://minstroy39.ru/upload/%D0%9F%D0%9F%D0%9A%D0%9E%20465%20%D0%BE%D1%82%2031%2008%202017%20%D0%B3%D0%BE%D1%81%20%D0%BF%D1%80%D0%BE%D0%B3%D1%80%D0%B0%D0%BC%D0%BC%D0%B0.pdf" TargetMode="External"/><Relationship Id="rId376" Type="http://schemas.openxmlformats.org/officeDocument/2006/relationships/hyperlink" Target="https://pib.sakhminfin.ru/show/ppi" TargetMode="External"/><Relationship Id="rId583" Type="http://schemas.openxmlformats.org/officeDocument/2006/relationships/hyperlink" Target="mailto:Marina.Chistopolova@tatar.ru" TargetMode="External"/><Relationship Id="rId790" Type="http://schemas.openxmlformats.org/officeDocument/2006/relationships/hyperlink" Target="http://www.admkonda.ru/tinybrowser/files/poseleniya2019/mezhdur/byudzhet/narodnyy-byudzhet/protokol-konkursa-nb-ot-25.09.2019.pdf" TargetMode="External"/><Relationship Id="rId804" Type="http://schemas.openxmlformats.org/officeDocument/2006/relationships/hyperlink" Target="mailto:adm-mortka@mail.ru" TargetMode="External"/><Relationship Id="rId4" Type="http://schemas.openxmlformats.org/officeDocument/2006/relationships/hyperlink" Target="http://www.minfin01-maykop.ru/Show/Category/60?ItemId=237" TargetMode="External"/><Relationship Id="rId236" Type="http://schemas.openxmlformats.org/officeDocument/2006/relationships/hyperlink" Target="mailto:olba81@mail.ru" TargetMode="External"/><Relationship Id="rId443" Type="http://schemas.openxmlformats.org/officeDocument/2006/relationships/hyperlink" Target="mailto:popova@buzuluk-town.ru" TargetMode="External"/><Relationship Id="rId650" Type="http://schemas.openxmlformats.org/officeDocument/2006/relationships/hyperlink" Target="mailto:ShillerMV@72to.ru" TargetMode="External"/><Relationship Id="rId888" Type="http://schemas.openxmlformats.org/officeDocument/2006/relationships/hyperlink" Target="https://vk.com/rmc_sr" TargetMode="External"/><Relationship Id="rId1073" Type="http://schemas.openxmlformats.org/officeDocument/2006/relationships/hyperlink" Target="http://vologda-portal.ru/novosti/index.php?ID=402720&amp;SECTION_ID=151" TargetMode="External"/><Relationship Id="rId303" Type="http://schemas.openxmlformats.org/officeDocument/2006/relationships/hyperlink" Target="http://docs.cntd.ru/document/444708082" TargetMode="External"/><Relationship Id="rId748" Type="http://schemas.openxmlformats.org/officeDocument/2006/relationships/hyperlink" Target="http://www.b-nagatkinskoe.ru/" TargetMode="External"/><Relationship Id="rId955" Type="http://schemas.openxmlformats.org/officeDocument/2006/relationships/hyperlink" Target="http://adm-gorki.ru/byudzhetnaya-iniciativa-grazhdan.html" TargetMode="External"/><Relationship Id="rId84" Type="http://schemas.openxmlformats.org/officeDocument/2006/relationships/hyperlink" Target="http://spburaevski.ru/2017/02/1435/" TargetMode="External"/><Relationship Id="rId387" Type="http://schemas.openxmlformats.org/officeDocument/2006/relationships/hyperlink" Target="https://pib.sakhminfin.ru/" TargetMode="External"/><Relationship Id="rId510" Type="http://schemas.openxmlformats.org/officeDocument/2006/relationships/hyperlink" Target="mailto:ChegodaikinaLV@samadm.ru" TargetMode="External"/><Relationship Id="rId594" Type="http://schemas.openxmlformats.org/officeDocument/2006/relationships/hyperlink" Target="https://npa.yarregion.ru/_layouts/WordViewer.aspx?id=/DocLib/&#1054;&#1073;%20&#1091;&#1090;&#1074;&#1077;&#1088;&#1078;&#1076;&#1077;&#1085;&#1080;&#1080;%20&#1087;&#1072;&#1089;&#1087;&#1086;&#1088;&#1090;&#1072;%20&#1088;&#1077;&#1075;&#1080;&#1086;&#1085;&#1072;&#1083;&#1100;&#1085;&#1086;&#1075;&#1086;%20&#1087;&#1088;&#1086;&#1077;&#1082;&#1090;&#1072;%20_%20&#8470;176-&#1088;%2014.10.2019.docx" TargetMode="External"/><Relationship Id="rId608" Type="http://schemas.openxmlformats.org/officeDocument/2006/relationships/hyperlink" Target="https://minsh.khabkrai.ru/Gospodderzhka/Programmy-/Kraevye/Podprogramma-quot-Kompleksnoe-razvitie-selskih-territorij-quot-/Meropriyatiya-podprogrammy-quot-Kompleksnoe-razvitie-selskih-territorij-quot-/574" TargetMode="External"/><Relationship Id="rId815" Type="http://schemas.openxmlformats.org/officeDocument/2006/relationships/hyperlink" Target="http://admkonda.ru/realizatciya-proektov-narodnyy-byudzhet-leushi.html" TargetMode="External"/><Relationship Id="rId247" Type="http://schemas.openxmlformats.org/officeDocument/2006/relationships/hyperlink" Target="mailto:ppmi-53@mail.ru" TargetMode="External"/><Relationship Id="rId899" Type="http://schemas.openxmlformats.org/officeDocument/2006/relationships/hyperlink" Target="https://&#1078;&#1080;&#1074;&#1105;&#1084;&#1085;&#1072;&#1089;&#1077;&#1074;&#1077;&#1088;&#1077;.&#1088;&#1092;/solve/archive/1015/;" TargetMode="External"/><Relationship Id="rId1000" Type="http://schemas.openxmlformats.org/officeDocument/2006/relationships/hyperlink" Target="https://www.puradm.ru/search/index.php?q=%D0%98%D0%9D%D0%98%D0%A6%D0%98%D0%90%D0%A2%D0%98%D0%92%D0%9D%D0%9E%D0%95+%D0%91%D0%AE%D0%94%D0%96%D0%95%D0%A2%D0%98%D0%A0%D0%9E%D0%92%D0%90%D0%9D%D0%98%D0%95" TargetMode="External"/><Relationship Id="rId107" Type="http://schemas.openxmlformats.org/officeDocument/2006/relationships/hyperlink" Target="mailto:belrn@bk.ru" TargetMode="External"/><Relationship Id="rId454" Type="http://schemas.openxmlformats.org/officeDocument/2006/relationships/hyperlink" Target="http://finotdel-akbulak.ru/index.php?option=com_content&amp;view=article&amp;id=202&amp;Itemid=117" TargetMode="External"/><Relationship Id="rId661" Type="http://schemas.openxmlformats.org/officeDocument/2006/relationships/hyperlink" Target="http://&#1079;&#1072;&#1074;&#1100;&#1103;&#1083;&#1086;&#1074;&#1089;&#1082;&#1080;&#1081;.&#1088;&#1092;/about/initsiativnoe-byudzhetirovanie/index.php" TargetMode="External"/><Relationship Id="rId759" Type="http://schemas.openxmlformats.org/officeDocument/2006/relationships/hyperlink" Target="https://cherdakli.com/?p=18029" TargetMode="External"/><Relationship Id="rId966" Type="http://schemas.openxmlformats.org/officeDocument/2006/relationships/hyperlink" Target="http://mo-aksarka.ru/dokumenty-1.html" TargetMode="External"/><Relationship Id="rId11" Type="http://schemas.openxmlformats.org/officeDocument/2006/relationships/hyperlink" Target="https://minfin-altai.ru/deyatelnost/proactive-budgeting/" TargetMode="External"/><Relationship Id="rId314" Type="http://schemas.openxmlformats.org/officeDocument/2006/relationships/hyperlink" Target="http://mari-el.gov.ru/mecon/Pages/competitions.aspx" TargetMode="External"/><Relationship Id="rId398" Type="http://schemas.openxmlformats.org/officeDocument/2006/relationships/hyperlink" Target="mailto:dtdh@adm44.ru" TargetMode="External"/><Relationship Id="rId521" Type="http://schemas.openxmlformats.org/officeDocument/2006/relationships/hyperlink" Target="mailto:promtos63@mail.ru" TargetMode="External"/><Relationship Id="rId619" Type="http://schemas.openxmlformats.org/officeDocument/2006/relationships/hyperlink" Target="mailto:v.i.rayshutis@adm.khv.ru" TargetMode="External"/><Relationship Id="rId95" Type="http://schemas.openxmlformats.org/officeDocument/2006/relationships/hyperlink" Target="https://miyaki.bashkortostan.ru/activity/12234/" TargetMode="External"/><Relationship Id="rId160" Type="http://schemas.openxmlformats.org/officeDocument/2006/relationships/hyperlink" Target="http://krassever.ru/article/narodnyye-initsiativy-vnov-profinansiruyut" TargetMode="External"/><Relationship Id="rId826" Type="http://schemas.openxmlformats.org/officeDocument/2006/relationships/hyperlink" Target="mailto:admbol2016@mail.ru" TargetMode="External"/><Relationship Id="rId1011" Type="http://schemas.openxmlformats.org/officeDocument/2006/relationships/hyperlink" Target="http://hanimey.ru/documents/1455.html" TargetMode="External"/><Relationship Id="rId258" Type="http://schemas.openxmlformats.org/officeDocument/2006/relationships/hyperlink" Target="mailto:bud_komfin@novreg.ru" TargetMode="External"/><Relationship Id="rId465" Type="http://schemas.openxmlformats.org/officeDocument/2006/relationships/hyperlink" Target="http://finotdnovoorsk.ru/kadrovoe-obespechenie" TargetMode="External"/><Relationship Id="rId672" Type="http://schemas.openxmlformats.org/officeDocument/2006/relationships/hyperlink" Target="http://www.mozhga-rayon.ru/about/info/initsiativnoe-byudzhetirovanie-nashe-selo/" TargetMode="External"/><Relationship Id="rId22" Type="http://schemas.openxmlformats.org/officeDocument/2006/relationships/hyperlink" Target="mailto:gnezdilova@minfin.gorny.ru" TargetMode="External"/><Relationship Id="rId118" Type="http://schemas.openxmlformats.org/officeDocument/2006/relationships/hyperlink" Target="http://volgafin.volgograd.ru/" TargetMode="External"/><Relationship Id="rId325" Type="http://schemas.openxmlformats.org/officeDocument/2006/relationships/hyperlink" Target="https://minfin.saratov.gov.ru/index.php?option=com_acrfilestorage&amp;task=download&amp;on=2065" TargetMode="External"/><Relationship Id="rId532" Type="http://schemas.openxmlformats.org/officeDocument/2006/relationships/hyperlink" Target="mailto:Taranns@samadm.ru" TargetMode="External"/><Relationship Id="rId977" Type="http://schemas.openxmlformats.org/officeDocument/2006/relationships/hyperlink" Target="http://adminbelka.ru/tinybrowser/files/bydjetnay_iniciativa_grajdan/2019/02/3_protokol_zasedaniya_konkursnoy_komissii_po_provedeniyu_konkursnogo_otbora_proektov_ot_18_06_2019.pdf" TargetMode="External"/><Relationship Id="rId171" Type="http://schemas.openxmlformats.org/officeDocument/2006/relationships/hyperlink" Target="https://kaliningrad.gks.ru/population" TargetMode="External"/><Relationship Id="rId837" Type="http://schemas.openxmlformats.org/officeDocument/2006/relationships/hyperlink" Target="http://admkogalym.ru/upload/medialibrary/145/3_icx_182_19.pdf" TargetMode="External"/><Relationship Id="rId1022" Type="http://schemas.openxmlformats.org/officeDocument/2006/relationships/hyperlink" Target="mailto:IrinaAGadzieva@krasnoselkupsky.yanao.ru," TargetMode="External"/><Relationship Id="rId269" Type="http://schemas.openxmlformats.org/officeDocument/2006/relationships/hyperlink" Target="https://kurskstat.gks.ru/" TargetMode="External"/><Relationship Id="rId476" Type="http://schemas.openxmlformats.org/officeDocument/2006/relationships/hyperlink" Target="https://vk.com/fintotsk?w=wall-163040897_67" TargetMode="External"/><Relationship Id="rId683" Type="http://schemas.openxmlformats.org/officeDocument/2006/relationships/hyperlink" Target="mailto:beketovka_mo@mail.ru" TargetMode="External"/><Relationship Id="rId890" Type="http://schemas.openxmlformats.org/officeDocument/2006/relationships/hyperlink" Target="http://www.admsr.ru/region/population/" TargetMode="External"/><Relationship Id="rId904" Type="http://schemas.openxmlformats.org/officeDocument/2006/relationships/hyperlink" Target="mailto:kohanovich@yamalfin.ru" TargetMode="External"/><Relationship Id="rId33" Type="http://schemas.openxmlformats.org/officeDocument/2006/relationships/hyperlink" Target="https://www.fin.amurobl.ru/pages/deyatelnost/initsiativnoe-byudzhetirovanie/" TargetMode="External"/><Relationship Id="rId129" Type="http://schemas.openxmlformats.org/officeDocument/2006/relationships/hyperlink" Target="http://vladimirstat.old.gks.ru/wps/wcm/connect/rosstat_ts/vladimirstat/resources/0baef680498070eba465fe3fbd401489/&#1054;&#1094;&#1077;&#1085;&#1082;&#1072;+&#1095;&#1080;&#1089;&#1083;&#1077;&#1085;&#1085;&#1086;&#1089;&#1090;&#1080;+&#1085;&#1072;&#1089;&#1077;&#1083;&#1077;&#1085;&#1080;&#1103;+&#1042;&#1083;&#1072;&#1076;&#1080;&#1084;&#1080;&#1088;&#1089;&#1082;&#1086;&#1081;+&#1086;&#1073;&#1083;&#1072;&#1089;&#1090;&#1080;+&#1085;&#1072;+1+&#1103;&#1085;&#1074;&#1072;&#1088;&#1103;+2019+&#1075;&#1086;&#1076;&#1072;+&#1080;+&#1074;+&#1089;&#1088;&#1077;&#1076;&#1085;&#1077;&#1084;+&#1079;&#1072;+2018+&#1075;&#1086;&#1076;.htm" TargetMode="External"/><Relationship Id="rId336" Type="http://schemas.openxmlformats.org/officeDocument/2006/relationships/hyperlink" Target="https://minfin.sakha.gov.ru/initsiativnoe-bjudzhetirovanie" TargetMode="External"/><Relationship Id="rId543" Type="http://schemas.openxmlformats.org/officeDocument/2006/relationships/hyperlink" Target="http://www.pohgor.ru/sociosfera/prestige-pricing/image-projects_15.html" TargetMode="External"/><Relationship Id="rId988" Type="http://schemas.openxmlformats.org/officeDocument/2006/relationships/hyperlink" Target="https://www.&#1078;&#1080;&#1074;&#1105;&#1084;&#1085;&#1072;&#1089;&#1077;&#1074;&#1077;&#1088;&#1077;.&#1088;&#1092;/homely/" TargetMode="External"/><Relationship Id="rId182" Type="http://schemas.openxmlformats.org/officeDocument/2006/relationships/hyperlink" Target="http://www.kirovreg.ru/publ/AkOUP.nsf/de017b98ac867075c32571440061b25c/01475e033e0afe3443257e6f00584478?OpenDocument" TargetMode="External"/><Relationship Id="rId403" Type="http://schemas.openxmlformats.org/officeDocument/2006/relationships/hyperlink" Target="mailto:dolg@depfin.adm44.ru" TargetMode="External"/><Relationship Id="rId750" Type="http://schemas.openxmlformats.org/officeDocument/2006/relationships/hyperlink" Target="mailto:b.nagatkino@mail.ru" TargetMode="External"/><Relationship Id="rId848" Type="http://schemas.openxmlformats.org/officeDocument/2006/relationships/hyperlink" Target="mailto:FinaevaTA@admlange" TargetMode="External"/><Relationship Id="rId1033" Type="http://schemas.openxmlformats.org/officeDocument/2006/relationships/hyperlink" Target="https://narimanov.astrobl.ru/sites/default/files/iniciativnoe_byudzhetirovanie.pdf" TargetMode="External"/><Relationship Id="rId487" Type="http://schemas.openxmlformats.org/officeDocument/2006/relationships/hyperlink" Target="mailto:prikhodko@minfin.donland.ru" TargetMode="External"/><Relationship Id="rId610" Type="http://schemas.openxmlformats.org/officeDocument/2006/relationships/hyperlink" Target="mailto:e.e.lavrinenko@adm.khv.ru" TargetMode="External"/><Relationship Id="rId694" Type="http://schemas.openxmlformats.org/officeDocument/2006/relationships/hyperlink" Target="http://novulsk.ru/" TargetMode="External"/><Relationship Id="rId708" Type="http://schemas.openxmlformats.org/officeDocument/2006/relationships/hyperlink" Target="http://maina-admin.ru/about/statistics/butget" TargetMode="External"/><Relationship Id="rId915" Type="http://schemas.openxmlformats.org/officeDocument/2006/relationships/hyperlink" Target="https://drive.google.com/open?id=1DP1ojEc8ypNgJkzxcpHF6FZCyoRl-M_5" TargetMode="External"/><Relationship Id="rId347" Type="http://schemas.openxmlformats.org/officeDocument/2006/relationships/hyperlink" Target="http://www.gorodsreda.ru/documents/metodiki-i-rekomendatsii/?sect=" TargetMode="External"/><Relationship Id="rId999" Type="http://schemas.openxmlformats.org/officeDocument/2006/relationships/hyperlink" Target="http://dfik.ru/" TargetMode="External"/><Relationship Id="rId44" Type="http://schemas.openxmlformats.org/officeDocument/2006/relationships/hyperlink" Target="http://www.arhcity.ru/?page=2371/1" TargetMode="External"/><Relationship Id="rId554" Type="http://schemas.openxmlformats.org/officeDocument/2006/relationships/hyperlink" Target="http://adm-ngo.ru/term_finance/166" TargetMode="External"/><Relationship Id="rId761" Type="http://schemas.openxmlformats.org/officeDocument/2006/relationships/hyperlink" Target="http://www.statdata.ru/naselenie/naselenie-hmao" TargetMode="External"/><Relationship Id="rId859" Type="http://schemas.openxmlformats.org/officeDocument/2006/relationships/hyperlink" Target="https://www.n-vartovsk.ru/ibudget/" TargetMode="External"/><Relationship Id="rId193" Type="http://schemas.openxmlformats.org/officeDocument/2006/relationships/hyperlink" Target="http://minfin.karelia.ru/2018-2020-gody/" TargetMode="External"/><Relationship Id="rId207" Type="http://schemas.openxmlformats.org/officeDocument/2006/relationships/hyperlink" Target="https://www.kaluga-gov.ru/?q=&#1080;&#1085;&#1080;&#1094;&#1080;&#1072;&#1090;&#1080;&#1074;&#1085;&#1086;&#1077;-&#1073;&#1102;&#1076;&#1078;&#1077;&#1090;&#1080;&#1088;&#1086;&#1074;&#1072;&#1085;&#1080;&#1077;_442365699" TargetMode="External"/><Relationship Id="rId414" Type="http://schemas.openxmlformats.org/officeDocument/2006/relationships/hyperlink" Target="mailto:budget@fin-vidnoe.ru" TargetMode="External"/><Relationship Id="rId498" Type="http://schemas.openxmlformats.org/officeDocument/2006/relationships/hyperlink" Target="https://yadi.sk/d/yvtSuEdJjxahiA" TargetMode="External"/><Relationship Id="rId621" Type="http://schemas.openxmlformats.org/officeDocument/2006/relationships/hyperlink" Target="https://tumstat.gks.ru/storage/mediabank/%D0%A7%D0%B8%D1%81%D0%BB%D0%B5%D0%BD%D0%BD%D0%BE%D1%81%D1%82%D1%8C%20%D0%BD%D0%B0%D1%81%D0%B5%D0%BB%D0%B5%D0%BD%D0%B8%D1%8F.htm" TargetMode="External"/><Relationship Id="rId1044" Type="http://schemas.openxmlformats.org/officeDocument/2006/relationships/hyperlink" Target="http://msu.lenobl.ru/programmy-i-plany/iniciativnye-komissii-v-administrativnyh-centrah/2019-god/" TargetMode="External"/><Relationship Id="rId260" Type="http://schemas.openxmlformats.org/officeDocument/2006/relationships/hyperlink" Target="mailto:bud_komfin@novreg.ru" TargetMode="External"/><Relationship Id="rId719" Type="http://schemas.openxmlformats.org/officeDocument/2006/relationships/hyperlink" Target="mailto:upfr55@mail.ru" TargetMode="External"/><Relationship Id="rId926" Type="http://schemas.openxmlformats.org/officeDocument/2006/relationships/hyperlink" Target="mailto:kilienko@inbox.ru" TargetMode="External"/><Relationship Id="rId55" Type="http://schemas.openxmlformats.org/officeDocument/2006/relationships/hyperlink" Target="https://bashstat.gks.ru/folder/25491" TargetMode="External"/><Relationship Id="rId120" Type="http://schemas.openxmlformats.org/officeDocument/2006/relationships/hyperlink" Target="mailto:mbo@minfinrk.ru" TargetMode="External"/><Relationship Id="rId358" Type="http://schemas.openxmlformats.org/officeDocument/2006/relationships/hyperlink" Target="mailto:investdsh@kurganobl.ru" TargetMode="External"/><Relationship Id="rId565" Type="http://schemas.openxmlformats.org/officeDocument/2006/relationships/hyperlink" Target="mailto:kyk@findep.org" TargetMode="External"/><Relationship Id="rId772" Type="http://schemas.openxmlformats.org/officeDocument/2006/relationships/hyperlink" Target="mailto:ahmetchinann@admbel.ru" TargetMode="External"/><Relationship Id="rId218" Type="http://schemas.openxmlformats.org/officeDocument/2006/relationships/hyperlink" Target="mailto:foborovsk@adm.kaluga.ru" TargetMode="External"/><Relationship Id="rId425" Type="http://schemas.openxmlformats.org/officeDocument/2006/relationships/hyperlink" Target="http://orel.old.gks.ru/wps/wcm/connect/rosstat_ts/orel/ru/statistics/population/" TargetMode="External"/><Relationship Id="rId632" Type="http://schemas.openxmlformats.org/officeDocument/2006/relationships/hyperlink" Target="http://npatula.ru/storage/files/41506548-41509680.pdf" TargetMode="External"/><Relationship Id="rId1055" Type="http://schemas.openxmlformats.org/officeDocument/2006/relationships/hyperlink" Target="https://tumstat.gks.ru/storage/mediabank/%D0%A1%D1%80%D0%B5%D0%B4%D0%BD%D0%B5%D0%B3%D0%BE%D0%B4%D0%BE%D0%B2%D0%B0%D1%8F%20%D0%AF%D0%9D%D0%90%D0%9E_2019.htm" TargetMode="External"/><Relationship Id="rId271" Type="http://schemas.openxmlformats.org/officeDocument/2006/relationships/hyperlink" Target="mailto:hondzinskaya.kvp@rkursk.ru" TargetMode="External"/><Relationship Id="rId937" Type="http://schemas.openxmlformats.org/officeDocument/2006/relationships/hyperlink" Target="mailto:Azov_adm@mail.ru" TargetMode="External"/><Relationship Id="rId66" Type="http://schemas.openxmlformats.org/officeDocument/2006/relationships/hyperlink" Target="https://bashstat.gks.ru/folder/25491" TargetMode="External"/><Relationship Id="rId131" Type="http://schemas.openxmlformats.org/officeDocument/2006/relationships/hyperlink" Target="https://dsx.avo.ru/programmy" TargetMode="External"/><Relationship Id="rId369" Type="http://schemas.openxmlformats.org/officeDocument/2006/relationships/hyperlink" Target="http://publication.pravo.gov.ru/Document/View/4800201904250006?index=0&amp;rangeSize=1" TargetMode="External"/><Relationship Id="rId576" Type="http://schemas.openxmlformats.org/officeDocument/2006/relationships/hyperlink" Target="https://www.kommersant.ru/doc/4163655" TargetMode="External"/><Relationship Id="rId783" Type="http://schemas.openxmlformats.org/officeDocument/2006/relationships/hyperlink" Target="https://www.gradberezov.ru/o-poselenii/obshchie-svedeniya-i-istoriya-poseleniya/" TargetMode="External"/><Relationship Id="rId990" Type="http://schemas.openxmlformats.org/officeDocument/2006/relationships/hyperlink" Target="https://tasu.ru/ekonomika-i-finansy/initsiativnoe-byudzhetirovanie/;" TargetMode="External"/><Relationship Id="rId229" Type="http://schemas.openxmlformats.org/officeDocument/2006/relationships/hyperlink" Target="https://drive.google.com/open?id=1w25Zz-ExkDh-aT7lSyclttjRfN0XL4kV" TargetMode="External"/><Relationship Id="rId436" Type="http://schemas.openxmlformats.org/officeDocument/2006/relationships/hyperlink" Target="http://minter.permkrai.ru/activities/initsiativnoe-byudzhetirovanie/initsiativnoe-byudzhetirovanie/" TargetMode="External"/><Relationship Id="rId643" Type="http://schemas.openxmlformats.org/officeDocument/2006/relationships/hyperlink" Target="mailto:finance4603@cap.ru" TargetMode="External"/><Relationship Id="rId1066" Type="http://schemas.openxmlformats.org/officeDocument/2006/relationships/hyperlink" Target="https://minter.ryazangov.ru/activities/direction/podderzhka-mestnykh-initsiativ/" TargetMode="External"/><Relationship Id="rId850" Type="http://schemas.openxmlformats.org/officeDocument/2006/relationships/hyperlink" Target="https://admmegion.ru/gov/laws/index.php?ELEMENT_ID=329183" TargetMode="External"/><Relationship Id="rId948" Type="http://schemas.openxmlformats.org/officeDocument/2006/relationships/hyperlink" Target="mailto:admin_moovg@mail.ru" TargetMode="External"/><Relationship Id="rId77" Type="http://schemas.openxmlformats.org/officeDocument/2006/relationships/hyperlink" Target="https://baltachevo.bashkortostan.ru/documents/active/278917/" TargetMode="External"/><Relationship Id="rId282" Type="http://schemas.openxmlformats.org/officeDocument/2006/relationships/hyperlink" Target="mailto:Kolosov_sv@mfnso.ru" TargetMode="External"/><Relationship Id="rId503" Type="http://schemas.openxmlformats.org/officeDocument/2006/relationships/hyperlink" Target="http://komitet4.km.duma.gov.ru/upload/site28/10._Samarskaya_Gubernskaya_Duma.pdf" TargetMode="External"/><Relationship Id="rId587" Type="http://schemas.openxmlformats.org/officeDocument/2006/relationships/hyperlink" Target="https://www.facebook.com/groups/965650083551503/" TargetMode="External"/><Relationship Id="rId710" Type="http://schemas.openxmlformats.org/officeDocument/2006/relationships/hyperlink" Target="http://www.maina-admin.ru/about/statistics/butget/narodniy%20budget.php" TargetMode="External"/><Relationship Id="rId808" Type="http://schemas.openxmlformats.org/officeDocument/2006/relationships/hyperlink" Target="http://lugovoikonda.ru/byudzhet-dlya-grazhdan.html" TargetMode="External"/><Relationship Id="rId8" Type="http://schemas.openxmlformats.org/officeDocument/2006/relationships/hyperlink" Target="mailto:economy@minregion-ra.ru,invest-minregion@mail.ru" TargetMode="External"/><Relationship Id="rId142" Type="http://schemas.openxmlformats.org/officeDocument/2006/relationships/hyperlink" Target="https://voronezhstat.gks.ru/" TargetMode="External"/><Relationship Id="rId447" Type="http://schemas.openxmlformats.org/officeDocument/2006/relationships/hyperlink" Target="http://www.sorochinsk56.ru/index.php?id=1039" TargetMode="External"/><Relationship Id="rId794" Type="http://schemas.openxmlformats.org/officeDocument/2006/relationships/hyperlink" Target="https://www.gks.ru/scripts/db_inet2/passport/table.aspx?opt=718161512019" TargetMode="External"/><Relationship Id="rId1077" Type="http://schemas.openxmlformats.org/officeDocument/2006/relationships/vmlDrawing" Target="../drawings/vmlDrawing1.vml"/><Relationship Id="rId654" Type="http://schemas.openxmlformats.org/officeDocument/2006/relationships/hyperlink" Target="consultantplus://offline/ref=5A78F214DC91179767842411C4BFC0F13FE5B964C55CC40A831DF8AAB91A3E6601CA0FA440BB465483B46EDB2D59F0FBBEB6330B05DF54BDB2B2A0DC1F44B8C647M5G" TargetMode="External"/><Relationship Id="rId861" Type="http://schemas.openxmlformats.org/officeDocument/2006/relationships/hyperlink" Target="https://gp-izluchinsk.ru/obshchestvennoe-obsuzhdenie2/2430-1/" TargetMode="External"/><Relationship Id="rId959" Type="http://schemas.openxmlformats.org/officeDocument/2006/relationships/hyperlink" Target="mailto:karpova-eb@priuralye.com" TargetMode="External"/><Relationship Id="rId293" Type="http://schemas.openxmlformats.org/officeDocument/2006/relationships/hyperlink" Target="http://msu.lenobl.ru/programmy-i-plany/iniciativnye-komissii-v-administrativnyh-centrah/2019-god/" TargetMode="External"/><Relationship Id="rId307" Type="http://schemas.openxmlformats.org/officeDocument/2006/relationships/hyperlink" Target="http://ppmi.sakha.gov.ru/" TargetMode="External"/><Relationship Id="rId514" Type="http://schemas.openxmlformats.org/officeDocument/2006/relationships/hyperlink" Target="mailto:oktadm@samadm.ru" TargetMode="External"/><Relationship Id="rId721" Type="http://schemas.openxmlformats.org/officeDocument/2006/relationships/hyperlink" Target="mailto:khvesik86@mail.ru" TargetMode="External"/><Relationship Id="rId88" Type="http://schemas.openxmlformats.org/officeDocument/2006/relationships/hyperlink" Target="https://bashstat.gks.ru/folder/25491" TargetMode="External"/><Relationship Id="rId153" Type="http://schemas.openxmlformats.org/officeDocument/2006/relationships/hyperlink" Target="mailto:Badluev.B@minfin.govrb.ru" TargetMode="External"/><Relationship Id="rId360" Type="http://schemas.openxmlformats.org/officeDocument/2006/relationships/hyperlink" Target="http://sport.kurganobl.ru/6950.html" TargetMode="External"/><Relationship Id="rId598" Type="http://schemas.openxmlformats.org/officeDocument/2006/relationships/hyperlink" Target="https://yar.gks.ru/storage/mediabank/&#1071;&#1088;&#1086;&#1089;&#1083;&#1072;&#1074;&#1089;&#1082;&#1072;&#1103;%20&#1086;&#1073;&#1083;&#1072;&#1089;&#1090;&#1100;%20&#1074;%20&#1094;&#1080;&#1092;&#1088;&#1072;&#1093;%202019%20&#1075;&#1086;&#1076;.pdf" TargetMode="External"/><Relationship Id="rId819" Type="http://schemas.openxmlformats.org/officeDocument/2006/relationships/hyperlink" Target="mailto:schabarchinavalya@yandex.ru" TargetMode="External"/><Relationship Id="rId1004" Type="http://schemas.openxmlformats.org/officeDocument/2006/relationships/hyperlink" Target="https://drive.google.com/file/d/1bR9hbPZh8gWmMrCX7YU0-EF__3g0df5T/view" TargetMode="External"/><Relationship Id="rId220" Type="http://schemas.openxmlformats.org/officeDocument/2006/relationships/hyperlink" Target="http://smi.adm-nao.ru/iniciativnoe-byudzhetirovanie/" TargetMode="External"/><Relationship Id="rId458" Type="http://schemas.openxmlformats.org/officeDocument/2006/relationships/hyperlink" Target="http://mo-ko.orb.ru/simplepage/1595" TargetMode="External"/><Relationship Id="rId665" Type="http://schemas.openxmlformats.org/officeDocument/2006/relationships/hyperlink" Target="http://mykizner.ru/city/ityiniciativnoe_budgetirovanie/postAdmKizner_729_07122018.doc" TargetMode="External"/><Relationship Id="rId872" Type="http://schemas.openxmlformats.org/officeDocument/2006/relationships/hyperlink" Target="https://vk.com/feed?w=wall-172665895_104" TargetMode="External"/><Relationship Id="rId15" Type="http://schemas.openxmlformats.org/officeDocument/2006/relationships/hyperlink" Target="mailto:economy@minregion-ra.ru,invest-minregion@mail.ru" TargetMode="External"/><Relationship Id="rId318" Type="http://schemas.openxmlformats.org/officeDocument/2006/relationships/hyperlink" Target="mailto:GroberEM@samregion.ru" TargetMode="External"/><Relationship Id="rId525" Type="http://schemas.openxmlformats.org/officeDocument/2006/relationships/hyperlink" Target="https://samarastat.gks.ru/population" TargetMode="External"/><Relationship Id="rId732" Type="http://schemas.openxmlformats.org/officeDocument/2006/relationships/hyperlink" Target="http://www.terenga.ru/node/10494" TargetMode="External"/><Relationship Id="rId99" Type="http://schemas.openxmlformats.org/officeDocument/2006/relationships/hyperlink" Target="http://www.dkp31.ru/publications/departament-vnutrennej-i-kadrovoj-politiki-oblas74/" TargetMode="External"/><Relationship Id="rId164" Type="http://schemas.openxmlformats.org/officeDocument/2006/relationships/hyperlink" Target="mailto:a.dyrdo@govirk.ru" TargetMode="External"/><Relationship Id="rId371" Type="http://schemas.openxmlformats.org/officeDocument/2006/relationships/hyperlink" Target="http://admlip.ru/authorities/administratsiya-lipetskoy-oblasti/struktury/upravlenie-org-raboty/zonalnye-seminary-dlya-organov-mestnogo-samoupravleniya/?sphrase_id=1207464;" TargetMode="External"/><Relationship Id="rId1015" Type="http://schemas.openxmlformats.org/officeDocument/2006/relationships/hyperlink" Target="mailto:kohanovich@yamalfin.ru" TargetMode="External"/><Relationship Id="rId469" Type="http://schemas.openxmlformats.org/officeDocument/2006/relationships/hyperlink" Target="http://fin-or.ru/content/narodnyy-byudzhet" TargetMode="External"/><Relationship Id="rId676" Type="http://schemas.openxmlformats.org/officeDocument/2006/relationships/hyperlink" Target="http://www.mozhga-rayon.ru/about/the-department-of-the-registry-office/%D0%BF%D1%80%D0%BE%D1%82%D0%BE%D0%BA%D0%BE%D0%BB%20%E2%84%961%20%D0%B7%D0%B0%D1%81%D0%B5%D0%B4.%20%D0%BA%D0%BE%D0%BD%D0%BA%D1%83%D1%80%D1%81.%20%D0%BA%D0%BE%D0%BC.pdf" TargetMode="External"/><Relationship Id="rId883" Type="http://schemas.openxmlformats.org/officeDocument/2006/relationships/hyperlink" Target="http://budget.admsurgut.ru/budget/320216097" TargetMode="External"/><Relationship Id="rId26" Type="http://schemas.openxmlformats.org/officeDocument/2006/relationships/hyperlink" Target="https://akstat.gks.ru/folder/33247" TargetMode="External"/><Relationship Id="rId231" Type="http://schemas.openxmlformats.org/officeDocument/2006/relationships/hyperlink" Target="https://drive.google.com/open?id=19lr_chPpTGz5pMoy1j2U4rN8rcPxAYle" TargetMode="External"/><Relationship Id="rId329" Type="http://schemas.openxmlformats.org/officeDocument/2006/relationships/hyperlink" Target="https://twitter.com/ifinmon/" TargetMode="External"/><Relationship Id="rId536" Type="http://schemas.openxmlformats.org/officeDocument/2006/relationships/hyperlink" Target="https://vk.com/club51180168" TargetMode="External"/><Relationship Id="rId175" Type="http://schemas.openxmlformats.org/officeDocument/2006/relationships/hyperlink" Target="consultantplus://offline/ref=7E7306BE598EE74F78349580DCDBA13892FAB1EB5FB8E14765253C2259088452B4DAD8668079597EBB068C26319C3F893FA0E3819AE1393B8F09042D1AF419u4g0N" TargetMode="External"/><Relationship Id="rId743" Type="http://schemas.openxmlformats.org/officeDocument/2006/relationships/hyperlink" Target="https://www.mo-veshkaima.ru/view_news.php?id=20102" TargetMode="External"/><Relationship Id="rId950" Type="http://schemas.openxmlformats.org/officeDocument/2006/relationships/hyperlink" Target="mailto:kohanovich@yamalfin.ru" TargetMode="External"/><Relationship Id="rId1026" Type="http://schemas.openxmlformats.org/officeDocument/2006/relationships/hyperlink" Target="http://www.admomsk.ru/web/guest/government/divisions/62/social-relations/org" TargetMode="External"/><Relationship Id="rId382" Type="http://schemas.openxmlformats.org/officeDocument/2006/relationships/hyperlink" Target="https://www.facebook.com/budget65/%20https:/%20%20%20%20%20%20%20%20%20%20%20%20%20%20%20%20%20%20%20%20%20%20%20%20%20%20%20%20%20%20%20%20%20%20%20%20%20%20%20%20%20%20%20%20%20%20%20%20%20%20%20%20/vk.com/budget65" TargetMode="External"/><Relationship Id="rId603" Type="http://schemas.openxmlformats.org/officeDocument/2006/relationships/hyperlink" Target="mailto:expert442624@mail.ru" TargetMode="External"/><Relationship Id="rId687" Type="http://schemas.openxmlformats.org/officeDocument/2006/relationships/hyperlink" Target="https://www.mo-veshkaima.ru/view_news.php?id=20102" TargetMode="External"/><Relationship Id="rId810" Type="http://schemas.openxmlformats.org/officeDocument/2006/relationships/hyperlink" Target="http://www.lugovoikonda.ru/2019_narod.html" TargetMode="External"/><Relationship Id="rId908" Type="http://schemas.openxmlformats.org/officeDocument/2006/relationships/hyperlink" Target="https://yadi.sk/i/VrNkebyDmsJ7Ew" TargetMode="External"/><Relationship Id="rId242" Type="http://schemas.openxmlformats.org/officeDocument/2006/relationships/hyperlink" Target="http://docs.cntd.ru/document/553230534" TargetMode="External"/><Relationship Id="rId894" Type="http://schemas.openxmlformats.org/officeDocument/2006/relationships/hyperlink" Target="http://gcheb.cap.ru/doc/laws/2018/02/09/postanovlenie201" TargetMode="External"/><Relationship Id="rId37" Type="http://schemas.openxmlformats.org/officeDocument/2006/relationships/hyperlink" Target="https://tos29.ru/" TargetMode="External"/><Relationship Id="rId102" Type="http://schemas.openxmlformats.org/officeDocument/2006/relationships/hyperlink" Target="https://belregion.ru/documents/?arrFilterDocs_pf%5BTYPE%5D=&amp;arrFilterDocs_ff%5BNAME%5D=351-ocs_DATE_ACTIVE_FROM_1=&amp;arrFilterDocs_DATE_ACTIVE_FROM_2=&amp;arrFilterDocs_ff%5BPREVIEW_TEXT%5D=&amp;set_filter=%D0%A4%D0%B8%D0%BB%D1%8C%D1%82%D1%80&amp;set_filter=Y" TargetMode="External"/><Relationship Id="rId547" Type="http://schemas.openxmlformats.org/officeDocument/2006/relationships/hyperlink" Target="http://&#1075;&#1086;&#1088;&#1086;&#1076;&#1072;-&#1088;&#1086;&#1089;&#1089;&#1080;&#1103;.&#1088;&#1092;/sity_id.php?id=371" TargetMode="External"/><Relationship Id="rId754" Type="http://schemas.openxmlformats.org/officeDocument/2006/relationships/hyperlink" Target="https://cherdakli.com/?page_id=620" TargetMode="External"/><Relationship Id="rId961" Type="http://schemas.openxmlformats.org/officeDocument/2006/relationships/hyperlink" Target="mailto:kohanovich@yamalfin.ru" TargetMode="External"/><Relationship Id="rId90" Type="http://schemas.openxmlformats.org/officeDocument/2006/relationships/hyperlink" Target="mailto:Yunusova.lr@bashkortostan.ru" TargetMode="External"/><Relationship Id="rId186" Type="http://schemas.openxmlformats.org/officeDocument/2006/relationships/hyperlink" Target="consultantplus://offline/ref=02CC2414CC785508648514228F9D6FCDFD5429074B1F4B5E38EBD301C928D2EE4DC05C38C2865DF3ACD5B1F6B5148C2D03B548FD0F5CB48EA4C458746891C7D8TEUFH" TargetMode="External"/><Relationship Id="rId393" Type="http://schemas.openxmlformats.org/officeDocument/2006/relationships/hyperlink" Target="http://gkh.adm44.ru/sov_sreda/" TargetMode="External"/><Relationship Id="rId407" Type="http://schemas.openxmlformats.org/officeDocument/2006/relationships/hyperlink" Target="https://petrostat.gks.ru/storage/mediabank/&#1057;&#1055;&#1073;%20&#1095;&#1080;&#1089;&#1083;%20&#1085;&#1072;%2001.01.2019%20.pdf" TargetMode="External"/><Relationship Id="rId614" Type="http://schemas.openxmlformats.org/officeDocument/2006/relationships/hyperlink" Target="https://guvp.khabkrai.ru/Deyatelnost/TOS/Obschaya-informaciya-i-normativnye-pravovye-akty" TargetMode="External"/><Relationship Id="rId821" Type="http://schemas.openxmlformats.org/officeDocument/2006/relationships/hyperlink" Target="http://adm-polov.ru/npa-1.html" TargetMode="External"/><Relationship Id="rId1037" Type="http://schemas.openxmlformats.org/officeDocument/2006/relationships/hyperlink" Target="mailto:sbfin@meria.sbor.ru" TargetMode="External"/><Relationship Id="rId253" Type="http://schemas.openxmlformats.org/officeDocument/2006/relationships/hyperlink" Target="https://&#1094;&#1084;&#1087;&#1080;.&#1088;&#1092;/" TargetMode="External"/><Relationship Id="rId460" Type="http://schemas.openxmlformats.org/officeDocument/2006/relationships/hyperlink" Target="mailto:kurfin@mail.ru" TargetMode="External"/><Relationship Id="rId698" Type="http://schemas.openxmlformats.org/officeDocument/2006/relationships/hyperlink" Target="http://&#1092;&#1080;&#1085;-73.&#1088;&#1092;/images/bud_nar.jpg" TargetMode="External"/><Relationship Id="rId919" Type="http://schemas.openxmlformats.org/officeDocument/2006/relationships/hyperlink" Target="https://&#1078;&#1080;&#1074;&#1105;&#1084;&#1085;&#1072;&#1089;&#1077;&#1074;&#1077;&#1088;&#1077;.&#1088;&#1092;/" TargetMode="External"/><Relationship Id="rId48" Type="http://schemas.openxmlformats.org/officeDocument/2006/relationships/hyperlink" Target="https://mail.yandex.ru/?uid=1130000010623088" TargetMode="External"/><Relationship Id="rId113" Type="http://schemas.openxmlformats.org/officeDocument/2006/relationships/hyperlink" Target="mailto:ufins@mail.ru" TargetMode="External"/><Relationship Id="rId320" Type="http://schemas.openxmlformats.org/officeDocument/2006/relationships/hyperlink" Target="https://yadi.sk/d/_aBt9VWBEg3v5A" TargetMode="External"/><Relationship Id="rId558" Type="http://schemas.openxmlformats.org/officeDocument/2006/relationships/hyperlink" Target="https://&#1077;&#1082;&#1072;&#1090;&#1077;&#1088;&#1080;&#1085;&#1073;&#1091;&#1088;&#1075;.&#1088;&#1092;/&#1086;&#1092;&#1080;&#1094;&#1080;&#1072;&#1083;&#1100;&#1085;&#1086;/&#1076;&#1086;&#1082;&#1091;&#1084;&#1077;&#1085;&#1090;&#1099;/&#1087;&#1086;&#1089;&#1090;&#1072;&#1085;&#1086;&#1074;&#1083;&#1077;&#1085;&#1080;&#1103;/&#1087;_2018/23803" TargetMode="External"/><Relationship Id="rId765" Type="http://schemas.openxmlformats.org/officeDocument/2006/relationships/hyperlink" Target="http://admhmansy.ru/upload/medialibrary/5b3/Poryadok-provedeniya-konkursa-My-planiruem-byudzhet-vmeste.pdf" TargetMode="External"/><Relationship Id="rId972" Type="http://schemas.openxmlformats.org/officeDocument/2006/relationships/hyperlink" Target="mailto:kohanovich@yamalfin.ru" TargetMode="External"/><Relationship Id="rId197" Type="http://schemas.openxmlformats.org/officeDocument/2006/relationships/hyperlink" Target="http://minfin.karelia.ru/2018-2020-gody/" TargetMode="External"/><Relationship Id="rId418" Type="http://schemas.openxmlformats.org/officeDocument/2006/relationships/hyperlink" Target="mailto:mak@adm.orel.ru" TargetMode="External"/><Relationship Id="rId625" Type="http://schemas.openxmlformats.org/officeDocument/2006/relationships/hyperlink" Target="mailto:ButerusTA@admhmao.ru" TargetMode="External"/><Relationship Id="rId832" Type="http://schemas.openxmlformats.org/officeDocument/2006/relationships/hyperlink" Target="https://www.gks.ru/scripts/db_inet2/passport/table.aspx?opt=718164112019" TargetMode="External"/><Relationship Id="rId1048" Type="http://schemas.openxmlformats.org/officeDocument/2006/relationships/hyperlink" Target="http://fin-or.ru/ckfinder/userfiles/files/PostNarBUD.pdf" TargetMode="External"/><Relationship Id="rId264" Type="http://schemas.openxmlformats.org/officeDocument/2006/relationships/hyperlink" Target="http://adm.rkursk.ru/" TargetMode="External"/><Relationship Id="rId471" Type="http://schemas.openxmlformats.org/officeDocument/2006/relationships/hyperlink" Target="http://m.orb.ru/document/94/6/e/6ec5d89468a46327873df8d7b94fdaa3.zip" TargetMode="External"/><Relationship Id="rId59" Type="http://schemas.openxmlformats.org/officeDocument/2006/relationships/hyperlink" Target="http://gsrb.ru/ru/nakazy-izbirateley/" TargetMode="External"/><Relationship Id="rId124" Type="http://schemas.openxmlformats.org/officeDocument/2006/relationships/hyperlink" Target="mailto:rud-gkh33@mail.ru" TargetMode="External"/><Relationship Id="rId569" Type="http://schemas.openxmlformats.org/officeDocument/2006/relationships/hyperlink" Target="mailto:minfin@tverreg.ru" TargetMode="External"/><Relationship Id="rId776" Type="http://schemas.openxmlformats.org/officeDocument/2006/relationships/hyperlink" Target="http://admbel.ru/local-control/administration/finans/ini/" TargetMode="External"/><Relationship Id="rId983" Type="http://schemas.openxmlformats.org/officeDocument/2006/relationships/hyperlink" Target="http://adm-salemal.ru/documents/2656.html" TargetMode="External"/><Relationship Id="rId331" Type="http://schemas.openxmlformats.org/officeDocument/2006/relationships/hyperlink" Target="https://minfin.saratov.gov.ru/budget/proekty/proekt-po-podderzhke-mestnykh-initsiativ-v-saratovskoj-oblasti/o-proekte" TargetMode="External"/><Relationship Id="rId429" Type="http://schemas.openxmlformats.org/officeDocument/2006/relationships/hyperlink" Target="https://orel-region.ru/index.php?head=47&amp;unit=534&amp;op=1" TargetMode="External"/><Relationship Id="rId636" Type="http://schemas.openxmlformats.org/officeDocument/2006/relationships/hyperlink" Target="mailto:Sergey.Kruglov@tularegion.ru" TargetMode="External"/><Relationship Id="rId1059" Type="http://schemas.openxmlformats.org/officeDocument/2006/relationships/hyperlink" Target="https://www.gks.ru/scripts/db_inet2/passport/table.aspx?opt=719180002019" TargetMode="External"/><Relationship Id="rId843" Type="http://schemas.openxmlformats.org/officeDocument/2006/relationships/hyperlink" Target="http://admlangepas.ru/open-budget/proactive-budgeting/attention-the-competition/the-results-of-the-contest/protokol/" TargetMode="External"/><Relationship Id="rId275" Type="http://schemas.openxmlformats.org/officeDocument/2006/relationships/hyperlink" Target="mailto:gkh-kursk@mail.ru" TargetMode="External"/><Relationship Id="rId482" Type="http://schemas.openxmlformats.org/officeDocument/2006/relationships/hyperlink" Target="https://penza-gorod.ru/line_of_activity/public_self_government/konkurs-sotsialno-znachimykh-proektov-napravlennykh-na-razvitie-territorialnogo-obshchestvennogo-sam/2019-god/" TargetMode="External"/><Relationship Id="rId703" Type="http://schemas.openxmlformats.org/officeDocument/2006/relationships/hyperlink" Target="http://inza.ulregion.ru/74/1184/20536/20526/12114/" TargetMode="External"/><Relationship Id="rId910" Type="http://schemas.openxmlformats.org/officeDocument/2006/relationships/hyperlink" Target="mailto:kohanovich@yamalfin.ru" TargetMode="External"/><Relationship Id="rId135" Type="http://schemas.openxmlformats.org/officeDocument/2006/relationships/hyperlink" Target="http://pravo.govvrn.ru/content/&#1087;&#1086;&#1089;&#1090;&#1072;&#1085;&#1086;&#1074;&#1083;&#1077;&#1085;&#1080;&#1077;-&#1087;&#1088;&#1072;&#1074;&#1080;&#1090;&#1077;&#1083;&#1100;&#1089;&#1090;&#1074;&#1072;-&#1074;&#1086;&#1088;&#1086;&#1085;&#1077;&#1078;&#1089;&#1082;&#1086;&#1081;-&#1086;&#1073;&#1083;&#1072;&#1089;&#1090;&#1080;-&#1086;&#1090;-29112017-&#8470;-932" TargetMode="External"/><Relationship Id="rId342" Type="http://schemas.openxmlformats.org/officeDocument/2006/relationships/hyperlink" Target="https://vk.com/sun_asbest?z=photo-145138689_456239017%2Falbum-145138689_0%2Frev" TargetMode="External"/><Relationship Id="rId787" Type="http://schemas.openxmlformats.org/officeDocument/2006/relationships/hyperlink" Target="mailto:ikorsikova.rc.brz@mail.ru" TargetMode="External"/><Relationship Id="rId994" Type="http://schemas.openxmlformats.org/officeDocument/2006/relationships/hyperlink" Target="mailto:irinaantonova@tazovsky.yanao.ru" TargetMode="External"/><Relationship Id="rId202" Type="http://schemas.openxmlformats.org/officeDocument/2006/relationships/hyperlink" Target="mailto:refbud@minfin.karelia.ru" TargetMode="External"/><Relationship Id="rId647" Type="http://schemas.openxmlformats.org/officeDocument/2006/relationships/hyperlink" Target="https://tumstat.gks.ru/storage/mediabank/&#1063;&#1080;&#1089;&#1083;&#1077;&#1085;&#1085;&#1086;&#1089;&#1090;&#1100;%20&#1085;&#1072;&#1089;&#1077;&#1083;&#1077;&#1085;&#1080;&#1103;.htm" TargetMode="External"/><Relationship Id="rId854" Type="http://schemas.openxmlformats.org/officeDocument/2006/relationships/hyperlink" Target="http://www.admugansk.ru/category/1496" TargetMode="External"/><Relationship Id="rId286" Type="http://schemas.openxmlformats.org/officeDocument/2006/relationships/hyperlink" Target="http://budget.orb.ru/images/gritsenko/post.docx" TargetMode="External"/><Relationship Id="rId493" Type="http://schemas.openxmlformats.org/officeDocument/2006/relationships/hyperlink" Target="http://www.zdsamara.ru/documents/%D0%9F%D0%BE%D1%81%D1%82%D0%B0%D0%BD%D0%BE%D0%B2%D0%BB%D0%B5%D0%BD%D0%B8%D0%B5%D0%BE%D1%8212072018_129.pdf" TargetMode="External"/><Relationship Id="rId507" Type="http://schemas.openxmlformats.org/officeDocument/2006/relationships/hyperlink" Target="mailto:AskerovaEJu@samadm.ru" TargetMode="External"/><Relationship Id="rId714" Type="http://schemas.openxmlformats.org/officeDocument/2006/relationships/hyperlink" Target="http://adm-melekess.ru/strukturnye-podrazdelenija/narodnyi-byudzhet.html" TargetMode="External"/><Relationship Id="rId921" Type="http://schemas.openxmlformats.org/officeDocument/2006/relationships/hyperlink" Target="mailto:kohanovich@yamalfin.ru" TargetMode="External"/><Relationship Id="rId50" Type="http://schemas.openxmlformats.org/officeDocument/2006/relationships/hyperlink" Target="https://vk.com/cckrb," TargetMode="External"/><Relationship Id="rId146" Type="http://schemas.openxmlformats.org/officeDocument/2006/relationships/hyperlink" Target="mailto:jtolstova@" TargetMode="External"/><Relationship Id="rId353" Type="http://schemas.openxmlformats.org/officeDocument/2006/relationships/hyperlink" Target="http://gkh.kurganobl.ru/wp-content/uploads/2017/09/&#1054;-&#1075;&#1086;&#1089;&#1091;&#1076;&#1072;&#1088;&#1089;&#1090;&#1074;&#1077;&#1085;&#1085;&#1086;&#1081;-&#1087;&#1088;&#1086;&#1075;&#1088;&#1072;&#1084;&#1084;&#1077;-&#1050;&#1091;&#1088;&#1075;&#1072;&#1085;&#1089;&#1082;&#1086;&#1081;-&#1086;&#1073;&#1083;&#1072;&#1089;&#1090;&#1080;-&#1060;&#1086;&#1088;&#1084;&#1080;&#1088;&#1086;&#1074;&#1072;&#1085;&#1080;&#1077;-&#1082;&#1086;&#1084;&#1092;&#1086;&#1088;&#1090;&#1085;&#1086;&#1081;-&#1075;&#1086;&#1088;-&#1089;&#1088;&#1077;&#1076;&#1099;-&#1085;&#1072;-2018-2022-&#1075;&#1086;&#1076;&#1099;-7.pdf" TargetMode="External"/><Relationship Id="rId560" Type="http://schemas.openxmlformats.org/officeDocument/2006/relationships/hyperlink" Target="http://dvp.admin-smolensk.ru/celevye-programmy/oblastnaya-gosudarstvennaya-programma-mestnoe-samoupravlenie-v-smolenskoj-oblasti-na-2014-2016-gody/" TargetMode="External"/><Relationship Id="rId798" Type="http://schemas.openxmlformats.org/officeDocument/2006/relationships/hyperlink" Target="http://admkuma.ru/narodnyy-byudzhet-2019.html" TargetMode="External"/><Relationship Id="rId213" Type="http://schemas.openxmlformats.org/officeDocument/2006/relationships/hyperlink" Target="mailto:fomaloyar@adm.kaluga.ru" TargetMode="External"/><Relationship Id="rId420" Type="http://schemas.openxmlformats.org/officeDocument/2006/relationships/hyperlink" Target="https://orel-region.ru/index.php?head=17&amp;part=19&amp;number=411&amp;page=1" TargetMode="External"/><Relationship Id="rId658" Type="http://schemas.openxmlformats.org/officeDocument/2006/relationships/hyperlink" Target="mailto:Kulakova_MaV@mf.udmr.ru" TargetMode="External"/><Relationship Id="rId865" Type="http://schemas.openxmlformats.org/officeDocument/2006/relationships/hyperlink" Target="https://docs.google.com/viewer?url=http://hmrn.ru/upload/iblock/3b7/47.docx" TargetMode="External"/><Relationship Id="rId1050" Type="http://schemas.openxmlformats.org/officeDocument/2006/relationships/hyperlink" Target="https://www.tambov.gov.ru/assets/files/urt/pao-864.pdf" TargetMode="External"/><Relationship Id="rId297" Type="http://schemas.openxmlformats.org/officeDocument/2006/relationships/hyperlink" Target="http://lenobl.ru/dokumenty/opublikovanie-pravovyh-aktov/oficialno-opublikovanie-npa-s-10-iyunya-2013-goda/oficialnoe-opublikovanie-pravovyh-aktov-leningradskoj-oblasti-s-10-iyu/" TargetMode="External"/><Relationship Id="rId518" Type="http://schemas.openxmlformats.org/officeDocument/2006/relationships/hyperlink" Target="https://twitter.com/Adm_Okt_Samara/status/1159033256630804480" TargetMode="External"/><Relationship Id="rId725" Type="http://schemas.openxmlformats.org/officeDocument/2006/relationships/hyperlink" Target="mailto:bashar5@mail.ru" TargetMode="External"/><Relationship Id="rId932" Type="http://schemas.openxmlformats.org/officeDocument/2006/relationships/hyperlink" Target="mailto:kohanovich@yamalfin.ru" TargetMode="External"/><Relationship Id="rId157" Type="http://schemas.openxmlformats.org/officeDocument/2006/relationships/hyperlink" Target="https://vk.com/tosrbru" TargetMode="External"/><Relationship Id="rId364" Type="http://schemas.openxmlformats.org/officeDocument/2006/relationships/hyperlink" Target="http://www.kirovreg.ru/publ/AkOUP.nsf/de017b98ac867075c32571440061b25c/c5cfc3177e78934f43257dcf00397b26?OpenDocument" TargetMode="External"/><Relationship Id="rId1008" Type="http://schemas.openxmlformats.org/officeDocument/2006/relationships/hyperlink" Target="mailto:budget@dfik.ru" TargetMode="External"/><Relationship Id="rId61" Type="http://schemas.openxmlformats.org/officeDocument/2006/relationships/hyperlink" Target="https://cloud.mail.ru/public/4d5m/2pz11yaGj" TargetMode="External"/><Relationship Id="rId571" Type="http://schemas.openxmlformats.org/officeDocument/2006/relationships/hyperlink" Target="http://www.agro.tmbreg.ru/" TargetMode="External"/><Relationship Id="rId669" Type="http://schemas.openxmlformats.org/officeDocument/2006/relationships/hyperlink" Target="https://vk.com/kiznerdom" TargetMode="External"/><Relationship Id="rId876" Type="http://schemas.openxmlformats.org/officeDocument/2006/relationships/hyperlink" Target="http://www.admrad.ru/&#1087;&#1086;&#1089;&#1090;&#1072;&#1085;&#1086;&#1074;&#1083;&#1077;&#1085;&#1080;&#1077;-&#1072;&#1076;&#1084;&#1080;&#1085;&#1080;&#1089;&#1090;&#1088;&#1072;&#1094;&#1080;&#1080;-&#1075;&#1086;&#1088;&#1086;&#1076;&#1072;-43/" TargetMode="External"/><Relationship Id="rId19" Type="http://schemas.openxmlformats.org/officeDocument/2006/relationships/hyperlink" Target="mailto:gnezdilova@minfin.gorny.ru" TargetMode="External"/><Relationship Id="rId224" Type="http://schemas.openxmlformats.org/officeDocument/2006/relationships/hyperlink" Target="http://www.consultant.ru/" TargetMode="External"/><Relationship Id="rId431" Type="http://schemas.openxmlformats.org/officeDocument/2006/relationships/hyperlink" Target="https://vmeste.permkrai.ru/program/category/6/" TargetMode="External"/><Relationship Id="rId529" Type="http://schemas.openxmlformats.org/officeDocument/2006/relationships/hyperlink" Target="mailto:GolubevaOV@samadm.ru" TargetMode="External"/><Relationship Id="rId736" Type="http://schemas.openxmlformats.org/officeDocument/2006/relationships/hyperlink" Target="https://cherdakli.com/?page_id=620" TargetMode="External"/><Relationship Id="rId1061" Type="http://schemas.openxmlformats.org/officeDocument/2006/relationships/hyperlink" Target="https://yadi.sk/d/MRDJzoJhKOXY6w" TargetMode="External"/><Relationship Id="rId168" Type="http://schemas.openxmlformats.org/officeDocument/2006/relationships/hyperlink" Target="https://kaliningrad.gks.ru/population" TargetMode="External"/><Relationship Id="rId943" Type="http://schemas.openxmlformats.org/officeDocument/2006/relationships/hyperlink" Target="mailto:kohanovich@yamalfin.ru" TargetMode="External"/><Relationship Id="rId1019" Type="http://schemas.openxmlformats.org/officeDocument/2006/relationships/hyperlink" Target="https://www.youtube.com/watch?v=KcXGbS209E4&amp;list=LLE-" TargetMode="External"/><Relationship Id="rId72" Type="http://schemas.openxmlformats.org/officeDocument/2006/relationships/hyperlink" Target="https://bashstat.gks.ru/folder/25491" TargetMode="External"/><Relationship Id="rId375" Type="http://schemas.openxmlformats.org/officeDocument/2006/relationships/hyperlink" Target="https://pib.sakhminfin.ru/" TargetMode="External"/><Relationship Id="rId582" Type="http://schemas.openxmlformats.org/officeDocument/2006/relationships/hyperlink" Target="http://mert.tatarstan.ru/rus/konkurs-so-nko-na-pravo-polucheniya-subsidii-iz-3748217.htm" TargetMode="External"/><Relationship Id="rId803" Type="http://schemas.openxmlformats.org/officeDocument/2006/relationships/hyperlink" Target="http://admkonda.ru/mortka-byudzhet-dlya-naseleniya.html" TargetMode="External"/><Relationship Id="rId3" Type="http://schemas.openxmlformats.org/officeDocument/2006/relationships/hyperlink" Target="https://twitter.com/minfin01_maykop" TargetMode="External"/><Relationship Id="rId235" Type="http://schemas.openxmlformats.org/officeDocument/2006/relationships/hyperlink" Target="http://docs.cntd.ru/document/411705968" TargetMode="External"/><Relationship Id="rId442" Type="http://schemas.openxmlformats.org/officeDocument/2006/relationships/hyperlink" Target="http://&#1073;&#1091;&#1079;&#1091;&#1083;&#1091;&#1082;.&#1088;&#1092;/content/%D0%BD%D0%B0%D1%80%D0%BE%D0%B4%D0%BD%D1%8B%D0%B9-%D0%B1%D1%8E%D0%B4%D0%B6%D0%B5%D1%82" TargetMode="External"/><Relationship Id="rId887" Type="http://schemas.openxmlformats.org/officeDocument/2006/relationships/hyperlink" Target="http://admsr.ru/budget/initsiativnoe-byudzhetirovanie/" TargetMode="External"/><Relationship Id="rId1072" Type="http://schemas.openxmlformats.org/officeDocument/2006/relationships/hyperlink" Target="http://vologda-portal.ru/oficialnaya_vologda/index.php?SECTION_ID=8722" TargetMode="External"/><Relationship Id="rId302" Type="http://schemas.openxmlformats.org/officeDocument/2006/relationships/hyperlink" Target="http://docs.cntd.ru/document/444708082" TargetMode="External"/><Relationship Id="rId747" Type="http://schemas.openxmlformats.org/officeDocument/2006/relationships/hyperlink" Target="https://www.gks.ru/scripts/db_inet2/passport/table.aspx?opt=736021002019" TargetMode="External"/><Relationship Id="rId954" Type="http://schemas.openxmlformats.org/officeDocument/2006/relationships/hyperlink" Target="mailto:kohanovich@yamalfin.ru" TargetMode="External"/><Relationship Id="rId83" Type="http://schemas.openxmlformats.org/officeDocument/2006/relationships/hyperlink" Target="https://bashstat.gks.ru/folder/25491" TargetMode="External"/><Relationship Id="rId179" Type="http://schemas.openxmlformats.org/officeDocument/2006/relationships/hyperlink" Target="http://kemerovostat.old.gks.ru/wps/wcm/connect/rosstat_ts/kemerovostat/resources/3ff9a5804351eba5bc0dfd74665da2b8/%D0%A7%D0%B8%D1%81%D0%BB%D0%B5%D0%BD%D0%BD%D0%BE%D1%81%D1%82%D1%8C+%D0%BD%D0%B0%D1%81%D0%B5%D0%BB%D0%B5%D0%BD%D0%B8%D1%8F+%D0%9A%D0%B5%D0%BC%D0%B5%D1%80%D0%BE%D0%B2%D1%81%D0%BA%D0%BE%D0%B9+%D0%BE%D0%B1%D0%BB%D0%B0%D1%81%D1%82%D0%B8+%D0%BD%D0%B0+%D0%BD%D0%B0%D1%87%D0%B0%D0%BB%D0%BE+%D0%B3%D0%BE%D0%B4%D0%B0.pdf" TargetMode="External"/><Relationship Id="rId386" Type="http://schemas.openxmlformats.org/officeDocument/2006/relationships/hyperlink" Target="http://sakhminfin.ru/index.php/news/3293-o-rezultatakh-konkursnogo-otbora-na-predostavlenie-v-2020-godu-byudzhetam-munitsipalnykh-obrazovanij-sakhalinskoj-oblasti-subsidii-iz-oblastnogo-byudzheta-na-realizatsiyu-v-sakhalinskoj-oblasti-obshchestvenno-znachimykh-proektov-osnovannykh-na-mestnykh-in" TargetMode="External"/><Relationship Id="rId593" Type="http://schemas.openxmlformats.org/officeDocument/2006/relationships/hyperlink" Target="../../../../Downloads/Protokol_25.02.2019.pdf%0a" TargetMode="External"/><Relationship Id="rId607" Type="http://schemas.openxmlformats.org/officeDocument/2006/relationships/hyperlink" Target="http://habstat.old.gks.ru/wps/wcm/connect/rosstat_ts/habstat/ru/statistics/hab_stat/population/" TargetMode="External"/><Relationship Id="rId814" Type="http://schemas.openxmlformats.org/officeDocument/2006/relationships/hyperlink" Target="https://www.gks.ru/scripts/db_inet2/passport/table.aspx?opt=718164162019" TargetMode="External"/><Relationship Id="rId246" Type="http://schemas.openxmlformats.org/officeDocument/2006/relationships/hyperlink" Target="https://&#1094;&#1084;&#1087;&#1080;.&#1088;&#1092;/novosti/" TargetMode="External"/><Relationship Id="rId453" Type="http://schemas.openxmlformats.org/officeDocument/2006/relationships/hyperlink" Target="http://finotdel-akbulak.ru/index.php?option=com_acepolls&amp;view=poll&amp;id=3&amp;Itemid=138" TargetMode="External"/><Relationship Id="rId660" Type="http://schemas.openxmlformats.org/officeDocument/2006/relationships/hyperlink" Target="https://udmstat.gks.ru/folder/51924" TargetMode="External"/><Relationship Id="rId898" Type="http://schemas.openxmlformats.org/officeDocument/2006/relationships/hyperlink" Target="https://www.salekhard.org/city/socs/sotsialno-ekonomicheskie-pokazateli/prognoz-sotsialno-ekonomicheskogo-razvitiya-mo-g-salekhard/" TargetMode="External"/><Relationship Id="rId106" Type="http://schemas.openxmlformats.org/officeDocument/2006/relationships/hyperlink" Target="mailto:belrn@bk.ru" TargetMode="External"/><Relationship Id="rId313" Type="http://schemas.openxmlformats.org/officeDocument/2006/relationships/hyperlink" Target="https://maristat.gks.ru/storage/mediabank/&#1054;&#1094;&#1077;&#1085;&#1082;&#1072;_&#1095;&#1080;&#1089;&#1083;%20&#1056;&#1052;&#1069;_2019_&#1089;&#1072;&#1081;&#1090;(3).pdf" TargetMode="External"/><Relationship Id="rId758" Type="http://schemas.openxmlformats.org/officeDocument/2006/relationships/hyperlink" Target="https://uln.gks.ru/folder/40275" TargetMode="External"/><Relationship Id="rId965" Type="http://schemas.openxmlformats.org/officeDocument/2006/relationships/hyperlink" Target="http://mo-aksarka.ru/2019-god.html" TargetMode="External"/><Relationship Id="rId10" Type="http://schemas.openxmlformats.org/officeDocument/2006/relationships/hyperlink" Target="https://minregion-ra.ru/wp-content/uploads/2018/03/14032018&#1048;&#1085;&#1092;&#1086;&#1088;&#1084;&#1072;&#1094;&#1080;&#1086;&#1085;&#1085;&#1086;&#1077;-&#1089;&#1086;&#1086;&#1073;&#1097;&#1077;&#1085;&#1080;&#1077;.pdf" TargetMode="External"/><Relationship Id="rId94" Type="http://schemas.openxmlformats.org/officeDocument/2006/relationships/hyperlink" Target="mailto:Yunusova.lr@bashkortostan.ru" TargetMode="External"/><Relationship Id="rId397" Type="http://schemas.openxmlformats.org/officeDocument/2006/relationships/hyperlink" Target="http://trans.adm44.ru/" TargetMode="External"/><Relationship Id="rId520" Type="http://schemas.openxmlformats.org/officeDocument/2006/relationships/hyperlink" Target="https://samarastat.gks.ru/population" TargetMode="External"/><Relationship Id="rId618" Type="http://schemas.openxmlformats.org/officeDocument/2006/relationships/hyperlink" Target="https://instagram.com/guvpkhv?igshid=1bpysjwlfhm4f" TargetMode="External"/><Relationship Id="rId825" Type="http://schemas.openxmlformats.org/officeDocument/2006/relationships/hyperlink" Target="http://admkonda.ru/narodnyy-byudzhet-0.html" TargetMode="External"/><Relationship Id="rId257" Type="http://schemas.openxmlformats.org/officeDocument/2006/relationships/hyperlink" Target="https://novgorodstat.gks.ru/storage/mediabank/%D0%A7%D0%B8%D1%81%D0%BB%20%D0%BE%D0%B1%D0%BB%202020.pdf" TargetMode="External"/><Relationship Id="rId464" Type="http://schemas.openxmlformats.org/officeDocument/2006/relationships/hyperlink" Target="http://finotdnovoorsk.ru/postanovlenie-o-narodnom-byudzhete" TargetMode="External"/><Relationship Id="rId1010" Type="http://schemas.openxmlformats.org/officeDocument/2006/relationships/hyperlink" Target="https://gks.ru/compendium/document/13282?print=1" TargetMode="External"/><Relationship Id="rId117" Type="http://schemas.openxmlformats.org/officeDocument/2006/relationships/hyperlink" Target="http://10.1.2.160:1000/Reports/Full.aspx?year=2019" TargetMode="External"/><Relationship Id="rId671" Type="http://schemas.openxmlformats.org/officeDocument/2006/relationships/hyperlink" Target="http://www.mozhga-rayon.ru/about/info/initsiativnoe-byudzhetirovanie-nashe-selo/" TargetMode="External"/><Relationship Id="rId769" Type="http://schemas.openxmlformats.org/officeDocument/2006/relationships/hyperlink" Target="mailto:snisarenkoI@admhmansy,ru" TargetMode="External"/><Relationship Id="rId976" Type="http://schemas.openxmlformats.org/officeDocument/2006/relationships/hyperlink" Target="http://adminbelka.ru/fotootchet.html" TargetMode="External"/><Relationship Id="rId324" Type="http://schemas.openxmlformats.org/officeDocument/2006/relationships/hyperlink" Target="https://yadi.sk/d/grWA1E3b0X2FnA" TargetMode="External"/><Relationship Id="rId531" Type="http://schemas.openxmlformats.org/officeDocument/2006/relationships/hyperlink" Target="http://sovadmsamara.ru/search/?search=%D1%82%D0%B2%D0%BE%D0%B9%20%D0%BA%D0%BE%D0%BD%D1%81%D1%82%D1%80%D1%83%D0%BA%D1%82%D0%BE%D1%80%20%D0%B4%D0%B2%D0%BE%D1%80%D0%B0" TargetMode="External"/><Relationship Id="rId629" Type="http://schemas.openxmlformats.org/officeDocument/2006/relationships/hyperlink" Target="https://vk.com/public184274800" TargetMode="External"/><Relationship Id="rId836" Type="http://schemas.openxmlformats.org/officeDocument/2006/relationships/hyperlink" Target="mailto:SkorikovaLV@admkogalym.ru" TargetMode="External"/><Relationship Id="rId1021" Type="http://schemas.openxmlformats.org/officeDocument/2006/relationships/hyperlink" Target="https://www.gks.ru/scripts/db_inet2/passport/munr.aspx?base=munst71" TargetMode="External"/><Relationship Id="rId903" Type="http://schemas.openxmlformats.org/officeDocument/2006/relationships/hyperlink" Target="mailto:iluhina@slh.yanao.ru" TargetMode="External"/><Relationship Id="rId32" Type="http://schemas.openxmlformats.org/officeDocument/2006/relationships/hyperlink" Target="https://amurstat.gks.ru/storage/mediabank/31_7_2.htm" TargetMode="External"/><Relationship Id="rId181" Type="http://schemas.openxmlformats.org/officeDocument/2006/relationships/hyperlink" Target="http://docs.cntd.ru/document/550244134" TargetMode="External"/><Relationship Id="rId279" Type="http://schemas.openxmlformats.org/officeDocument/2006/relationships/hyperlink" Target="https://nizhstat.gks.ru/storage/mediabank/%D0%A7%D0%B8%D1%81%D0%BB%D0%B5%D0%BD%D0%BD%D0%BE%D1%81%D1%82%D1%8C%20%D0%BD%D0%B0%D1%81%D0%B5%D0%BB%D0%B5%D0%BD%D0%B8%D1%8F.xls" TargetMode="External"/><Relationship Id="rId486" Type="http://schemas.openxmlformats.org/officeDocument/2006/relationships/hyperlink" Target="mailto:sp42443@mail.ru" TargetMode="External"/><Relationship Id="rId693" Type="http://schemas.openxmlformats.org/officeDocument/2006/relationships/hyperlink" Target="http://novulsk.ru/administraciya/finansovyy-otdel/dokumenty/2062?attempt=1" TargetMode="External"/><Relationship Id="rId139" Type="http://schemas.openxmlformats.org/officeDocument/2006/relationships/hyperlink" Target="http://pravo.govvrn.ru/" TargetMode="External"/><Relationship Id="rId346" Type="http://schemas.openxmlformats.org/officeDocument/2006/relationships/hyperlink" Target="http://energy.midural.ru/napravleniya-deyatelnosti/formirovanie-komfortnoj-gorodskoj-sredy/" TargetMode="External"/><Relationship Id="rId553" Type="http://schemas.openxmlformats.org/officeDocument/2006/relationships/hyperlink" Target="mailto:l.baranova@adm-ngo.ru" TargetMode="External"/><Relationship Id="rId760" Type="http://schemas.openxmlformats.org/officeDocument/2006/relationships/hyperlink" Target="https://adm.admsov.com/docs/post.php?ELEMENT_ID=28526" TargetMode="External"/><Relationship Id="rId998" Type="http://schemas.openxmlformats.org/officeDocument/2006/relationships/hyperlink" Target="https://gks.ru/compendium/document/13282?print=1" TargetMode="External"/><Relationship Id="rId206" Type="http://schemas.openxmlformats.org/officeDocument/2006/relationships/hyperlink" Target="https://vk.com/tos.kaluga" TargetMode="External"/><Relationship Id="rId413" Type="http://schemas.openxmlformats.org/officeDocument/2006/relationships/hyperlink" Target="mailto:budget@fin-vidnoe.ru" TargetMode="External"/><Relationship Id="rId858" Type="http://schemas.openxmlformats.org/officeDocument/2006/relationships/hyperlink" Target="https://www.n-vartovsk.ru/ibudget/" TargetMode="External"/><Relationship Id="rId1043" Type="http://schemas.openxmlformats.org/officeDocument/2006/relationships/hyperlink" Target="http://docs.cntd.ru/document/553364140" TargetMode="External"/><Relationship Id="rId620" Type="http://schemas.openxmlformats.org/officeDocument/2006/relationships/hyperlink" Target="https://myopenugra.ru/" TargetMode="External"/><Relationship Id="rId718" Type="http://schemas.openxmlformats.org/officeDocument/2006/relationships/hyperlink" Target="http://pavlovka.ulregion.ru/laws/npa_2019/post_2019_1/12109/" TargetMode="External"/><Relationship Id="rId925" Type="http://schemas.openxmlformats.org/officeDocument/2006/relationships/hyperlink" Target="https://&#1078;&#1080;&#1074;&#1105;&#1084;&#1085;&#1072;&#1089;&#1077;&#1074;&#1077;&#1088;&#1077;.&#1088;&#1092;/" TargetMode="External"/><Relationship Id="rId54" Type="http://schemas.openxmlformats.org/officeDocument/2006/relationships/hyperlink" Target="http://docs.cntd.ru/document/553216517" TargetMode="External"/><Relationship Id="rId270" Type="http://schemas.openxmlformats.org/officeDocument/2006/relationships/hyperlink" Target="https://adm.rkursk.ru/index.php?id=109&amp;mat_id=60146&amp;page=30&amp;sort_field=103&amp;sort_order=0&amp;year=2016"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evn_adm@mail.ru"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B278"/>
  <sheetViews>
    <sheetView tabSelected="1" zoomScale="80" zoomScaleNormal="80" workbookViewId="0">
      <pane xSplit="11" ySplit="5" topLeftCell="L6" activePane="bottomRight" state="frozen"/>
      <selection pane="topRight" activeCell="L1" sqref="L1"/>
      <selection pane="bottomLeft" activeCell="A6" sqref="A6"/>
      <selection pane="bottomRight" activeCell="M7" sqref="M7"/>
    </sheetView>
  </sheetViews>
  <sheetFormatPr baseColWidth="10" defaultColWidth="8.6640625" defaultRowHeight="13"/>
  <cols>
    <col min="1" max="1" width="4.33203125" style="850" customWidth="1"/>
    <col min="2" max="2" width="11" style="850" customWidth="1"/>
    <col min="3" max="3" width="13.5" style="850" customWidth="1"/>
    <col min="4" max="4" width="11" style="850" customWidth="1"/>
    <col min="5" max="5" width="11.5" style="850" customWidth="1"/>
    <col min="6" max="6" width="11.6640625" style="850" customWidth="1"/>
    <col min="7" max="8" width="8.6640625" style="850"/>
    <col min="9" max="9" width="11.1640625" style="850" customWidth="1"/>
    <col min="10" max="10" width="13.5" style="850" customWidth="1"/>
    <col min="11" max="11" width="15.83203125" style="850" customWidth="1"/>
    <col min="12" max="12" width="18.83203125" style="850" customWidth="1"/>
    <col min="13" max="13" width="19.6640625" style="850" customWidth="1"/>
    <col min="14" max="14" width="19.5" style="850" customWidth="1"/>
    <col min="15" max="15" width="13.6640625" style="850" customWidth="1"/>
    <col min="16" max="16" width="20.83203125" style="850" customWidth="1"/>
    <col min="17" max="18" width="19.1640625" style="850" customWidth="1"/>
    <col min="19" max="19" width="22.5" style="850" customWidth="1"/>
    <col min="20" max="20" width="13.5" style="850" customWidth="1"/>
    <col min="21" max="21" width="10.5" style="850" customWidth="1"/>
    <col min="22" max="22" width="8.6640625" style="850" customWidth="1"/>
    <col min="23" max="25" width="8.6640625" style="850"/>
    <col min="26" max="26" width="14.6640625" style="850" customWidth="1"/>
    <col min="27" max="28" width="8.6640625" style="850"/>
    <col min="29" max="29" width="11.5" style="850" customWidth="1"/>
    <col min="30" max="30" width="14.83203125" style="850" customWidth="1"/>
    <col min="31" max="31" width="17.33203125" style="850" customWidth="1"/>
    <col min="32" max="32" width="14" style="850" customWidth="1"/>
    <col min="33" max="33" width="23.33203125" style="850" customWidth="1"/>
    <col min="34" max="34" width="17.83203125" style="850" customWidth="1"/>
    <col min="35" max="35" width="13.5" style="850" customWidth="1"/>
    <col min="36" max="36" width="11.83203125" style="850" customWidth="1"/>
    <col min="37" max="37" width="12.5" style="850" bestFit="1" customWidth="1"/>
    <col min="38" max="38" width="11.1640625" style="850" bestFit="1" customWidth="1"/>
    <col min="39" max="39" width="13.33203125" style="850" customWidth="1"/>
    <col min="40" max="40" width="11.6640625" style="850" customWidth="1"/>
    <col min="41" max="41" width="10.5" style="850" customWidth="1"/>
    <col min="42" max="42" width="14.33203125" style="850" customWidth="1"/>
    <col min="43" max="43" width="9.33203125" style="850" bestFit="1" customWidth="1"/>
    <col min="44" max="44" width="9" style="850" bestFit="1" customWidth="1"/>
    <col min="45" max="45" width="11.5" style="850" customWidth="1"/>
    <col min="46" max="46" width="11.1640625" style="850" customWidth="1"/>
    <col min="47" max="47" width="12.33203125" style="850" customWidth="1"/>
    <col min="48" max="48" width="17" style="850" customWidth="1"/>
    <col min="49" max="50" width="9.6640625" style="850" customWidth="1"/>
    <col min="51" max="51" width="10.6640625" style="850" bestFit="1" customWidth="1"/>
    <col min="52" max="52" width="9.6640625" style="850" bestFit="1" customWidth="1"/>
    <col min="53" max="54" width="9.6640625" style="850" customWidth="1"/>
    <col min="55" max="55" width="9.33203125" style="850" bestFit="1" customWidth="1"/>
    <col min="56" max="56" width="9.6640625" style="850" bestFit="1" customWidth="1"/>
    <col min="57" max="58" width="9.6640625" style="850" customWidth="1"/>
    <col min="59" max="59" width="10.6640625" style="850" bestFit="1" customWidth="1"/>
    <col min="60" max="60" width="13.5" style="850" customWidth="1"/>
    <col min="61" max="61" width="16.83203125" style="850" customWidth="1"/>
    <col min="62" max="62" width="12" style="850" customWidth="1"/>
    <col min="63" max="63" width="15.33203125" style="850" customWidth="1"/>
    <col min="64" max="65" width="8.83203125" style="850" customWidth="1"/>
    <col min="66" max="66" width="9" style="850" bestFit="1" customWidth="1"/>
    <col min="67" max="67" width="9.6640625" style="850" bestFit="1" customWidth="1"/>
    <col min="68" max="69" width="9.6640625" style="850" customWidth="1"/>
    <col min="70" max="70" width="17.33203125" style="850" customWidth="1"/>
    <col min="71" max="71" width="9.6640625" style="850" bestFit="1" customWidth="1"/>
    <col min="72" max="72" width="9.33203125" style="850" bestFit="1" customWidth="1"/>
    <col min="73" max="97" width="9" style="850" bestFit="1" customWidth="1"/>
    <col min="98" max="98" width="12.1640625" style="850" customWidth="1"/>
    <col min="99" max="99" width="11.83203125" style="850" customWidth="1"/>
    <col min="100" max="100" width="16.83203125" style="850" customWidth="1"/>
    <col min="101" max="101" width="14.83203125" style="850" customWidth="1"/>
    <col min="102" max="102" width="9.83203125" style="850" customWidth="1"/>
    <col min="103" max="103" width="16.5" style="850" bestFit="1" customWidth="1"/>
    <col min="104" max="104" width="10.1640625" style="850" customWidth="1"/>
    <col min="105" max="105" width="13.5" style="850" bestFit="1" customWidth="1"/>
    <col min="106" max="106" width="12.5" style="850" customWidth="1"/>
    <col min="107" max="108" width="8.6640625" style="850"/>
    <col min="109" max="109" width="8.83203125" style="850" bestFit="1" customWidth="1"/>
    <col min="110" max="112" width="9" style="850" bestFit="1" customWidth="1"/>
    <col min="113" max="113" width="8.83203125" style="850" bestFit="1" customWidth="1"/>
    <col min="114" max="114" width="8.6640625" style="850"/>
    <col min="115" max="115" width="9.33203125" style="850" bestFit="1" customWidth="1"/>
    <col min="116" max="116" width="8.83203125" style="850" bestFit="1" customWidth="1"/>
    <col min="117" max="117" width="8.6640625" style="850"/>
    <col min="118" max="118" width="10.6640625" style="850" bestFit="1" customWidth="1"/>
    <col min="119" max="119" width="8.83203125" style="850" bestFit="1" customWidth="1"/>
    <col min="120" max="120" width="8.6640625" style="850"/>
    <col min="121" max="121" width="9" style="850" bestFit="1" customWidth="1"/>
    <col min="122" max="122" width="8.83203125" style="850" bestFit="1" customWidth="1"/>
    <col min="123" max="123" width="8.6640625" style="850"/>
    <col min="124" max="124" width="9" style="850" bestFit="1" customWidth="1"/>
    <col min="125" max="125" width="8.83203125" style="850" bestFit="1" customWidth="1"/>
    <col min="126" max="126" width="8.6640625" style="850"/>
    <col min="127" max="127" width="9" style="850" bestFit="1" customWidth="1"/>
    <col min="128" max="128" width="8.83203125" style="850" bestFit="1" customWidth="1"/>
    <col min="129" max="129" width="8.6640625" style="850"/>
    <col min="130" max="130" width="9" style="850" customWidth="1"/>
    <col min="131" max="131" width="8.83203125" style="850" bestFit="1" customWidth="1"/>
    <col min="132" max="132" width="8.6640625" style="850"/>
    <col min="133" max="133" width="10.6640625" style="850" bestFit="1" customWidth="1"/>
    <col min="134" max="134" width="8.83203125" style="850" bestFit="1" customWidth="1"/>
    <col min="135" max="135" width="8.6640625" style="850"/>
    <col min="136" max="136" width="9.33203125" style="850" bestFit="1" customWidth="1"/>
    <col min="137" max="137" width="8.83203125" style="850" bestFit="1" customWidth="1"/>
    <col min="138" max="138" width="8.6640625" style="850"/>
    <col min="139" max="139" width="10.6640625" style="850" bestFit="1" customWidth="1"/>
    <col min="140" max="140" width="8.83203125" style="850" bestFit="1" customWidth="1"/>
    <col min="141" max="141" width="8.6640625" style="850"/>
    <col min="142" max="142" width="9" style="850" bestFit="1" customWidth="1"/>
    <col min="143" max="143" width="8.83203125" style="850" bestFit="1" customWidth="1"/>
    <col min="144" max="144" width="8.6640625" style="850"/>
    <col min="145" max="145" width="9" style="850" bestFit="1" customWidth="1"/>
    <col min="146" max="146" width="8.83203125" style="850" bestFit="1" customWidth="1"/>
    <col min="147" max="147" width="8.6640625" style="850"/>
    <col min="148" max="148" width="9" style="850" bestFit="1" customWidth="1"/>
    <col min="149" max="150" width="8.83203125" style="850" bestFit="1" customWidth="1"/>
    <col min="151" max="152" width="9" style="850" bestFit="1" customWidth="1"/>
    <col min="153" max="153" width="8.6640625" style="850"/>
    <col min="154" max="154" width="13.33203125" style="850" customWidth="1"/>
    <col min="155" max="156" width="8.6640625" style="850"/>
    <col min="157" max="157" width="27.1640625" style="850" customWidth="1"/>
    <col min="158" max="158" width="39.83203125" style="850" customWidth="1"/>
    <col min="159" max="159" width="8.6640625" style="850"/>
    <col min="160" max="161" width="8.83203125" style="850" bestFit="1" customWidth="1"/>
    <col min="162" max="162" width="8.6640625" style="850"/>
    <col min="163" max="163" width="9.33203125" style="850" customWidth="1"/>
    <col min="164" max="164" width="8.83203125" style="850" bestFit="1" customWidth="1"/>
    <col min="165" max="166" width="9" style="850" bestFit="1" customWidth="1"/>
    <col min="167" max="167" width="13.5" style="850" customWidth="1"/>
    <col min="168" max="168" width="13.83203125" style="850" bestFit="1" customWidth="1"/>
    <col min="169" max="170" width="8.6640625" style="850"/>
    <col min="171" max="171" width="13.1640625" style="850" bestFit="1" customWidth="1"/>
    <col min="172" max="16384" width="8.6640625" style="850"/>
  </cols>
  <sheetData>
    <row r="1" spans="1:184" ht="48.5" customHeight="1">
      <c r="A1" s="714"/>
      <c r="B1" s="714" t="s">
        <v>2849</v>
      </c>
      <c r="C1" s="714" t="s">
        <v>2850</v>
      </c>
      <c r="D1" s="714" t="s">
        <v>2851</v>
      </c>
      <c r="E1" s="714" t="s">
        <v>2852</v>
      </c>
      <c r="F1" s="714" t="s">
        <v>2853</v>
      </c>
      <c r="G1" s="714" t="s">
        <v>2854</v>
      </c>
      <c r="H1" s="714" t="s">
        <v>2855</v>
      </c>
      <c r="I1" s="714" t="s">
        <v>2856</v>
      </c>
      <c r="J1" s="714"/>
      <c r="K1" s="713" t="s">
        <v>166</v>
      </c>
      <c r="L1" s="713"/>
      <c r="M1" s="817" t="s">
        <v>0</v>
      </c>
      <c r="N1" s="817"/>
      <c r="O1" s="713" t="s">
        <v>1</v>
      </c>
      <c r="P1" s="817" t="s">
        <v>2</v>
      </c>
      <c r="Q1" s="817"/>
      <c r="R1" s="713"/>
      <c r="S1" s="817" t="s">
        <v>3</v>
      </c>
      <c r="T1" s="817"/>
      <c r="U1" s="817"/>
      <c r="V1" s="817"/>
      <c r="W1" s="817"/>
      <c r="X1" s="817"/>
      <c r="Y1" s="817"/>
      <c r="Z1" s="817"/>
      <c r="AA1" s="817"/>
      <c r="AB1" s="817"/>
      <c r="AC1" s="817"/>
      <c r="AD1" s="713" t="s">
        <v>8</v>
      </c>
      <c r="AE1" s="817" t="s">
        <v>10</v>
      </c>
      <c r="AF1" s="817"/>
      <c r="AG1" s="817"/>
      <c r="AH1" s="713" t="s">
        <v>13</v>
      </c>
      <c r="AI1" s="713"/>
      <c r="AJ1" s="713"/>
      <c r="AK1" s="817" t="s">
        <v>102</v>
      </c>
      <c r="AL1" s="817"/>
      <c r="AM1" s="817"/>
      <c r="AN1" s="713"/>
      <c r="AO1" s="713"/>
      <c r="AP1" s="817" t="s">
        <v>103</v>
      </c>
      <c r="AQ1" s="817"/>
      <c r="AR1" s="805"/>
      <c r="AS1" s="714"/>
      <c r="AT1" s="714"/>
      <c r="AU1" s="817" t="s">
        <v>103</v>
      </c>
      <c r="AV1" s="817"/>
      <c r="AW1" s="713"/>
      <c r="AX1" s="713"/>
      <c r="AY1" s="817" t="s">
        <v>104</v>
      </c>
      <c r="AZ1" s="817"/>
      <c r="BA1" s="713"/>
      <c r="BB1" s="713"/>
      <c r="BC1" s="817" t="s">
        <v>105</v>
      </c>
      <c r="BD1" s="817"/>
      <c r="BE1" s="713"/>
      <c r="BF1" s="713"/>
      <c r="BG1" s="817" t="s">
        <v>106</v>
      </c>
      <c r="BH1" s="817"/>
      <c r="BI1" s="817"/>
      <c r="BJ1" s="817"/>
      <c r="BK1" s="817"/>
      <c r="BL1" s="713"/>
      <c r="BM1" s="713"/>
      <c r="BN1" s="817" t="s">
        <v>107</v>
      </c>
      <c r="BO1" s="817"/>
      <c r="BP1" s="713"/>
      <c r="BQ1" s="713"/>
      <c r="BR1" s="817" t="s">
        <v>16</v>
      </c>
      <c r="BS1" s="817"/>
      <c r="BT1" s="817" t="s">
        <v>16</v>
      </c>
      <c r="BU1" s="817"/>
      <c r="BV1" s="817" t="s">
        <v>17</v>
      </c>
      <c r="BW1" s="817"/>
      <c r="BX1" s="817"/>
      <c r="BY1" s="817" t="s">
        <v>18</v>
      </c>
      <c r="BZ1" s="817"/>
      <c r="CA1" s="817"/>
      <c r="CB1" s="817"/>
      <c r="CC1" s="817"/>
      <c r="CD1" s="817"/>
      <c r="CE1" s="817"/>
      <c r="CF1" s="817"/>
      <c r="CG1" s="817"/>
      <c r="CH1" s="817"/>
      <c r="CI1" s="817"/>
      <c r="CJ1" s="817"/>
      <c r="CK1" s="817"/>
      <c r="CL1" s="817"/>
      <c r="CM1" s="817"/>
      <c r="CN1" s="817"/>
      <c r="CO1" s="817"/>
      <c r="CP1" s="817"/>
      <c r="CQ1" s="817"/>
      <c r="CR1" s="817"/>
      <c r="CS1" s="817"/>
      <c r="CT1" s="713"/>
      <c r="CU1" s="713"/>
      <c r="CV1" s="817" t="s">
        <v>27</v>
      </c>
      <c r="CW1" s="817"/>
      <c r="CX1" s="817"/>
      <c r="CY1" s="817"/>
      <c r="CZ1" s="817"/>
      <c r="DA1" s="817"/>
      <c r="DB1" s="817"/>
      <c r="DC1" s="817" t="s">
        <v>29</v>
      </c>
      <c r="DD1" s="817"/>
      <c r="DE1" s="817"/>
      <c r="DF1" s="817"/>
      <c r="DG1" s="817"/>
      <c r="DH1" s="817"/>
      <c r="DI1" s="817" t="s">
        <v>30</v>
      </c>
      <c r="DJ1" s="817"/>
      <c r="DK1" s="817"/>
      <c r="DL1" s="817"/>
      <c r="DM1" s="817"/>
      <c r="DN1" s="817"/>
      <c r="DO1" s="817"/>
      <c r="DP1" s="817"/>
      <c r="DQ1" s="817"/>
      <c r="DR1" s="817"/>
      <c r="DS1" s="817"/>
      <c r="DT1" s="817"/>
      <c r="DU1" s="817"/>
      <c r="DV1" s="817"/>
      <c r="DW1" s="817"/>
      <c r="DX1" s="817"/>
      <c r="DY1" s="817"/>
      <c r="DZ1" s="817"/>
      <c r="EA1" s="817" t="s">
        <v>31</v>
      </c>
      <c r="EB1" s="817"/>
      <c r="EC1" s="817"/>
      <c r="ED1" s="817"/>
      <c r="EE1" s="817"/>
      <c r="EF1" s="817"/>
      <c r="EG1" s="817"/>
      <c r="EH1" s="817"/>
      <c r="EI1" s="817"/>
      <c r="EJ1" s="817"/>
      <c r="EK1" s="817"/>
      <c r="EL1" s="817"/>
      <c r="EM1" s="817"/>
      <c r="EN1" s="817"/>
      <c r="EO1" s="817"/>
      <c r="EP1" s="817"/>
      <c r="EQ1" s="817"/>
      <c r="ER1" s="817"/>
      <c r="ES1" s="817"/>
      <c r="ET1" s="817"/>
      <c r="EU1" s="817"/>
      <c r="EV1" s="817" t="s">
        <v>32</v>
      </c>
      <c r="EW1" s="817"/>
      <c r="EX1" s="713" t="s">
        <v>34</v>
      </c>
      <c r="EY1" s="817" t="s">
        <v>35</v>
      </c>
      <c r="EZ1" s="817"/>
      <c r="FA1" s="817" t="s">
        <v>36</v>
      </c>
      <c r="FB1" s="817"/>
      <c r="FC1" s="817" t="s">
        <v>38</v>
      </c>
      <c r="FD1" s="817"/>
      <c r="FE1" s="817"/>
      <c r="FF1" s="817"/>
      <c r="FG1" s="817"/>
      <c r="FH1" s="817" t="s">
        <v>40</v>
      </c>
      <c r="FI1" s="851"/>
      <c r="FJ1" s="851"/>
      <c r="FK1" s="817" t="s">
        <v>179</v>
      </c>
      <c r="FL1" s="817"/>
      <c r="FM1" s="817"/>
      <c r="FN1" s="817" t="s">
        <v>347</v>
      </c>
      <c r="FO1" s="817"/>
      <c r="FP1" s="817"/>
    </row>
    <row r="2" spans="1:184" ht="50.5" customHeight="1">
      <c r="K2" s="714" t="s">
        <v>167</v>
      </c>
      <c r="L2" s="714" t="s">
        <v>2545</v>
      </c>
      <c r="M2" s="805" t="s">
        <v>2546</v>
      </c>
      <c r="N2" s="805"/>
      <c r="O2" s="714" t="s">
        <v>6</v>
      </c>
      <c r="P2" s="805" t="s">
        <v>7</v>
      </c>
      <c r="Q2" s="805"/>
      <c r="R2" s="714"/>
      <c r="S2" s="805" t="s">
        <v>180</v>
      </c>
      <c r="T2" s="805"/>
      <c r="U2" s="805"/>
      <c r="V2" s="805"/>
      <c r="W2" s="805"/>
      <c r="X2" s="805"/>
      <c r="Y2" s="805"/>
      <c r="Z2" s="805"/>
      <c r="AA2" s="805"/>
      <c r="AB2" s="805"/>
      <c r="AC2" s="805"/>
      <c r="AD2" s="714" t="s">
        <v>9</v>
      </c>
      <c r="AE2" s="805" t="s">
        <v>181</v>
      </c>
      <c r="AF2" s="805"/>
      <c r="AG2" s="805"/>
      <c r="AH2" s="714" t="s">
        <v>287</v>
      </c>
      <c r="AI2" s="714"/>
      <c r="AJ2" s="714"/>
      <c r="AK2" s="805" t="s">
        <v>183</v>
      </c>
      <c r="AL2" s="805"/>
      <c r="AM2" s="805"/>
      <c r="AN2" s="714"/>
      <c r="AO2" s="714"/>
      <c r="AP2" s="805" t="s">
        <v>2548</v>
      </c>
      <c r="AQ2" s="805"/>
      <c r="AR2" s="805"/>
      <c r="AS2" s="714"/>
      <c r="AT2" s="714"/>
      <c r="AU2" s="805" t="s">
        <v>182</v>
      </c>
      <c r="AV2" s="805"/>
      <c r="AW2" s="714"/>
      <c r="AX2" s="714"/>
      <c r="AY2" s="805" t="s">
        <v>184</v>
      </c>
      <c r="AZ2" s="805"/>
      <c r="BA2" s="714"/>
      <c r="BB2" s="714"/>
      <c r="BC2" s="805" t="s">
        <v>292</v>
      </c>
      <c r="BD2" s="805"/>
      <c r="BE2" s="714"/>
      <c r="BF2" s="714"/>
      <c r="BG2" s="805" t="s">
        <v>185</v>
      </c>
      <c r="BH2" s="805"/>
      <c r="BI2" s="805"/>
      <c r="BJ2" s="805"/>
      <c r="BK2" s="805"/>
      <c r="BL2" s="714"/>
      <c r="BM2" s="714"/>
      <c r="BN2" s="805" t="s">
        <v>186</v>
      </c>
      <c r="BO2" s="805"/>
      <c r="BP2" s="714"/>
      <c r="BQ2" s="714"/>
      <c r="BR2" s="805" t="s">
        <v>295</v>
      </c>
      <c r="BS2" s="805"/>
      <c r="BT2" s="805" t="s">
        <v>2553</v>
      </c>
      <c r="BU2" s="805"/>
      <c r="BV2" s="805" t="s">
        <v>298</v>
      </c>
      <c r="BW2" s="805"/>
      <c r="BX2" s="805"/>
      <c r="BY2" s="805" t="s">
        <v>302</v>
      </c>
      <c r="BZ2" s="805"/>
      <c r="CA2" s="805"/>
      <c r="CB2" s="805"/>
      <c r="CC2" s="805"/>
      <c r="CD2" s="805"/>
      <c r="CE2" s="805"/>
      <c r="CF2" s="805"/>
      <c r="CG2" s="805"/>
      <c r="CH2" s="805"/>
      <c r="CI2" s="805"/>
      <c r="CJ2" s="805"/>
      <c r="CK2" s="805"/>
      <c r="CL2" s="805"/>
      <c r="CM2" s="805"/>
      <c r="CN2" s="805"/>
      <c r="CO2" s="805"/>
      <c r="CP2" s="805"/>
      <c r="CQ2" s="805"/>
      <c r="CR2" s="805"/>
      <c r="CS2" s="805"/>
      <c r="CT2" s="714"/>
      <c r="CU2" s="714"/>
      <c r="CV2" s="805" t="s">
        <v>310</v>
      </c>
      <c r="CW2" s="805"/>
      <c r="CX2" s="805"/>
      <c r="CY2" s="805"/>
      <c r="CZ2" s="805"/>
      <c r="DA2" s="805"/>
      <c r="DB2" s="805"/>
      <c r="DC2" s="805" t="s">
        <v>313</v>
      </c>
      <c r="DD2" s="805"/>
      <c r="DE2" s="805"/>
      <c r="DF2" s="805"/>
      <c r="DG2" s="805"/>
      <c r="DH2" s="805"/>
      <c r="DI2" s="805" t="s">
        <v>319</v>
      </c>
      <c r="DJ2" s="805"/>
      <c r="DK2" s="805"/>
      <c r="DL2" s="805"/>
      <c r="DM2" s="805"/>
      <c r="DN2" s="805"/>
      <c r="DO2" s="805"/>
      <c r="DP2" s="805"/>
      <c r="DQ2" s="805"/>
      <c r="DR2" s="805"/>
      <c r="DS2" s="805"/>
      <c r="DT2" s="805"/>
      <c r="DU2" s="805"/>
      <c r="DV2" s="805"/>
      <c r="DW2" s="805"/>
      <c r="DX2" s="805"/>
      <c r="DY2" s="805"/>
      <c r="DZ2" s="805"/>
      <c r="EA2" s="805" t="s">
        <v>326</v>
      </c>
      <c r="EB2" s="805"/>
      <c r="EC2" s="805"/>
      <c r="ED2" s="805"/>
      <c r="EE2" s="805"/>
      <c r="EF2" s="805"/>
      <c r="EG2" s="805"/>
      <c r="EH2" s="805"/>
      <c r="EI2" s="805"/>
      <c r="EJ2" s="805"/>
      <c r="EK2" s="805"/>
      <c r="EL2" s="805"/>
      <c r="EM2" s="805"/>
      <c r="EN2" s="805"/>
      <c r="EO2" s="805"/>
      <c r="EP2" s="805"/>
      <c r="EQ2" s="805"/>
      <c r="ER2" s="805"/>
      <c r="ES2" s="805"/>
      <c r="ET2" s="805"/>
      <c r="EU2" s="805"/>
      <c r="EV2" s="805" t="s">
        <v>327</v>
      </c>
      <c r="EW2" s="805"/>
      <c r="EX2" s="714" t="s">
        <v>330</v>
      </c>
      <c r="EY2" s="805" t="s">
        <v>332</v>
      </c>
      <c r="EZ2" s="805"/>
      <c r="FA2" s="805" t="s">
        <v>53</v>
      </c>
      <c r="FB2" s="805"/>
      <c r="FC2" s="805" t="s">
        <v>334</v>
      </c>
      <c r="FD2" s="805"/>
      <c r="FE2" s="805"/>
      <c r="FF2" s="805"/>
      <c r="FG2" s="805"/>
      <c r="FH2" s="805" t="s">
        <v>339</v>
      </c>
      <c r="FI2" s="851"/>
      <c r="FJ2" s="851"/>
      <c r="FK2" s="805" t="s">
        <v>157</v>
      </c>
      <c r="FL2" s="805"/>
      <c r="FM2" s="805"/>
      <c r="FN2" s="805" t="s">
        <v>348</v>
      </c>
      <c r="FO2" s="805"/>
      <c r="FP2" s="805"/>
    </row>
    <row r="3" spans="1:184" ht="14">
      <c r="K3" s="713" t="s">
        <v>168</v>
      </c>
      <c r="L3" s="713"/>
      <c r="M3" s="713" t="s">
        <v>89</v>
      </c>
      <c r="N3" s="713" t="s">
        <v>90</v>
      </c>
      <c r="O3" s="713" t="s">
        <v>91</v>
      </c>
      <c r="P3" s="817" t="s">
        <v>92</v>
      </c>
      <c r="Q3" s="817"/>
      <c r="R3" s="713"/>
      <c r="S3" s="713" t="s">
        <v>93</v>
      </c>
      <c r="T3" s="817" t="s">
        <v>94</v>
      </c>
      <c r="U3" s="817"/>
      <c r="V3" s="817" t="s">
        <v>95</v>
      </c>
      <c r="W3" s="817"/>
      <c r="X3" s="817" t="s">
        <v>96</v>
      </c>
      <c r="Y3" s="817"/>
      <c r="Z3" s="817" t="s">
        <v>97</v>
      </c>
      <c r="AA3" s="817"/>
      <c r="AB3" s="817" t="s">
        <v>2557</v>
      </c>
      <c r="AC3" s="817"/>
      <c r="AD3" s="713" t="s">
        <v>99</v>
      </c>
      <c r="AE3" s="713" t="s">
        <v>98</v>
      </c>
      <c r="AF3" s="713" t="s">
        <v>100</v>
      </c>
      <c r="AG3" s="713" t="s">
        <v>101</v>
      </c>
      <c r="AH3" s="713" t="s">
        <v>59</v>
      </c>
      <c r="AI3" s="713"/>
      <c r="AJ3" s="713"/>
      <c r="AK3" s="713" t="s">
        <v>108</v>
      </c>
      <c r="AL3" s="713" t="s">
        <v>109</v>
      </c>
      <c r="AM3" s="713" t="s">
        <v>110</v>
      </c>
      <c r="AN3" s="713"/>
      <c r="AO3" s="713"/>
      <c r="AP3" s="713" t="s">
        <v>111</v>
      </c>
      <c r="AQ3" s="713" t="s">
        <v>112</v>
      </c>
      <c r="AR3" s="713" t="s">
        <v>2551</v>
      </c>
      <c r="AS3" s="713"/>
      <c r="AT3" s="713"/>
      <c r="AU3" s="713" t="s">
        <v>111</v>
      </c>
      <c r="AV3" s="713" t="s">
        <v>112</v>
      </c>
      <c r="AW3" s="713"/>
      <c r="AX3" s="713"/>
      <c r="AY3" s="713" t="s">
        <v>113</v>
      </c>
      <c r="AZ3" s="713" t="s">
        <v>114</v>
      </c>
      <c r="BA3" s="713"/>
      <c r="BB3" s="713"/>
      <c r="BC3" s="713" t="s">
        <v>115</v>
      </c>
      <c r="BD3" s="713" t="s">
        <v>116</v>
      </c>
      <c r="BE3" s="713"/>
      <c r="BF3" s="713"/>
      <c r="BG3" s="713" t="s">
        <v>117</v>
      </c>
      <c r="BH3" s="713" t="s">
        <v>118</v>
      </c>
      <c r="BI3" s="713" t="s">
        <v>121</v>
      </c>
      <c r="BJ3" s="713" t="s">
        <v>122</v>
      </c>
      <c r="BK3" s="713" t="s">
        <v>123</v>
      </c>
      <c r="BL3" s="713"/>
      <c r="BM3" s="713"/>
      <c r="BN3" s="713" t="s">
        <v>119</v>
      </c>
      <c r="BO3" s="713" t="s">
        <v>120</v>
      </c>
      <c r="BP3" s="713"/>
      <c r="BQ3" s="713"/>
      <c r="BR3" s="713" t="s">
        <v>124</v>
      </c>
      <c r="BS3" s="713" t="s">
        <v>125</v>
      </c>
      <c r="BT3" s="713" t="s">
        <v>124</v>
      </c>
      <c r="BU3" s="713" t="s">
        <v>125</v>
      </c>
      <c r="BV3" s="713" t="s">
        <v>126</v>
      </c>
      <c r="BW3" s="713" t="s">
        <v>127</v>
      </c>
      <c r="BX3" s="713" t="s">
        <v>128</v>
      </c>
      <c r="BY3" s="713" t="s">
        <v>129</v>
      </c>
      <c r="BZ3" s="713" t="s">
        <v>130</v>
      </c>
      <c r="CA3" s="713" t="s">
        <v>131</v>
      </c>
      <c r="CB3" s="713" t="s">
        <v>132</v>
      </c>
      <c r="CC3" s="713" t="s">
        <v>133</v>
      </c>
      <c r="CD3" s="713" t="s">
        <v>134</v>
      </c>
      <c r="CE3" s="713" t="s">
        <v>135</v>
      </c>
      <c r="CF3" s="713" t="s">
        <v>136</v>
      </c>
      <c r="CG3" s="713" t="s">
        <v>137</v>
      </c>
      <c r="CH3" s="713" t="s">
        <v>138</v>
      </c>
      <c r="CI3" s="713" t="s">
        <v>139</v>
      </c>
      <c r="CJ3" s="713" t="s">
        <v>140</v>
      </c>
      <c r="CK3" s="713" t="s">
        <v>141</v>
      </c>
      <c r="CL3" s="713" t="s">
        <v>142</v>
      </c>
      <c r="CM3" s="713" t="s">
        <v>143</v>
      </c>
      <c r="CN3" s="713" t="s">
        <v>144</v>
      </c>
      <c r="CO3" s="713" t="s">
        <v>145</v>
      </c>
      <c r="CP3" s="713" t="s">
        <v>146</v>
      </c>
      <c r="CQ3" s="713" t="s">
        <v>147</v>
      </c>
      <c r="CR3" s="713" t="s">
        <v>148</v>
      </c>
      <c r="CS3" s="713" t="s">
        <v>149</v>
      </c>
      <c r="CT3" s="713"/>
      <c r="CU3" s="713"/>
      <c r="CV3" s="713" t="s">
        <v>150</v>
      </c>
      <c r="CW3" s="817" t="s">
        <v>151</v>
      </c>
      <c r="CX3" s="817"/>
      <c r="CY3" s="817" t="s">
        <v>152</v>
      </c>
      <c r="CZ3" s="851"/>
      <c r="DA3" s="817" t="s">
        <v>152</v>
      </c>
      <c r="DB3" s="817"/>
      <c r="DC3" s="713" t="s">
        <v>176</v>
      </c>
      <c r="DD3" s="713" t="s">
        <v>153</v>
      </c>
      <c r="DE3" s="713" t="s">
        <v>154</v>
      </c>
      <c r="DF3" s="713" t="s">
        <v>155</v>
      </c>
      <c r="DG3" s="713" t="s">
        <v>156</v>
      </c>
      <c r="DH3" s="713" t="s">
        <v>318</v>
      </c>
      <c r="DI3" s="817" t="s">
        <v>73</v>
      </c>
      <c r="DJ3" s="817"/>
      <c r="DK3" s="817"/>
      <c r="DL3" s="817" t="s">
        <v>74</v>
      </c>
      <c r="DM3" s="817"/>
      <c r="DN3" s="817"/>
      <c r="DO3" s="817" t="s">
        <v>75</v>
      </c>
      <c r="DP3" s="817"/>
      <c r="DQ3" s="817"/>
      <c r="DR3" s="817" t="s">
        <v>76</v>
      </c>
      <c r="DS3" s="817"/>
      <c r="DT3" s="817"/>
      <c r="DU3" s="817" t="s">
        <v>77</v>
      </c>
      <c r="DV3" s="817"/>
      <c r="DW3" s="817"/>
      <c r="DX3" s="817" t="s">
        <v>78</v>
      </c>
      <c r="DY3" s="817"/>
      <c r="DZ3" s="817"/>
      <c r="EA3" s="817" t="s">
        <v>64</v>
      </c>
      <c r="EB3" s="817"/>
      <c r="EC3" s="817"/>
      <c r="ED3" s="817" t="s">
        <v>65</v>
      </c>
      <c r="EE3" s="817"/>
      <c r="EF3" s="817"/>
      <c r="EG3" s="817" t="s">
        <v>66</v>
      </c>
      <c r="EH3" s="817"/>
      <c r="EI3" s="817"/>
      <c r="EJ3" s="817" t="s">
        <v>67</v>
      </c>
      <c r="EK3" s="817"/>
      <c r="EL3" s="817"/>
      <c r="EM3" s="817" t="s">
        <v>68</v>
      </c>
      <c r="EN3" s="817"/>
      <c r="EO3" s="817"/>
      <c r="EP3" s="817" t="s">
        <v>69</v>
      </c>
      <c r="EQ3" s="817"/>
      <c r="ER3" s="817"/>
      <c r="ES3" s="817" t="s">
        <v>70</v>
      </c>
      <c r="ET3" s="817"/>
      <c r="EU3" s="817"/>
      <c r="EV3" s="852" t="s">
        <v>71</v>
      </c>
      <c r="EW3" s="852" t="s">
        <v>72</v>
      </c>
      <c r="EX3" s="713" t="s">
        <v>79</v>
      </c>
      <c r="EY3" s="713" t="s">
        <v>80</v>
      </c>
      <c r="EZ3" s="713" t="s">
        <v>81</v>
      </c>
      <c r="FA3" s="713" t="s">
        <v>82</v>
      </c>
      <c r="FB3" s="713" t="s">
        <v>83</v>
      </c>
      <c r="FC3" s="713" t="s">
        <v>84</v>
      </c>
      <c r="FD3" s="713" t="s">
        <v>85</v>
      </c>
      <c r="FE3" s="713" t="s">
        <v>86</v>
      </c>
      <c r="FF3" s="713" t="s">
        <v>87</v>
      </c>
      <c r="FG3" s="713" t="s">
        <v>88</v>
      </c>
      <c r="FH3" s="713" t="s">
        <v>177</v>
      </c>
      <c r="FI3" s="713" t="s">
        <v>341</v>
      </c>
      <c r="FJ3" s="713" t="s">
        <v>343</v>
      </c>
      <c r="FK3" s="713" t="s">
        <v>159</v>
      </c>
      <c r="FL3" s="713" t="s">
        <v>160</v>
      </c>
      <c r="FM3" s="713" t="s">
        <v>161</v>
      </c>
      <c r="FN3" s="713" t="s">
        <v>349</v>
      </c>
      <c r="FO3" s="713" t="s">
        <v>351</v>
      </c>
      <c r="FP3" s="713" t="s">
        <v>352</v>
      </c>
    </row>
    <row r="4" spans="1:184" ht="32" customHeight="1">
      <c r="K4" s="714" t="s">
        <v>167</v>
      </c>
      <c r="L4" s="714" t="s">
        <v>2545</v>
      </c>
      <c r="M4" s="714" t="s">
        <v>4</v>
      </c>
      <c r="N4" s="714" t="s">
        <v>5</v>
      </c>
      <c r="O4" s="714" t="s">
        <v>187</v>
      </c>
      <c r="P4" s="805" t="s">
        <v>280</v>
      </c>
      <c r="Q4" s="805"/>
      <c r="R4" s="714"/>
      <c r="S4" s="714" t="s">
        <v>178</v>
      </c>
      <c r="T4" s="805" t="s">
        <v>283</v>
      </c>
      <c r="U4" s="805"/>
      <c r="V4" s="805" t="s">
        <v>284</v>
      </c>
      <c r="W4" s="805"/>
      <c r="X4" s="805" t="s">
        <v>285</v>
      </c>
      <c r="Y4" s="805"/>
      <c r="Z4" s="805" t="s">
        <v>286</v>
      </c>
      <c r="AA4" s="805"/>
      <c r="AB4" s="805" t="s">
        <v>2547</v>
      </c>
      <c r="AC4" s="805"/>
      <c r="AD4" s="714" t="s">
        <v>2558</v>
      </c>
      <c r="AE4" s="714" t="s">
        <v>11</v>
      </c>
      <c r="AF4" s="714" t="s">
        <v>12</v>
      </c>
      <c r="AG4" s="714" t="s">
        <v>188</v>
      </c>
      <c r="AH4" s="714" t="s">
        <v>189</v>
      </c>
      <c r="AI4" s="714"/>
      <c r="AJ4" s="714"/>
      <c r="AK4" s="714" t="s">
        <v>288</v>
      </c>
      <c r="AL4" s="714" t="s">
        <v>190</v>
      </c>
      <c r="AM4" s="714" t="s">
        <v>289</v>
      </c>
      <c r="AN4" s="714"/>
      <c r="AO4" s="714"/>
      <c r="AP4" s="714" t="s">
        <v>2549</v>
      </c>
      <c r="AQ4" s="714" t="s">
        <v>2550</v>
      </c>
      <c r="AR4" s="714" t="s">
        <v>2552</v>
      </c>
      <c r="AS4" s="714"/>
      <c r="AT4" s="714"/>
      <c r="AU4" s="714" t="s">
        <v>290</v>
      </c>
      <c r="AV4" s="714" t="s">
        <v>190</v>
      </c>
      <c r="AW4" s="714"/>
      <c r="AX4" s="714"/>
      <c r="AY4" s="714" t="s">
        <v>291</v>
      </c>
      <c r="AZ4" s="714" t="s">
        <v>190</v>
      </c>
      <c r="BA4" s="714"/>
      <c r="BB4" s="714"/>
      <c r="BC4" s="714" t="s">
        <v>293</v>
      </c>
      <c r="BD4" s="714" t="s">
        <v>190</v>
      </c>
      <c r="BE4" s="714"/>
      <c r="BF4" s="714"/>
      <c r="BG4" s="714" t="s">
        <v>294</v>
      </c>
      <c r="BH4" s="714" t="s">
        <v>190</v>
      </c>
      <c r="BI4" s="714" t="s">
        <v>191</v>
      </c>
      <c r="BJ4" s="714" t="s">
        <v>14</v>
      </c>
      <c r="BK4" s="714" t="s">
        <v>15</v>
      </c>
      <c r="BL4" s="714"/>
      <c r="BM4" s="714"/>
      <c r="BN4" s="714" t="s">
        <v>163</v>
      </c>
      <c r="BO4" s="714" t="s">
        <v>190</v>
      </c>
      <c r="BP4" s="714"/>
      <c r="BQ4" s="714"/>
      <c r="BR4" s="714" t="s">
        <v>296</v>
      </c>
      <c r="BS4" s="714" t="s">
        <v>297</v>
      </c>
      <c r="BT4" s="714" t="s">
        <v>2554</v>
      </c>
      <c r="BU4" s="714" t="s">
        <v>2555</v>
      </c>
      <c r="BV4" s="714" t="s">
        <v>299</v>
      </c>
      <c r="BW4" s="714" t="s">
        <v>300</v>
      </c>
      <c r="BX4" s="714" t="s">
        <v>301</v>
      </c>
      <c r="BY4" s="714" t="s">
        <v>19</v>
      </c>
      <c r="BZ4" s="714" t="s">
        <v>20</v>
      </c>
      <c r="CA4" s="714" t="s">
        <v>21</v>
      </c>
      <c r="CB4" s="714" t="s">
        <v>22</v>
      </c>
      <c r="CC4" s="714" t="s">
        <v>303</v>
      </c>
      <c r="CD4" s="714" t="s">
        <v>23</v>
      </c>
      <c r="CE4" s="714" t="s">
        <v>24</v>
      </c>
      <c r="CF4" s="714" t="s">
        <v>25</v>
      </c>
      <c r="CG4" s="714" t="s">
        <v>26</v>
      </c>
      <c r="CH4" s="714" t="s">
        <v>304</v>
      </c>
      <c r="CI4" s="714" t="s">
        <v>28</v>
      </c>
      <c r="CJ4" s="714" t="s">
        <v>305</v>
      </c>
      <c r="CK4" s="714" t="s">
        <v>306</v>
      </c>
      <c r="CL4" s="714" t="s">
        <v>307</v>
      </c>
      <c r="CM4" s="714" t="s">
        <v>33</v>
      </c>
      <c r="CN4" s="714" t="s">
        <v>308</v>
      </c>
      <c r="CO4" s="714" t="s">
        <v>309</v>
      </c>
      <c r="CP4" s="714" t="s">
        <v>37</v>
      </c>
      <c r="CQ4" s="714" t="s">
        <v>39</v>
      </c>
      <c r="CR4" s="714" t="s">
        <v>758</v>
      </c>
      <c r="CS4" s="714" t="s">
        <v>5846</v>
      </c>
      <c r="CT4" s="714"/>
      <c r="CU4" s="714"/>
      <c r="CV4" s="714" t="s">
        <v>311</v>
      </c>
      <c r="CW4" s="805" t="s">
        <v>170</v>
      </c>
      <c r="CX4" s="805"/>
      <c r="CY4" s="805" t="s">
        <v>312</v>
      </c>
      <c r="CZ4" s="851"/>
      <c r="DA4" s="805" t="s">
        <v>2556</v>
      </c>
      <c r="DB4" s="805"/>
      <c r="DC4" s="714" t="s">
        <v>41</v>
      </c>
      <c r="DD4" s="714" t="s">
        <v>314</v>
      </c>
      <c r="DE4" s="714" t="s">
        <v>315</v>
      </c>
      <c r="DF4" s="714" t="s">
        <v>316</v>
      </c>
      <c r="DG4" s="714" t="s">
        <v>317</v>
      </c>
      <c r="DH4" s="714" t="s">
        <v>42</v>
      </c>
      <c r="DI4" s="805" t="s">
        <v>43</v>
      </c>
      <c r="DJ4" s="805"/>
      <c r="DK4" s="805"/>
      <c r="DL4" s="805" t="s">
        <v>44</v>
      </c>
      <c r="DM4" s="805"/>
      <c r="DN4" s="805"/>
      <c r="DO4" s="805" t="s">
        <v>324</v>
      </c>
      <c r="DP4" s="805"/>
      <c r="DQ4" s="805"/>
      <c r="DR4" s="805" t="s">
        <v>325</v>
      </c>
      <c r="DS4" s="805"/>
      <c r="DT4" s="805"/>
      <c r="DU4" s="805" t="s">
        <v>45</v>
      </c>
      <c r="DV4" s="805"/>
      <c r="DW4" s="805"/>
      <c r="DX4" s="805" t="s">
        <v>164</v>
      </c>
      <c r="DY4" s="805"/>
      <c r="DZ4" s="805"/>
      <c r="EA4" s="805" t="s">
        <v>46</v>
      </c>
      <c r="EB4" s="805"/>
      <c r="EC4" s="805"/>
      <c r="ED4" s="805" t="s">
        <v>47</v>
      </c>
      <c r="EE4" s="805"/>
      <c r="EF4" s="805"/>
      <c r="EG4" s="805" t="s">
        <v>48</v>
      </c>
      <c r="EH4" s="805"/>
      <c r="EI4" s="805"/>
      <c r="EJ4" s="805" t="s">
        <v>49</v>
      </c>
      <c r="EK4" s="805"/>
      <c r="EL4" s="805"/>
      <c r="EM4" s="805" t="s">
        <v>50</v>
      </c>
      <c r="EN4" s="805"/>
      <c r="EO4" s="805"/>
      <c r="EP4" s="805" t="s">
        <v>51</v>
      </c>
      <c r="EQ4" s="805"/>
      <c r="ER4" s="805"/>
      <c r="ES4" s="805" t="s">
        <v>165</v>
      </c>
      <c r="ET4" s="805"/>
      <c r="EU4" s="805"/>
      <c r="EV4" s="714" t="s">
        <v>328</v>
      </c>
      <c r="EW4" s="714" t="s">
        <v>329</v>
      </c>
      <c r="EX4" s="714" t="s">
        <v>331</v>
      </c>
      <c r="EY4" s="714" t="s">
        <v>333</v>
      </c>
      <c r="EZ4" s="714" t="s">
        <v>52</v>
      </c>
      <c r="FA4" s="714" t="s">
        <v>162</v>
      </c>
      <c r="FB4" s="714" t="s">
        <v>54</v>
      </c>
      <c r="FC4" s="714" t="s">
        <v>335</v>
      </c>
      <c r="FD4" s="714" t="s">
        <v>336</v>
      </c>
      <c r="FE4" s="714" t="s">
        <v>55</v>
      </c>
      <c r="FF4" s="714" t="s">
        <v>337</v>
      </c>
      <c r="FG4" s="714" t="s">
        <v>338</v>
      </c>
      <c r="FH4" s="714" t="s">
        <v>340</v>
      </c>
      <c r="FI4" s="714" t="s">
        <v>342</v>
      </c>
      <c r="FJ4" s="714" t="s">
        <v>344</v>
      </c>
      <c r="FK4" s="714" t="s">
        <v>345</v>
      </c>
      <c r="FL4" s="714" t="s">
        <v>346</v>
      </c>
      <c r="FM4" s="714" t="s">
        <v>158</v>
      </c>
      <c r="FN4" s="714" t="s">
        <v>350</v>
      </c>
      <c r="FO4" s="714" t="s">
        <v>346</v>
      </c>
      <c r="FP4" s="714" t="s">
        <v>158</v>
      </c>
    </row>
    <row r="5" spans="1:184" ht="78" customHeight="1">
      <c r="K5" s="714" t="s">
        <v>56</v>
      </c>
      <c r="L5" s="714"/>
      <c r="M5" s="714" t="s">
        <v>56</v>
      </c>
      <c r="N5" s="714" t="s">
        <v>56</v>
      </c>
      <c r="O5" s="714" t="s">
        <v>57</v>
      </c>
      <c r="P5" s="714" t="s">
        <v>281</v>
      </c>
      <c r="Q5" s="714" t="s">
        <v>282</v>
      </c>
      <c r="R5" s="714" t="s">
        <v>4935</v>
      </c>
      <c r="S5" s="714" t="s">
        <v>56</v>
      </c>
      <c r="T5" s="714" t="s">
        <v>56</v>
      </c>
      <c r="U5" s="714" t="s">
        <v>58</v>
      </c>
      <c r="V5" s="714" t="s">
        <v>56</v>
      </c>
      <c r="W5" s="714" t="s">
        <v>58</v>
      </c>
      <c r="X5" s="714" t="s">
        <v>56</v>
      </c>
      <c r="Y5" s="714" t="s">
        <v>58</v>
      </c>
      <c r="Z5" s="714" t="s">
        <v>56</v>
      </c>
      <c r="AA5" s="714" t="s">
        <v>58</v>
      </c>
      <c r="AB5" s="714" t="s">
        <v>56</v>
      </c>
      <c r="AC5" s="714" t="s">
        <v>58</v>
      </c>
      <c r="AD5" s="714" t="s">
        <v>56</v>
      </c>
      <c r="AE5" s="714" t="s">
        <v>56</v>
      </c>
      <c r="AF5" s="714" t="s">
        <v>56</v>
      </c>
      <c r="AG5" s="714" t="s">
        <v>56</v>
      </c>
      <c r="AH5" s="862" t="s">
        <v>169</v>
      </c>
      <c r="AI5" s="714" t="s">
        <v>4936</v>
      </c>
      <c r="AJ5" s="714" t="s">
        <v>4937</v>
      </c>
      <c r="AK5" s="862" t="s">
        <v>169</v>
      </c>
      <c r="AL5" s="714" t="s">
        <v>60</v>
      </c>
      <c r="AM5" s="714" t="s">
        <v>60</v>
      </c>
      <c r="AN5" s="714" t="s">
        <v>4938</v>
      </c>
      <c r="AO5" s="714" t="s">
        <v>4939</v>
      </c>
      <c r="AP5" s="862" t="s">
        <v>169</v>
      </c>
      <c r="AQ5" s="714" t="s">
        <v>60</v>
      </c>
      <c r="AR5" s="714" t="s">
        <v>60</v>
      </c>
      <c r="AS5" s="714" t="s">
        <v>4938</v>
      </c>
      <c r="AT5" s="714" t="s">
        <v>4939</v>
      </c>
      <c r="AU5" s="862" t="s">
        <v>169</v>
      </c>
      <c r="AV5" s="714" t="s">
        <v>60</v>
      </c>
      <c r="AW5" s="714" t="s">
        <v>4938</v>
      </c>
      <c r="AX5" s="714" t="s">
        <v>4939</v>
      </c>
      <c r="AY5" s="862" t="s">
        <v>169</v>
      </c>
      <c r="AZ5" s="714" t="s">
        <v>60</v>
      </c>
      <c r="BA5" s="714" t="s">
        <v>4938</v>
      </c>
      <c r="BB5" s="714" t="s">
        <v>4939</v>
      </c>
      <c r="BC5" s="862" t="s">
        <v>169</v>
      </c>
      <c r="BD5" s="714" t="s">
        <v>60</v>
      </c>
      <c r="BE5" s="714" t="s">
        <v>4938</v>
      </c>
      <c r="BF5" s="714" t="s">
        <v>4939</v>
      </c>
      <c r="BG5" s="862" t="s">
        <v>169</v>
      </c>
      <c r="BH5" s="714" t="s">
        <v>60</v>
      </c>
      <c r="BI5" s="714" t="s">
        <v>56</v>
      </c>
      <c r="BJ5" s="714" t="s">
        <v>56</v>
      </c>
      <c r="BK5" s="714" t="s">
        <v>56</v>
      </c>
      <c r="BL5" s="714" t="s">
        <v>4938</v>
      </c>
      <c r="BM5" s="714" t="s">
        <v>4939</v>
      </c>
      <c r="BN5" s="862" t="s">
        <v>169</v>
      </c>
      <c r="BO5" s="714" t="s">
        <v>60</v>
      </c>
      <c r="BP5" s="714" t="s">
        <v>4938</v>
      </c>
      <c r="BQ5" s="714" t="s">
        <v>4939</v>
      </c>
      <c r="BR5" s="862" t="s">
        <v>169</v>
      </c>
      <c r="BS5" s="714" t="s">
        <v>60</v>
      </c>
      <c r="BT5" s="862" t="s">
        <v>169</v>
      </c>
      <c r="BU5" s="714" t="s">
        <v>60</v>
      </c>
      <c r="BV5" s="714" t="s">
        <v>61</v>
      </c>
      <c r="BW5" s="714" t="s">
        <v>61</v>
      </c>
      <c r="BX5" s="714" t="s">
        <v>61</v>
      </c>
      <c r="BY5" s="714" t="s">
        <v>61</v>
      </c>
      <c r="BZ5" s="714" t="s">
        <v>61</v>
      </c>
      <c r="CA5" s="714" t="s">
        <v>61</v>
      </c>
      <c r="CB5" s="714" t="s">
        <v>61</v>
      </c>
      <c r="CC5" s="714" t="s">
        <v>61</v>
      </c>
      <c r="CD5" s="714" t="s">
        <v>61</v>
      </c>
      <c r="CE5" s="714" t="s">
        <v>61</v>
      </c>
      <c r="CF5" s="714" t="s">
        <v>61</v>
      </c>
      <c r="CG5" s="714" t="s">
        <v>61</v>
      </c>
      <c r="CH5" s="714" t="s">
        <v>61</v>
      </c>
      <c r="CI5" s="714" t="s">
        <v>61</v>
      </c>
      <c r="CJ5" s="714" t="s">
        <v>61</v>
      </c>
      <c r="CK5" s="714" t="s">
        <v>61</v>
      </c>
      <c r="CL5" s="714" t="s">
        <v>61</v>
      </c>
      <c r="CM5" s="714" t="s">
        <v>61</v>
      </c>
      <c r="CN5" s="714" t="s">
        <v>61</v>
      </c>
      <c r="CO5" s="714" t="s">
        <v>61</v>
      </c>
      <c r="CP5" s="714" t="s">
        <v>61</v>
      </c>
      <c r="CQ5" s="714" t="s">
        <v>61</v>
      </c>
      <c r="CR5" s="714" t="s">
        <v>61</v>
      </c>
      <c r="CS5" s="850" t="s">
        <v>175</v>
      </c>
      <c r="CT5" s="714" t="s">
        <v>4940</v>
      </c>
      <c r="CU5" s="714" t="s">
        <v>4939</v>
      </c>
      <c r="CV5" s="862" t="s">
        <v>62</v>
      </c>
      <c r="CW5" s="714" t="s">
        <v>56</v>
      </c>
      <c r="CX5" s="714" t="s">
        <v>58</v>
      </c>
      <c r="CY5" s="714" t="s">
        <v>60</v>
      </c>
      <c r="CZ5" s="714" t="s">
        <v>58</v>
      </c>
      <c r="DA5" s="714" t="s">
        <v>60</v>
      </c>
      <c r="DB5" s="714" t="s">
        <v>58</v>
      </c>
      <c r="DC5" s="714" t="s">
        <v>63</v>
      </c>
      <c r="DD5" s="714" t="s">
        <v>56</v>
      </c>
      <c r="DE5" s="714" t="s">
        <v>56</v>
      </c>
      <c r="DF5" s="714" t="s">
        <v>61</v>
      </c>
      <c r="DG5" s="714" t="s">
        <v>61</v>
      </c>
      <c r="DH5" s="714" t="s">
        <v>61</v>
      </c>
      <c r="DI5" s="714" t="s">
        <v>320</v>
      </c>
      <c r="DJ5" s="714" t="s">
        <v>321</v>
      </c>
      <c r="DK5" s="714" t="s">
        <v>322</v>
      </c>
      <c r="DL5" s="714" t="s">
        <v>320</v>
      </c>
      <c r="DM5" s="714" t="s">
        <v>321</v>
      </c>
      <c r="DN5" s="714" t="s">
        <v>323</v>
      </c>
      <c r="DO5" s="714" t="s">
        <v>320</v>
      </c>
      <c r="DP5" s="714" t="s">
        <v>321</v>
      </c>
      <c r="DQ5" s="714" t="s">
        <v>323</v>
      </c>
      <c r="DR5" s="714" t="s">
        <v>320</v>
      </c>
      <c r="DS5" s="714" t="s">
        <v>321</v>
      </c>
      <c r="DT5" s="714" t="s">
        <v>323</v>
      </c>
      <c r="DU5" s="714" t="s">
        <v>320</v>
      </c>
      <c r="DV5" s="714" t="s">
        <v>321</v>
      </c>
      <c r="DW5" s="714" t="s">
        <v>323</v>
      </c>
      <c r="DX5" s="714" t="s">
        <v>320</v>
      </c>
      <c r="DY5" s="714" t="s">
        <v>321</v>
      </c>
      <c r="DZ5" s="714" t="s">
        <v>323</v>
      </c>
      <c r="EA5" s="714" t="s">
        <v>320</v>
      </c>
      <c r="EB5" s="714" t="s">
        <v>321</v>
      </c>
      <c r="EC5" s="714" t="s">
        <v>323</v>
      </c>
      <c r="ED5" s="714" t="s">
        <v>320</v>
      </c>
      <c r="EE5" s="714" t="s">
        <v>321</v>
      </c>
      <c r="EF5" s="714" t="s">
        <v>323</v>
      </c>
      <c r="EG5" s="714" t="s">
        <v>320</v>
      </c>
      <c r="EH5" s="714" t="s">
        <v>321</v>
      </c>
      <c r="EI5" s="714" t="s">
        <v>323</v>
      </c>
      <c r="EJ5" s="714" t="s">
        <v>320</v>
      </c>
      <c r="EK5" s="714" t="s">
        <v>321</v>
      </c>
      <c r="EL5" s="714" t="s">
        <v>323</v>
      </c>
      <c r="EM5" s="714" t="s">
        <v>320</v>
      </c>
      <c r="EN5" s="714" t="s">
        <v>321</v>
      </c>
      <c r="EO5" s="714" t="s">
        <v>323</v>
      </c>
      <c r="EP5" s="714" t="s">
        <v>320</v>
      </c>
      <c r="EQ5" s="714" t="s">
        <v>321</v>
      </c>
      <c r="ER5" s="714" t="s">
        <v>323</v>
      </c>
      <c r="ES5" s="714" t="s">
        <v>320</v>
      </c>
      <c r="ET5" s="714" t="s">
        <v>321</v>
      </c>
      <c r="EU5" s="714"/>
      <c r="EV5" s="714" t="s">
        <v>171</v>
      </c>
      <c r="EW5" s="714" t="s">
        <v>56</v>
      </c>
      <c r="EX5" s="714" t="s">
        <v>61</v>
      </c>
      <c r="EY5" s="714" t="s">
        <v>63</v>
      </c>
      <c r="EZ5" s="714" t="s">
        <v>56</v>
      </c>
      <c r="FA5" s="714" t="s">
        <v>63</v>
      </c>
      <c r="FB5" s="714" t="s">
        <v>56</v>
      </c>
      <c r="FC5" s="714" t="s">
        <v>58</v>
      </c>
      <c r="FD5" s="714" t="s">
        <v>58</v>
      </c>
      <c r="FE5" s="714" t="s">
        <v>172</v>
      </c>
      <c r="FF5" s="714" t="s">
        <v>56</v>
      </c>
      <c r="FG5" s="714" t="s">
        <v>56</v>
      </c>
      <c r="FH5" s="714" t="s">
        <v>56</v>
      </c>
      <c r="FI5" s="714" t="s">
        <v>61</v>
      </c>
      <c r="FJ5" s="714" t="s">
        <v>61</v>
      </c>
      <c r="FK5" s="714" t="s">
        <v>56</v>
      </c>
      <c r="FL5" s="714" t="s">
        <v>173</v>
      </c>
      <c r="FM5" s="714" t="s">
        <v>174</v>
      </c>
      <c r="FN5" s="714" t="s">
        <v>56</v>
      </c>
      <c r="FO5" s="714" t="s">
        <v>173</v>
      </c>
      <c r="FP5" s="714" t="s">
        <v>174</v>
      </c>
    </row>
    <row r="6" spans="1:184" ht="83.5" customHeight="1">
      <c r="B6" s="850" t="s">
        <v>5313</v>
      </c>
      <c r="C6" s="863"/>
      <c r="D6" s="850" t="s">
        <v>4933</v>
      </c>
      <c r="E6" s="850" t="s">
        <v>5314</v>
      </c>
      <c r="F6" s="850" t="s">
        <v>5334</v>
      </c>
      <c r="G6" s="850" t="s">
        <v>4933</v>
      </c>
      <c r="I6" s="850" t="s">
        <v>5523</v>
      </c>
      <c r="J6" s="853" t="s">
        <v>5385</v>
      </c>
      <c r="K6" s="714" t="s">
        <v>192</v>
      </c>
      <c r="L6" s="714"/>
      <c r="M6" s="714" t="s">
        <v>1197</v>
      </c>
      <c r="N6" s="714" t="s">
        <v>1198</v>
      </c>
      <c r="O6" s="852">
        <v>2018</v>
      </c>
      <c r="P6" s="864">
        <v>43521</v>
      </c>
      <c r="Q6" s="865">
        <v>43799</v>
      </c>
      <c r="R6" s="866">
        <f t="shared" ref="R6:R16" si="0">Q6-P6</f>
        <v>278</v>
      </c>
      <c r="S6" s="714" t="s">
        <v>279</v>
      </c>
      <c r="T6" s="714" t="s">
        <v>279</v>
      </c>
      <c r="U6" s="714"/>
      <c r="V6" s="714" t="s">
        <v>1199</v>
      </c>
      <c r="W6" s="855" t="s">
        <v>1200</v>
      </c>
      <c r="X6" s="714" t="s">
        <v>279</v>
      </c>
      <c r="Y6" s="714"/>
      <c r="Z6" s="714" t="s">
        <v>1201</v>
      </c>
      <c r="AA6" s="855" t="s">
        <v>1202</v>
      </c>
      <c r="AB6" s="855"/>
      <c r="AC6" s="855"/>
      <c r="AD6" s="714" t="s">
        <v>1203</v>
      </c>
      <c r="AE6" s="714" t="s">
        <v>1203</v>
      </c>
      <c r="AF6" s="714" t="s">
        <v>277</v>
      </c>
      <c r="AG6" s="714" t="s">
        <v>1204</v>
      </c>
      <c r="AH6" s="867">
        <v>7.1660000000000004</v>
      </c>
      <c r="AI6" s="868">
        <f t="shared" ref="AI6:AI71" si="1">AK6+AU6+AY6+BC6+BG6+AP6+BN6</f>
        <v>7.1660000000000004</v>
      </c>
      <c r="AJ6" s="867">
        <f>AI6-AH6</f>
        <v>0</v>
      </c>
      <c r="AK6" s="867">
        <v>4.9550000000000001</v>
      </c>
      <c r="AL6" s="869">
        <v>0.69099999999999995</v>
      </c>
      <c r="AM6" s="869">
        <v>2.0000000000000001E-4</v>
      </c>
      <c r="AN6" s="869">
        <f>AK6/AH6</f>
        <v>0.69145967066703873</v>
      </c>
      <c r="AO6" s="869">
        <f>AL6-AN6</f>
        <v>-4.5967066703878068E-4</v>
      </c>
      <c r="AP6" s="869"/>
      <c r="AQ6" s="869"/>
      <c r="AR6" s="869"/>
      <c r="AS6" s="869">
        <f>AP6/AH6</f>
        <v>0</v>
      </c>
      <c r="AT6" s="869">
        <f>AQ6-AS6</f>
        <v>0</v>
      </c>
      <c r="AU6" s="867">
        <v>0.97799999999999998</v>
      </c>
      <c r="AV6" s="869">
        <v>0.13650000000000001</v>
      </c>
      <c r="AW6" s="869">
        <f>AU6/AH6</f>
        <v>0.13647781188947808</v>
      </c>
      <c r="AX6" s="869">
        <f>AV6-AW6</f>
        <v>2.2188110521931259E-5</v>
      </c>
      <c r="AY6" s="867">
        <v>0.68100000000000005</v>
      </c>
      <c r="AZ6" s="869">
        <v>9.5000000000000001E-2</v>
      </c>
      <c r="BA6" s="869">
        <f>AY6/AH6</f>
        <v>9.5032096008931061E-2</v>
      </c>
      <c r="BB6" s="869">
        <f>AZ6-BA6</f>
        <v>-3.2096008931059572E-5</v>
      </c>
      <c r="BC6" s="867">
        <v>0.55200000000000005</v>
      </c>
      <c r="BD6" s="869">
        <v>7.6999999999999999E-2</v>
      </c>
      <c r="BE6" s="869">
        <f>BC6/AH6</f>
        <v>7.7030421434552049E-2</v>
      </c>
      <c r="BF6" s="869">
        <f>BD6-BE6</f>
        <v>-3.042143455204982E-5</v>
      </c>
      <c r="BG6" s="867">
        <v>0</v>
      </c>
      <c r="BH6" s="869">
        <v>0</v>
      </c>
      <c r="BI6" s="714" t="s">
        <v>279</v>
      </c>
      <c r="BJ6" s="714" t="s">
        <v>279</v>
      </c>
      <c r="BK6" s="714" t="s">
        <v>279</v>
      </c>
      <c r="BL6" s="714">
        <f>BG6/AH6</f>
        <v>0</v>
      </c>
      <c r="BM6" s="869">
        <f>BH6-BL6</f>
        <v>0</v>
      </c>
      <c r="BN6" s="867"/>
      <c r="BO6" s="869"/>
      <c r="BP6" s="869">
        <f>BN6/AH6</f>
        <v>0</v>
      </c>
      <c r="BQ6" s="869">
        <f>BO6-BP6</f>
        <v>0</v>
      </c>
      <c r="BR6" s="867">
        <v>10</v>
      </c>
      <c r="BS6" s="869">
        <v>4.0000000000000002E-4</v>
      </c>
      <c r="BT6" s="869"/>
      <c r="BU6" s="869"/>
      <c r="BV6" s="870">
        <v>32</v>
      </c>
      <c r="BW6" s="870">
        <v>9</v>
      </c>
      <c r="BX6" s="870">
        <v>6</v>
      </c>
      <c r="BY6" s="870">
        <v>2</v>
      </c>
      <c r="BZ6" s="870">
        <v>0</v>
      </c>
      <c r="CA6" s="870">
        <v>0</v>
      </c>
      <c r="CB6" s="870">
        <v>0</v>
      </c>
      <c r="CC6" s="870">
        <v>0</v>
      </c>
      <c r="CD6" s="870">
        <v>2</v>
      </c>
      <c r="CE6" s="870">
        <v>0</v>
      </c>
      <c r="CF6" s="870">
        <v>0</v>
      </c>
      <c r="CG6" s="870">
        <v>0</v>
      </c>
      <c r="CH6" s="870">
        <v>0</v>
      </c>
      <c r="CI6" s="870">
        <v>1</v>
      </c>
      <c r="CJ6" s="870">
        <v>1</v>
      </c>
      <c r="CK6" s="870">
        <v>0</v>
      </c>
      <c r="CL6" s="870">
        <v>0</v>
      </c>
      <c r="CM6" s="870">
        <v>0</v>
      </c>
      <c r="CN6" s="870">
        <v>0</v>
      </c>
      <c r="CO6" s="870">
        <v>0</v>
      </c>
      <c r="CP6" s="870">
        <v>0</v>
      </c>
      <c r="CQ6" s="870">
        <v>0</v>
      </c>
      <c r="CR6" s="870">
        <v>0</v>
      </c>
      <c r="CS6" s="871">
        <f>SUM(BY6:CR6)</f>
        <v>6</v>
      </c>
      <c r="CT6" s="871">
        <f>SUM(BY6:CR6)</f>
        <v>6</v>
      </c>
      <c r="CU6" s="871">
        <f>CS6-CT6</f>
        <v>0</v>
      </c>
      <c r="CV6" s="872">
        <v>15.726000000000001</v>
      </c>
      <c r="CW6" s="714" t="s">
        <v>279</v>
      </c>
      <c r="CX6" s="714"/>
      <c r="CY6" s="714">
        <v>3.43</v>
      </c>
      <c r="CZ6" s="869" t="s">
        <v>1205</v>
      </c>
      <c r="DA6" s="869"/>
      <c r="DB6" s="869"/>
      <c r="DC6" s="714" t="s">
        <v>279</v>
      </c>
      <c r="DD6" s="714" t="s">
        <v>279</v>
      </c>
      <c r="DE6" s="714" t="s">
        <v>279</v>
      </c>
      <c r="DF6" s="870"/>
      <c r="DG6" s="870" t="s">
        <v>279</v>
      </c>
      <c r="DH6" s="870">
        <v>1</v>
      </c>
      <c r="DI6" s="714" t="s">
        <v>278</v>
      </c>
      <c r="DJ6" s="714" t="s">
        <v>1206</v>
      </c>
      <c r="DK6" s="870">
        <v>995</v>
      </c>
      <c r="DL6" s="714" t="s">
        <v>278</v>
      </c>
      <c r="DM6" s="714" t="s">
        <v>753</v>
      </c>
      <c r="DN6" s="870">
        <v>1653</v>
      </c>
      <c r="DO6" s="714" t="s">
        <v>279</v>
      </c>
      <c r="DP6" s="714"/>
      <c r="DQ6" s="870"/>
      <c r="DR6" s="714" t="s">
        <v>279</v>
      </c>
      <c r="DS6" s="714"/>
      <c r="DT6" s="870"/>
      <c r="DU6" s="714" t="s">
        <v>279</v>
      </c>
      <c r="DV6" s="714"/>
      <c r="DW6" s="870"/>
      <c r="DX6" s="714" t="s">
        <v>279</v>
      </c>
      <c r="DY6" s="714"/>
      <c r="DZ6" s="870"/>
      <c r="EA6" s="714" t="s">
        <v>279</v>
      </c>
      <c r="EB6" s="714"/>
      <c r="EC6" s="870"/>
      <c r="ED6" s="714" t="s">
        <v>279</v>
      </c>
      <c r="EE6" s="714"/>
      <c r="EF6" s="870"/>
      <c r="EG6" s="714" t="s">
        <v>279</v>
      </c>
      <c r="EH6" s="714"/>
      <c r="EI6" s="870"/>
      <c r="EJ6" s="714"/>
      <c r="EK6" s="714"/>
      <c r="EL6" s="870"/>
      <c r="EM6" s="714" t="s">
        <v>278</v>
      </c>
      <c r="EN6" s="714" t="s">
        <v>1207</v>
      </c>
      <c r="EO6" s="870">
        <v>11</v>
      </c>
      <c r="EP6" s="714" t="s">
        <v>279</v>
      </c>
      <c r="EQ6" s="714"/>
      <c r="ER6" s="870"/>
      <c r="ES6" s="714" t="s">
        <v>278</v>
      </c>
      <c r="ET6" s="714" t="s">
        <v>1208</v>
      </c>
      <c r="EU6" s="870">
        <v>11</v>
      </c>
      <c r="EV6" s="714" t="s">
        <v>1209</v>
      </c>
      <c r="EW6" s="714" t="s">
        <v>1210</v>
      </c>
      <c r="EX6" s="870">
        <v>9</v>
      </c>
      <c r="EY6" s="714" t="s">
        <v>279</v>
      </c>
      <c r="EZ6" s="714" t="s">
        <v>279</v>
      </c>
      <c r="FA6" s="714" t="s">
        <v>278</v>
      </c>
      <c r="FB6" s="714" t="s">
        <v>1211</v>
      </c>
      <c r="FC6" s="855" t="s">
        <v>1212</v>
      </c>
      <c r="FD6" s="855" t="s">
        <v>1213</v>
      </c>
      <c r="FE6" s="855"/>
      <c r="FF6" s="855" t="s">
        <v>1214</v>
      </c>
      <c r="FG6" s="714" t="s">
        <v>1215</v>
      </c>
      <c r="FH6" s="714" t="s">
        <v>1216</v>
      </c>
      <c r="FI6" s="714">
        <v>3</v>
      </c>
      <c r="FJ6" s="714">
        <v>100</v>
      </c>
      <c r="FK6" s="714" t="s">
        <v>1217</v>
      </c>
      <c r="FL6" s="714" t="s">
        <v>1218</v>
      </c>
      <c r="FM6" s="855" t="s">
        <v>1219</v>
      </c>
      <c r="FN6" s="714" t="s">
        <v>1217</v>
      </c>
      <c r="FO6" s="714" t="s">
        <v>1218</v>
      </c>
      <c r="FP6" s="714" t="s">
        <v>1219</v>
      </c>
    </row>
    <row r="7" spans="1:184" ht="79" customHeight="1">
      <c r="B7" s="850" t="s">
        <v>5315</v>
      </c>
      <c r="C7" s="850" t="s">
        <v>5316</v>
      </c>
      <c r="D7" s="850" t="s">
        <v>5317</v>
      </c>
      <c r="E7" s="850" t="s">
        <v>5318</v>
      </c>
      <c r="F7" s="850" t="s">
        <v>5319</v>
      </c>
      <c r="G7" s="850" t="s">
        <v>4933</v>
      </c>
      <c r="I7" s="850" t="s">
        <v>5518</v>
      </c>
      <c r="J7" s="853" t="s">
        <v>5386</v>
      </c>
      <c r="K7" s="714" t="s">
        <v>193</v>
      </c>
      <c r="L7" s="714"/>
      <c r="M7" s="714" t="s">
        <v>1666</v>
      </c>
      <c r="N7" s="714" t="s">
        <v>1667</v>
      </c>
      <c r="O7" s="852">
        <v>2017</v>
      </c>
      <c r="P7" s="864">
        <v>43466</v>
      </c>
      <c r="Q7" s="864">
        <v>43830</v>
      </c>
      <c r="R7" s="866">
        <f t="shared" si="0"/>
        <v>364</v>
      </c>
      <c r="S7" s="714" t="s">
        <v>1668</v>
      </c>
      <c r="T7" s="714" t="s">
        <v>1669</v>
      </c>
      <c r="U7" s="873" t="s">
        <v>1650</v>
      </c>
      <c r="V7" s="714"/>
      <c r="W7" s="714"/>
      <c r="X7" s="714"/>
      <c r="Y7" s="714"/>
      <c r="Z7" s="714"/>
      <c r="AA7" s="714"/>
      <c r="AB7" s="714"/>
      <c r="AC7" s="714"/>
      <c r="AD7" s="714" t="s">
        <v>1651</v>
      </c>
      <c r="AE7" s="714" t="s">
        <v>1651</v>
      </c>
      <c r="AF7" s="714" t="s">
        <v>633</v>
      </c>
      <c r="AG7" s="714" t="s">
        <v>1652</v>
      </c>
      <c r="AH7" s="867">
        <f>AK7+AU7+AY7+BC7+BG7+BN7</f>
        <v>69.716264600000002</v>
      </c>
      <c r="AI7" s="868">
        <f t="shared" si="1"/>
        <v>69.716264600000002</v>
      </c>
      <c r="AJ7" s="867">
        <f t="shared" ref="AJ7:AJ72" si="2">AI7-AH7</f>
        <v>0</v>
      </c>
      <c r="AK7" s="867">
        <f>657392.68/1000000</f>
        <v>0.65739268000000006</v>
      </c>
      <c r="AL7" s="869">
        <f>AK7/AH7</f>
        <v>9.4295453689582798E-3</v>
      </c>
      <c r="AM7" s="874">
        <f>AK7/(22437996679.84/1000000)</f>
        <v>2.9298189556764287E-5</v>
      </c>
      <c r="AN7" s="869">
        <f t="shared" ref="AN7:AN72" si="3">AK7/AH7</f>
        <v>9.4295453689582798E-3</v>
      </c>
      <c r="AO7" s="869">
        <f t="shared" ref="AO7:AO72" si="4">AL7-AN7</f>
        <v>0</v>
      </c>
      <c r="AP7" s="874"/>
      <c r="AQ7" s="874"/>
      <c r="AR7" s="874"/>
      <c r="AS7" s="869">
        <f t="shared" ref="AS7:AS72" si="5">AP7/AH7</f>
        <v>0</v>
      </c>
      <c r="AT7" s="869">
        <f t="shared" ref="AT7:AT72" si="6">AQ7-AS7</f>
        <v>0</v>
      </c>
      <c r="AU7" s="867">
        <v>0.66400000000000003</v>
      </c>
      <c r="AV7" s="869">
        <f>AU7/AH7</f>
        <v>9.5243198098711682E-3</v>
      </c>
      <c r="AW7" s="869">
        <f t="shared" ref="AW7:AW72" si="7">AU7/AH7</f>
        <v>9.5243198098711682E-3</v>
      </c>
      <c r="AX7" s="869">
        <f t="shared" ref="AX7:AX72" si="8">AV7-AW7</f>
        <v>0</v>
      </c>
      <c r="AY7" s="867">
        <v>3.3130000000000002</v>
      </c>
      <c r="AZ7" s="869">
        <f>AY7/AH7</f>
        <v>4.75211920634084E-2</v>
      </c>
      <c r="BA7" s="869">
        <f t="shared" ref="BA7:BA72" si="9">AY7/AH7</f>
        <v>4.75211920634084E-2</v>
      </c>
      <c r="BB7" s="869">
        <f t="shared" ref="BB7:BB72" si="10">AZ7-BA7</f>
        <v>0</v>
      </c>
      <c r="BC7" s="867">
        <v>0</v>
      </c>
      <c r="BD7" s="869">
        <f>BC7/AH7</f>
        <v>0</v>
      </c>
      <c r="BE7" s="869">
        <f t="shared" ref="BE7:BE72" si="11">BC7/AH7</f>
        <v>0</v>
      </c>
      <c r="BF7" s="869">
        <f t="shared" ref="BF7:BF72" si="12">BD7-BE7</f>
        <v>0</v>
      </c>
      <c r="BG7" s="867">
        <f>65081871.92/1000000</f>
        <v>65.081871919999998</v>
      </c>
      <c r="BH7" s="869">
        <f>BG7/AH7</f>
        <v>0.9335249427577621</v>
      </c>
      <c r="BI7" s="714" t="s">
        <v>1670</v>
      </c>
      <c r="BJ7" s="714" t="s">
        <v>457</v>
      </c>
      <c r="BK7" s="714" t="s">
        <v>1651</v>
      </c>
      <c r="BL7" s="714">
        <f t="shared" ref="BL7:BL72" si="13">BG7/AH7</f>
        <v>0.9335249427577621</v>
      </c>
      <c r="BM7" s="869">
        <f t="shared" ref="BM7:BM72" si="14">BH7-BL7</f>
        <v>0</v>
      </c>
      <c r="BN7" s="867"/>
      <c r="BO7" s="869"/>
      <c r="BP7" s="869">
        <f t="shared" ref="BP7:BP72" si="15">BN7/AH7</f>
        <v>0</v>
      </c>
      <c r="BQ7" s="869">
        <f t="shared" ref="BQ7:BQ72" si="16">BO7-BP7</f>
        <v>0</v>
      </c>
      <c r="BR7" s="872">
        <f>181818.2/1000000</f>
        <v>0.18181820000000001</v>
      </c>
      <c r="BS7" s="869">
        <v>7.6616181292046305E-4</v>
      </c>
      <c r="BT7" s="869"/>
      <c r="BU7" s="869"/>
      <c r="BV7" s="870">
        <f>51+17</f>
        <v>68</v>
      </c>
      <c r="BW7" s="870">
        <v>46</v>
      </c>
      <c r="BX7" s="870">
        <v>23</v>
      </c>
      <c r="BY7" s="870"/>
      <c r="BZ7" s="870"/>
      <c r="CA7" s="870"/>
      <c r="CB7" s="870"/>
      <c r="CC7" s="870"/>
      <c r="CD7" s="870"/>
      <c r="CE7" s="870"/>
      <c r="CF7" s="870"/>
      <c r="CG7" s="870"/>
      <c r="CH7" s="870"/>
      <c r="CI7" s="870"/>
      <c r="CJ7" s="870">
        <v>14</v>
      </c>
      <c r="CK7" s="870"/>
      <c r="CL7" s="870"/>
      <c r="CM7" s="870"/>
      <c r="CN7" s="870"/>
      <c r="CO7" s="870"/>
      <c r="CP7" s="870"/>
      <c r="CQ7" s="870"/>
      <c r="CR7" s="870">
        <v>9</v>
      </c>
      <c r="CS7" s="871">
        <f>SUM(BY7:CR7)</f>
        <v>23</v>
      </c>
      <c r="CT7" s="871">
        <f t="shared" ref="CT7:CT72" si="17">SUM(BY7:CR7)</f>
        <v>23</v>
      </c>
      <c r="CU7" s="871">
        <f t="shared" ref="CU7:CU72" si="18">CS7-CT7</f>
        <v>0</v>
      </c>
      <c r="CV7" s="872">
        <v>129.19999999999999</v>
      </c>
      <c r="CW7" s="714" t="s">
        <v>1653</v>
      </c>
      <c r="CX7" s="714" t="s">
        <v>1654</v>
      </c>
      <c r="CY7" s="854">
        <f>118.6/220*100</f>
        <v>53.909090909090907</v>
      </c>
      <c r="CZ7" s="714" t="s">
        <v>1654</v>
      </c>
      <c r="DA7" s="714"/>
      <c r="DB7" s="714"/>
      <c r="DC7" s="714" t="s">
        <v>279</v>
      </c>
      <c r="DD7" s="714"/>
      <c r="DE7" s="714"/>
      <c r="DF7" s="870"/>
      <c r="DG7" s="870"/>
      <c r="DH7" s="870"/>
      <c r="DI7" s="714" t="s">
        <v>279</v>
      </c>
      <c r="DJ7" s="714" t="s">
        <v>410</v>
      </c>
      <c r="DK7" s="870" t="s">
        <v>410</v>
      </c>
      <c r="DL7" s="714" t="s">
        <v>278</v>
      </c>
      <c r="DM7" s="714" t="s">
        <v>1671</v>
      </c>
      <c r="DN7" s="870">
        <v>4670</v>
      </c>
      <c r="DO7" s="714" t="s">
        <v>279</v>
      </c>
      <c r="DP7" s="714" t="s">
        <v>410</v>
      </c>
      <c r="DQ7" s="870" t="s">
        <v>410</v>
      </c>
      <c r="DR7" s="714" t="s">
        <v>279</v>
      </c>
      <c r="DS7" s="714" t="s">
        <v>410</v>
      </c>
      <c r="DT7" s="870" t="s">
        <v>410</v>
      </c>
      <c r="DU7" s="714" t="s">
        <v>279</v>
      </c>
      <c r="DV7" s="714" t="s">
        <v>410</v>
      </c>
      <c r="DW7" s="870" t="s">
        <v>410</v>
      </c>
      <c r="DX7" s="714" t="s">
        <v>279</v>
      </c>
      <c r="DY7" s="714" t="s">
        <v>410</v>
      </c>
      <c r="DZ7" s="870" t="s">
        <v>410</v>
      </c>
      <c r="EA7" s="714" t="s">
        <v>279</v>
      </c>
      <c r="EB7" s="714" t="s">
        <v>410</v>
      </c>
      <c r="EC7" s="870" t="s">
        <v>410</v>
      </c>
      <c r="ED7" s="714" t="s">
        <v>279</v>
      </c>
      <c r="EE7" s="714" t="s">
        <v>410</v>
      </c>
      <c r="EF7" s="870" t="s">
        <v>410</v>
      </c>
      <c r="EG7" s="714" t="s">
        <v>279</v>
      </c>
      <c r="EH7" s="714" t="s">
        <v>410</v>
      </c>
      <c r="EI7" s="870" t="s">
        <v>410</v>
      </c>
      <c r="EJ7" s="714" t="s">
        <v>278</v>
      </c>
      <c r="EK7" s="714" t="s">
        <v>1672</v>
      </c>
      <c r="EL7" s="870">
        <v>15</v>
      </c>
      <c r="EM7" s="714" t="s">
        <v>278</v>
      </c>
      <c r="EN7" s="714" t="s">
        <v>410</v>
      </c>
      <c r="EO7" s="870" t="s">
        <v>410</v>
      </c>
      <c r="EP7" s="714" t="s">
        <v>279</v>
      </c>
      <c r="EQ7" s="714" t="s">
        <v>410</v>
      </c>
      <c r="ER7" s="870" t="s">
        <v>410</v>
      </c>
      <c r="ES7" s="714" t="s">
        <v>278</v>
      </c>
      <c r="ET7" s="714" t="s">
        <v>1673</v>
      </c>
      <c r="EU7" s="714">
        <v>2104</v>
      </c>
      <c r="EV7" s="714"/>
      <c r="EW7" s="714" t="s">
        <v>1674</v>
      </c>
      <c r="EX7" s="854">
        <v>1</v>
      </c>
      <c r="EY7" s="854" t="s">
        <v>279</v>
      </c>
      <c r="EZ7" s="854" t="s">
        <v>410</v>
      </c>
      <c r="FA7" s="714" t="s">
        <v>278</v>
      </c>
      <c r="FB7" s="714" t="s">
        <v>1675</v>
      </c>
      <c r="FC7" s="714" t="s">
        <v>1676</v>
      </c>
      <c r="FD7" s="714" t="s">
        <v>1677</v>
      </c>
      <c r="FE7" s="714"/>
      <c r="FF7" s="714" t="s">
        <v>1678</v>
      </c>
      <c r="FG7" s="714" t="s">
        <v>279</v>
      </c>
      <c r="FH7" s="714" t="s">
        <v>1679</v>
      </c>
      <c r="FI7" s="714"/>
      <c r="FJ7" s="714"/>
      <c r="FK7" s="714" t="s">
        <v>1660</v>
      </c>
      <c r="FL7" s="714" t="s">
        <v>1661</v>
      </c>
      <c r="FM7" s="714" t="s">
        <v>1662</v>
      </c>
      <c r="FN7" s="714" t="s">
        <v>1663</v>
      </c>
      <c r="FO7" s="714" t="s">
        <v>1664</v>
      </c>
      <c r="FP7" s="714" t="s">
        <v>1665</v>
      </c>
    </row>
    <row r="8" spans="1:184" ht="85.5" customHeight="1">
      <c r="B8" s="850" t="s">
        <v>5315</v>
      </c>
      <c r="C8" s="850" t="s">
        <v>5320</v>
      </c>
      <c r="D8" s="850" t="s">
        <v>5317</v>
      </c>
      <c r="E8" s="850" t="s">
        <v>5318</v>
      </c>
      <c r="F8" s="850" t="s">
        <v>694</v>
      </c>
      <c r="G8" s="850" t="s">
        <v>4933</v>
      </c>
      <c r="I8" s="850" t="s">
        <v>5518</v>
      </c>
      <c r="J8" s="853" t="s">
        <v>5386</v>
      </c>
      <c r="K8" s="714" t="s">
        <v>2574</v>
      </c>
      <c r="L8" s="714"/>
      <c r="M8" s="714" t="s">
        <v>759</v>
      </c>
      <c r="N8" s="714"/>
      <c r="O8" s="852">
        <v>2018</v>
      </c>
      <c r="P8" s="865">
        <v>43378</v>
      </c>
      <c r="Q8" s="864">
        <v>43830</v>
      </c>
      <c r="R8" s="866">
        <f t="shared" si="0"/>
        <v>452</v>
      </c>
      <c r="S8" s="714" t="s">
        <v>1680</v>
      </c>
      <c r="T8" s="714" t="s">
        <v>1681</v>
      </c>
      <c r="U8" s="714"/>
      <c r="V8" s="714" t="s">
        <v>410</v>
      </c>
      <c r="W8" s="714" t="s">
        <v>410</v>
      </c>
      <c r="X8" s="714"/>
      <c r="Y8" s="714"/>
      <c r="Z8" s="714"/>
      <c r="AA8" s="714"/>
      <c r="AB8" s="714"/>
      <c r="AC8" s="714"/>
      <c r="AD8" s="714" t="s">
        <v>1682</v>
      </c>
      <c r="AE8" s="714" t="s">
        <v>1682</v>
      </c>
      <c r="AF8" s="714" t="s">
        <v>454</v>
      </c>
      <c r="AG8" s="714" t="s">
        <v>1683</v>
      </c>
      <c r="AH8" s="875">
        <f>AK8+AU8+AY8+BC8+BG8</f>
        <v>3.0369999999999999</v>
      </c>
      <c r="AI8" s="868">
        <f t="shared" si="1"/>
        <v>3.0369999999999999</v>
      </c>
      <c r="AJ8" s="867">
        <f t="shared" si="2"/>
        <v>0</v>
      </c>
      <c r="AK8" s="867">
        <f>111.7/1000</f>
        <v>0.11170000000000001</v>
      </c>
      <c r="AL8" s="867">
        <f>AK8/AH8*100</f>
        <v>3.6779716825814956</v>
      </c>
      <c r="AM8" s="876">
        <f>111.7/22437996.679*100</f>
        <v>4.9781627833353503E-4</v>
      </c>
      <c r="AN8" s="869">
        <f t="shared" si="3"/>
        <v>3.6779716825814955E-2</v>
      </c>
      <c r="AO8" s="869">
        <f t="shared" si="4"/>
        <v>3.6411919657556808</v>
      </c>
      <c r="AP8" s="876"/>
      <c r="AQ8" s="876"/>
      <c r="AR8" s="876"/>
      <c r="AS8" s="869">
        <f t="shared" si="5"/>
        <v>0</v>
      </c>
      <c r="AT8" s="869">
        <f t="shared" si="6"/>
        <v>0</v>
      </c>
      <c r="AU8" s="867">
        <f>22.6/1000</f>
        <v>2.2600000000000002E-2</v>
      </c>
      <c r="AV8" s="869">
        <f>AU8*100%/AH8</f>
        <v>7.4415541652946993E-3</v>
      </c>
      <c r="AW8" s="869">
        <f t="shared" si="7"/>
        <v>7.4415541652946993E-3</v>
      </c>
      <c r="AX8" s="869">
        <f t="shared" si="8"/>
        <v>0</v>
      </c>
      <c r="AY8" s="867">
        <v>0.41899999999999998</v>
      </c>
      <c r="AZ8" s="869">
        <f>AY8*100%/AH8</f>
        <v>0.13796509713533092</v>
      </c>
      <c r="BA8" s="869">
        <f t="shared" si="9"/>
        <v>0.13796509713533092</v>
      </c>
      <c r="BB8" s="869">
        <f t="shared" si="10"/>
        <v>0</v>
      </c>
      <c r="BC8" s="867">
        <v>0.36099999999999999</v>
      </c>
      <c r="BD8" s="869">
        <f>BC8*100%/AH8</f>
        <v>0.11886730325979585</v>
      </c>
      <c r="BE8" s="869">
        <f t="shared" si="11"/>
        <v>0.11886730325979585</v>
      </c>
      <c r="BF8" s="869">
        <f t="shared" si="12"/>
        <v>0</v>
      </c>
      <c r="BG8" s="867">
        <f>2122.7/1000</f>
        <v>2.1227</v>
      </c>
      <c r="BH8" s="869">
        <f>BG8*100%/AH8</f>
        <v>0.6989463286137636</v>
      </c>
      <c r="BI8" s="714"/>
      <c r="BJ8" s="714" t="s">
        <v>769</v>
      </c>
      <c r="BK8" s="714" t="s">
        <v>1682</v>
      </c>
      <c r="BL8" s="714">
        <f t="shared" si="13"/>
        <v>0.6989463286137636</v>
      </c>
      <c r="BM8" s="869">
        <f t="shared" si="14"/>
        <v>0</v>
      </c>
      <c r="BN8" s="867"/>
      <c r="BO8" s="869"/>
      <c r="BP8" s="869">
        <f t="shared" si="15"/>
        <v>0</v>
      </c>
      <c r="BQ8" s="869">
        <f t="shared" si="16"/>
        <v>0</v>
      </c>
      <c r="BR8" s="867">
        <v>0.18699999999999761</v>
      </c>
      <c r="BS8" s="877">
        <v>8.3340773540631005E-4</v>
      </c>
      <c r="BT8" s="876"/>
      <c r="BU8" s="876"/>
      <c r="BV8" s="870"/>
      <c r="BW8" s="870"/>
      <c r="BX8" s="870"/>
      <c r="BY8" s="870"/>
      <c r="BZ8" s="870"/>
      <c r="CA8" s="870"/>
      <c r="CB8" s="870"/>
      <c r="CC8" s="870"/>
      <c r="CD8" s="870">
        <v>1</v>
      </c>
      <c r="CE8" s="870"/>
      <c r="CF8" s="870"/>
      <c r="CG8" s="870"/>
      <c r="CH8" s="870"/>
      <c r="CI8" s="870">
        <v>6</v>
      </c>
      <c r="CJ8" s="870"/>
      <c r="CK8" s="870"/>
      <c r="CL8" s="870"/>
      <c r="CM8" s="870"/>
      <c r="CN8" s="870"/>
      <c r="CO8" s="870"/>
      <c r="CP8" s="870"/>
      <c r="CQ8" s="870"/>
      <c r="CR8" s="870"/>
      <c r="CS8" s="871">
        <f>SUM(BY8:CR8)</f>
        <v>7</v>
      </c>
      <c r="CT8" s="871">
        <f t="shared" si="17"/>
        <v>7</v>
      </c>
      <c r="CU8" s="871">
        <f t="shared" si="18"/>
        <v>0</v>
      </c>
      <c r="CV8" s="872">
        <v>17</v>
      </c>
      <c r="CW8" s="867" t="s">
        <v>1684</v>
      </c>
      <c r="CX8" s="867" t="s">
        <v>1654</v>
      </c>
      <c r="CY8" s="854">
        <v>7.7214902317128589</v>
      </c>
      <c r="CZ8" s="867" t="s">
        <v>1654</v>
      </c>
      <c r="DA8" s="867"/>
      <c r="DB8" s="867"/>
      <c r="DC8" s="714" t="s">
        <v>279</v>
      </c>
      <c r="DD8" s="714"/>
      <c r="DE8" s="714"/>
      <c r="DF8" s="870"/>
      <c r="DG8" s="870"/>
      <c r="DH8" s="870"/>
      <c r="DI8" s="714"/>
      <c r="DJ8" s="714"/>
      <c r="DK8" s="870"/>
      <c r="DL8" s="714" t="s">
        <v>278</v>
      </c>
      <c r="DM8" s="714" t="s">
        <v>1685</v>
      </c>
      <c r="DN8" s="870">
        <v>534</v>
      </c>
      <c r="DO8" s="714"/>
      <c r="DP8" s="714"/>
      <c r="DQ8" s="870"/>
      <c r="DR8" s="714"/>
      <c r="DS8" s="714"/>
      <c r="DT8" s="870"/>
      <c r="DU8" s="714"/>
      <c r="DV8" s="714"/>
      <c r="DW8" s="870"/>
      <c r="DX8" s="714"/>
      <c r="DY8" s="714"/>
      <c r="DZ8" s="870"/>
      <c r="EA8" s="714"/>
      <c r="EB8" s="714"/>
      <c r="EC8" s="870"/>
      <c r="ED8" s="714" t="s">
        <v>278</v>
      </c>
      <c r="EE8" s="714" t="s">
        <v>1685</v>
      </c>
      <c r="EF8" s="870">
        <v>534</v>
      </c>
      <c r="EG8" s="714"/>
      <c r="EH8" s="714"/>
      <c r="EI8" s="870"/>
      <c r="EJ8" s="714"/>
      <c r="EK8" s="714"/>
      <c r="EL8" s="870"/>
      <c r="EM8" s="714"/>
      <c r="EN8" s="714"/>
      <c r="EO8" s="870"/>
      <c r="EP8" s="714"/>
      <c r="EQ8" s="714"/>
      <c r="ER8" s="870"/>
      <c r="ES8" s="714"/>
      <c r="ET8" s="714"/>
      <c r="EU8" s="870"/>
      <c r="EV8" s="878">
        <v>1</v>
      </c>
      <c r="EW8" s="714"/>
      <c r="EX8" s="854">
        <v>13</v>
      </c>
      <c r="EY8" s="714" t="s">
        <v>279</v>
      </c>
      <c r="EZ8" s="714"/>
      <c r="FA8" s="714" t="s">
        <v>278</v>
      </c>
      <c r="FB8" s="714" t="s">
        <v>1686</v>
      </c>
      <c r="FC8" s="714" t="s">
        <v>410</v>
      </c>
      <c r="FD8" s="714" t="s">
        <v>410</v>
      </c>
      <c r="FE8" s="714" t="s">
        <v>410</v>
      </c>
      <c r="FF8" s="714" t="s">
        <v>410</v>
      </c>
      <c r="FG8" s="714" t="s">
        <v>410</v>
      </c>
      <c r="FH8" s="714" t="s">
        <v>410</v>
      </c>
      <c r="FI8" s="714" t="s">
        <v>410</v>
      </c>
      <c r="FJ8" s="714" t="s">
        <v>410</v>
      </c>
      <c r="FK8" s="714" t="s">
        <v>1687</v>
      </c>
      <c r="FL8" s="714" t="s">
        <v>1688</v>
      </c>
      <c r="FM8" s="873" t="s">
        <v>1689</v>
      </c>
      <c r="FN8" s="714" t="s">
        <v>1663</v>
      </c>
      <c r="FO8" s="714" t="s">
        <v>1664</v>
      </c>
      <c r="FP8" s="714" t="s">
        <v>1665</v>
      </c>
    </row>
    <row r="9" spans="1:184" ht="97.5" customHeight="1">
      <c r="B9" s="850" t="s">
        <v>5313</v>
      </c>
      <c r="C9" s="863"/>
      <c r="D9" s="850" t="s">
        <v>4933</v>
      </c>
      <c r="E9" s="850" t="s">
        <v>5314</v>
      </c>
      <c r="F9" s="879">
        <v>1</v>
      </c>
      <c r="G9" s="850" t="s">
        <v>4933</v>
      </c>
      <c r="I9" s="850" t="s">
        <v>5518</v>
      </c>
      <c r="J9" s="853" t="s">
        <v>5386</v>
      </c>
      <c r="K9" s="714" t="s">
        <v>2575</v>
      </c>
      <c r="L9" s="714"/>
      <c r="M9" s="714" t="s">
        <v>1647</v>
      </c>
      <c r="N9" s="714"/>
      <c r="O9" s="714">
        <v>2018</v>
      </c>
      <c r="P9" s="864">
        <v>43466</v>
      </c>
      <c r="Q9" s="864">
        <v>43830</v>
      </c>
      <c r="R9" s="866">
        <f t="shared" si="0"/>
        <v>364</v>
      </c>
      <c r="S9" s="714" t="s">
        <v>1648</v>
      </c>
      <c r="T9" s="714" t="s">
        <v>1649</v>
      </c>
      <c r="U9" s="873" t="s">
        <v>1650</v>
      </c>
      <c r="V9" s="714"/>
      <c r="W9" s="714"/>
      <c r="X9" s="714"/>
      <c r="Y9" s="714"/>
      <c r="Z9" s="714"/>
      <c r="AA9" s="714"/>
      <c r="AB9" s="714"/>
      <c r="AC9" s="714"/>
      <c r="AD9" s="714" t="s">
        <v>1651</v>
      </c>
      <c r="AE9" s="714" t="s">
        <v>1651</v>
      </c>
      <c r="AF9" s="714" t="s">
        <v>633</v>
      </c>
      <c r="AG9" s="714" t="s">
        <v>1652</v>
      </c>
      <c r="AH9" s="875">
        <f>AK9++AU9+AY9+BC9+BG9+BN9</f>
        <v>3.2190000000000003</v>
      </c>
      <c r="AI9" s="868">
        <f t="shared" si="1"/>
        <v>3.2190000000000003</v>
      </c>
      <c r="AJ9" s="867">
        <f t="shared" si="2"/>
        <v>0</v>
      </c>
      <c r="AK9" s="867">
        <v>1.8120000000000001</v>
      </c>
      <c r="AL9" s="869">
        <f>AK9/AH9</f>
        <v>0.56290773532152838</v>
      </c>
      <c r="AM9" s="874">
        <v>8.0755872543115148E-5</v>
      </c>
      <c r="AN9" s="869">
        <f t="shared" si="3"/>
        <v>0.56290773532152838</v>
      </c>
      <c r="AO9" s="869">
        <f t="shared" si="4"/>
        <v>0</v>
      </c>
      <c r="AP9" s="874"/>
      <c r="AQ9" s="874"/>
      <c r="AR9" s="874"/>
      <c r="AS9" s="869">
        <f t="shared" si="5"/>
        <v>0</v>
      </c>
      <c r="AT9" s="869">
        <f t="shared" si="6"/>
        <v>0</v>
      </c>
      <c r="AU9" s="867">
        <v>0.9</v>
      </c>
      <c r="AV9" s="869">
        <v>0.28000000000000003</v>
      </c>
      <c r="AW9" s="869">
        <f t="shared" si="7"/>
        <v>0.27958993476234856</v>
      </c>
      <c r="AX9" s="869">
        <f t="shared" si="8"/>
        <v>4.1006523765146907E-4</v>
      </c>
      <c r="AY9" s="867">
        <v>0.23100000000000001</v>
      </c>
      <c r="AZ9" s="869">
        <f>AY9/AH9</f>
        <v>7.1761416589002786E-2</v>
      </c>
      <c r="BA9" s="869">
        <f t="shared" si="9"/>
        <v>7.1761416589002786E-2</v>
      </c>
      <c r="BB9" s="869">
        <f t="shared" si="10"/>
        <v>0</v>
      </c>
      <c r="BC9" s="867">
        <v>0.27600000000000002</v>
      </c>
      <c r="BD9" s="869">
        <f>BC9/AH9</f>
        <v>8.5740913327120222E-2</v>
      </c>
      <c r="BE9" s="869">
        <f t="shared" si="11"/>
        <v>8.5740913327120222E-2</v>
      </c>
      <c r="BF9" s="869">
        <f t="shared" si="12"/>
        <v>0</v>
      </c>
      <c r="BG9" s="867">
        <v>0</v>
      </c>
      <c r="BH9" s="869">
        <f>BG9/AH9</f>
        <v>0</v>
      </c>
      <c r="BI9" s="714"/>
      <c r="BJ9" s="714"/>
      <c r="BK9" s="714"/>
      <c r="BL9" s="714">
        <f t="shared" si="13"/>
        <v>0</v>
      </c>
      <c r="BM9" s="869">
        <f t="shared" si="14"/>
        <v>0</v>
      </c>
      <c r="BN9" s="867">
        <v>0</v>
      </c>
      <c r="BO9" s="869"/>
      <c r="BP9" s="869">
        <f t="shared" si="15"/>
        <v>0</v>
      </c>
      <c r="BQ9" s="869">
        <f t="shared" si="16"/>
        <v>0</v>
      </c>
      <c r="BR9" s="867">
        <v>3</v>
      </c>
      <c r="BS9" s="874">
        <v>2.5999999999999999E-3</v>
      </c>
      <c r="BT9" s="874"/>
      <c r="BU9" s="874"/>
      <c r="BV9" s="870"/>
      <c r="BW9" s="870">
        <v>13</v>
      </c>
      <c r="BX9" s="870">
        <v>7</v>
      </c>
      <c r="BY9" s="870"/>
      <c r="BZ9" s="870">
        <v>1</v>
      </c>
      <c r="CA9" s="870"/>
      <c r="CB9" s="870"/>
      <c r="CC9" s="870"/>
      <c r="CD9" s="870">
        <v>1</v>
      </c>
      <c r="CE9" s="870"/>
      <c r="CF9" s="870"/>
      <c r="CG9" s="870">
        <v>2</v>
      </c>
      <c r="CH9" s="870"/>
      <c r="CI9" s="870">
        <v>1</v>
      </c>
      <c r="CJ9" s="870">
        <v>1</v>
      </c>
      <c r="CK9" s="870"/>
      <c r="CL9" s="870"/>
      <c r="CM9" s="870"/>
      <c r="CN9" s="870"/>
      <c r="CO9" s="870"/>
      <c r="CP9" s="714"/>
      <c r="CQ9" s="714"/>
      <c r="CR9" s="714"/>
      <c r="CS9" s="714">
        <f>SUM(BY9:CR9)</f>
        <v>6</v>
      </c>
      <c r="CT9" s="871">
        <f t="shared" si="17"/>
        <v>6</v>
      </c>
      <c r="CU9" s="871">
        <f t="shared" si="18"/>
        <v>0</v>
      </c>
      <c r="CV9" s="872">
        <v>36.200000000000003</v>
      </c>
      <c r="CW9" s="714" t="s">
        <v>1653</v>
      </c>
      <c r="CX9" s="714" t="s">
        <v>1654</v>
      </c>
      <c r="CY9" s="880">
        <f>CV9/(220181/1000)*100</f>
        <v>16.441018979839313</v>
      </c>
      <c r="CZ9" s="714" t="s">
        <v>1654</v>
      </c>
      <c r="DA9" s="714"/>
      <c r="DB9" s="714"/>
      <c r="DC9" s="714" t="s">
        <v>279</v>
      </c>
      <c r="DD9" s="714"/>
      <c r="DE9" s="714"/>
      <c r="DF9" s="714"/>
      <c r="DG9" s="714"/>
      <c r="DH9" s="714"/>
      <c r="DI9" s="714" t="s">
        <v>279</v>
      </c>
      <c r="DJ9" s="714"/>
      <c r="DK9" s="714"/>
      <c r="DL9" s="714" t="s">
        <v>278</v>
      </c>
      <c r="DM9" s="714" t="s">
        <v>551</v>
      </c>
      <c r="DN9" s="714">
        <v>631</v>
      </c>
      <c r="DO9" s="714" t="s">
        <v>279</v>
      </c>
      <c r="DP9" s="714"/>
      <c r="DQ9" s="714"/>
      <c r="DR9" s="714" t="s">
        <v>279</v>
      </c>
      <c r="DS9" s="714"/>
      <c r="DT9" s="714"/>
      <c r="DU9" s="714" t="s">
        <v>279</v>
      </c>
      <c r="DV9" s="714"/>
      <c r="DW9" s="714"/>
      <c r="DX9" s="714" t="s">
        <v>279</v>
      </c>
      <c r="DY9" s="714"/>
      <c r="DZ9" s="714"/>
      <c r="EA9" s="714" t="s">
        <v>279</v>
      </c>
      <c r="EB9" s="714"/>
      <c r="EC9" s="870"/>
      <c r="ED9" s="714" t="s">
        <v>279</v>
      </c>
      <c r="EE9" s="714"/>
      <c r="EF9" s="870"/>
      <c r="EG9" s="714" t="s">
        <v>279</v>
      </c>
      <c r="EH9" s="714"/>
      <c r="EI9" s="870"/>
      <c r="EJ9" s="714" t="s">
        <v>279</v>
      </c>
      <c r="EK9" s="714"/>
      <c r="EL9" s="714"/>
      <c r="EM9" s="714" t="s">
        <v>278</v>
      </c>
      <c r="EN9" s="714" t="s">
        <v>1655</v>
      </c>
      <c r="EO9" s="714">
        <v>6</v>
      </c>
      <c r="EP9" s="714" t="s">
        <v>279</v>
      </c>
      <c r="EQ9" s="714"/>
      <c r="ER9" s="714"/>
      <c r="ES9" s="714" t="s">
        <v>279</v>
      </c>
      <c r="ET9" s="714"/>
      <c r="EU9" s="870"/>
      <c r="EV9" s="878">
        <v>1</v>
      </c>
      <c r="EW9" s="714"/>
      <c r="EX9" s="854">
        <v>13</v>
      </c>
      <c r="EY9" s="714" t="s">
        <v>279</v>
      </c>
      <c r="EZ9" s="714"/>
      <c r="FA9" s="714" t="s">
        <v>279</v>
      </c>
      <c r="FB9" s="714" t="s">
        <v>1656</v>
      </c>
      <c r="FC9" s="714" t="s">
        <v>1657</v>
      </c>
      <c r="FD9" s="714" t="s">
        <v>1658</v>
      </c>
      <c r="FE9" s="714"/>
      <c r="FF9" s="714" t="s">
        <v>1659</v>
      </c>
      <c r="FG9" s="714" t="s">
        <v>279</v>
      </c>
      <c r="FH9" s="714"/>
      <c r="FI9" s="714"/>
      <c r="FJ9" s="714"/>
      <c r="FK9" s="714" t="s">
        <v>1660</v>
      </c>
      <c r="FL9" s="714" t="s">
        <v>1661</v>
      </c>
      <c r="FM9" s="714" t="s">
        <v>1662</v>
      </c>
      <c r="FN9" s="714" t="s">
        <v>1663</v>
      </c>
      <c r="FO9" s="714" t="s">
        <v>1664</v>
      </c>
      <c r="FP9" s="714" t="s">
        <v>1665</v>
      </c>
    </row>
    <row r="10" spans="1:184" ht="78.5" customHeight="1">
      <c r="B10" s="850" t="s">
        <v>5313</v>
      </c>
      <c r="C10" s="863"/>
      <c r="D10" s="850" t="s">
        <v>4933</v>
      </c>
      <c r="E10" s="850" t="s">
        <v>5314</v>
      </c>
      <c r="F10" s="850" t="s">
        <v>694</v>
      </c>
      <c r="G10" s="850" t="s">
        <v>4933</v>
      </c>
      <c r="I10" s="850" t="s">
        <v>5518</v>
      </c>
      <c r="J10" s="853" t="s">
        <v>5388</v>
      </c>
      <c r="K10" s="714" t="s">
        <v>194</v>
      </c>
      <c r="L10" s="714"/>
      <c r="M10" s="712" t="s">
        <v>404</v>
      </c>
      <c r="N10" s="712" t="s">
        <v>441</v>
      </c>
      <c r="O10" s="881">
        <v>2017</v>
      </c>
      <c r="P10" s="882">
        <v>43252</v>
      </c>
      <c r="Q10" s="864">
        <v>43830</v>
      </c>
      <c r="R10" s="866">
        <f t="shared" si="0"/>
        <v>578</v>
      </c>
      <c r="S10" s="712" t="s">
        <v>405</v>
      </c>
      <c r="T10" s="712" t="s">
        <v>406</v>
      </c>
      <c r="U10" s="712" t="s">
        <v>407</v>
      </c>
      <c r="V10" s="712" t="s">
        <v>408</v>
      </c>
      <c r="W10" s="712" t="s">
        <v>409</v>
      </c>
      <c r="X10" s="712"/>
      <c r="Y10" s="712"/>
      <c r="Z10" s="712" t="s">
        <v>411</v>
      </c>
      <c r="AA10" s="712" t="s">
        <v>412</v>
      </c>
      <c r="AB10" s="712"/>
      <c r="AC10" s="712"/>
      <c r="AD10" s="712" t="s">
        <v>413</v>
      </c>
      <c r="AE10" s="712" t="s">
        <v>413</v>
      </c>
      <c r="AF10" s="712" t="s">
        <v>414</v>
      </c>
      <c r="AG10" s="712" t="s">
        <v>415</v>
      </c>
      <c r="AH10" s="883">
        <v>174.2</v>
      </c>
      <c r="AI10" s="868">
        <f t="shared" si="1"/>
        <v>174.20000000000002</v>
      </c>
      <c r="AJ10" s="867">
        <f t="shared" si="2"/>
        <v>0</v>
      </c>
      <c r="AK10" s="883">
        <v>117.9</v>
      </c>
      <c r="AL10" s="884">
        <v>0.68</v>
      </c>
      <c r="AM10" s="884">
        <v>4.3E-3</v>
      </c>
      <c r="AN10" s="869">
        <f t="shared" si="3"/>
        <v>0.67680826636050528</v>
      </c>
      <c r="AO10" s="869">
        <f t="shared" si="4"/>
        <v>3.1917336394947649E-3</v>
      </c>
      <c r="AP10" s="884"/>
      <c r="AQ10" s="884"/>
      <c r="AR10" s="884"/>
      <c r="AS10" s="869">
        <f t="shared" si="5"/>
        <v>0</v>
      </c>
      <c r="AT10" s="869">
        <f t="shared" si="6"/>
        <v>0</v>
      </c>
      <c r="AU10" s="883">
        <v>33.4</v>
      </c>
      <c r="AV10" s="884">
        <v>0.19</v>
      </c>
      <c r="AW10" s="869">
        <f t="shared" si="7"/>
        <v>0.19173363949483352</v>
      </c>
      <c r="AX10" s="869">
        <f t="shared" si="8"/>
        <v>-1.7336394948335165E-3</v>
      </c>
      <c r="AY10" s="883">
        <v>14</v>
      </c>
      <c r="AZ10" s="884">
        <v>0.08</v>
      </c>
      <c r="BA10" s="869">
        <f t="shared" si="9"/>
        <v>8.0367393800229628E-2</v>
      </c>
      <c r="BB10" s="869">
        <f t="shared" si="10"/>
        <v>-3.673938002296262E-4</v>
      </c>
      <c r="BC10" s="883">
        <v>8.9</v>
      </c>
      <c r="BD10" s="884">
        <v>0.05</v>
      </c>
      <c r="BE10" s="869">
        <f t="shared" si="11"/>
        <v>5.1090700344431694E-2</v>
      </c>
      <c r="BF10" s="869">
        <f t="shared" si="12"/>
        <v>-1.0907003444316915E-3</v>
      </c>
      <c r="BG10" s="883"/>
      <c r="BH10" s="884"/>
      <c r="BI10" s="712"/>
      <c r="BJ10" s="712"/>
      <c r="BK10" s="712"/>
      <c r="BL10" s="714">
        <f t="shared" si="13"/>
        <v>0</v>
      </c>
      <c r="BM10" s="869">
        <f t="shared" si="14"/>
        <v>0</v>
      </c>
      <c r="BN10" s="883"/>
      <c r="BO10" s="884"/>
      <c r="BP10" s="869">
        <f t="shared" si="15"/>
        <v>0</v>
      </c>
      <c r="BQ10" s="869">
        <f t="shared" si="16"/>
        <v>0</v>
      </c>
      <c r="BR10" s="883">
        <v>250</v>
      </c>
      <c r="BS10" s="884">
        <v>2.0999999999999999E-3</v>
      </c>
      <c r="BT10" s="884"/>
      <c r="BU10" s="884"/>
      <c r="BV10" s="885">
        <v>917</v>
      </c>
      <c r="BW10" s="885">
        <v>285</v>
      </c>
      <c r="BX10" s="885">
        <v>213</v>
      </c>
      <c r="BY10" s="885">
        <v>13</v>
      </c>
      <c r="BZ10" s="885">
        <v>12</v>
      </c>
      <c r="CA10" s="885">
        <v>14</v>
      </c>
      <c r="CB10" s="885"/>
      <c r="CC10" s="885"/>
      <c r="CD10" s="885">
        <v>7</v>
      </c>
      <c r="CE10" s="885"/>
      <c r="CF10" s="885">
        <v>45</v>
      </c>
      <c r="CG10" s="885">
        <v>33</v>
      </c>
      <c r="CH10" s="885"/>
      <c r="CI10" s="885">
        <v>57</v>
      </c>
      <c r="CJ10" s="885">
        <v>9</v>
      </c>
      <c r="CK10" s="885">
        <v>14</v>
      </c>
      <c r="CL10" s="885"/>
      <c r="CM10" s="885"/>
      <c r="CN10" s="885"/>
      <c r="CO10" s="885"/>
      <c r="CP10" s="885"/>
      <c r="CQ10" s="885"/>
      <c r="CR10" s="885"/>
      <c r="CS10" s="886">
        <f>SUM(BY10:CR10)</f>
        <v>204</v>
      </c>
      <c r="CT10" s="871">
        <f t="shared" si="17"/>
        <v>204</v>
      </c>
      <c r="CU10" s="871">
        <f t="shared" si="18"/>
        <v>0</v>
      </c>
      <c r="CV10" s="887">
        <v>176.52199999999999</v>
      </c>
      <c r="CW10" s="712" t="s">
        <v>416</v>
      </c>
      <c r="CX10" s="712"/>
      <c r="CY10" s="712">
        <v>7.6</v>
      </c>
      <c r="CZ10" s="712" t="s">
        <v>417</v>
      </c>
      <c r="DA10" s="712"/>
      <c r="DB10" s="712"/>
      <c r="DC10" s="712" t="s">
        <v>278</v>
      </c>
      <c r="DD10" s="712" t="s">
        <v>418</v>
      </c>
      <c r="DE10" s="712" t="s">
        <v>419</v>
      </c>
      <c r="DF10" s="885">
        <v>5</v>
      </c>
      <c r="DG10" s="885"/>
      <c r="DH10" s="885"/>
      <c r="DI10" s="712" t="s">
        <v>278</v>
      </c>
      <c r="DJ10" s="712" t="s">
        <v>420</v>
      </c>
      <c r="DK10" s="885">
        <v>42645</v>
      </c>
      <c r="DL10" s="712" t="s">
        <v>278</v>
      </c>
      <c r="DM10" s="712" t="s">
        <v>421</v>
      </c>
      <c r="DN10" s="885">
        <v>31703</v>
      </c>
      <c r="DO10" s="712" t="s">
        <v>422</v>
      </c>
      <c r="DP10" s="712"/>
      <c r="DQ10" s="885"/>
      <c r="DR10" s="712" t="s">
        <v>422</v>
      </c>
      <c r="DS10" s="712"/>
      <c r="DT10" s="885"/>
      <c r="DU10" s="712" t="s">
        <v>422</v>
      </c>
      <c r="DV10" s="712"/>
      <c r="DW10" s="885"/>
      <c r="DX10" s="712" t="s">
        <v>422</v>
      </c>
      <c r="DY10" s="712"/>
      <c r="DZ10" s="885"/>
      <c r="EA10" s="712" t="s">
        <v>950</v>
      </c>
      <c r="EB10" s="712"/>
      <c r="EC10" s="885"/>
      <c r="ED10" s="712" t="s">
        <v>423</v>
      </c>
      <c r="EE10" s="712" t="s">
        <v>421</v>
      </c>
      <c r="EF10" s="885">
        <v>31703</v>
      </c>
      <c r="EG10" s="712" t="s">
        <v>422</v>
      </c>
      <c r="EH10" s="712"/>
      <c r="EI10" s="885"/>
      <c r="EJ10" s="712" t="s">
        <v>422</v>
      </c>
      <c r="EK10" s="712"/>
      <c r="EL10" s="885"/>
      <c r="EM10" s="712" t="s">
        <v>392</v>
      </c>
      <c r="EN10" s="712" t="s">
        <v>424</v>
      </c>
      <c r="EO10" s="885">
        <v>13</v>
      </c>
      <c r="EP10" s="712" t="s">
        <v>392</v>
      </c>
      <c r="EQ10" s="712" t="s">
        <v>425</v>
      </c>
      <c r="ER10" s="885">
        <v>7</v>
      </c>
      <c r="ES10" s="712" t="s">
        <v>389</v>
      </c>
      <c r="ET10" s="712"/>
      <c r="EU10" s="885"/>
      <c r="EV10" s="888" t="s">
        <v>426</v>
      </c>
      <c r="EW10" s="712" t="s">
        <v>427</v>
      </c>
      <c r="EX10" s="889">
        <v>285</v>
      </c>
      <c r="EY10" s="712" t="s">
        <v>278</v>
      </c>
      <c r="EZ10" s="712" t="s">
        <v>428</v>
      </c>
      <c r="FA10" s="712" t="s">
        <v>392</v>
      </c>
      <c r="FB10" s="712" t="s">
        <v>429</v>
      </c>
      <c r="FC10" s="890" t="s">
        <v>430</v>
      </c>
      <c r="FD10" s="712" t="s">
        <v>410</v>
      </c>
      <c r="FE10" s="712" t="s">
        <v>431</v>
      </c>
      <c r="FF10" s="712" t="s">
        <v>432</v>
      </c>
      <c r="FG10" s="712" t="s">
        <v>433</v>
      </c>
      <c r="FH10" s="712" t="s">
        <v>434</v>
      </c>
      <c r="FI10" s="712">
        <v>22</v>
      </c>
      <c r="FJ10" s="712">
        <v>808</v>
      </c>
      <c r="FK10" s="712" t="s">
        <v>435</v>
      </c>
      <c r="FL10" s="712" t="s">
        <v>436</v>
      </c>
      <c r="FM10" s="890" t="s">
        <v>437</v>
      </c>
      <c r="FN10" s="712" t="s">
        <v>438</v>
      </c>
      <c r="FO10" s="712" t="s">
        <v>439</v>
      </c>
      <c r="FP10" s="890" t="s">
        <v>440</v>
      </c>
    </row>
    <row r="11" spans="1:184" ht="121.5" customHeight="1">
      <c r="B11" s="850" t="s">
        <v>5313</v>
      </c>
      <c r="C11" s="863"/>
      <c r="D11" s="850" t="s">
        <v>4933</v>
      </c>
      <c r="E11" s="850" t="s">
        <v>5314</v>
      </c>
      <c r="F11" s="850" t="s">
        <v>694</v>
      </c>
      <c r="G11" s="850" t="s">
        <v>4933</v>
      </c>
      <c r="I11" s="850" t="s">
        <v>5522</v>
      </c>
      <c r="J11" s="853" t="s">
        <v>5389</v>
      </c>
      <c r="K11" s="714" t="s">
        <v>195</v>
      </c>
      <c r="L11" s="714"/>
      <c r="M11" s="714" t="s">
        <v>721</v>
      </c>
      <c r="N11" s="714" t="s">
        <v>722</v>
      </c>
      <c r="O11" s="852">
        <v>2018</v>
      </c>
      <c r="P11" s="865">
        <v>43282</v>
      </c>
      <c r="Q11" s="864">
        <v>43830</v>
      </c>
      <c r="R11" s="866">
        <f t="shared" si="0"/>
        <v>548</v>
      </c>
      <c r="S11" s="714" t="s">
        <v>723</v>
      </c>
      <c r="T11" s="714" t="s">
        <v>724</v>
      </c>
      <c r="U11" s="712" t="s">
        <v>725</v>
      </c>
      <c r="V11" s="714" t="s">
        <v>726</v>
      </c>
      <c r="W11" s="712" t="s">
        <v>725</v>
      </c>
      <c r="X11" s="714"/>
      <c r="Y11" s="714"/>
      <c r="Z11" s="714" t="s">
        <v>727</v>
      </c>
      <c r="AA11" s="712" t="s">
        <v>725</v>
      </c>
      <c r="AB11" s="712"/>
      <c r="AC11" s="712"/>
      <c r="AD11" s="714" t="s">
        <v>728</v>
      </c>
      <c r="AE11" s="714" t="s">
        <v>728</v>
      </c>
      <c r="AF11" s="714" t="s">
        <v>454</v>
      </c>
      <c r="AG11" s="714" t="s">
        <v>729</v>
      </c>
      <c r="AH11" s="872">
        <v>89.622</v>
      </c>
      <c r="AI11" s="868">
        <f>AK11+AU11+AY11+BC11+BG11+BN11</f>
        <v>89.622</v>
      </c>
      <c r="AJ11" s="875">
        <f t="shared" si="2"/>
        <v>0</v>
      </c>
      <c r="AK11" s="867">
        <v>71.326999999999998</v>
      </c>
      <c r="AL11" s="869">
        <v>0.70230000000000004</v>
      </c>
      <c r="AM11" s="869">
        <v>1.1000000000000001E-3</v>
      </c>
      <c r="AN11" s="869">
        <f t="shared" si="3"/>
        <v>0.79586485461159084</v>
      </c>
      <c r="AO11" s="869">
        <f t="shared" si="4"/>
        <v>-9.3564854611590809E-2</v>
      </c>
      <c r="AP11" s="869"/>
      <c r="AQ11" s="869"/>
      <c r="AR11" s="869"/>
      <c r="AS11" s="869">
        <f t="shared" si="5"/>
        <v>0</v>
      </c>
      <c r="AT11" s="869">
        <f t="shared" si="6"/>
        <v>0</v>
      </c>
      <c r="AU11" s="867">
        <v>12.093</v>
      </c>
      <c r="AV11" s="869">
        <v>0.11899999999999999</v>
      </c>
      <c r="AW11" s="869">
        <f t="shared" si="7"/>
        <v>0.13493338689161144</v>
      </c>
      <c r="AX11" s="869">
        <f t="shared" si="8"/>
        <v>-1.5933386891611445E-2</v>
      </c>
      <c r="AY11" s="867">
        <v>3.3490000000000002</v>
      </c>
      <c r="AZ11" s="869">
        <v>3.2974000000000003E-2</v>
      </c>
      <c r="BA11" s="869">
        <f t="shared" si="9"/>
        <v>3.7368056950302382E-2</v>
      </c>
      <c r="BB11" s="869">
        <f t="shared" si="10"/>
        <v>-4.3940569503023788E-3</v>
      </c>
      <c r="BC11" s="867">
        <v>2.8530000000000002</v>
      </c>
      <c r="BD11" s="869">
        <v>2.809E-2</v>
      </c>
      <c r="BE11" s="869">
        <f t="shared" si="11"/>
        <v>3.1833701546495285E-2</v>
      </c>
      <c r="BF11" s="869">
        <f t="shared" si="12"/>
        <v>-3.7437015464952851E-3</v>
      </c>
      <c r="BG11" s="867">
        <v>0</v>
      </c>
      <c r="BH11" s="869"/>
      <c r="BI11" s="714"/>
      <c r="BJ11" s="714"/>
      <c r="BK11" s="714"/>
      <c r="BL11" s="714">
        <f t="shared" si="13"/>
        <v>0</v>
      </c>
      <c r="BM11" s="869">
        <f t="shared" si="14"/>
        <v>0</v>
      </c>
      <c r="BN11" s="867">
        <v>0</v>
      </c>
      <c r="BO11" s="869"/>
      <c r="BP11" s="869">
        <f t="shared" si="15"/>
        <v>0</v>
      </c>
      <c r="BQ11" s="869">
        <f t="shared" si="16"/>
        <v>0</v>
      </c>
      <c r="BR11" s="867">
        <v>165.50399999999999</v>
      </c>
      <c r="BS11" s="869">
        <v>2.3999999999999998E-3</v>
      </c>
      <c r="BT11" s="869"/>
      <c r="BU11" s="869"/>
      <c r="BV11" s="870">
        <v>84</v>
      </c>
      <c r="BW11" s="870">
        <v>82</v>
      </c>
      <c r="BX11" s="870">
        <v>82</v>
      </c>
      <c r="BY11" s="870">
        <v>3</v>
      </c>
      <c r="BZ11" s="870"/>
      <c r="CA11" s="870">
        <v>7</v>
      </c>
      <c r="CB11" s="870"/>
      <c r="CC11" s="870"/>
      <c r="CD11" s="870"/>
      <c r="CE11" s="870"/>
      <c r="CF11" s="870">
        <v>19</v>
      </c>
      <c r="CG11" s="870">
        <v>12</v>
      </c>
      <c r="CH11" s="870"/>
      <c r="CI11" s="870">
        <v>4</v>
      </c>
      <c r="CJ11" s="870">
        <v>34</v>
      </c>
      <c r="CK11" s="870">
        <v>3</v>
      </c>
      <c r="CL11" s="870"/>
      <c r="CM11" s="870"/>
      <c r="CN11" s="870"/>
      <c r="CO11" s="870"/>
      <c r="CP11" s="870"/>
      <c r="CQ11" s="870"/>
      <c r="CR11" s="870"/>
      <c r="CS11" s="871">
        <v>82</v>
      </c>
      <c r="CT11" s="871">
        <f t="shared" si="17"/>
        <v>82</v>
      </c>
      <c r="CU11" s="871">
        <f t="shared" si="18"/>
        <v>0</v>
      </c>
      <c r="CV11" s="872">
        <v>82.293000000000006</v>
      </c>
      <c r="CW11" s="714"/>
      <c r="CX11" s="714"/>
      <c r="CY11" s="714">
        <v>10.4</v>
      </c>
      <c r="CZ11" s="891" t="s">
        <v>730</v>
      </c>
      <c r="DA11" s="891"/>
      <c r="DB11" s="891"/>
      <c r="DC11" s="714" t="s">
        <v>279</v>
      </c>
      <c r="DD11" s="714"/>
      <c r="DE11" s="714"/>
      <c r="DF11" s="870"/>
      <c r="DG11" s="870"/>
      <c r="DH11" s="870">
        <v>5</v>
      </c>
      <c r="DI11" s="714" t="s">
        <v>278</v>
      </c>
      <c r="DJ11" s="714" t="s">
        <v>731</v>
      </c>
      <c r="DK11" s="870">
        <v>720</v>
      </c>
      <c r="DL11" s="714" t="s">
        <v>278</v>
      </c>
      <c r="DM11" s="714" t="s">
        <v>732</v>
      </c>
      <c r="DN11" s="870">
        <v>10445</v>
      </c>
      <c r="DO11" s="714" t="s">
        <v>279</v>
      </c>
      <c r="DP11" s="714"/>
      <c r="DQ11" s="870"/>
      <c r="DR11" s="714" t="s">
        <v>279</v>
      </c>
      <c r="DS11" s="714"/>
      <c r="DT11" s="870"/>
      <c r="DU11" s="714" t="s">
        <v>279</v>
      </c>
      <c r="DV11" s="714"/>
      <c r="DW11" s="870"/>
      <c r="DX11" s="714" t="s">
        <v>279</v>
      </c>
      <c r="DY11" s="714"/>
      <c r="DZ11" s="870"/>
      <c r="EA11" s="714" t="s">
        <v>279</v>
      </c>
      <c r="EB11" s="714"/>
      <c r="EC11" s="870"/>
      <c r="ED11" s="714" t="s">
        <v>278</v>
      </c>
      <c r="EE11" s="714" t="s">
        <v>732</v>
      </c>
      <c r="EF11" s="870">
        <v>9835</v>
      </c>
      <c r="EG11" s="714" t="s">
        <v>279</v>
      </c>
      <c r="EH11" s="714"/>
      <c r="EI11" s="870"/>
      <c r="EJ11" s="714" t="s">
        <v>279</v>
      </c>
      <c r="EK11" s="714"/>
      <c r="EL11" s="870"/>
      <c r="EM11" s="714" t="s">
        <v>278</v>
      </c>
      <c r="EN11" s="714" t="s">
        <v>733</v>
      </c>
      <c r="EO11" s="870">
        <v>9</v>
      </c>
      <c r="EP11" s="714" t="s">
        <v>279</v>
      </c>
      <c r="EQ11" s="714"/>
      <c r="ER11" s="870"/>
      <c r="ES11" s="714" t="s">
        <v>279</v>
      </c>
      <c r="ET11" s="714"/>
      <c r="EU11" s="870"/>
      <c r="EV11" s="714" t="s">
        <v>734</v>
      </c>
      <c r="EW11" s="714" t="s">
        <v>734</v>
      </c>
      <c r="EX11" s="854">
        <v>82</v>
      </c>
      <c r="EY11" s="714" t="s">
        <v>278</v>
      </c>
      <c r="EZ11" s="714" t="s">
        <v>735</v>
      </c>
      <c r="FA11" s="714" t="s">
        <v>278</v>
      </c>
      <c r="FB11" s="714" t="s">
        <v>736</v>
      </c>
      <c r="FC11" s="892" t="s">
        <v>737</v>
      </c>
      <c r="FD11" s="892" t="s">
        <v>738</v>
      </c>
      <c r="FE11" s="714"/>
      <c r="FF11" s="714" t="s">
        <v>739</v>
      </c>
      <c r="FG11" s="714"/>
      <c r="FH11" s="714" t="s">
        <v>740</v>
      </c>
      <c r="FI11" s="714">
        <v>20</v>
      </c>
      <c r="FJ11" s="714">
        <v>480</v>
      </c>
      <c r="FK11" s="714" t="s">
        <v>741</v>
      </c>
      <c r="FL11" s="714" t="s">
        <v>742</v>
      </c>
      <c r="FM11" s="862" t="s">
        <v>743</v>
      </c>
      <c r="FN11" s="714" t="s">
        <v>741</v>
      </c>
      <c r="FO11" s="714" t="s">
        <v>742</v>
      </c>
      <c r="FP11" s="862" t="s">
        <v>743</v>
      </c>
    </row>
    <row r="12" spans="1:184" ht="113.5" customHeight="1">
      <c r="B12" s="850" t="s">
        <v>5315</v>
      </c>
      <c r="C12" s="850" t="s">
        <v>5321</v>
      </c>
      <c r="D12" s="850" t="s">
        <v>4933</v>
      </c>
      <c r="E12" s="850" t="s">
        <v>5314</v>
      </c>
      <c r="F12" s="879">
        <v>1</v>
      </c>
      <c r="G12" s="850" t="s">
        <v>4933</v>
      </c>
      <c r="I12" s="850" t="s">
        <v>5524</v>
      </c>
      <c r="J12" s="853" t="s">
        <v>5390</v>
      </c>
      <c r="K12" s="714" t="s">
        <v>196</v>
      </c>
      <c r="L12" s="714"/>
      <c r="M12" s="714" t="s">
        <v>819</v>
      </c>
      <c r="N12" s="714" t="s">
        <v>820</v>
      </c>
      <c r="O12" s="852">
        <v>1998</v>
      </c>
      <c r="P12" s="864">
        <v>43466</v>
      </c>
      <c r="Q12" s="864">
        <v>43830</v>
      </c>
      <c r="R12" s="866">
        <f t="shared" si="0"/>
        <v>364</v>
      </c>
      <c r="S12" s="714" t="s">
        <v>821</v>
      </c>
      <c r="T12" s="714" t="s">
        <v>822</v>
      </c>
      <c r="U12" s="714" t="s">
        <v>823</v>
      </c>
      <c r="V12" s="714"/>
      <c r="W12" s="714"/>
      <c r="X12" s="714"/>
      <c r="Y12" s="714"/>
      <c r="Z12" s="714" t="s">
        <v>839</v>
      </c>
      <c r="AA12" s="855" t="s">
        <v>824</v>
      </c>
      <c r="AB12" s="855"/>
      <c r="AC12" s="855"/>
      <c r="AD12" s="714" t="s">
        <v>825</v>
      </c>
      <c r="AE12" s="714" t="s">
        <v>826</v>
      </c>
      <c r="AF12" s="714" t="s">
        <v>277</v>
      </c>
      <c r="AG12" s="714" t="s">
        <v>827</v>
      </c>
      <c r="AH12" s="883">
        <v>50.37</v>
      </c>
      <c r="AI12" s="868">
        <f t="shared" si="1"/>
        <v>50.37</v>
      </c>
      <c r="AJ12" s="875">
        <f t="shared" si="2"/>
        <v>0</v>
      </c>
      <c r="AK12" s="867">
        <v>20.82</v>
      </c>
      <c r="AL12" s="869">
        <v>0.41</v>
      </c>
      <c r="AM12" s="869"/>
      <c r="AN12" s="869">
        <f t="shared" si="3"/>
        <v>0.41334127456819536</v>
      </c>
      <c r="AO12" s="869">
        <f t="shared" si="4"/>
        <v>-3.3412745681953848E-3</v>
      </c>
      <c r="AP12" s="869"/>
      <c r="AQ12" s="869"/>
      <c r="AR12" s="869"/>
      <c r="AS12" s="869">
        <f t="shared" si="5"/>
        <v>0</v>
      </c>
      <c r="AT12" s="869">
        <f t="shared" si="6"/>
        <v>0</v>
      </c>
      <c r="AU12" s="867">
        <v>14.4</v>
      </c>
      <c r="AV12" s="869">
        <v>0.28599999999999998</v>
      </c>
      <c r="AW12" s="869">
        <f t="shared" si="7"/>
        <v>0.28588445503275761</v>
      </c>
      <c r="AX12" s="869">
        <f t="shared" si="8"/>
        <v>1.1554496724236474E-4</v>
      </c>
      <c r="AY12" s="867">
        <v>15.15</v>
      </c>
      <c r="AZ12" s="869">
        <v>0.30130000000000001</v>
      </c>
      <c r="BA12" s="869">
        <f t="shared" si="9"/>
        <v>0.30077427039904708</v>
      </c>
      <c r="BB12" s="869">
        <f t="shared" si="10"/>
        <v>5.2572960095292887E-4</v>
      </c>
      <c r="BC12" s="867"/>
      <c r="BD12" s="869"/>
      <c r="BE12" s="869">
        <f t="shared" si="11"/>
        <v>0</v>
      </c>
      <c r="BF12" s="869">
        <f t="shared" si="12"/>
        <v>0</v>
      </c>
      <c r="BG12" s="867"/>
      <c r="BH12" s="869"/>
      <c r="BI12" s="714"/>
      <c r="BJ12" s="714"/>
      <c r="BK12" s="714"/>
      <c r="BL12" s="714">
        <f t="shared" si="13"/>
        <v>0</v>
      </c>
      <c r="BM12" s="869">
        <f t="shared" si="14"/>
        <v>0</v>
      </c>
      <c r="BN12" s="867"/>
      <c r="BO12" s="869"/>
      <c r="BP12" s="869">
        <f t="shared" si="15"/>
        <v>0</v>
      </c>
      <c r="BQ12" s="869">
        <f t="shared" si="16"/>
        <v>0</v>
      </c>
      <c r="BR12" s="867">
        <v>26</v>
      </c>
      <c r="BS12" s="869">
        <v>2.0000000000000001E-4</v>
      </c>
      <c r="BT12" s="869"/>
      <c r="BU12" s="869"/>
      <c r="BV12" s="870">
        <v>507</v>
      </c>
      <c r="BW12" s="870">
        <v>365</v>
      </c>
      <c r="BX12" s="870">
        <v>365</v>
      </c>
      <c r="BY12" s="870">
        <v>41</v>
      </c>
      <c r="BZ12" s="870"/>
      <c r="CA12" s="870"/>
      <c r="CB12" s="870">
        <v>21</v>
      </c>
      <c r="CC12" s="870"/>
      <c r="CD12" s="870">
        <v>9</v>
      </c>
      <c r="CE12" s="870"/>
      <c r="CF12" s="870">
        <v>53</v>
      </c>
      <c r="CG12" s="870">
        <v>82</v>
      </c>
      <c r="CH12" s="870"/>
      <c r="CI12" s="870"/>
      <c r="CJ12" s="870">
        <v>76</v>
      </c>
      <c r="CK12" s="870"/>
      <c r="CL12" s="870">
        <v>6</v>
      </c>
      <c r="CM12" s="870"/>
      <c r="CN12" s="870"/>
      <c r="CO12" s="870">
        <v>20</v>
      </c>
      <c r="CP12" s="870"/>
      <c r="CQ12" s="870">
        <v>37</v>
      </c>
      <c r="CR12" s="870">
        <v>20</v>
      </c>
      <c r="CS12" s="871">
        <f>SUM(BY12:CR12)</f>
        <v>365</v>
      </c>
      <c r="CT12" s="871">
        <f t="shared" si="17"/>
        <v>365</v>
      </c>
      <c r="CU12" s="871">
        <f t="shared" si="18"/>
        <v>0</v>
      </c>
      <c r="CV12" s="893"/>
      <c r="CW12" s="714" t="s">
        <v>828</v>
      </c>
      <c r="CX12" s="714"/>
      <c r="CY12" s="714"/>
      <c r="CZ12" s="869"/>
      <c r="DA12" s="869"/>
      <c r="DB12" s="869"/>
      <c r="DC12" s="714"/>
      <c r="DD12" s="714"/>
      <c r="DE12" s="714"/>
      <c r="DF12" s="870"/>
      <c r="DG12" s="870"/>
      <c r="DH12" s="870">
        <v>5</v>
      </c>
      <c r="DI12" s="714"/>
      <c r="DJ12" s="714"/>
      <c r="DK12" s="870"/>
      <c r="DL12" s="714"/>
      <c r="DM12" s="714"/>
      <c r="DN12" s="870"/>
      <c r="DO12" s="714"/>
      <c r="DP12" s="714"/>
      <c r="DQ12" s="870"/>
      <c r="DR12" s="714"/>
      <c r="DS12" s="714"/>
      <c r="DT12" s="870"/>
      <c r="DU12" s="714"/>
      <c r="DV12" s="714"/>
      <c r="DW12" s="870"/>
      <c r="DX12" s="714" t="s">
        <v>392</v>
      </c>
      <c r="DY12" s="714" t="s">
        <v>829</v>
      </c>
      <c r="DZ12" s="870">
        <v>507</v>
      </c>
      <c r="EA12" s="714"/>
      <c r="EB12" s="714" t="s">
        <v>279</v>
      </c>
      <c r="EC12" s="870"/>
      <c r="ED12" s="714" t="s">
        <v>279</v>
      </c>
      <c r="EE12" s="714"/>
      <c r="EF12" s="870"/>
      <c r="EG12" s="714"/>
      <c r="EH12" s="714" t="s">
        <v>279</v>
      </c>
      <c r="EI12" s="870"/>
      <c r="EJ12" s="714" t="s">
        <v>279</v>
      </c>
      <c r="EK12" s="714"/>
      <c r="EL12" s="870"/>
      <c r="EM12" s="714"/>
      <c r="EN12" s="714" t="s">
        <v>279</v>
      </c>
      <c r="EO12" s="870"/>
      <c r="EP12" s="714" t="s">
        <v>279</v>
      </c>
      <c r="EQ12" s="714"/>
      <c r="ER12" s="870"/>
      <c r="ES12" s="714" t="s">
        <v>278</v>
      </c>
      <c r="ET12" s="714" t="s">
        <v>840</v>
      </c>
      <c r="EU12" s="870"/>
      <c r="EV12" s="714" t="s">
        <v>830</v>
      </c>
      <c r="EW12" s="714"/>
      <c r="EX12" s="854">
        <v>24</v>
      </c>
      <c r="EY12" s="714" t="s">
        <v>389</v>
      </c>
      <c r="EZ12" s="714"/>
      <c r="FA12" s="714" t="s">
        <v>392</v>
      </c>
      <c r="FB12" s="714" t="s">
        <v>831</v>
      </c>
      <c r="FC12" s="855" t="s">
        <v>832</v>
      </c>
      <c r="FD12" s="855" t="s">
        <v>833</v>
      </c>
      <c r="FE12" s="714"/>
      <c r="FF12" s="714" t="s">
        <v>834</v>
      </c>
      <c r="FG12" s="714"/>
      <c r="FH12" s="714" t="s">
        <v>835</v>
      </c>
      <c r="FI12" s="714">
        <v>6</v>
      </c>
      <c r="FJ12" s="714">
        <v>240</v>
      </c>
      <c r="FK12" s="714" t="s">
        <v>836</v>
      </c>
      <c r="FL12" s="714" t="s">
        <v>837</v>
      </c>
      <c r="FM12" s="855" t="s">
        <v>838</v>
      </c>
      <c r="FN12" s="714"/>
      <c r="FO12" s="714"/>
      <c r="FP12" s="714"/>
    </row>
    <row r="13" spans="1:184" ht="101.5" customHeight="1">
      <c r="B13" s="850" t="s">
        <v>5313</v>
      </c>
      <c r="C13" s="863"/>
      <c r="D13" s="850" t="s">
        <v>4934</v>
      </c>
      <c r="E13" s="850" t="s">
        <v>5314</v>
      </c>
      <c r="F13" s="863"/>
      <c r="H13" s="850" t="s">
        <v>4934</v>
      </c>
      <c r="I13" s="850" t="s">
        <v>5524</v>
      </c>
      <c r="J13" s="853" t="s">
        <v>5390</v>
      </c>
      <c r="K13" s="714" t="s">
        <v>196</v>
      </c>
      <c r="L13" s="714" t="s">
        <v>2576</v>
      </c>
      <c r="M13" s="714" t="s">
        <v>2577</v>
      </c>
      <c r="N13" s="714" t="s">
        <v>2578</v>
      </c>
      <c r="O13" s="852">
        <v>2019</v>
      </c>
      <c r="P13" s="865">
        <v>43252</v>
      </c>
      <c r="Q13" s="865">
        <v>43829</v>
      </c>
      <c r="R13" s="866">
        <f t="shared" si="0"/>
        <v>577</v>
      </c>
      <c r="S13" s="865"/>
      <c r="T13" s="865"/>
      <c r="U13" s="865"/>
      <c r="V13" s="865"/>
      <c r="W13" s="865"/>
      <c r="X13" s="865"/>
      <c r="Y13" s="865"/>
      <c r="Z13" s="865"/>
      <c r="AA13" s="865"/>
      <c r="AB13" s="714" t="s">
        <v>2579</v>
      </c>
      <c r="AC13" s="855" t="s">
        <v>2580</v>
      </c>
      <c r="AD13" s="714" t="s">
        <v>2581</v>
      </c>
      <c r="AE13" s="714" t="s">
        <v>2582</v>
      </c>
      <c r="AF13" s="714" t="s">
        <v>2583</v>
      </c>
      <c r="AG13" s="714" t="s">
        <v>2584</v>
      </c>
      <c r="AH13" s="854">
        <v>6</v>
      </c>
      <c r="AI13" s="868">
        <f>AK13+AU13+AY13+BC13+BG13+AP13+BN13</f>
        <v>6</v>
      </c>
      <c r="AJ13" s="867">
        <f t="shared" si="2"/>
        <v>0</v>
      </c>
      <c r="AK13" s="854"/>
      <c r="AL13" s="854"/>
      <c r="AM13" s="854"/>
      <c r="AN13" s="869">
        <f t="shared" si="3"/>
        <v>0</v>
      </c>
      <c r="AO13" s="869">
        <f t="shared" si="4"/>
        <v>0</v>
      </c>
      <c r="AP13" s="854"/>
      <c r="AQ13" s="869"/>
      <c r="AR13" s="869">
        <f>6051.4*100%/10163236.3</f>
        <v>5.9542057484189353E-4</v>
      </c>
      <c r="AS13" s="869">
        <f>AP13/AH13</f>
        <v>0</v>
      </c>
      <c r="AT13" s="869">
        <f t="shared" si="6"/>
        <v>0</v>
      </c>
      <c r="AU13" s="872">
        <v>6</v>
      </c>
      <c r="AV13" s="869">
        <v>1</v>
      </c>
      <c r="AW13" s="869">
        <f>AU13/AH13</f>
        <v>1</v>
      </c>
      <c r="AX13" s="869">
        <f t="shared" si="8"/>
        <v>0</v>
      </c>
      <c r="AY13" s="854">
        <v>0</v>
      </c>
      <c r="AZ13" s="869">
        <v>0</v>
      </c>
      <c r="BA13" s="869">
        <f t="shared" si="9"/>
        <v>0</v>
      </c>
      <c r="BB13" s="869">
        <f t="shared" si="10"/>
        <v>0</v>
      </c>
      <c r="BC13" s="854">
        <v>0</v>
      </c>
      <c r="BD13" s="869">
        <v>0</v>
      </c>
      <c r="BE13" s="869">
        <f t="shared" si="11"/>
        <v>0</v>
      </c>
      <c r="BF13" s="869">
        <f t="shared" si="12"/>
        <v>0</v>
      </c>
      <c r="BG13" s="869"/>
      <c r="BH13" s="869"/>
      <c r="BI13" s="869"/>
      <c r="BJ13" s="869"/>
      <c r="BK13" s="869"/>
      <c r="BL13" s="714">
        <f t="shared" si="13"/>
        <v>0</v>
      </c>
      <c r="BM13" s="869">
        <f t="shared" si="14"/>
        <v>0</v>
      </c>
      <c r="BN13" s="854">
        <v>0</v>
      </c>
      <c r="BO13" s="869">
        <v>0</v>
      </c>
      <c r="BP13" s="869">
        <f t="shared" si="15"/>
        <v>0</v>
      </c>
      <c r="BQ13" s="869">
        <f t="shared" si="16"/>
        <v>0</v>
      </c>
      <c r="BR13" s="869"/>
      <c r="BS13" s="869"/>
      <c r="BT13" s="854">
        <v>6.9</v>
      </c>
      <c r="BU13" s="869">
        <f>6950*100%/10771638.9</f>
        <v>6.4521286542570597E-4</v>
      </c>
      <c r="BV13" s="870">
        <v>101</v>
      </c>
      <c r="BW13" s="870">
        <v>20</v>
      </c>
      <c r="BX13" s="870">
        <v>5</v>
      </c>
      <c r="BY13" s="870"/>
      <c r="BZ13" s="870">
        <v>1</v>
      </c>
      <c r="CA13" s="870"/>
      <c r="CB13" s="870"/>
      <c r="CC13" s="870"/>
      <c r="CD13" s="870"/>
      <c r="CE13" s="870">
        <v>3</v>
      </c>
      <c r="CF13" s="870"/>
      <c r="CG13" s="870"/>
      <c r="CH13" s="870"/>
      <c r="CI13" s="870"/>
      <c r="CJ13" s="870">
        <v>1</v>
      </c>
      <c r="CK13" s="870"/>
      <c r="CL13" s="870"/>
      <c r="CM13" s="870"/>
      <c r="CN13" s="870"/>
      <c r="CO13" s="870"/>
      <c r="CP13" s="870"/>
      <c r="CQ13" s="870"/>
      <c r="CR13" s="870"/>
      <c r="CS13" s="871">
        <f>SUM(BY13:CR13)</f>
        <v>5</v>
      </c>
      <c r="CT13" s="871">
        <f t="shared" si="17"/>
        <v>5</v>
      </c>
      <c r="CU13" s="871">
        <f>CS13-CT13</f>
        <v>0</v>
      </c>
      <c r="CV13" s="872">
        <v>355.5</v>
      </c>
      <c r="CW13" s="714" t="s">
        <v>2585</v>
      </c>
      <c r="CX13" s="714"/>
      <c r="CY13" s="714"/>
      <c r="CZ13" s="714"/>
      <c r="DA13" s="894">
        <f>355.5*100/355.5</f>
        <v>100</v>
      </c>
      <c r="DB13" s="855" t="s">
        <v>2586</v>
      </c>
      <c r="DC13" s="714" t="s">
        <v>278</v>
      </c>
      <c r="DD13" s="714" t="s">
        <v>2587</v>
      </c>
      <c r="DE13" s="714" t="s">
        <v>2588</v>
      </c>
      <c r="DF13" s="870">
        <v>6</v>
      </c>
      <c r="DG13" s="870">
        <v>0</v>
      </c>
      <c r="DH13" s="870"/>
      <c r="DI13" s="714" t="s">
        <v>389</v>
      </c>
      <c r="DJ13" s="714"/>
      <c r="DK13" s="870"/>
      <c r="DL13" s="714" t="s">
        <v>389</v>
      </c>
      <c r="DM13" s="714"/>
      <c r="DN13" s="870"/>
      <c r="DO13" s="714" t="s">
        <v>389</v>
      </c>
      <c r="DP13" s="714"/>
      <c r="DQ13" s="870"/>
      <c r="DR13" s="714" t="s">
        <v>278</v>
      </c>
      <c r="DS13" s="855" t="s">
        <v>2589</v>
      </c>
      <c r="DT13" s="870">
        <v>84</v>
      </c>
      <c r="DU13" s="714" t="s">
        <v>389</v>
      </c>
      <c r="DV13" s="714"/>
      <c r="DW13" s="870"/>
      <c r="DX13" s="714" t="s">
        <v>389</v>
      </c>
      <c r="DY13" s="714"/>
      <c r="DZ13" s="870"/>
      <c r="EA13" s="714" t="s">
        <v>278</v>
      </c>
      <c r="EB13" s="855" t="s">
        <v>2590</v>
      </c>
      <c r="EC13" s="870" t="s">
        <v>2591</v>
      </c>
      <c r="ED13" s="714" t="s">
        <v>389</v>
      </c>
      <c r="EE13" s="714"/>
      <c r="EF13" s="870"/>
      <c r="EG13" s="714" t="s">
        <v>389</v>
      </c>
      <c r="EH13" s="714"/>
      <c r="EI13" s="870"/>
      <c r="EJ13" s="714" t="s">
        <v>389</v>
      </c>
      <c r="EK13" s="714"/>
      <c r="EL13" s="870"/>
      <c r="EM13" s="714" t="s">
        <v>389</v>
      </c>
      <c r="EN13" s="714"/>
      <c r="EO13" s="870"/>
      <c r="EP13" s="714" t="s">
        <v>389</v>
      </c>
      <c r="EQ13" s="714"/>
      <c r="ER13" s="870"/>
      <c r="ES13" s="714" t="s">
        <v>389</v>
      </c>
      <c r="ET13" s="714"/>
      <c r="EU13" s="870"/>
      <c r="EV13" s="870"/>
      <c r="EW13" s="870"/>
      <c r="EX13" s="870"/>
      <c r="EY13" s="714" t="s">
        <v>278</v>
      </c>
      <c r="EZ13" s="714" t="s">
        <v>2592</v>
      </c>
      <c r="FA13" s="714" t="s">
        <v>389</v>
      </c>
      <c r="FB13" s="714"/>
      <c r="FC13" s="855" t="s">
        <v>2589</v>
      </c>
      <c r="FD13" s="855" t="s">
        <v>2593</v>
      </c>
      <c r="FE13" s="855" t="s">
        <v>2589</v>
      </c>
      <c r="FF13" s="714" t="s">
        <v>2594</v>
      </c>
      <c r="FG13" s="714" t="s">
        <v>2595</v>
      </c>
      <c r="FH13" s="714" t="s">
        <v>2596</v>
      </c>
      <c r="FI13" s="714">
        <v>1</v>
      </c>
      <c r="FJ13" s="714" t="s">
        <v>2597</v>
      </c>
      <c r="FK13" s="714" t="s">
        <v>2598</v>
      </c>
      <c r="FL13" s="714" t="s">
        <v>2599</v>
      </c>
      <c r="FM13" s="855" t="s">
        <v>2600</v>
      </c>
      <c r="FN13" s="714" t="s">
        <v>2601</v>
      </c>
      <c r="FO13" s="714" t="s">
        <v>2602</v>
      </c>
      <c r="FP13" s="855" t="s">
        <v>2603</v>
      </c>
    </row>
    <row r="14" spans="1:184" ht="137.5" customHeight="1">
      <c r="B14" s="850" t="s">
        <v>5313</v>
      </c>
      <c r="C14" s="863"/>
      <c r="D14" s="850" t="s">
        <v>4933</v>
      </c>
      <c r="E14" s="850" t="s">
        <v>5314</v>
      </c>
      <c r="F14" s="850" t="s">
        <v>5322</v>
      </c>
      <c r="G14" s="850" t="s">
        <v>4933</v>
      </c>
      <c r="I14" s="850" t="s">
        <v>5523</v>
      </c>
      <c r="J14" s="853" t="s">
        <v>5391</v>
      </c>
      <c r="K14" s="714" t="s">
        <v>197</v>
      </c>
      <c r="L14" s="710"/>
      <c r="M14" s="710" t="s">
        <v>5296</v>
      </c>
      <c r="N14" s="710"/>
      <c r="O14" s="895">
        <v>2019</v>
      </c>
      <c r="P14" s="896">
        <v>43677</v>
      </c>
      <c r="Q14" s="896">
        <v>43830</v>
      </c>
      <c r="R14" s="866">
        <f t="shared" si="0"/>
        <v>153</v>
      </c>
      <c r="S14" s="710" t="s">
        <v>5297</v>
      </c>
      <c r="T14" s="710" t="s">
        <v>5298</v>
      </c>
      <c r="U14" s="897" t="s">
        <v>5299</v>
      </c>
      <c r="V14" s="710"/>
      <c r="W14" s="710"/>
      <c r="X14" s="710" t="s">
        <v>5300</v>
      </c>
      <c r="Y14" s="897" t="s">
        <v>5299</v>
      </c>
      <c r="Z14" s="710" t="s">
        <v>5301</v>
      </c>
      <c r="AA14" s="897" t="s">
        <v>5302</v>
      </c>
      <c r="AB14" s="897"/>
      <c r="AC14" s="897"/>
      <c r="AD14" s="710" t="s">
        <v>5303</v>
      </c>
      <c r="AE14" s="710" t="s">
        <v>5304</v>
      </c>
      <c r="AF14" s="710" t="s">
        <v>454</v>
      </c>
      <c r="AG14" s="710" t="s">
        <v>5305</v>
      </c>
      <c r="AH14" s="898">
        <v>1.2</v>
      </c>
      <c r="AI14" s="868">
        <f>AK14+BC14+BI14+BO14+BU14+AR14+CB14</f>
        <v>1.2</v>
      </c>
      <c r="AJ14" s="875">
        <f t="shared" si="2"/>
        <v>0</v>
      </c>
      <c r="AK14" s="898">
        <v>1.2</v>
      </c>
      <c r="AL14" s="899">
        <v>0.95</v>
      </c>
      <c r="AM14" s="900">
        <v>3.0000000000000001E-5</v>
      </c>
      <c r="AN14" s="869">
        <f t="shared" si="3"/>
        <v>1</v>
      </c>
      <c r="AO14" s="869">
        <f t="shared" si="4"/>
        <v>-5.0000000000000044E-2</v>
      </c>
      <c r="AP14" s="899"/>
      <c r="AQ14" s="899"/>
      <c r="AR14" s="899"/>
      <c r="AS14" s="869">
        <f t="shared" si="5"/>
        <v>0</v>
      </c>
      <c r="AT14" s="869">
        <f t="shared" si="6"/>
        <v>0</v>
      </c>
      <c r="AU14" s="898">
        <v>3.7999999999999999E-2</v>
      </c>
      <c r="AV14" s="899">
        <v>0.03</v>
      </c>
      <c r="AW14" s="869">
        <f t="shared" si="7"/>
        <v>3.1666666666666669E-2</v>
      </c>
      <c r="AX14" s="869">
        <f t="shared" si="8"/>
        <v>-1.6666666666666705E-3</v>
      </c>
      <c r="AY14" s="898">
        <v>2.5000000000000001E-2</v>
      </c>
      <c r="AZ14" s="899">
        <v>0.02</v>
      </c>
      <c r="BA14" s="869">
        <f t="shared" si="9"/>
        <v>2.0833333333333336E-2</v>
      </c>
      <c r="BB14" s="869">
        <f t="shared" si="10"/>
        <v>-8.3333333333333523E-4</v>
      </c>
      <c r="BC14" s="898">
        <v>0</v>
      </c>
      <c r="BD14" s="899">
        <v>0</v>
      </c>
      <c r="BE14" s="869">
        <f t="shared" si="11"/>
        <v>0</v>
      </c>
      <c r="BF14" s="869">
        <f t="shared" si="12"/>
        <v>0</v>
      </c>
      <c r="BG14" s="898">
        <v>0</v>
      </c>
      <c r="BH14" s="899">
        <v>0</v>
      </c>
      <c r="BI14" s="710"/>
      <c r="BJ14" s="710"/>
      <c r="BK14" s="710"/>
      <c r="BL14" s="714">
        <f t="shared" si="13"/>
        <v>0</v>
      </c>
      <c r="BM14" s="869">
        <f t="shared" si="14"/>
        <v>0</v>
      </c>
      <c r="BN14" s="898">
        <v>0</v>
      </c>
      <c r="BO14" s="899">
        <v>0</v>
      </c>
      <c r="BP14" s="869">
        <f t="shared" si="15"/>
        <v>0</v>
      </c>
      <c r="BQ14" s="869">
        <f t="shared" si="16"/>
        <v>0</v>
      </c>
      <c r="BR14" s="898">
        <v>1.2</v>
      </c>
      <c r="BS14" s="899">
        <v>2.0000000000000001E-4</v>
      </c>
      <c r="BT14" s="899"/>
      <c r="BU14" s="899"/>
      <c r="BV14" s="901">
        <v>25</v>
      </c>
      <c r="BW14" s="901">
        <v>12</v>
      </c>
      <c r="BX14" s="901">
        <v>12</v>
      </c>
      <c r="BY14" s="901">
        <v>0</v>
      </c>
      <c r="BZ14" s="901">
        <v>0</v>
      </c>
      <c r="CA14" s="901">
        <v>0</v>
      </c>
      <c r="CB14" s="901">
        <v>0</v>
      </c>
      <c r="CC14" s="901">
        <v>0</v>
      </c>
      <c r="CD14" s="901">
        <v>0</v>
      </c>
      <c r="CE14" s="901">
        <v>0</v>
      </c>
      <c r="CF14" s="901">
        <v>0</v>
      </c>
      <c r="CG14" s="901">
        <v>2</v>
      </c>
      <c r="CH14" s="901">
        <v>0</v>
      </c>
      <c r="CI14" s="901">
        <v>10</v>
      </c>
      <c r="CJ14" s="901">
        <v>0</v>
      </c>
      <c r="CK14" s="901">
        <v>0</v>
      </c>
      <c r="CL14" s="901">
        <v>0</v>
      </c>
      <c r="CM14" s="901">
        <v>0</v>
      </c>
      <c r="CN14" s="901">
        <v>0</v>
      </c>
      <c r="CO14" s="901">
        <v>0</v>
      </c>
      <c r="CP14" s="901">
        <v>0</v>
      </c>
      <c r="CQ14" s="901">
        <v>0</v>
      </c>
      <c r="CR14" s="901">
        <v>0</v>
      </c>
      <c r="CS14" s="902">
        <v>12</v>
      </c>
      <c r="CT14" s="871">
        <f t="shared" si="17"/>
        <v>12</v>
      </c>
      <c r="CU14" s="871">
        <f>CS14-CT14</f>
        <v>0</v>
      </c>
      <c r="CV14" s="872">
        <v>23.577999999999999</v>
      </c>
      <c r="CW14" s="710"/>
      <c r="CX14" s="710"/>
      <c r="CY14" s="903">
        <v>2.3400000000000001E-2</v>
      </c>
      <c r="CZ14" s="710" t="s">
        <v>5306</v>
      </c>
      <c r="DA14" s="710"/>
      <c r="DB14" s="710"/>
      <c r="DC14" s="710" t="s">
        <v>279</v>
      </c>
      <c r="DD14" s="710"/>
      <c r="DE14" s="710"/>
      <c r="DF14" s="901"/>
      <c r="DG14" s="901"/>
      <c r="DH14" s="901">
        <v>2</v>
      </c>
      <c r="DI14" s="710" t="s">
        <v>279</v>
      </c>
      <c r="DJ14" s="710" t="s">
        <v>410</v>
      </c>
      <c r="DK14" s="901" t="s">
        <v>410</v>
      </c>
      <c r="DL14" s="710" t="s">
        <v>278</v>
      </c>
      <c r="DM14" s="710" t="s">
        <v>1685</v>
      </c>
      <c r="DN14" s="901">
        <v>669</v>
      </c>
      <c r="DO14" s="710" t="s">
        <v>279</v>
      </c>
      <c r="DP14" s="710" t="s">
        <v>410</v>
      </c>
      <c r="DQ14" s="901" t="s">
        <v>410</v>
      </c>
      <c r="DR14" s="710" t="s">
        <v>279</v>
      </c>
      <c r="DS14" s="710" t="s">
        <v>410</v>
      </c>
      <c r="DT14" s="901"/>
      <c r="DU14" s="710" t="s">
        <v>279</v>
      </c>
      <c r="DV14" s="710" t="s">
        <v>410</v>
      </c>
      <c r="DW14" s="901" t="s">
        <v>410</v>
      </c>
      <c r="DX14" s="710" t="s">
        <v>279</v>
      </c>
      <c r="DY14" s="710" t="s">
        <v>410</v>
      </c>
      <c r="DZ14" s="901" t="s">
        <v>410</v>
      </c>
      <c r="EA14" s="710" t="s">
        <v>279</v>
      </c>
      <c r="EB14" s="710" t="s">
        <v>410</v>
      </c>
      <c r="EC14" s="901" t="s">
        <v>410</v>
      </c>
      <c r="ED14" s="710" t="s">
        <v>278</v>
      </c>
      <c r="EE14" s="710" t="s">
        <v>1685</v>
      </c>
      <c r="EF14" s="901">
        <v>589</v>
      </c>
      <c r="EG14" s="710" t="s">
        <v>279</v>
      </c>
      <c r="EH14" s="710" t="s">
        <v>410</v>
      </c>
      <c r="EI14" s="901" t="s">
        <v>410</v>
      </c>
      <c r="EJ14" s="710" t="s">
        <v>279</v>
      </c>
      <c r="EK14" s="710" t="s">
        <v>410</v>
      </c>
      <c r="EL14" s="901" t="s">
        <v>410</v>
      </c>
      <c r="EM14" s="710" t="s">
        <v>279</v>
      </c>
      <c r="EN14" s="710" t="s">
        <v>410</v>
      </c>
      <c r="EO14" s="901" t="s">
        <v>410</v>
      </c>
      <c r="EP14" s="710" t="s">
        <v>279</v>
      </c>
      <c r="EQ14" s="710" t="s">
        <v>410</v>
      </c>
      <c r="ER14" s="901" t="s">
        <v>410</v>
      </c>
      <c r="ES14" s="710" t="s">
        <v>279</v>
      </c>
      <c r="ET14" s="710" t="s">
        <v>410</v>
      </c>
      <c r="EU14" s="901" t="s">
        <v>410</v>
      </c>
      <c r="EV14" s="904" t="s">
        <v>5307</v>
      </c>
      <c r="EW14" s="710" t="s">
        <v>410</v>
      </c>
      <c r="EX14" s="860">
        <v>12</v>
      </c>
      <c r="EY14" s="710" t="s">
        <v>279</v>
      </c>
      <c r="EZ14" s="710" t="s">
        <v>410</v>
      </c>
      <c r="FA14" s="710" t="s">
        <v>279</v>
      </c>
      <c r="FB14" s="710" t="s">
        <v>410</v>
      </c>
      <c r="FC14" s="905" t="s">
        <v>5308</v>
      </c>
      <c r="FD14" s="710" t="s">
        <v>410</v>
      </c>
      <c r="FE14" s="710" t="s">
        <v>410</v>
      </c>
      <c r="FF14" s="710" t="s">
        <v>410</v>
      </c>
      <c r="FG14" s="710" t="s">
        <v>410</v>
      </c>
      <c r="FH14" s="710" t="s">
        <v>410</v>
      </c>
      <c r="FI14" s="710" t="s">
        <v>410</v>
      </c>
      <c r="FJ14" s="710" t="s">
        <v>410</v>
      </c>
      <c r="FK14" s="710" t="s">
        <v>5309</v>
      </c>
      <c r="FL14" s="710">
        <v>88517170248</v>
      </c>
      <c r="FM14" s="897" t="s">
        <v>5310</v>
      </c>
      <c r="FN14" s="710" t="s">
        <v>5311</v>
      </c>
      <c r="FO14" s="710">
        <v>88512486324</v>
      </c>
      <c r="FP14" s="897" t="s">
        <v>5312</v>
      </c>
      <c r="FQ14" s="714"/>
      <c r="FR14" s="714"/>
      <c r="FS14" s="714"/>
      <c r="FT14" s="714"/>
      <c r="FU14" s="714"/>
      <c r="FV14" s="714"/>
      <c r="FW14" s="714"/>
      <c r="FX14" s="714"/>
      <c r="FY14" s="714"/>
      <c r="FZ14" s="714"/>
      <c r="GA14" s="714"/>
      <c r="GB14" s="714"/>
    </row>
    <row r="15" spans="1:184" ht="69.5" customHeight="1">
      <c r="B15" s="850" t="s">
        <v>5315</v>
      </c>
      <c r="C15" s="850" t="s">
        <v>5321</v>
      </c>
      <c r="D15" s="850" t="s">
        <v>4934</v>
      </c>
      <c r="E15" s="850" t="s">
        <v>5318</v>
      </c>
      <c r="F15" s="863"/>
      <c r="H15" s="850" t="s">
        <v>4934</v>
      </c>
      <c r="I15" s="850" t="s">
        <v>5523</v>
      </c>
      <c r="J15" s="853" t="s">
        <v>5391</v>
      </c>
      <c r="K15" s="714" t="s">
        <v>197</v>
      </c>
      <c r="L15" s="714" t="s">
        <v>2604</v>
      </c>
      <c r="M15" s="714" t="s">
        <v>2605</v>
      </c>
      <c r="N15" s="714" t="s">
        <v>2606</v>
      </c>
      <c r="O15" s="852">
        <v>2019</v>
      </c>
      <c r="P15" s="865">
        <v>43517</v>
      </c>
      <c r="Q15" s="865">
        <v>43829</v>
      </c>
      <c r="R15" s="866">
        <f t="shared" si="0"/>
        <v>312</v>
      </c>
      <c r="S15" s="865"/>
      <c r="T15" s="865"/>
      <c r="U15" s="865"/>
      <c r="V15" s="865"/>
      <c r="W15" s="865"/>
      <c r="X15" s="865"/>
      <c r="Y15" s="865"/>
      <c r="Z15" s="865"/>
      <c r="AA15" s="865"/>
      <c r="AB15" s="714" t="s">
        <v>2607</v>
      </c>
      <c r="AC15" s="714" t="s">
        <v>2608</v>
      </c>
      <c r="AD15" s="714" t="s">
        <v>2609</v>
      </c>
      <c r="AE15" s="714" t="s">
        <v>2604</v>
      </c>
      <c r="AF15" s="714" t="s">
        <v>766</v>
      </c>
      <c r="AG15" s="714" t="s">
        <v>2609</v>
      </c>
      <c r="AH15" s="867">
        <v>0.3</v>
      </c>
      <c r="AI15" s="868">
        <f t="shared" si="1"/>
        <v>0.3</v>
      </c>
      <c r="AJ15" s="867">
        <f t="shared" si="2"/>
        <v>0</v>
      </c>
      <c r="AK15" s="867"/>
      <c r="AL15" s="867"/>
      <c r="AM15" s="867"/>
      <c r="AN15" s="869">
        <f t="shared" si="3"/>
        <v>0</v>
      </c>
      <c r="AO15" s="869">
        <f t="shared" si="4"/>
        <v>0</v>
      </c>
      <c r="AP15" s="867"/>
      <c r="AQ15" s="869"/>
      <c r="AR15" s="869">
        <v>2.9999999999999997E-4</v>
      </c>
      <c r="AS15" s="869">
        <f t="shared" si="5"/>
        <v>0</v>
      </c>
      <c r="AT15" s="869">
        <f t="shared" si="6"/>
        <v>0</v>
      </c>
      <c r="AU15" s="869">
        <v>0.3</v>
      </c>
      <c r="AV15" s="869">
        <v>1</v>
      </c>
      <c r="AW15" s="869">
        <f t="shared" si="7"/>
        <v>1</v>
      </c>
      <c r="AX15" s="869">
        <f t="shared" si="8"/>
        <v>0</v>
      </c>
      <c r="AY15" s="867">
        <v>0</v>
      </c>
      <c r="AZ15" s="869">
        <v>0</v>
      </c>
      <c r="BA15" s="869">
        <f t="shared" si="9"/>
        <v>0</v>
      </c>
      <c r="BB15" s="869">
        <f t="shared" si="10"/>
        <v>0</v>
      </c>
      <c r="BC15" s="867">
        <v>0</v>
      </c>
      <c r="BD15" s="869">
        <v>0</v>
      </c>
      <c r="BE15" s="869">
        <f t="shared" si="11"/>
        <v>0</v>
      </c>
      <c r="BF15" s="869">
        <f t="shared" si="12"/>
        <v>0</v>
      </c>
      <c r="BG15" s="869"/>
      <c r="BH15" s="869"/>
      <c r="BI15" s="869"/>
      <c r="BJ15" s="869"/>
      <c r="BK15" s="869"/>
      <c r="BL15" s="714">
        <f t="shared" si="13"/>
        <v>0</v>
      </c>
      <c r="BM15" s="869">
        <f t="shared" si="14"/>
        <v>0</v>
      </c>
      <c r="BN15" s="867">
        <v>0</v>
      </c>
      <c r="BO15" s="869">
        <v>0</v>
      </c>
      <c r="BP15" s="869">
        <f t="shared" si="15"/>
        <v>0</v>
      </c>
      <c r="BQ15" s="869">
        <f t="shared" si="16"/>
        <v>0</v>
      </c>
      <c r="BR15" s="869"/>
      <c r="BS15" s="869"/>
      <c r="BT15" s="867">
        <v>0.4</v>
      </c>
      <c r="BU15" s="869">
        <v>4.0000000000000002E-4</v>
      </c>
      <c r="BV15" s="870">
        <v>3</v>
      </c>
      <c r="BW15" s="870">
        <v>3</v>
      </c>
      <c r="BX15" s="870">
        <v>3</v>
      </c>
      <c r="BY15" s="870"/>
      <c r="BZ15" s="870"/>
      <c r="CA15" s="870"/>
      <c r="CB15" s="870"/>
      <c r="CC15" s="870"/>
      <c r="CD15" s="870">
        <v>1</v>
      </c>
      <c r="CE15" s="870"/>
      <c r="CF15" s="870"/>
      <c r="CG15" s="870">
        <v>1</v>
      </c>
      <c r="CH15" s="870"/>
      <c r="CI15" s="870">
        <v>1</v>
      </c>
      <c r="CJ15" s="870"/>
      <c r="CK15" s="870"/>
      <c r="CL15" s="870"/>
      <c r="CM15" s="870"/>
      <c r="CN15" s="870"/>
      <c r="CO15" s="870"/>
      <c r="CP15" s="870"/>
      <c r="CQ15" s="870"/>
      <c r="CR15" s="870"/>
      <c r="CS15" s="871">
        <f>SUM(BY15:CR15)</f>
        <v>3</v>
      </c>
      <c r="CT15" s="871">
        <f t="shared" si="17"/>
        <v>3</v>
      </c>
      <c r="CU15" s="871">
        <f t="shared" si="18"/>
        <v>0</v>
      </c>
      <c r="CV15" s="872">
        <v>0.2</v>
      </c>
      <c r="CW15" s="714" t="s">
        <v>2610</v>
      </c>
      <c r="CX15" s="714"/>
      <c r="CY15" s="714"/>
      <c r="CZ15" s="714"/>
      <c r="DA15" s="714">
        <v>4.8</v>
      </c>
      <c r="DB15" s="869" t="s">
        <v>2611</v>
      </c>
      <c r="DC15" s="714" t="s">
        <v>279</v>
      </c>
      <c r="DD15" s="714"/>
      <c r="DE15" s="714"/>
      <c r="DF15" s="870"/>
      <c r="DG15" s="870"/>
      <c r="DH15" s="870">
        <v>30</v>
      </c>
      <c r="DI15" s="714" t="s">
        <v>279</v>
      </c>
      <c r="DJ15" s="714"/>
      <c r="DK15" s="870"/>
      <c r="DL15" s="714" t="s">
        <v>278</v>
      </c>
      <c r="DM15" s="714" t="s">
        <v>2612</v>
      </c>
      <c r="DN15" s="870">
        <v>95</v>
      </c>
      <c r="DO15" s="714" t="s">
        <v>279</v>
      </c>
      <c r="DP15" s="714"/>
      <c r="DQ15" s="870"/>
      <c r="DR15" s="714" t="s">
        <v>279</v>
      </c>
      <c r="DS15" s="714"/>
      <c r="DT15" s="870"/>
      <c r="DU15" s="714" t="s">
        <v>279</v>
      </c>
      <c r="DV15" s="714"/>
      <c r="DW15" s="870"/>
      <c r="DX15" s="714" t="s">
        <v>279</v>
      </c>
      <c r="DY15" s="714"/>
      <c r="DZ15" s="870"/>
      <c r="EA15" s="714" t="s">
        <v>279</v>
      </c>
      <c r="EB15" s="714"/>
      <c r="EC15" s="870"/>
      <c r="ED15" s="714" t="s">
        <v>579</v>
      </c>
      <c r="EE15" s="714" t="s">
        <v>2612</v>
      </c>
      <c r="EF15" s="870">
        <v>95</v>
      </c>
      <c r="EG15" s="714" t="s">
        <v>279</v>
      </c>
      <c r="EH15" s="714"/>
      <c r="EI15" s="870"/>
      <c r="EJ15" s="714" t="s">
        <v>279</v>
      </c>
      <c r="EK15" s="714"/>
      <c r="EL15" s="870"/>
      <c r="EM15" s="714" t="s">
        <v>279</v>
      </c>
      <c r="EN15" s="714"/>
      <c r="EO15" s="870"/>
      <c r="EP15" s="714" t="s">
        <v>279</v>
      </c>
      <c r="EQ15" s="714"/>
      <c r="ER15" s="870"/>
      <c r="ES15" s="714" t="s">
        <v>279</v>
      </c>
      <c r="ET15" s="714"/>
      <c r="EU15" s="870"/>
      <c r="EV15" s="870"/>
      <c r="EW15" s="870"/>
      <c r="EX15" s="870"/>
      <c r="EY15" s="714" t="s">
        <v>279</v>
      </c>
      <c r="EZ15" s="714"/>
      <c r="FA15" s="714" t="s">
        <v>279</v>
      </c>
      <c r="FB15" s="714"/>
      <c r="FC15" s="714" t="s">
        <v>2608</v>
      </c>
      <c r="FD15" s="714"/>
      <c r="FE15" s="714"/>
      <c r="FF15" s="714"/>
      <c r="FG15" s="714"/>
      <c r="FH15" s="714"/>
      <c r="FI15" s="714">
        <v>0</v>
      </c>
      <c r="FJ15" s="714"/>
      <c r="FK15" s="714" t="s">
        <v>2613</v>
      </c>
      <c r="FL15" s="714" t="s">
        <v>2614</v>
      </c>
      <c r="FM15" s="714"/>
      <c r="FN15" s="714" t="s">
        <v>2615</v>
      </c>
      <c r="FO15" s="714" t="s">
        <v>2616</v>
      </c>
      <c r="FP15" s="855" t="s">
        <v>2617</v>
      </c>
    </row>
    <row r="16" spans="1:184" ht="58" customHeight="1">
      <c r="B16" s="850" t="s">
        <v>5313</v>
      </c>
      <c r="D16" s="850" t="s">
        <v>4933</v>
      </c>
      <c r="E16" s="850" t="s">
        <v>5323</v>
      </c>
      <c r="F16" s="850" t="s">
        <v>5324</v>
      </c>
      <c r="G16" s="850" t="s">
        <v>4933</v>
      </c>
      <c r="I16" s="850" t="s">
        <v>5520</v>
      </c>
      <c r="J16" s="853" t="s">
        <v>5392</v>
      </c>
      <c r="K16" s="714" t="s">
        <v>198</v>
      </c>
      <c r="L16" s="714"/>
      <c r="M16" s="714" t="s">
        <v>1248</v>
      </c>
      <c r="N16" s="714" t="s">
        <v>1249</v>
      </c>
      <c r="O16" s="852">
        <v>2018</v>
      </c>
      <c r="P16" s="864">
        <v>43734</v>
      </c>
      <c r="Q16" s="864">
        <v>43830</v>
      </c>
      <c r="R16" s="866">
        <f t="shared" si="0"/>
        <v>96</v>
      </c>
      <c r="S16" s="714" t="s">
        <v>1250</v>
      </c>
      <c r="T16" s="714" t="s">
        <v>1251</v>
      </c>
      <c r="U16" s="855" t="s">
        <v>1252</v>
      </c>
      <c r="V16" s="714" t="s">
        <v>410</v>
      </c>
      <c r="W16" s="714" t="s">
        <v>410</v>
      </c>
      <c r="X16" s="714" t="s">
        <v>410</v>
      </c>
      <c r="Y16" s="714" t="s">
        <v>410</v>
      </c>
      <c r="Z16" s="714" t="s">
        <v>1253</v>
      </c>
      <c r="AA16" s="855" t="s">
        <v>1254</v>
      </c>
      <c r="AB16" s="855"/>
      <c r="AC16" s="855"/>
      <c r="AD16" s="714" t="s">
        <v>1255</v>
      </c>
      <c r="AE16" s="714" t="s">
        <v>1255</v>
      </c>
      <c r="AF16" s="714" t="s">
        <v>1256</v>
      </c>
      <c r="AG16" s="714" t="s">
        <v>1257</v>
      </c>
      <c r="AH16" s="867">
        <f>AK16+BC16</f>
        <v>338.60399999999998</v>
      </c>
      <c r="AI16" s="868">
        <f t="shared" si="1"/>
        <v>338.60399999999998</v>
      </c>
      <c r="AJ16" s="867">
        <f t="shared" si="2"/>
        <v>0</v>
      </c>
      <c r="AK16" s="867">
        <v>300</v>
      </c>
      <c r="AL16" s="869">
        <v>0.88600000000000001</v>
      </c>
      <c r="AM16" s="869">
        <v>1.4E-3</v>
      </c>
      <c r="AN16" s="869">
        <f t="shared" si="3"/>
        <v>0.88599071481730873</v>
      </c>
      <c r="AO16" s="869">
        <f t="shared" si="4"/>
        <v>9.2851826912765389E-6</v>
      </c>
      <c r="AP16" s="869"/>
      <c r="AQ16" s="869"/>
      <c r="AR16" s="869"/>
      <c r="AS16" s="869">
        <f t="shared" si="5"/>
        <v>0</v>
      </c>
      <c r="AT16" s="869">
        <f t="shared" si="6"/>
        <v>0</v>
      </c>
      <c r="AU16" s="867"/>
      <c r="AV16" s="869"/>
      <c r="AW16" s="869">
        <f t="shared" si="7"/>
        <v>0</v>
      </c>
      <c r="AX16" s="869">
        <f t="shared" si="8"/>
        <v>0</v>
      </c>
      <c r="AY16" s="867"/>
      <c r="AZ16" s="869"/>
      <c r="BA16" s="869">
        <f t="shared" si="9"/>
        <v>0</v>
      </c>
      <c r="BB16" s="869">
        <f t="shared" si="10"/>
        <v>0</v>
      </c>
      <c r="BC16" s="867">
        <v>38.603999999999999</v>
      </c>
      <c r="BD16" s="869">
        <v>0.114</v>
      </c>
      <c r="BE16" s="869">
        <f t="shared" si="11"/>
        <v>0.11400928518269129</v>
      </c>
      <c r="BF16" s="869">
        <f t="shared" si="12"/>
        <v>-9.2851826912904167E-6</v>
      </c>
      <c r="BG16" s="867"/>
      <c r="BH16" s="869"/>
      <c r="BI16" s="714" t="s">
        <v>410</v>
      </c>
      <c r="BJ16" s="714" t="s">
        <v>410</v>
      </c>
      <c r="BK16" s="714" t="s">
        <v>410</v>
      </c>
      <c r="BL16" s="714">
        <f t="shared" si="13"/>
        <v>0</v>
      </c>
      <c r="BM16" s="869">
        <f t="shared" si="14"/>
        <v>0</v>
      </c>
      <c r="BN16" s="867"/>
      <c r="BO16" s="869"/>
      <c r="BP16" s="869">
        <f t="shared" si="15"/>
        <v>0</v>
      </c>
      <c r="BQ16" s="869">
        <f t="shared" si="16"/>
        <v>0</v>
      </c>
      <c r="BR16" s="867">
        <v>300</v>
      </c>
      <c r="BS16" s="869">
        <v>1.2999999999999999E-3</v>
      </c>
      <c r="BT16" s="869"/>
      <c r="BU16" s="869"/>
      <c r="BV16" s="870">
        <v>165</v>
      </c>
      <c r="BW16" s="870">
        <v>108</v>
      </c>
      <c r="BX16" s="870">
        <v>108</v>
      </c>
      <c r="BY16" s="870">
        <v>0</v>
      </c>
      <c r="BZ16" s="870">
        <v>0</v>
      </c>
      <c r="CA16" s="870">
        <v>0</v>
      </c>
      <c r="CB16" s="870">
        <v>0</v>
      </c>
      <c r="CC16" s="870">
        <v>0</v>
      </c>
      <c r="CD16" s="870">
        <v>0</v>
      </c>
      <c r="CE16" s="870">
        <v>0</v>
      </c>
      <c r="CF16" s="870">
        <v>0</v>
      </c>
      <c r="CG16" s="870">
        <v>0</v>
      </c>
      <c r="CH16" s="870">
        <v>0</v>
      </c>
      <c r="CI16" s="870">
        <v>0</v>
      </c>
      <c r="CJ16" s="870">
        <v>0</v>
      </c>
      <c r="CK16" s="870">
        <v>0</v>
      </c>
      <c r="CL16" s="870">
        <v>0</v>
      </c>
      <c r="CM16" s="870">
        <v>0</v>
      </c>
      <c r="CN16" s="870">
        <v>0</v>
      </c>
      <c r="CO16" s="870">
        <v>0</v>
      </c>
      <c r="CP16" s="870">
        <v>108</v>
      </c>
      <c r="CQ16" s="870">
        <v>0</v>
      </c>
      <c r="CR16" s="870">
        <v>0</v>
      </c>
      <c r="CS16" s="871">
        <f>SUM(BY16:CR16)</f>
        <v>108</v>
      </c>
      <c r="CT16" s="871">
        <f t="shared" si="17"/>
        <v>108</v>
      </c>
      <c r="CU16" s="871">
        <f t="shared" si="18"/>
        <v>0</v>
      </c>
      <c r="CV16" s="872">
        <v>2</v>
      </c>
      <c r="CW16" s="870" t="s">
        <v>1258</v>
      </c>
      <c r="CX16" s="870" t="s">
        <v>410</v>
      </c>
      <c r="CY16" s="875">
        <v>0.05</v>
      </c>
      <c r="CZ16" s="870" t="s">
        <v>1259</v>
      </c>
      <c r="DA16" s="870"/>
      <c r="DB16" s="870"/>
      <c r="DC16" s="714" t="s">
        <v>278</v>
      </c>
      <c r="DD16" s="714" t="s">
        <v>1260</v>
      </c>
      <c r="DE16" s="714" t="s">
        <v>1261</v>
      </c>
      <c r="DF16" s="870">
        <v>23</v>
      </c>
      <c r="DG16" s="870" t="s">
        <v>410</v>
      </c>
      <c r="DH16" s="870" t="s">
        <v>410</v>
      </c>
      <c r="DI16" s="714" t="s">
        <v>278</v>
      </c>
      <c r="DJ16" s="714" t="s">
        <v>1262</v>
      </c>
      <c r="DK16" s="870">
        <v>8462</v>
      </c>
      <c r="DL16" s="714" t="s">
        <v>278</v>
      </c>
      <c r="DM16" s="714" t="s">
        <v>551</v>
      </c>
      <c r="DN16" s="870">
        <v>3798</v>
      </c>
      <c r="DO16" s="714" t="s">
        <v>389</v>
      </c>
      <c r="DP16" s="714" t="s">
        <v>410</v>
      </c>
      <c r="DQ16" s="870" t="s">
        <v>410</v>
      </c>
      <c r="DR16" s="714" t="s">
        <v>389</v>
      </c>
      <c r="DS16" s="714" t="s">
        <v>410</v>
      </c>
      <c r="DT16" s="870"/>
      <c r="DU16" s="714" t="s">
        <v>389</v>
      </c>
      <c r="DV16" s="714" t="s">
        <v>410</v>
      </c>
      <c r="DW16" s="870" t="s">
        <v>410</v>
      </c>
      <c r="DX16" s="714" t="s">
        <v>392</v>
      </c>
      <c r="DY16" s="714" t="s">
        <v>2618</v>
      </c>
      <c r="DZ16" s="870">
        <v>199</v>
      </c>
      <c r="EA16" s="714" t="s">
        <v>279</v>
      </c>
      <c r="EB16" s="714" t="s">
        <v>410</v>
      </c>
      <c r="EC16" s="870" t="s">
        <v>410</v>
      </c>
      <c r="ED16" s="714" t="s">
        <v>392</v>
      </c>
      <c r="EE16" s="714" t="s">
        <v>551</v>
      </c>
      <c r="EF16" s="870">
        <v>3798</v>
      </c>
      <c r="EG16" s="714" t="s">
        <v>389</v>
      </c>
      <c r="EH16" s="714" t="s">
        <v>410</v>
      </c>
      <c r="EI16" s="870" t="s">
        <v>410</v>
      </c>
      <c r="EJ16" s="714" t="s">
        <v>389</v>
      </c>
      <c r="EK16" s="714" t="s">
        <v>410</v>
      </c>
      <c r="EL16" s="870" t="s">
        <v>410</v>
      </c>
      <c r="EM16" s="714" t="s">
        <v>389</v>
      </c>
      <c r="EN16" s="714" t="s">
        <v>410</v>
      </c>
      <c r="EO16" s="870" t="s">
        <v>410</v>
      </c>
      <c r="EP16" s="714" t="s">
        <v>389</v>
      </c>
      <c r="EQ16" s="714" t="s">
        <v>410</v>
      </c>
      <c r="ER16" s="870" t="s">
        <v>410</v>
      </c>
      <c r="ES16" s="714" t="s">
        <v>389</v>
      </c>
      <c r="ET16" s="714" t="s">
        <v>410</v>
      </c>
      <c r="EU16" s="870" t="s">
        <v>410</v>
      </c>
      <c r="EV16" s="878" t="s">
        <v>1263</v>
      </c>
      <c r="EW16" s="714" t="s">
        <v>410</v>
      </c>
      <c r="EX16" s="854" t="s">
        <v>410</v>
      </c>
      <c r="EY16" s="714" t="s">
        <v>389</v>
      </c>
      <c r="EZ16" s="714" t="s">
        <v>410</v>
      </c>
      <c r="FA16" s="714" t="s">
        <v>389</v>
      </c>
      <c r="FB16" s="714" t="s">
        <v>410</v>
      </c>
      <c r="FC16" s="714" t="s">
        <v>1264</v>
      </c>
      <c r="FD16" s="855" t="s">
        <v>1265</v>
      </c>
      <c r="FE16" s="714" t="s">
        <v>410</v>
      </c>
      <c r="FF16" s="714" t="s">
        <v>1266</v>
      </c>
      <c r="FG16" s="714" t="s">
        <v>1267</v>
      </c>
      <c r="FH16" s="714" t="s">
        <v>1268</v>
      </c>
      <c r="FI16" s="714">
        <v>228</v>
      </c>
      <c r="FJ16" s="870">
        <v>5201</v>
      </c>
      <c r="FK16" s="714" t="s">
        <v>1269</v>
      </c>
      <c r="FL16" s="714" t="s">
        <v>1270</v>
      </c>
      <c r="FM16" s="855" t="s">
        <v>1271</v>
      </c>
      <c r="FN16" s="714" t="s">
        <v>1272</v>
      </c>
      <c r="FO16" s="714" t="s">
        <v>1273</v>
      </c>
      <c r="FP16" s="855" t="s">
        <v>1274</v>
      </c>
    </row>
    <row r="17" spans="2:172" ht="80.5" customHeight="1">
      <c r="B17" s="850" t="s">
        <v>5313</v>
      </c>
      <c r="C17" s="863"/>
      <c r="D17" s="850" t="s">
        <v>4933</v>
      </c>
      <c r="E17" s="850" t="s">
        <v>5323</v>
      </c>
      <c r="F17" s="879">
        <v>1</v>
      </c>
      <c r="G17" s="850" t="s">
        <v>4933</v>
      </c>
      <c r="I17" s="850" t="s">
        <v>5520</v>
      </c>
      <c r="J17" s="853" t="s">
        <v>5392</v>
      </c>
      <c r="K17" s="714" t="s">
        <v>198</v>
      </c>
      <c r="L17" s="714"/>
      <c r="M17" s="714" t="s">
        <v>1275</v>
      </c>
      <c r="N17" s="714" t="s">
        <v>1276</v>
      </c>
      <c r="O17" s="852">
        <v>2017</v>
      </c>
      <c r="P17" s="864">
        <v>43509</v>
      </c>
      <c r="Q17" s="864">
        <v>43830</v>
      </c>
      <c r="R17" s="866">
        <f t="shared" ref="R17:R22" si="19">Q17-P17</f>
        <v>321</v>
      </c>
      <c r="S17" s="714" t="s">
        <v>1277</v>
      </c>
      <c r="T17" s="714" t="s">
        <v>1278</v>
      </c>
      <c r="U17" s="855" t="s">
        <v>1279</v>
      </c>
      <c r="V17" s="714" t="s">
        <v>410</v>
      </c>
      <c r="W17" s="714" t="s">
        <v>410</v>
      </c>
      <c r="X17" s="714" t="s">
        <v>1280</v>
      </c>
      <c r="Y17" s="855" t="s">
        <v>1254</v>
      </c>
      <c r="Z17" s="714" t="s">
        <v>410</v>
      </c>
      <c r="AA17" s="714" t="s">
        <v>410</v>
      </c>
      <c r="AB17" s="714"/>
      <c r="AC17" s="714"/>
      <c r="AD17" s="714" t="s">
        <v>1281</v>
      </c>
      <c r="AE17" s="714" t="s">
        <v>1281</v>
      </c>
      <c r="AF17" s="714" t="s">
        <v>277</v>
      </c>
      <c r="AG17" s="714" t="s">
        <v>1282</v>
      </c>
      <c r="AH17" s="867">
        <v>1782.44</v>
      </c>
      <c r="AI17" s="868">
        <f t="shared" si="1"/>
        <v>1782.4399999999998</v>
      </c>
      <c r="AJ17" s="867">
        <f t="shared" si="2"/>
        <v>0</v>
      </c>
      <c r="AK17" s="867">
        <v>1675.5</v>
      </c>
      <c r="AL17" s="869">
        <f>AK17/AH17</f>
        <v>0.9400035905836942</v>
      </c>
      <c r="AM17" s="869">
        <v>7.7999999999999996E-3</v>
      </c>
      <c r="AN17" s="869">
        <f t="shared" si="3"/>
        <v>0.9400035905836942</v>
      </c>
      <c r="AO17" s="869">
        <f t="shared" si="4"/>
        <v>0</v>
      </c>
      <c r="AP17" s="869"/>
      <c r="AQ17" s="869"/>
      <c r="AR17" s="869"/>
      <c r="AS17" s="869">
        <f t="shared" si="5"/>
        <v>0</v>
      </c>
      <c r="AT17" s="869">
        <f t="shared" si="6"/>
        <v>0</v>
      </c>
      <c r="AU17" s="867">
        <v>89.12</v>
      </c>
      <c r="AV17" s="869">
        <f>AU17/AH17</f>
        <v>4.9998877942595547E-2</v>
      </c>
      <c r="AW17" s="869">
        <f t="shared" si="7"/>
        <v>4.9998877942595547E-2</v>
      </c>
      <c r="AX17" s="869">
        <f t="shared" si="8"/>
        <v>0</v>
      </c>
      <c r="AY17" s="867">
        <v>17.82</v>
      </c>
      <c r="AZ17" s="869">
        <f>AY17/AH17</f>
        <v>9.9975314737101948E-3</v>
      </c>
      <c r="BA17" s="869">
        <f t="shared" si="9"/>
        <v>9.9975314737101948E-3</v>
      </c>
      <c r="BB17" s="869">
        <f t="shared" si="10"/>
        <v>0</v>
      </c>
      <c r="BC17" s="714"/>
      <c r="BD17" s="714"/>
      <c r="BE17" s="869">
        <f t="shared" si="11"/>
        <v>0</v>
      </c>
      <c r="BF17" s="869">
        <f t="shared" si="12"/>
        <v>0</v>
      </c>
      <c r="BG17" s="714"/>
      <c r="BH17" s="714"/>
      <c r="BI17" s="714"/>
      <c r="BJ17" s="714"/>
      <c r="BK17" s="714"/>
      <c r="BL17" s="714">
        <f t="shared" si="13"/>
        <v>0</v>
      </c>
      <c r="BM17" s="869">
        <f t="shared" si="14"/>
        <v>0</v>
      </c>
      <c r="BN17" s="714"/>
      <c r="BO17" s="714"/>
      <c r="BP17" s="869">
        <f t="shared" si="15"/>
        <v>0</v>
      </c>
      <c r="BQ17" s="869">
        <f t="shared" si="16"/>
        <v>0</v>
      </c>
      <c r="BR17" s="867">
        <v>1987.55</v>
      </c>
      <c r="BS17" s="869">
        <v>8.3999999999999995E-3</v>
      </c>
      <c r="BT17" s="869"/>
      <c r="BU17" s="869"/>
      <c r="BV17" s="870">
        <v>511</v>
      </c>
      <c r="BW17" s="870">
        <v>511</v>
      </c>
      <c r="BX17" s="870">
        <v>400</v>
      </c>
      <c r="BY17" s="870">
        <v>0</v>
      </c>
      <c r="BZ17" s="870">
        <v>0</v>
      </c>
      <c r="CA17" s="870">
        <v>0</v>
      </c>
      <c r="CB17" s="870">
        <v>0</v>
      </c>
      <c r="CC17" s="870">
        <v>0</v>
      </c>
      <c r="CD17" s="870">
        <v>0</v>
      </c>
      <c r="CE17" s="870">
        <v>0</v>
      </c>
      <c r="CF17" s="870">
        <v>0</v>
      </c>
      <c r="CG17" s="870">
        <v>0</v>
      </c>
      <c r="CH17" s="870">
        <v>400</v>
      </c>
      <c r="CI17" s="870">
        <v>0</v>
      </c>
      <c r="CJ17" s="870">
        <v>0</v>
      </c>
      <c r="CK17" s="870">
        <v>0</v>
      </c>
      <c r="CL17" s="870">
        <v>0</v>
      </c>
      <c r="CM17" s="870">
        <v>0</v>
      </c>
      <c r="CN17" s="870">
        <v>0</v>
      </c>
      <c r="CO17" s="870">
        <v>0</v>
      </c>
      <c r="CP17" s="870">
        <v>0</v>
      </c>
      <c r="CQ17" s="870">
        <v>0</v>
      </c>
      <c r="CR17" s="870">
        <v>0</v>
      </c>
      <c r="CS17" s="871">
        <f>SUM(BY17:CR17)</f>
        <v>400</v>
      </c>
      <c r="CT17" s="871">
        <f t="shared" si="17"/>
        <v>400</v>
      </c>
      <c r="CU17" s="871">
        <f t="shared" si="18"/>
        <v>0</v>
      </c>
      <c r="CV17" s="872">
        <v>116.66</v>
      </c>
      <c r="CW17" s="714" t="s">
        <v>1283</v>
      </c>
      <c r="CX17" s="714" t="s">
        <v>410</v>
      </c>
      <c r="CY17" s="872">
        <f>CV17*100/4051.005</f>
        <v>2.8797792152811463</v>
      </c>
      <c r="CZ17" s="855" t="s">
        <v>1259</v>
      </c>
      <c r="DA17" s="855"/>
      <c r="DB17" s="855"/>
      <c r="DC17" s="714" t="s">
        <v>389</v>
      </c>
      <c r="DD17" s="714" t="s">
        <v>410</v>
      </c>
      <c r="DE17" s="714" t="s">
        <v>410</v>
      </c>
      <c r="DF17" s="714"/>
      <c r="DG17" s="714" t="s">
        <v>410</v>
      </c>
      <c r="DH17" s="714">
        <v>1</v>
      </c>
      <c r="DI17" s="714" t="s">
        <v>389</v>
      </c>
      <c r="DJ17" s="714" t="s">
        <v>410</v>
      </c>
      <c r="DK17" s="714" t="s">
        <v>410</v>
      </c>
      <c r="DL17" s="714" t="s">
        <v>392</v>
      </c>
      <c r="DM17" s="714" t="s">
        <v>551</v>
      </c>
      <c r="DN17" s="714" t="s">
        <v>1284</v>
      </c>
      <c r="DO17" s="714" t="s">
        <v>389</v>
      </c>
      <c r="DP17" s="714" t="s">
        <v>410</v>
      </c>
      <c r="DQ17" s="714" t="s">
        <v>410</v>
      </c>
      <c r="DR17" s="714" t="s">
        <v>389</v>
      </c>
      <c r="DS17" s="714" t="s">
        <v>410</v>
      </c>
      <c r="DT17" s="714"/>
      <c r="DU17" s="714" t="s">
        <v>389</v>
      </c>
      <c r="DV17" s="714" t="s">
        <v>410</v>
      </c>
      <c r="DW17" s="714" t="s">
        <v>410</v>
      </c>
      <c r="DX17" s="714" t="s">
        <v>389</v>
      </c>
      <c r="DY17" s="714" t="s">
        <v>410</v>
      </c>
      <c r="DZ17" s="714" t="s">
        <v>410</v>
      </c>
      <c r="EA17" s="714" t="s">
        <v>279</v>
      </c>
      <c r="EB17" s="714" t="s">
        <v>410</v>
      </c>
      <c r="EC17" s="714" t="s">
        <v>410</v>
      </c>
      <c r="ED17" s="714" t="s">
        <v>392</v>
      </c>
      <c r="EE17" s="714" t="s">
        <v>551</v>
      </c>
      <c r="EF17" s="870">
        <v>100000</v>
      </c>
      <c r="EG17" s="714" t="s">
        <v>389</v>
      </c>
      <c r="EH17" s="714" t="s">
        <v>410</v>
      </c>
      <c r="EI17" s="714" t="s">
        <v>410</v>
      </c>
      <c r="EJ17" s="714" t="s">
        <v>389</v>
      </c>
      <c r="EK17" s="714" t="s">
        <v>410</v>
      </c>
      <c r="EL17" s="714" t="s">
        <v>410</v>
      </c>
      <c r="EM17" s="714" t="s">
        <v>389</v>
      </c>
      <c r="EN17" s="714" t="s">
        <v>410</v>
      </c>
      <c r="EO17" s="714" t="s">
        <v>410</v>
      </c>
      <c r="EP17" s="714" t="s">
        <v>389</v>
      </c>
      <c r="EQ17" s="714" t="s">
        <v>410</v>
      </c>
      <c r="ER17" s="714" t="s">
        <v>410</v>
      </c>
      <c r="ES17" s="714" t="s">
        <v>389</v>
      </c>
      <c r="ET17" s="714" t="s">
        <v>410</v>
      </c>
      <c r="EU17" s="714" t="s">
        <v>410</v>
      </c>
      <c r="EV17" s="878">
        <v>1</v>
      </c>
      <c r="EW17" s="714" t="s">
        <v>410</v>
      </c>
      <c r="EX17" s="854">
        <v>63</v>
      </c>
      <c r="EY17" s="714" t="s">
        <v>278</v>
      </c>
      <c r="EZ17" s="714" t="s">
        <v>1285</v>
      </c>
      <c r="FA17" s="714" t="s">
        <v>389</v>
      </c>
      <c r="FB17" s="714" t="s">
        <v>410</v>
      </c>
      <c r="FC17" s="850" t="s">
        <v>1286</v>
      </c>
      <c r="FD17" s="714" t="s">
        <v>410</v>
      </c>
      <c r="FE17" s="714" t="s">
        <v>410</v>
      </c>
      <c r="FF17" s="714" t="s">
        <v>1287</v>
      </c>
      <c r="FG17" s="714" t="s">
        <v>1288</v>
      </c>
      <c r="FH17" s="714" t="s">
        <v>1289</v>
      </c>
      <c r="FI17" s="714" t="s">
        <v>410</v>
      </c>
      <c r="FJ17" s="714" t="s">
        <v>410</v>
      </c>
      <c r="FK17" s="714" t="s">
        <v>1290</v>
      </c>
      <c r="FL17" s="714" t="s">
        <v>1291</v>
      </c>
      <c r="FM17" s="714" t="s">
        <v>1292</v>
      </c>
      <c r="FN17" s="714" t="s">
        <v>1272</v>
      </c>
      <c r="FO17" s="714" t="s">
        <v>1273</v>
      </c>
      <c r="FP17" s="855" t="s">
        <v>1274</v>
      </c>
    </row>
    <row r="18" spans="2:172" ht="87" customHeight="1">
      <c r="B18" s="850" t="s">
        <v>5315</v>
      </c>
      <c r="C18" s="850" t="s">
        <v>5325</v>
      </c>
      <c r="D18" s="850" t="s">
        <v>4933</v>
      </c>
      <c r="E18" s="850" t="s">
        <v>5314</v>
      </c>
      <c r="F18" s="879">
        <v>1</v>
      </c>
      <c r="G18" s="850" t="s">
        <v>4933</v>
      </c>
      <c r="I18" s="850" t="s">
        <v>5520</v>
      </c>
      <c r="J18" s="853" t="s">
        <v>5392</v>
      </c>
      <c r="K18" s="714" t="s">
        <v>198</v>
      </c>
      <c r="L18" s="714"/>
      <c r="M18" s="714" t="s">
        <v>1293</v>
      </c>
      <c r="N18" s="714" t="s">
        <v>1294</v>
      </c>
      <c r="O18" s="852">
        <v>2015</v>
      </c>
      <c r="P18" s="864">
        <v>43474</v>
      </c>
      <c r="Q18" s="906">
        <v>43830</v>
      </c>
      <c r="R18" s="866">
        <f t="shared" si="19"/>
        <v>356</v>
      </c>
      <c r="S18" s="714" t="s">
        <v>1295</v>
      </c>
      <c r="T18" s="714" t="s">
        <v>1296</v>
      </c>
      <c r="U18" s="714" t="s">
        <v>1297</v>
      </c>
      <c r="V18" s="714" t="s">
        <v>410</v>
      </c>
      <c r="W18" s="714" t="s">
        <v>410</v>
      </c>
      <c r="X18" s="714" t="s">
        <v>1298</v>
      </c>
      <c r="Y18" s="855" t="s">
        <v>1254</v>
      </c>
      <c r="Z18" s="714" t="s">
        <v>1299</v>
      </c>
      <c r="AA18" s="855" t="s">
        <v>1300</v>
      </c>
      <c r="AB18" s="855"/>
      <c r="AC18" s="855"/>
      <c r="AD18" s="714" t="s">
        <v>1301</v>
      </c>
      <c r="AE18" s="714" t="s">
        <v>1302</v>
      </c>
      <c r="AF18" s="714" t="s">
        <v>277</v>
      </c>
      <c r="AG18" s="714" t="s">
        <v>1303</v>
      </c>
      <c r="AH18" s="867">
        <v>272.404</v>
      </c>
      <c r="AI18" s="868">
        <f t="shared" si="1"/>
        <v>272.404</v>
      </c>
      <c r="AJ18" s="867">
        <f t="shared" si="2"/>
        <v>0</v>
      </c>
      <c r="AK18" s="867">
        <v>224.40799999999999</v>
      </c>
      <c r="AL18" s="869">
        <v>0.82379999999999998</v>
      </c>
      <c r="AM18" s="869">
        <v>1E-3</v>
      </c>
      <c r="AN18" s="869">
        <f t="shared" si="3"/>
        <v>0.82380581782940043</v>
      </c>
      <c r="AO18" s="869">
        <f t="shared" si="4"/>
        <v>-5.8178294004562758E-6</v>
      </c>
      <c r="AP18" s="869"/>
      <c r="AQ18" s="869"/>
      <c r="AR18" s="869"/>
      <c r="AS18" s="869">
        <f t="shared" si="5"/>
        <v>0</v>
      </c>
      <c r="AT18" s="869">
        <f t="shared" si="6"/>
        <v>0</v>
      </c>
      <c r="AU18" s="867">
        <v>43.755000000000003</v>
      </c>
      <c r="AV18" s="869">
        <v>0.16059999999999999</v>
      </c>
      <c r="AW18" s="869">
        <f t="shared" si="7"/>
        <v>0.16062539463444003</v>
      </c>
      <c r="AX18" s="869">
        <f t="shared" si="8"/>
        <v>-2.5394634440040198E-5</v>
      </c>
      <c r="AY18" s="867">
        <v>4.2409999999999997</v>
      </c>
      <c r="AZ18" s="869">
        <v>1.5599999999999999E-2</v>
      </c>
      <c r="BA18" s="869">
        <f t="shared" si="9"/>
        <v>1.5568787536159527E-2</v>
      </c>
      <c r="BB18" s="869">
        <f t="shared" si="10"/>
        <v>3.1212463840472188E-5</v>
      </c>
      <c r="BC18" s="867"/>
      <c r="BD18" s="869"/>
      <c r="BE18" s="869">
        <f t="shared" si="11"/>
        <v>0</v>
      </c>
      <c r="BF18" s="869">
        <f t="shared" si="12"/>
        <v>0</v>
      </c>
      <c r="BG18" s="867"/>
      <c r="BH18" s="869"/>
      <c r="BI18" s="714"/>
      <c r="BJ18" s="714"/>
      <c r="BK18" s="714"/>
      <c r="BL18" s="714">
        <f t="shared" si="13"/>
        <v>0</v>
      </c>
      <c r="BM18" s="869">
        <f t="shared" si="14"/>
        <v>0</v>
      </c>
      <c r="BN18" s="867"/>
      <c r="BO18" s="869"/>
      <c r="BP18" s="869">
        <f t="shared" si="15"/>
        <v>0</v>
      </c>
      <c r="BQ18" s="869">
        <f t="shared" si="16"/>
        <v>0</v>
      </c>
      <c r="BR18" s="867">
        <v>224.93199999999999</v>
      </c>
      <c r="BS18" s="869">
        <v>1E-3</v>
      </c>
      <c r="BT18" s="869"/>
      <c r="BU18" s="869"/>
      <c r="BV18" s="870"/>
      <c r="BW18" s="870"/>
      <c r="BX18" s="870">
        <v>1261</v>
      </c>
      <c r="BY18" s="870">
        <v>65</v>
      </c>
      <c r="BZ18" s="870">
        <v>106</v>
      </c>
      <c r="CA18" s="870">
        <v>120</v>
      </c>
      <c r="CB18" s="870">
        <v>9</v>
      </c>
      <c r="CC18" s="870">
        <v>0</v>
      </c>
      <c r="CD18" s="870">
        <v>74</v>
      </c>
      <c r="CE18" s="870">
        <v>283</v>
      </c>
      <c r="CF18" s="870">
        <v>189</v>
      </c>
      <c r="CG18" s="870">
        <v>67</v>
      </c>
      <c r="CH18" s="870">
        <v>0</v>
      </c>
      <c r="CI18" s="870">
        <v>144</v>
      </c>
      <c r="CJ18" s="870">
        <v>48</v>
      </c>
      <c r="CK18" s="870">
        <v>40</v>
      </c>
      <c r="CL18" s="870">
        <v>90</v>
      </c>
      <c r="CM18" s="870">
        <v>0</v>
      </c>
      <c r="CN18" s="870">
        <v>0</v>
      </c>
      <c r="CO18" s="870">
        <v>0</v>
      </c>
      <c r="CP18" s="870">
        <v>6</v>
      </c>
      <c r="CQ18" s="870">
        <v>0</v>
      </c>
      <c r="CR18" s="870">
        <v>20</v>
      </c>
      <c r="CS18" s="871">
        <f>SUM(BY18:CR18)</f>
        <v>1261</v>
      </c>
      <c r="CT18" s="871">
        <f t="shared" si="17"/>
        <v>1261</v>
      </c>
      <c r="CU18" s="871">
        <f t="shared" si="18"/>
        <v>0</v>
      </c>
      <c r="CV18" s="872" t="s">
        <v>1304</v>
      </c>
      <c r="CW18" s="714" t="s">
        <v>410</v>
      </c>
      <c r="CX18" s="714" t="s">
        <v>410</v>
      </c>
      <c r="CY18" s="869" t="s">
        <v>1304</v>
      </c>
      <c r="CZ18" s="869" t="s">
        <v>410</v>
      </c>
      <c r="DA18" s="869"/>
      <c r="DB18" s="869"/>
      <c r="DC18" s="714" t="s">
        <v>389</v>
      </c>
      <c r="DD18" s="714" t="s">
        <v>410</v>
      </c>
      <c r="DE18" s="714" t="s">
        <v>410</v>
      </c>
      <c r="DF18" s="870"/>
      <c r="DG18" s="870" t="s">
        <v>410</v>
      </c>
      <c r="DH18" s="870">
        <v>2</v>
      </c>
      <c r="DI18" s="714" t="s">
        <v>422</v>
      </c>
      <c r="DJ18" s="714" t="s">
        <v>410</v>
      </c>
      <c r="DK18" s="870" t="s">
        <v>410</v>
      </c>
      <c r="DL18" s="714" t="s">
        <v>392</v>
      </c>
      <c r="DM18" s="714" t="s">
        <v>1305</v>
      </c>
      <c r="DN18" s="867" t="s">
        <v>1304</v>
      </c>
      <c r="DO18" s="714" t="s">
        <v>389</v>
      </c>
      <c r="DP18" s="714" t="s">
        <v>410</v>
      </c>
      <c r="DQ18" s="870" t="s">
        <v>410</v>
      </c>
      <c r="DR18" s="714" t="s">
        <v>389</v>
      </c>
      <c r="DS18" s="714" t="s">
        <v>410</v>
      </c>
      <c r="DT18" s="870"/>
      <c r="DU18" s="714" t="s">
        <v>389</v>
      </c>
      <c r="DV18" s="714" t="s">
        <v>410</v>
      </c>
      <c r="DW18" s="870" t="s">
        <v>410</v>
      </c>
      <c r="DX18" s="714" t="s">
        <v>389</v>
      </c>
      <c r="DY18" s="714" t="s">
        <v>410</v>
      </c>
      <c r="DZ18" s="870" t="s">
        <v>410</v>
      </c>
      <c r="EA18" s="714" t="s">
        <v>279</v>
      </c>
      <c r="EB18" s="714" t="s">
        <v>410</v>
      </c>
      <c r="EC18" s="870" t="s">
        <v>410</v>
      </c>
      <c r="ED18" s="714" t="s">
        <v>392</v>
      </c>
      <c r="EE18" s="714" t="s">
        <v>1306</v>
      </c>
      <c r="EF18" s="867" t="s">
        <v>1304</v>
      </c>
      <c r="EG18" s="714" t="s">
        <v>389</v>
      </c>
      <c r="EH18" s="714" t="s">
        <v>410</v>
      </c>
      <c r="EI18" s="870" t="s">
        <v>410</v>
      </c>
      <c r="EJ18" s="714" t="s">
        <v>389</v>
      </c>
      <c r="EK18" s="714" t="s">
        <v>410</v>
      </c>
      <c r="EL18" s="870" t="s">
        <v>410</v>
      </c>
      <c r="EM18" s="714" t="s">
        <v>389</v>
      </c>
      <c r="EN18" s="714" t="s">
        <v>410</v>
      </c>
      <c r="EO18" s="870" t="s">
        <v>410</v>
      </c>
      <c r="EP18" s="714" t="s">
        <v>389</v>
      </c>
      <c r="EQ18" s="714" t="s">
        <v>410</v>
      </c>
      <c r="ER18" s="870" t="s">
        <v>410</v>
      </c>
      <c r="ES18" s="714" t="s">
        <v>389</v>
      </c>
      <c r="ET18" s="714" t="s">
        <v>410</v>
      </c>
      <c r="EU18" s="870" t="s">
        <v>410</v>
      </c>
      <c r="EV18" s="878">
        <v>1</v>
      </c>
      <c r="EW18" s="714" t="s">
        <v>410</v>
      </c>
      <c r="EX18" s="850">
        <v>63</v>
      </c>
      <c r="EY18" s="714" t="s">
        <v>389</v>
      </c>
      <c r="EZ18" s="714" t="s">
        <v>410</v>
      </c>
      <c r="FA18" s="714" t="s">
        <v>392</v>
      </c>
      <c r="FB18" s="714" t="s">
        <v>1307</v>
      </c>
      <c r="FC18" s="855" t="s">
        <v>1308</v>
      </c>
      <c r="FD18" s="855" t="s">
        <v>1853</v>
      </c>
      <c r="FE18" s="855" t="s">
        <v>1309</v>
      </c>
      <c r="FF18" s="714" t="s">
        <v>1310</v>
      </c>
      <c r="FG18" s="714" t="s">
        <v>1311</v>
      </c>
      <c r="FH18" s="714" t="s">
        <v>1312</v>
      </c>
      <c r="FI18" s="714" t="s">
        <v>410</v>
      </c>
      <c r="FJ18" s="714" t="s">
        <v>410</v>
      </c>
      <c r="FK18" s="714" t="s">
        <v>1313</v>
      </c>
      <c r="FL18" s="714" t="s">
        <v>1314</v>
      </c>
      <c r="FM18" s="873" t="s">
        <v>1315</v>
      </c>
      <c r="FN18" s="714" t="s">
        <v>1272</v>
      </c>
      <c r="FO18" s="714" t="s">
        <v>1273</v>
      </c>
      <c r="FP18" s="855" t="s">
        <v>1274</v>
      </c>
    </row>
    <row r="19" spans="2:172" ht="83" customHeight="1">
      <c r="B19" s="850" t="s">
        <v>5313</v>
      </c>
      <c r="C19" s="863"/>
      <c r="D19" s="850" t="s">
        <v>4933</v>
      </c>
      <c r="E19" s="850" t="s">
        <v>5314</v>
      </c>
      <c r="F19" s="879">
        <v>1</v>
      </c>
      <c r="G19" s="850" t="s">
        <v>4933</v>
      </c>
      <c r="I19" s="850" t="s">
        <v>5520</v>
      </c>
      <c r="J19" s="853" t="s">
        <v>5392</v>
      </c>
      <c r="K19" s="714" t="s">
        <v>198</v>
      </c>
      <c r="L19" s="714"/>
      <c r="M19" s="714" t="s">
        <v>1316</v>
      </c>
      <c r="N19" s="714" t="s">
        <v>1317</v>
      </c>
      <c r="O19" s="852">
        <v>2014</v>
      </c>
      <c r="P19" s="864">
        <v>43360</v>
      </c>
      <c r="Q19" s="906">
        <v>43830</v>
      </c>
      <c r="R19" s="866">
        <f t="shared" si="19"/>
        <v>470</v>
      </c>
      <c r="S19" s="714" t="s">
        <v>1318</v>
      </c>
      <c r="T19" s="714" t="s">
        <v>1319</v>
      </c>
      <c r="U19" s="714" t="s">
        <v>1320</v>
      </c>
      <c r="V19" s="714" t="s">
        <v>410</v>
      </c>
      <c r="W19" s="714" t="s">
        <v>410</v>
      </c>
      <c r="X19" s="714" t="s">
        <v>1321</v>
      </c>
      <c r="Y19" s="855" t="s">
        <v>1254</v>
      </c>
      <c r="Z19" s="714" t="s">
        <v>410</v>
      </c>
      <c r="AA19" s="714" t="s">
        <v>410</v>
      </c>
      <c r="AB19" s="714"/>
      <c r="AC19" s="714"/>
      <c r="AD19" s="714" t="s">
        <v>1322</v>
      </c>
      <c r="AE19" s="714" t="s">
        <v>1302</v>
      </c>
      <c r="AF19" s="714" t="s">
        <v>277</v>
      </c>
      <c r="AG19" s="714" t="s">
        <v>1282</v>
      </c>
      <c r="AH19" s="867">
        <v>749.48199999999997</v>
      </c>
      <c r="AI19" s="868">
        <f t="shared" si="1"/>
        <v>749.48199999999997</v>
      </c>
      <c r="AJ19" s="867">
        <f t="shared" si="2"/>
        <v>0</v>
      </c>
      <c r="AK19" s="867">
        <v>499.35500000000002</v>
      </c>
      <c r="AL19" s="869">
        <v>0.6663</v>
      </c>
      <c r="AM19" s="869">
        <v>2.3E-3</v>
      </c>
      <c r="AN19" s="869">
        <f t="shared" si="3"/>
        <v>0.66626683496067951</v>
      </c>
      <c r="AO19" s="869">
        <f t="shared" si="4"/>
        <v>3.3165039320492973E-5</v>
      </c>
      <c r="AP19" s="869"/>
      <c r="AQ19" s="869"/>
      <c r="AR19" s="869"/>
      <c r="AS19" s="869">
        <f t="shared" si="5"/>
        <v>0</v>
      </c>
      <c r="AT19" s="869">
        <f t="shared" si="6"/>
        <v>0</v>
      </c>
      <c r="AU19" s="867">
        <v>99.108000000000004</v>
      </c>
      <c r="AV19" s="869">
        <v>0.13220000000000001</v>
      </c>
      <c r="AW19" s="869">
        <f t="shared" si="7"/>
        <v>0.13223533053495615</v>
      </c>
      <c r="AX19" s="869">
        <f t="shared" si="8"/>
        <v>-3.5330534956135029E-5</v>
      </c>
      <c r="AY19" s="867">
        <v>81.385000000000005</v>
      </c>
      <c r="AZ19" s="869">
        <v>0.1086</v>
      </c>
      <c r="BA19" s="869">
        <f t="shared" si="9"/>
        <v>0.1085883316744098</v>
      </c>
      <c r="BB19" s="869">
        <f t="shared" si="10"/>
        <v>1.1668325590200035E-5</v>
      </c>
      <c r="BC19" s="867">
        <v>69.634</v>
      </c>
      <c r="BD19" s="869">
        <v>9.2899999999999996E-2</v>
      </c>
      <c r="BE19" s="869">
        <f t="shared" si="11"/>
        <v>9.2909502829954554E-2</v>
      </c>
      <c r="BF19" s="869">
        <f t="shared" si="12"/>
        <v>-9.5028299545579786E-6</v>
      </c>
      <c r="BG19" s="867"/>
      <c r="BH19" s="869"/>
      <c r="BI19" s="714" t="s">
        <v>410</v>
      </c>
      <c r="BJ19" s="714" t="s">
        <v>410</v>
      </c>
      <c r="BK19" s="714" t="s">
        <v>410</v>
      </c>
      <c r="BL19" s="714">
        <f t="shared" si="13"/>
        <v>0</v>
      </c>
      <c r="BM19" s="869">
        <f t="shared" si="14"/>
        <v>0</v>
      </c>
      <c r="BN19" s="867"/>
      <c r="BO19" s="869"/>
      <c r="BP19" s="869">
        <f t="shared" si="15"/>
        <v>0</v>
      </c>
      <c r="BQ19" s="869">
        <f t="shared" si="16"/>
        <v>0</v>
      </c>
      <c r="BR19" s="867">
        <v>500</v>
      </c>
      <c r="BS19" s="869">
        <v>2.0999999999999999E-3</v>
      </c>
      <c r="BT19" s="869"/>
      <c r="BU19" s="869"/>
      <c r="BV19" s="870">
        <v>939</v>
      </c>
      <c r="BW19" s="870">
        <v>914</v>
      </c>
      <c r="BX19" s="870">
        <v>759</v>
      </c>
      <c r="BY19" s="870">
        <v>55</v>
      </c>
      <c r="BZ19" s="870">
        <v>134</v>
      </c>
      <c r="CA19" s="870">
        <v>28</v>
      </c>
      <c r="CB19" s="870">
        <v>22</v>
      </c>
      <c r="CC19" s="870">
        <v>1</v>
      </c>
      <c r="CD19" s="870">
        <v>17</v>
      </c>
      <c r="CE19" s="870">
        <v>212</v>
      </c>
      <c r="CF19" s="870">
        <v>82</v>
      </c>
      <c r="CG19" s="870">
        <v>22</v>
      </c>
      <c r="CH19" s="870">
        <v>0</v>
      </c>
      <c r="CI19" s="870">
        <v>49</v>
      </c>
      <c r="CJ19" s="870">
        <v>65</v>
      </c>
      <c r="CK19" s="870">
        <v>69</v>
      </c>
      <c r="CL19" s="870">
        <v>1</v>
      </c>
      <c r="CM19" s="870">
        <v>0</v>
      </c>
      <c r="CN19" s="870">
        <v>2</v>
      </c>
      <c r="CO19" s="870">
        <v>0</v>
      </c>
      <c r="CP19" s="870">
        <v>0</v>
      </c>
      <c r="CQ19" s="870">
        <v>0</v>
      </c>
      <c r="CR19" s="870">
        <v>0</v>
      </c>
      <c r="CS19" s="871">
        <f>SUM(BY19:CR19)</f>
        <v>759</v>
      </c>
      <c r="CT19" s="871">
        <f t="shared" si="17"/>
        <v>759</v>
      </c>
      <c r="CU19" s="871">
        <f t="shared" si="18"/>
        <v>0</v>
      </c>
      <c r="CV19" s="872">
        <v>1255.0899999999999</v>
      </c>
      <c r="CW19" s="714" t="s">
        <v>1323</v>
      </c>
      <c r="CX19" s="714" t="s">
        <v>410</v>
      </c>
      <c r="CY19" s="869">
        <v>0.30980000000000002</v>
      </c>
      <c r="CZ19" s="907" t="s">
        <v>1259</v>
      </c>
      <c r="DA19" s="907"/>
      <c r="DB19" s="907"/>
      <c r="DC19" s="714" t="s">
        <v>392</v>
      </c>
      <c r="DD19" s="714" t="s">
        <v>1324</v>
      </c>
      <c r="DE19" s="714" t="s">
        <v>1261</v>
      </c>
      <c r="DF19" s="870">
        <v>6</v>
      </c>
      <c r="DG19" s="870" t="s">
        <v>410</v>
      </c>
      <c r="DH19" s="870" t="s">
        <v>410</v>
      </c>
      <c r="DI19" s="714" t="s">
        <v>392</v>
      </c>
      <c r="DJ19" s="714" t="s">
        <v>1325</v>
      </c>
      <c r="DK19" s="870">
        <v>270805</v>
      </c>
      <c r="DL19" s="714" t="s">
        <v>392</v>
      </c>
      <c r="DM19" s="714" t="s">
        <v>1326</v>
      </c>
      <c r="DN19" s="870">
        <v>391146</v>
      </c>
      <c r="DO19" s="714" t="s">
        <v>389</v>
      </c>
      <c r="DP19" s="714" t="s">
        <v>410</v>
      </c>
      <c r="DQ19" s="870" t="s">
        <v>410</v>
      </c>
      <c r="DR19" s="714" t="s">
        <v>389</v>
      </c>
      <c r="DS19" s="714" t="s">
        <v>410</v>
      </c>
      <c r="DT19" s="870"/>
      <c r="DU19" s="714" t="s">
        <v>389</v>
      </c>
      <c r="DV19" s="714" t="s">
        <v>410</v>
      </c>
      <c r="DW19" s="870" t="s">
        <v>410</v>
      </c>
      <c r="DX19" s="714" t="s">
        <v>389</v>
      </c>
      <c r="DY19" s="714" t="s">
        <v>410</v>
      </c>
      <c r="DZ19" s="870" t="s">
        <v>410</v>
      </c>
      <c r="EA19" s="714" t="s">
        <v>279</v>
      </c>
      <c r="EB19" s="714" t="s">
        <v>410</v>
      </c>
      <c r="EC19" s="870" t="s">
        <v>410</v>
      </c>
      <c r="ED19" s="714" t="s">
        <v>389</v>
      </c>
      <c r="EE19" s="714" t="s">
        <v>410</v>
      </c>
      <c r="EF19" s="870" t="s">
        <v>410</v>
      </c>
      <c r="EG19" s="714" t="s">
        <v>389</v>
      </c>
      <c r="EH19" s="714" t="s">
        <v>410</v>
      </c>
      <c r="EI19" s="870" t="s">
        <v>410</v>
      </c>
      <c r="EJ19" s="714" t="s">
        <v>389</v>
      </c>
      <c r="EK19" s="714" t="s">
        <v>410</v>
      </c>
      <c r="EL19" s="870" t="s">
        <v>410</v>
      </c>
      <c r="EM19" s="714" t="s">
        <v>389</v>
      </c>
      <c r="EN19" s="714" t="s">
        <v>410</v>
      </c>
      <c r="EO19" s="870" t="s">
        <v>410</v>
      </c>
      <c r="EP19" s="714" t="s">
        <v>392</v>
      </c>
      <c r="EQ19" s="908" t="s">
        <v>1327</v>
      </c>
      <c r="ER19" s="870">
        <v>127457</v>
      </c>
      <c r="ES19" s="714" t="s">
        <v>389</v>
      </c>
      <c r="ET19" s="714" t="s">
        <v>410</v>
      </c>
      <c r="EU19" s="870" t="s">
        <v>410</v>
      </c>
      <c r="EV19" s="878">
        <v>1</v>
      </c>
      <c r="EW19" s="714" t="s">
        <v>410</v>
      </c>
      <c r="EX19" s="854">
        <v>697</v>
      </c>
      <c r="EY19" s="714" t="s">
        <v>278</v>
      </c>
      <c r="EZ19" s="908" t="s">
        <v>1328</v>
      </c>
      <c r="FA19" s="714" t="s">
        <v>392</v>
      </c>
      <c r="FB19" s="714" t="s">
        <v>1329</v>
      </c>
      <c r="FC19" s="855" t="s">
        <v>1330</v>
      </c>
      <c r="FD19" s="855" t="s">
        <v>1331</v>
      </c>
      <c r="FE19" s="855" t="s">
        <v>1332</v>
      </c>
      <c r="FF19" s="714" t="s">
        <v>1333</v>
      </c>
      <c r="FG19" s="714" t="s">
        <v>1334</v>
      </c>
      <c r="FH19" s="714" t="s">
        <v>1335</v>
      </c>
      <c r="FI19" s="714">
        <v>19</v>
      </c>
      <c r="FJ19" s="714">
        <v>680</v>
      </c>
      <c r="FK19" s="714" t="s">
        <v>1336</v>
      </c>
      <c r="FL19" s="714" t="s">
        <v>1337</v>
      </c>
      <c r="FM19" s="855" t="s">
        <v>1338</v>
      </c>
      <c r="FN19" s="714" t="s">
        <v>1272</v>
      </c>
      <c r="FO19" s="714" t="s">
        <v>1273</v>
      </c>
      <c r="FP19" s="855" t="s">
        <v>1274</v>
      </c>
    </row>
    <row r="20" spans="2:172" ht="105.5" customHeight="1">
      <c r="B20" s="850" t="s">
        <v>5313</v>
      </c>
      <c r="C20" s="863"/>
      <c r="D20" s="850" t="s">
        <v>4934</v>
      </c>
      <c r="E20" s="850" t="s">
        <v>5314</v>
      </c>
      <c r="F20" s="863"/>
      <c r="H20" s="850" t="s">
        <v>4934</v>
      </c>
      <c r="I20" s="850" t="s">
        <v>5520</v>
      </c>
      <c r="J20" s="853" t="s">
        <v>5392</v>
      </c>
      <c r="K20" s="714" t="s">
        <v>198</v>
      </c>
      <c r="L20" s="712" t="s">
        <v>2619</v>
      </c>
      <c r="M20" s="712" t="s">
        <v>2625</v>
      </c>
      <c r="N20" s="712" t="s">
        <v>2626</v>
      </c>
      <c r="O20" s="909">
        <v>2018</v>
      </c>
      <c r="P20" s="910">
        <v>43497</v>
      </c>
      <c r="Q20" s="910">
        <v>43800</v>
      </c>
      <c r="R20" s="866">
        <f t="shared" si="19"/>
        <v>303</v>
      </c>
      <c r="S20" s="712"/>
      <c r="T20" s="712"/>
      <c r="U20" s="712"/>
      <c r="V20" s="712"/>
      <c r="W20" s="712"/>
      <c r="X20" s="712"/>
      <c r="Y20" s="712"/>
      <c r="Z20" s="712"/>
      <c r="AA20" s="712"/>
      <c r="AB20" s="714" t="s">
        <v>2755</v>
      </c>
      <c r="AC20" s="712" t="s">
        <v>2756</v>
      </c>
      <c r="AD20" s="712" t="s">
        <v>2628</v>
      </c>
      <c r="AE20" s="712" t="s">
        <v>2628</v>
      </c>
      <c r="AF20" s="712" t="s">
        <v>277</v>
      </c>
      <c r="AG20" s="714"/>
      <c r="AH20" s="911">
        <v>1.7010000000000001</v>
      </c>
      <c r="AI20" s="868">
        <f>AK20+AU20+AY20+BC20+BG20+AP20+BN20</f>
        <v>1.7010000000000001</v>
      </c>
      <c r="AJ20" s="867">
        <f t="shared" si="2"/>
        <v>0</v>
      </c>
      <c r="AK20" s="912"/>
      <c r="AL20" s="912"/>
      <c r="AM20" s="912"/>
      <c r="AN20" s="869">
        <f t="shared" si="3"/>
        <v>0</v>
      </c>
      <c r="AO20" s="869">
        <f t="shared" si="4"/>
        <v>0</v>
      </c>
      <c r="AP20" s="912"/>
      <c r="AQ20" s="712"/>
      <c r="AR20" s="884">
        <v>1.2999999999999999E-3</v>
      </c>
      <c r="AS20" s="869">
        <f t="shared" si="5"/>
        <v>0</v>
      </c>
      <c r="AT20" s="869">
        <f t="shared" si="6"/>
        <v>0</v>
      </c>
      <c r="AU20" s="913">
        <v>1.1919999999999999</v>
      </c>
      <c r="AV20" s="712" t="s">
        <v>2640</v>
      </c>
      <c r="AW20" s="869">
        <f t="shared" si="7"/>
        <v>0.70076425631981176</v>
      </c>
      <c r="AX20" s="869">
        <f t="shared" si="8"/>
        <v>3.5743680188216054E-5</v>
      </c>
      <c r="AY20" s="914">
        <v>0.30199999999999999</v>
      </c>
      <c r="AZ20" s="712" t="s">
        <v>2651</v>
      </c>
      <c r="BA20" s="869">
        <f t="shared" si="9"/>
        <v>0.17754262198706641</v>
      </c>
      <c r="BB20" s="869">
        <f t="shared" si="10"/>
        <v>-4.2621987066421285E-5</v>
      </c>
      <c r="BC20" s="914">
        <v>0.20699999999999999</v>
      </c>
      <c r="BD20" s="712" t="s">
        <v>2657</v>
      </c>
      <c r="BE20" s="869">
        <f t="shared" si="11"/>
        <v>0.12169312169312169</v>
      </c>
      <c r="BF20" s="869">
        <f t="shared" si="12"/>
        <v>6.8783068783162538E-6</v>
      </c>
      <c r="BG20" s="712"/>
      <c r="BH20" s="712"/>
      <c r="BI20" s="712"/>
      <c r="BJ20" s="712"/>
      <c r="BK20" s="712"/>
      <c r="BL20" s="714">
        <f t="shared" si="13"/>
        <v>0</v>
      </c>
      <c r="BM20" s="869">
        <f t="shared" si="14"/>
        <v>0</v>
      </c>
      <c r="BN20" s="712"/>
      <c r="BO20" s="712"/>
      <c r="BP20" s="869">
        <f t="shared" si="15"/>
        <v>0</v>
      </c>
      <c r="BQ20" s="869">
        <f t="shared" si="16"/>
        <v>0</v>
      </c>
      <c r="BR20" s="712"/>
      <c r="BS20" s="712"/>
      <c r="BT20" s="712" t="s">
        <v>410</v>
      </c>
      <c r="BU20" s="712" t="s">
        <v>410</v>
      </c>
      <c r="BV20" s="909">
        <v>14</v>
      </c>
      <c r="BW20" s="909">
        <v>14</v>
      </c>
      <c r="BX20" s="909">
        <v>10</v>
      </c>
      <c r="BY20" s="909">
        <v>1</v>
      </c>
      <c r="BZ20" s="909">
        <v>1</v>
      </c>
      <c r="CA20" s="909">
        <v>1</v>
      </c>
      <c r="CB20" s="909">
        <v>0</v>
      </c>
      <c r="CC20" s="909">
        <v>0</v>
      </c>
      <c r="CD20" s="909">
        <v>2</v>
      </c>
      <c r="CE20" s="909">
        <v>0</v>
      </c>
      <c r="CF20" s="909">
        <v>1</v>
      </c>
      <c r="CG20" s="909">
        <v>0</v>
      </c>
      <c r="CH20" s="909">
        <v>0</v>
      </c>
      <c r="CI20" s="909">
        <v>1</v>
      </c>
      <c r="CJ20" s="909">
        <v>0</v>
      </c>
      <c r="CK20" s="909">
        <v>3</v>
      </c>
      <c r="CL20" s="909">
        <v>0</v>
      </c>
      <c r="CM20" s="909">
        <v>0</v>
      </c>
      <c r="CN20" s="909">
        <v>0</v>
      </c>
      <c r="CO20" s="909">
        <v>0</v>
      </c>
      <c r="CP20" s="909">
        <v>0</v>
      </c>
      <c r="CQ20" s="909">
        <v>0</v>
      </c>
      <c r="CR20" s="909">
        <v>0</v>
      </c>
      <c r="CS20" s="915">
        <v>10</v>
      </c>
      <c r="CT20" s="871">
        <f t="shared" si="17"/>
        <v>10</v>
      </c>
      <c r="CU20" s="871">
        <f t="shared" si="18"/>
        <v>0</v>
      </c>
      <c r="CV20" s="911">
        <v>2762</v>
      </c>
      <c r="CW20" s="712" t="s">
        <v>2664</v>
      </c>
      <c r="CX20" s="712" t="s">
        <v>410</v>
      </c>
      <c r="CY20" s="712"/>
      <c r="CZ20" s="712"/>
      <c r="DA20" s="712" t="s">
        <v>2665</v>
      </c>
      <c r="DB20" s="712" t="s">
        <v>2757</v>
      </c>
      <c r="DC20" s="712" t="s">
        <v>389</v>
      </c>
      <c r="DD20" s="712" t="s">
        <v>410</v>
      </c>
      <c r="DE20" s="712" t="s">
        <v>410</v>
      </c>
      <c r="DF20" s="712"/>
      <c r="DG20" s="712" t="s">
        <v>410</v>
      </c>
      <c r="DH20" s="909">
        <v>2</v>
      </c>
      <c r="DI20" s="712" t="s">
        <v>392</v>
      </c>
      <c r="DJ20" s="714" t="s">
        <v>2758</v>
      </c>
      <c r="DK20" s="712" t="s">
        <v>2672</v>
      </c>
      <c r="DL20" s="712" t="s">
        <v>392</v>
      </c>
      <c r="DM20" s="714" t="s">
        <v>2759</v>
      </c>
      <c r="DN20" s="712" t="s">
        <v>2674</v>
      </c>
      <c r="DO20" s="712" t="s">
        <v>389</v>
      </c>
      <c r="DP20" s="712" t="s">
        <v>410</v>
      </c>
      <c r="DQ20" s="712" t="s">
        <v>410</v>
      </c>
      <c r="DR20" s="712" t="s">
        <v>389</v>
      </c>
      <c r="DS20" s="712" t="s">
        <v>410</v>
      </c>
      <c r="DT20" s="712"/>
      <c r="DU20" s="712" t="s">
        <v>389</v>
      </c>
      <c r="DV20" s="712" t="s">
        <v>410</v>
      </c>
      <c r="DW20" s="712" t="s">
        <v>410</v>
      </c>
      <c r="DX20" s="712" t="s">
        <v>389</v>
      </c>
      <c r="DY20" s="712" t="s">
        <v>410</v>
      </c>
      <c r="DZ20" s="712" t="s">
        <v>410</v>
      </c>
      <c r="EA20" s="714" t="s">
        <v>279</v>
      </c>
      <c r="EB20" s="712" t="s">
        <v>410</v>
      </c>
      <c r="EC20" s="712" t="s">
        <v>410</v>
      </c>
      <c r="ED20" s="712" t="s">
        <v>392</v>
      </c>
      <c r="EE20" s="714" t="s">
        <v>2760</v>
      </c>
      <c r="EF20" s="712" t="s">
        <v>2674</v>
      </c>
      <c r="EG20" s="712" t="s">
        <v>389</v>
      </c>
      <c r="EH20" s="712" t="s">
        <v>410</v>
      </c>
      <c r="EI20" s="712" t="s">
        <v>410</v>
      </c>
      <c r="EJ20" s="712" t="s">
        <v>389</v>
      </c>
      <c r="EK20" s="712" t="s">
        <v>410</v>
      </c>
      <c r="EL20" s="712" t="s">
        <v>410</v>
      </c>
      <c r="EM20" s="712" t="s">
        <v>392</v>
      </c>
      <c r="EN20" s="714" t="s">
        <v>2761</v>
      </c>
      <c r="EO20" s="909">
        <v>8</v>
      </c>
      <c r="EP20" s="712" t="s">
        <v>389</v>
      </c>
      <c r="EQ20" s="712" t="s">
        <v>410</v>
      </c>
      <c r="ER20" s="712" t="s">
        <v>410</v>
      </c>
      <c r="ES20" s="712" t="s">
        <v>389</v>
      </c>
      <c r="ET20" s="712" t="s">
        <v>410</v>
      </c>
      <c r="EU20" s="712" t="s">
        <v>410</v>
      </c>
      <c r="EV20" s="712"/>
      <c r="EW20" s="712"/>
      <c r="EX20" s="712"/>
      <c r="EY20" s="712" t="s">
        <v>389</v>
      </c>
      <c r="EZ20" s="712" t="s">
        <v>410</v>
      </c>
      <c r="FA20" s="712" t="s">
        <v>392</v>
      </c>
      <c r="FB20" s="712" t="s">
        <v>2678</v>
      </c>
      <c r="FC20" s="712" t="s">
        <v>410</v>
      </c>
      <c r="FD20" s="712" t="s">
        <v>410</v>
      </c>
      <c r="FE20" s="712" t="s">
        <v>410</v>
      </c>
      <c r="FF20" s="712" t="s">
        <v>2684</v>
      </c>
      <c r="FG20" s="712" t="s">
        <v>2687</v>
      </c>
      <c r="FH20" s="714" t="s">
        <v>2762</v>
      </c>
      <c r="FI20" s="909">
        <v>1</v>
      </c>
      <c r="FJ20" s="909">
        <v>34</v>
      </c>
      <c r="FK20" s="714" t="s">
        <v>2763</v>
      </c>
      <c r="FL20" s="712" t="s">
        <v>2691</v>
      </c>
      <c r="FM20" s="712" t="s">
        <v>2764</v>
      </c>
      <c r="FN20" s="714" t="s">
        <v>2765</v>
      </c>
      <c r="FO20" s="712" t="s">
        <v>2697</v>
      </c>
      <c r="FP20" s="712" t="s">
        <v>2766</v>
      </c>
    </row>
    <row r="21" spans="2:172" ht="110.5" customHeight="1">
      <c r="B21" s="850" t="s">
        <v>5313</v>
      </c>
      <c r="C21" s="863"/>
      <c r="D21" s="850" t="s">
        <v>4934</v>
      </c>
      <c r="E21" s="850" t="s">
        <v>5314</v>
      </c>
      <c r="F21" s="863"/>
      <c r="H21" s="850" t="s">
        <v>4934</v>
      </c>
      <c r="I21" s="850" t="s">
        <v>5520</v>
      </c>
      <c r="J21" s="853" t="s">
        <v>5392</v>
      </c>
      <c r="K21" s="714" t="s">
        <v>198</v>
      </c>
      <c r="L21" s="712" t="s">
        <v>2620</v>
      </c>
      <c r="M21" s="712" t="s">
        <v>2625</v>
      </c>
      <c r="N21" s="712" t="s">
        <v>2626</v>
      </c>
      <c r="O21" s="909">
        <v>2019</v>
      </c>
      <c r="P21" s="910">
        <v>43544</v>
      </c>
      <c r="Q21" s="906">
        <v>43830</v>
      </c>
      <c r="R21" s="866">
        <f t="shared" si="19"/>
        <v>286</v>
      </c>
      <c r="S21" s="712"/>
      <c r="T21" s="712"/>
      <c r="U21" s="712"/>
      <c r="V21" s="712"/>
      <c r="W21" s="712"/>
      <c r="X21" s="712"/>
      <c r="Y21" s="712"/>
      <c r="Z21" s="712"/>
      <c r="AA21" s="712"/>
      <c r="AB21" s="714" t="s">
        <v>2767</v>
      </c>
      <c r="AC21" s="712" t="s">
        <v>2768</v>
      </c>
      <c r="AD21" s="712" t="s">
        <v>2629</v>
      </c>
      <c r="AE21" s="712" t="s">
        <v>2634</v>
      </c>
      <c r="AF21" s="712" t="s">
        <v>277</v>
      </c>
      <c r="AG21" s="712" t="s">
        <v>2639</v>
      </c>
      <c r="AH21" s="914">
        <v>0.71499999999999997</v>
      </c>
      <c r="AI21" s="868">
        <f t="shared" si="1"/>
        <v>0.71500000000000008</v>
      </c>
      <c r="AJ21" s="867">
        <f t="shared" si="2"/>
        <v>0</v>
      </c>
      <c r="AK21" s="712"/>
      <c r="AL21" s="712"/>
      <c r="AM21" s="712"/>
      <c r="AN21" s="869">
        <f t="shared" si="3"/>
        <v>0</v>
      </c>
      <c r="AO21" s="869">
        <f t="shared" si="4"/>
        <v>0</v>
      </c>
      <c r="AP21" s="914"/>
      <c r="AQ21" s="712"/>
      <c r="AR21" s="712" t="s">
        <v>2646</v>
      </c>
      <c r="AS21" s="869">
        <f t="shared" si="5"/>
        <v>0</v>
      </c>
      <c r="AT21" s="869">
        <f t="shared" si="6"/>
        <v>0</v>
      </c>
      <c r="AU21" s="914">
        <v>0.53800000000000003</v>
      </c>
      <c r="AV21" s="712" t="s">
        <v>2641</v>
      </c>
      <c r="AW21" s="869">
        <f t="shared" si="7"/>
        <v>0.75244755244755257</v>
      </c>
      <c r="AX21" s="869">
        <f t="shared" si="8"/>
        <v>-4.7552447552612342E-5</v>
      </c>
      <c r="AY21" s="914">
        <v>0.13200000000000001</v>
      </c>
      <c r="AZ21" s="712" t="s">
        <v>2652</v>
      </c>
      <c r="BA21" s="869">
        <f t="shared" si="9"/>
        <v>0.18461538461538463</v>
      </c>
      <c r="BB21" s="869">
        <f t="shared" si="10"/>
        <v>-1.5384615384639311E-5</v>
      </c>
      <c r="BC21" s="914">
        <v>4.4999999999999998E-2</v>
      </c>
      <c r="BD21" s="712" t="s">
        <v>2658</v>
      </c>
      <c r="BE21" s="869">
        <f t="shared" si="11"/>
        <v>6.2937062937062943E-2</v>
      </c>
      <c r="BF21" s="869">
        <f t="shared" si="12"/>
        <v>6.2937062937057364E-5</v>
      </c>
      <c r="BG21" s="712"/>
      <c r="BH21" s="712"/>
      <c r="BI21" s="712"/>
      <c r="BJ21" s="712"/>
      <c r="BK21" s="712"/>
      <c r="BL21" s="714">
        <f t="shared" si="13"/>
        <v>0</v>
      </c>
      <c r="BM21" s="869">
        <f t="shared" si="14"/>
        <v>0</v>
      </c>
      <c r="BN21" s="712"/>
      <c r="BO21" s="712"/>
      <c r="BP21" s="869">
        <f t="shared" si="15"/>
        <v>0</v>
      </c>
      <c r="BQ21" s="869">
        <f t="shared" si="16"/>
        <v>0</v>
      </c>
      <c r="BR21" s="712"/>
      <c r="BS21" s="712"/>
      <c r="BT21" s="712" t="s">
        <v>2662</v>
      </c>
      <c r="BU21" s="712" t="s">
        <v>2650</v>
      </c>
      <c r="BV21" s="909">
        <v>4</v>
      </c>
      <c r="BW21" s="909">
        <v>4</v>
      </c>
      <c r="BX21" s="909">
        <v>3</v>
      </c>
      <c r="BY21" s="909">
        <v>0</v>
      </c>
      <c r="BZ21" s="909">
        <v>0</v>
      </c>
      <c r="CA21" s="909">
        <v>0</v>
      </c>
      <c r="CB21" s="909">
        <v>0</v>
      </c>
      <c r="CC21" s="909">
        <v>0</v>
      </c>
      <c r="CD21" s="909">
        <v>1</v>
      </c>
      <c r="CE21" s="909">
        <v>0</v>
      </c>
      <c r="CF21" s="909">
        <v>0</v>
      </c>
      <c r="CG21" s="909">
        <v>0</v>
      </c>
      <c r="CH21" s="909">
        <v>0</v>
      </c>
      <c r="CI21" s="909">
        <v>0</v>
      </c>
      <c r="CJ21" s="909">
        <v>0</v>
      </c>
      <c r="CK21" s="909">
        <v>2</v>
      </c>
      <c r="CL21" s="909">
        <v>0</v>
      </c>
      <c r="CM21" s="909">
        <v>0</v>
      </c>
      <c r="CN21" s="909">
        <v>0</v>
      </c>
      <c r="CO21" s="909">
        <v>0</v>
      </c>
      <c r="CP21" s="909">
        <v>0</v>
      </c>
      <c r="CQ21" s="909">
        <v>0</v>
      </c>
      <c r="CR21" s="909">
        <v>0</v>
      </c>
      <c r="CS21" s="915">
        <v>3</v>
      </c>
      <c r="CT21" s="871">
        <f t="shared" si="17"/>
        <v>3</v>
      </c>
      <c r="CU21" s="871">
        <f t="shared" si="18"/>
        <v>0</v>
      </c>
      <c r="CV21" s="887">
        <v>0.69099999999999995</v>
      </c>
      <c r="CW21" s="712" t="s">
        <v>2664</v>
      </c>
      <c r="CX21" s="712" t="s">
        <v>410</v>
      </c>
      <c r="CY21" s="712"/>
      <c r="CZ21" s="712"/>
      <c r="DA21" s="712" t="s">
        <v>2666</v>
      </c>
      <c r="DB21" s="712" t="s">
        <v>2757</v>
      </c>
      <c r="DC21" s="712" t="s">
        <v>389</v>
      </c>
      <c r="DD21" s="712" t="s">
        <v>410</v>
      </c>
      <c r="DE21" s="712" t="s">
        <v>410</v>
      </c>
      <c r="DF21" s="712" t="s">
        <v>410</v>
      </c>
      <c r="DG21" s="712" t="s">
        <v>410</v>
      </c>
      <c r="DH21" s="909">
        <v>6</v>
      </c>
      <c r="DI21" s="712" t="s">
        <v>392</v>
      </c>
      <c r="DJ21" s="712" t="s">
        <v>2671</v>
      </c>
      <c r="DK21" s="909">
        <v>98</v>
      </c>
      <c r="DL21" s="712" t="s">
        <v>392</v>
      </c>
      <c r="DM21" s="712" t="s">
        <v>551</v>
      </c>
      <c r="DN21" s="909">
        <v>155</v>
      </c>
      <c r="DO21" s="712" t="s">
        <v>389</v>
      </c>
      <c r="DP21" s="712" t="s">
        <v>410</v>
      </c>
      <c r="DQ21" s="712" t="s">
        <v>410</v>
      </c>
      <c r="DR21" s="712" t="s">
        <v>389</v>
      </c>
      <c r="DS21" s="712" t="s">
        <v>410</v>
      </c>
      <c r="DT21" s="712"/>
      <c r="DU21" s="712" t="s">
        <v>389</v>
      </c>
      <c r="DV21" s="712" t="s">
        <v>410</v>
      </c>
      <c r="DW21" s="712" t="s">
        <v>410</v>
      </c>
      <c r="DX21" s="712" t="s">
        <v>389</v>
      </c>
      <c r="DY21" s="712" t="s">
        <v>410</v>
      </c>
      <c r="DZ21" s="712" t="s">
        <v>410</v>
      </c>
      <c r="EA21" s="714" t="s">
        <v>279</v>
      </c>
      <c r="EB21" s="712" t="s">
        <v>410</v>
      </c>
      <c r="EC21" s="712" t="s">
        <v>410</v>
      </c>
      <c r="ED21" s="712" t="s">
        <v>392</v>
      </c>
      <c r="EE21" s="712" t="s">
        <v>551</v>
      </c>
      <c r="EF21" s="909">
        <v>155</v>
      </c>
      <c r="EG21" s="712" t="s">
        <v>389</v>
      </c>
      <c r="EH21" s="712" t="s">
        <v>410</v>
      </c>
      <c r="EI21" s="712" t="s">
        <v>410</v>
      </c>
      <c r="EJ21" s="712" t="s">
        <v>389</v>
      </c>
      <c r="EK21" s="712" t="s">
        <v>410</v>
      </c>
      <c r="EL21" s="712" t="s">
        <v>410</v>
      </c>
      <c r="EM21" s="712" t="s">
        <v>392</v>
      </c>
      <c r="EN21" s="712" t="s">
        <v>2677</v>
      </c>
      <c r="EO21" s="909">
        <v>9</v>
      </c>
      <c r="EP21" s="712" t="s">
        <v>389</v>
      </c>
      <c r="EQ21" s="712" t="s">
        <v>410</v>
      </c>
      <c r="ER21" s="712" t="s">
        <v>410</v>
      </c>
      <c r="ES21" s="712" t="s">
        <v>389</v>
      </c>
      <c r="ET21" s="712" t="s">
        <v>410</v>
      </c>
      <c r="EU21" s="712" t="s">
        <v>410</v>
      </c>
      <c r="EV21" s="712"/>
      <c r="EW21" s="712"/>
      <c r="EX21" s="712"/>
      <c r="EY21" s="712" t="s">
        <v>389</v>
      </c>
      <c r="EZ21" s="712" t="s">
        <v>410</v>
      </c>
      <c r="FA21" s="712" t="s">
        <v>392</v>
      </c>
      <c r="FB21" s="712" t="s">
        <v>2679</v>
      </c>
      <c r="FC21" s="712" t="s">
        <v>410</v>
      </c>
      <c r="FD21" s="712" t="s">
        <v>410</v>
      </c>
      <c r="FE21" s="712" t="s">
        <v>410</v>
      </c>
      <c r="FF21" s="714" t="s">
        <v>2769</v>
      </c>
      <c r="FG21" s="712" t="s">
        <v>2687</v>
      </c>
      <c r="FH21" s="712" t="s">
        <v>2688</v>
      </c>
      <c r="FI21" s="909">
        <v>1</v>
      </c>
      <c r="FJ21" s="909">
        <v>15</v>
      </c>
      <c r="FK21" s="714" t="s">
        <v>2770</v>
      </c>
      <c r="FL21" s="712" t="s">
        <v>2692</v>
      </c>
      <c r="FM21" s="712" t="s">
        <v>2771</v>
      </c>
      <c r="FN21" s="714" t="s">
        <v>2765</v>
      </c>
      <c r="FO21" s="712" t="s">
        <v>2697</v>
      </c>
      <c r="FP21" s="712" t="s">
        <v>2766</v>
      </c>
    </row>
    <row r="22" spans="2:172" ht="98" customHeight="1">
      <c r="B22" s="850" t="s">
        <v>5313</v>
      </c>
      <c r="C22" s="863"/>
      <c r="D22" s="850" t="s">
        <v>4934</v>
      </c>
      <c r="E22" s="850" t="s">
        <v>5314</v>
      </c>
      <c r="F22" s="863"/>
      <c r="H22" s="850" t="s">
        <v>4934</v>
      </c>
      <c r="I22" s="850" t="s">
        <v>5520</v>
      </c>
      <c r="J22" s="853" t="s">
        <v>5392</v>
      </c>
      <c r="K22" s="714" t="s">
        <v>198</v>
      </c>
      <c r="L22" s="712" t="s">
        <v>2621</v>
      </c>
      <c r="M22" s="712" t="s">
        <v>2625</v>
      </c>
      <c r="N22" s="712" t="s">
        <v>2626</v>
      </c>
      <c r="O22" s="909">
        <v>2018</v>
      </c>
      <c r="P22" s="916">
        <v>43607</v>
      </c>
      <c r="Q22" s="906">
        <v>43830</v>
      </c>
      <c r="R22" s="866">
        <f t="shared" si="19"/>
        <v>223</v>
      </c>
      <c r="S22" s="712"/>
      <c r="T22" s="712"/>
      <c r="U22" s="712"/>
      <c r="V22" s="712"/>
      <c r="W22" s="712"/>
      <c r="X22" s="712"/>
      <c r="Y22" s="712"/>
      <c r="Z22" s="712"/>
      <c r="AA22" s="712"/>
      <c r="AB22" s="712" t="s">
        <v>2627</v>
      </c>
      <c r="AC22" s="712" t="s">
        <v>2772</v>
      </c>
      <c r="AD22" s="712" t="s">
        <v>2630</v>
      </c>
      <c r="AE22" s="712" t="s">
        <v>2635</v>
      </c>
      <c r="AF22" s="712" t="s">
        <v>277</v>
      </c>
      <c r="AG22" s="712" t="s">
        <v>2639</v>
      </c>
      <c r="AH22" s="911">
        <v>3.7040000000000002</v>
      </c>
      <c r="AI22" s="868">
        <f t="shared" si="1"/>
        <v>3.7040000000000002</v>
      </c>
      <c r="AJ22" s="867">
        <f t="shared" si="2"/>
        <v>0</v>
      </c>
      <c r="AK22" s="912"/>
      <c r="AL22" s="912"/>
      <c r="AM22" s="912"/>
      <c r="AN22" s="869">
        <f t="shared" si="3"/>
        <v>0</v>
      </c>
      <c r="AO22" s="869">
        <f t="shared" si="4"/>
        <v>0</v>
      </c>
      <c r="AP22" s="912"/>
      <c r="AQ22" s="712"/>
      <c r="AR22" s="712" t="s">
        <v>2647</v>
      </c>
      <c r="AS22" s="869">
        <f t="shared" si="5"/>
        <v>0</v>
      </c>
      <c r="AT22" s="869">
        <f t="shared" si="6"/>
        <v>0</v>
      </c>
      <c r="AU22" s="913">
        <v>2.93</v>
      </c>
      <c r="AV22" s="712" t="s">
        <v>2642</v>
      </c>
      <c r="AW22" s="869">
        <f t="shared" si="7"/>
        <v>0.79103671706263501</v>
      </c>
      <c r="AX22" s="869">
        <f t="shared" si="8"/>
        <v>-3.6717062634972208E-5</v>
      </c>
      <c r="AY22" s="914">
        <v>0.48299999999999998</v>
      </c>
      <c r="AZ22" s="712" t="s">
        <v>2653</v>
      </c>
      <c r="BA22" s="869">
        <f t="shared" si="9"/>
        <v>0.13039956803455721</v>
      </c>
      <c r="BB22" s="869">
        <f t="shared" si="10"/>
        <v>4.3196544277646076E-7</v>
      </c>
      <c r="BC22" s="914">
        <v>0.29099999999999998</v>
      </c>
      <c r="BD22" s="712" t="s">
        <v>2659</v>
      </c>
      <c r="BE22" s="869">
        <f t="shared" si="11"/>
        <v>7.8563714902807766E-2</v>
      </c>
      <c r="BF22" s="869">
        <f t="shared" si="12"/>
        <v>3.6285097192237381E-5</v>
      </c>
      <c r="BG22" s="712"/>
      <c r="BH22" s="712"/>
      <c r="BI22" s="712"/>
      <c r="BJ22" s="712"/>
      <c r="BK22" s="712"/>
      <c r="BL22" s="714">
        <f t="shared" si="13"/>
        <v>0</v>
      </c>
      <c r="BM22" s="869">
        <f t="shared" si="14"/>
        <v>0</v>
      </c>
      <c r="BN22" s="712"/>
      <c r="BO22" s="712"/>
      <c r="BP22" s="869">
        <f t="shared" si="15"/>
        <v>0</v>
      </c>
      <c r="BQ22" s="869">
        <f t="shared" si="16"/>
        <v>0</v>
      </c>
      <c r="BR22" s="712"/>
      <c r="BS22" s="712"/>
      <c r="BT22" s="712" t="s">
        <v>410</v>
      </c>
      <c r="BU22" s="712" t="s">
        <v>410</v>
      </c>
      <c r="BV22" s="909">
        <v>12</v>
      </c>
      <c r="BW22" s="909">
        <v>12</v>
      </c>
      <c r="BX22" s="909">
        <v>12</v>
      </c>
      <c r="BY22" s="909">
        <v>0</v>
      </c>
      <c r="BZ22" s="909">
        <v>10</v>
      </c>
      <c r="CA22" s="909">
        <v>0</v>
      </c>
      <c r="CB22" s="909">
        <v>0</v>
      </c>
      <c r="CC22" s="909">
        <v>0</v>
      </c>
      <c r="CD22" s="909">
        <v>0</v>
      </c>
      <c r="CE22" s="909">
        <v>0</v>
      </c>
      <c r="CF22" s="909">
        <v>0</v>
      </c>
      <c r="CG22" s="909">
        <v>0</v>
      </c>
      <c r="CH22" s="909">
        <v>0</v>
      </c>
      <c r="CI22" s="909">
        <v>0</v>
      </c>
      <c r="CJ22" s="909">
        <v>0</v>
      </c>
      <c r="CK22" s="909">
        <v>2</v>
      </c>
      <c r="CL22" s="909">
        <v>0</v>
      </c>
      <c r="CM22" s="909">
        <v>0</v>
      </c>
      <c r="CN22" s="909">
        <v>0</v>
      </c>
      <c r="CO22" s="909">
        <v>0</v>
      </c>
      <c r="CP22" s="909">
        <v>0</v>
      </c>
      <c r="CQ22" s="909">
        <v>0</v>
      </c>
      <c r="CR22" s="909">
        <v>0</v>
      </c>
      <c r="CS22" s="915">
        <v>12</v>
      </c>
      <c r="CT22" s="871">
        <f t="shared" si="17"/>
        <v>12</v>
      </c>
      <c r="CU22" s="871">
        <f t="shared" si="18"/>
        <v>0</v>
      </c>
      <c r="CV22" s="911">
        <v>2100</v>
      </c>
      <c r="CW22" s="712" t="s">
        <v>2664</v>
      </c>
      <c r="CX22" s="712" t="s">
        <v>410</v>
      </c>
      <c r="CY22" s="712"/>
      <c r="CZ22" s="712"/>
      <c r="DA22" s="712" t="s">
        <v>2667</v>
      </c>
      <c r="DB22" s="712" t="s">
        <v>2757</v>
      </c>
      <c r="DC22" s="712" t="s">
        <v>389</v>
      </c>
      <c r="DD22" s="712" t="s">
        <v>410</v>
      </c>
      <c r="DE22" s="712" t="s">
        <v>410</v>
      </c>
      <c r="DF22" s="712" t="s">
        <v>410</v>
      </c>
      <c r="DG22" s="712" t="s">
        <v>410</v>
      </c>
      <c r="DH22" s="909">
        <v>2</v>
      </c>
      <c r="DI22" s="712" t="s">
        <v>389</v>
      </c>
      <c r="DJ22" s="712" t="s">
        <v>410</v>
      </c>
      <c r="DK22" s="712" t="s">
        <v>410</v>
      </c>
      <c r="DL22" s="712" t="s">
        <v>392</v>
      </c>
      <c r="DM22" s="714" t="s">
        <v>2773</v>
      </c>
      <c r="DN22" s="712" t="s">
        <v>2675</v>
      </c>
      <c r="DO22" s="712" t="s">
        <v>389</v>
      </c>
      <c r="DP22" s="712" t="s">
        <v>410</v>
      </c>
      <c r="DQ22" s="712" t="s">
        <v>410</v>
      </c>
      <c r="DR22" s="712" t="s">
        <v>389</v>
      </c>
      <c r="DS22" s="712" t="s">
        <v>410</v>
      </c>
      <c r="DT22" s="712"/>
      <c r="DU22" s="712" t="s">
        <v>389</v>
      </c>
      <c r="DV22" s="712" t="s">
        <v>410</v>
      </c>
      <c r="DW22" s="712" t="s">
        <v>410</v>
      </c>
      <c r="DX22" s="712" t="s">
        <v>389</v>
      </c>
      <c r="DY22" s="712" t="s">
        <v>410</v>
      </c>
      <c r="DZ22" s="712" t="s">
        <v>410</v>
      </c>
      <c r="EA22" s="714" t="s">
        <v>279</v>
      </c>
      <c r="EB22" s="712" t="s">
        <v>410</v>
      </c>
      <c r="EC22" s="712" t="s">
        <v>410</v>
      </c>
      <c r="ED22" s="712" t="s">
        <v>392</v>
      </c>
      <c r="EE22" s="714" t="s">
        <v>2774</v>
      </c>
      <c r="EF22" s="712" t="s">
        <v>2676</v>
      </c>
      <c r="EG22" s="712" t="s">
        <v>389</v>
      </c>
      <c r="EH22" s="712" t="s">
        <v>410</v>
      </c>
      <c r="EI22" s="712" t="s">
        <v>410</v>
      </c>
      <c r="EJ22" s="712" t="s">
        <v>389</v>
      </c>
      <c r="EK22" s="712" t="s">
        <v>410</v>
      </c>
      <c r="EL22" s="712" t="s">
        <v>410</v>
      </c>
      <c r="EM22" s="712" t="s">
        <v>392</v>
      </c>
      <c r="EN22" s="712" t="s">
        <v>2677</v>
      </c>
      <c r="EO22" s="909">
        <v>5</v>
      </c>
      <c r="EP22" s="712" t="s">
        <v>389</v>
      </c>
      <c r="EQ22" s="712" t="s">
        <v>410</v>
      </c>
      <c r="ER22" s="712" t="s">
        <v>410</v>
      </c>
      <c r="ES22" s="712" t="s">
        <v>389</v>
      </c>
      <c r="ET22" s="712" t="s">
        <v>410</v>
      </c>
      <c r="EU22" s="712" t="s">
        <v>410</v>
      </c>
      <c r="EV22" s="712"/>
      <c r="EW22" s="712"/>
      <c r="EX22" s="712"/>
      <c r="EY22" s="712" t="s">
        <v>389</v>
      </c>
      <c r="EZ22" s="712" t="s">
        <v>410</v>
      </c>
      <c r="FA22" s="712" t="s">
        <v>392</v>
      </c>
      <c r="FB22" s="712" t="s">
        <v>2680</v>
      </c>
      <c r="FC22" s="712" t="s">
        <v>410</v>
      </c>
      <c r="FD22" s="712" t="s">
        <v>410</v>
      </c>
      <c r="FE22" s="712" t="s">
        <v>410</v>
      </c>
      <c r="FF22" s="714" t="s">
        <v>2775</v>
      </c>
      <c r="FG22" s="712" t="s">
        <v>2687</v>
      </c>
      <c r="FH22" s="712" t="s">
        <v>2689</v>
      </c>
      <c r="FI22" s="909">
        <v>1</v>
      </c>
      <c r="FJ22" s="909">
        <v>26</v>
      </c>
      <c r="FK22" s="714" t="s">
        <v>2776</v>
      </c>
      <c r="FL22" s="712" t="s">
        <v>2693</v>
      </c>
      <c r="FM22" s="712" t="s">
        <v>2777</v>
      </c>
      <c r="FN22" s="714" t="s">
        <v>2765</v>
      </c>
      <c r="FO22" s="712" t="s">
        <v>2697</v>
      </c>
      <c r="FP22" s="712" t="s">
        <v>2766</v>
      </c>
    </row>
    <row r="23" spans="2:172" ht="80.5" customHeight="1">
      <c r="B23" s="850" t="s">
        <v>5313</v>
      </c>
      <c r="C23" s="863"/>
      <c r="D23" s="850" t="s">
        <v>4934</v>
      </c>
      <c r="E23" s="850" t="s">
        <v>5314</v>
      </c>
      <c r="F23" s="863"/>
      <c r="H23" s="850" t="s">
        <v>4934</v>
      </c>
      <c r="I23" s="850" t="s">
        <v>5520</v>
      </c>
      <c r="J23" s="853" t="s">
        <v>5392</v>
      </c>
      <c r="K23" s="714" t="s">
        <v>198</v>
      </c>
      <c r="L23" s="712" t="s">
        <v>2622</v>
      </c>
      <c r="M23" s="712" t="s">
        <v>2625</v>
      </c>
      <c r="N23" s="712" t="s">
        <v>2626</v>
      </c>
      <c r="O23" s="909">
        <v>2018</v>
      </c>
      <c r="P23" s="916">
        <v>43600</v>
      </c>
      <c r="Q23" s="916">
        <v>43784</v>
      </c>
      <c r="R23" s="712">
        <f>Q23-P23</f>
        <v>184</v>
      </c>
      <c r="S23" s="712"/>
      <c r="T23" s="712"/>
      <c r="U23" s="712"/>
      <c r="V23" s="712"/>
      <c r="W23" s="712"/>
      <c r="X23" s="712"/>
      <c r="Y23" s="712"/>
      <c r="Z23" s="712"/>
      <c r="AA23" s="712"/>
      <c r="AB23" s="714" t="s">
        <v>2778</v>
      </c>
      <c r="AC23" s="712" t="s">
        <v>2779</v>
      </c>
      <c r="AD23" s="712" t="s">
        <v>2631</v>
      </c>
      <c r="AE23" s="712" t="s">
        <v>2636</v>
      </c>
      <c r="AF23" s="712" t="s">
        <v>277</v>
      </c>
      <c r="AG23" s="712" t="s">
        <v>2639</v>
      </c>
      <c r="AH23" s="912">
        <v>1.1839999999999999</v>
      </c>
      <c r="AI23" s="868">
        <f t="shared" si="1"/>
        <v>1.1839999999999999</v>
      </c>
      <c r="AJ23" s="867">
        <f t="shared" si="2"/>
        <v>0</v>
      </c>
      <c r="AK23" s="912"/>
      <c r="AL23" s="912"/>
      <c r="AM23" s="912"/>
      <c r="AN23" s="869">
        <f t="shared" si="3"/>
        <v>0</v>
      </c>
      <c r="AO23" s="869">
        <f t="shared" si="4"/>
        <v>0</v>
      </c>
      <c r="AP23" s="914"/>
      <c r="AQ23" s="712"/>
      <c r="AR23" s="712" t="s">
        <v>2648</v>
      </c>
      <c r="AS23" s="869">
        <f t="shared" si="5"/>
        <v>0</v>
      </c>
      <c r="AT23" s="869">
        <f t="shared" si="6"/>
        <v>0</v>
      </c>
      <c r="AU23" s="914">
        <v>0.88400000000000001</v>
      </c>
      <c r="AV23" s="712" t="s">
        <v>2643</v>
      </c>
      <c r="AW23" s="869">
        <f t="shared" si="7"/>
        <v>0.74662162162162171</v>
      </c>
      <c r="AX23" s="869">
        <f t="shared" si="8"/>
        <v>-2.1621621621670251E-5</v>
      </c>
      <c r="AY23" s="914">
        <v>0.15</v>
      </c>
      <c r="AZ23" s="712" t="s">
        <v>2654</v>
      </c>
      <c r="BA23" s="869">
        <f t="shared" si="9"/>
        <v>0.1266891891891892</v>
      </c>
      <c r="BB23" s="869">
        <f t="shared" si="10"/>
        <v>1.081081081080737E-5</v>
      </c>
      <c r="BC23" s="914">
        <v>0.15</v>
      </c>
      <c r="BD23" s="712" t="s">
        <v>2654</v>
      </c>
      <c r="BE23" s="869">
        <f t="shared" si="11"/>
        <v>0.1266891891891892</v>
      </c>
      <c r="BF23" s="869">
        <f t="shared" si="12"/>
        <v>1.081081081080737E-5</v>
      </c>
      <c r="BG23" s="712"/>
      <c r="BH23" s="712"/>
      <c r="BI23" s="712"/>
      <c r="BJ23" s="712"/>
      <c r="BK23" s="712"/>
      <c r="BL23" s="714">
        <f t="shared" si="13"/>
        <v>0</v>
      </c>
      <c r="BM23" s="869">
        <f t="shared" si="14"/>
        <v>0</v>
      </c>
      <c r="BN23" s="712"/>
      <c r="BO23" s="712"/>
      <c r="BP23" s="869">
        <f t="shared" si="15"/>
        <v>0</v>
      </c>
      <c r="BQ23" s="869">
        <f t="shared" si="16"/>
        <v>0</v>
      </c>
      <c r="BR23" s="712"/>
      <c r="BS23" s="712"/>
      <c r="BT23" s="712" t="s">
        <v>410</v>
      </c>
      <c r="BU23" s="712" t="s">
        <v>410</v>
      </c>
      <c r="BV23" s="909">
        <v>3</v>
      </c>
      <c r="BW23" s="909">
        <v>3</v>
      </c>
      <c r="BX23" s="909">
        <v>1</v>
      </c>
      <c r="BY23" s="909">
        <v>1</v>
      </c>
      <c r="BZ23" s="909">
        <v>0</v>
      </c>
      <c r="CA23" s="909">
        <v>0</v>
      </c>
      <c r="CB23" s="909">
        <v>0</v>
      </c>
      <c r="CC23" s="909">
        <v>0</v>
      </c>
      <c r="CD23" s="909">
        <v>0</v>
      </c>
      <c r="CE23" s="909">
        <v>0</v>
      </c>
      <c r="CF23" s="909">
        <v>0</v>
      </c>
      <c r="CG23" s="909">
        <v>0</v>
      </c>
      <c r="CH23" s="909">
        <v>0</v>
      </c>
      <c r="CI23" s="909">
        <v>0</v>
      </c>
      <c r="CJ23" s="909">
        <v>0</v>
      </c>
      <c r="CK23" s="909">
        <v>0</v>
      </c>
      <c r="CL23" s="909">
        <v>0</v>
      </c>
      <c r="CM23" s="909">
        <v>0</v>
      </c>
      <c r="CN23" s="909">
        <v>0</v>
      </c>
      <c r="CO23" s="909">
        <v>0</v>
      </c>
      <c r="CP23" s="909">
        <v>0</v>
      </c>
      <c r="CQ23" s="909">
        <v>0</v>
      </c>
      <c r="CR23" s="909">
        <v>0</v>
      </c>
      <c r="CS23" s="915">
        <v>1</v>
      </c>
      <c r="CT23" s="871">
        <f t="shared" si="17"/>
        <v>1</v>
      </c>
      <c r="CU23" s="871">
        <f t="shared" si="18"/>
        <v>0</v>
      </c>
      <c r="CV23" s="887">
        <v>0.38500000000000001</v>
      </c>
      <c r="CW23" s="712" t="s">
        <v>2664</v>
      </c>
      <c r="CX23" s="712" t="s">
        <v>410</v>
      </c>
      <c r="CY23" s="712"/>
      <c r="CZ23" s="712"/>
      <c r="DA23" s="712" t="s">
        <v>2668</v>
      </c>
      <c r="DB23" s="712" t="s">
        <v>2757</v>
      </c>
      <c r="DC23" s="712" t="s">
        <v>389</v>
      </c>
      <c r="DD23" s="712" t="s">
        <v>410</v>
      </c>
      <c r="DE23" s="712" t="s">
        <v>410</v>
      </c>
      <c r="DF23" s="712" t="s">
        <v>410</v>
      </c>
      <c r="DG23" s="712" t="s">
        <v>410</v>
      </c>
      <c r="DH23" s="909">
        <v>2</v>
      </c>
      <c r="DI23" s="712" t="s">
        <v>392</v>
      </c>
      <c r="DJ23" s="712" t="s">
        <v>2671</v>
      </c>
      <c r="DK23" s="909">
        <v>112</v>
      </c>
      <c r="DL23" s="712" t="s">
        <v>392</v>
      </c>
      <c r="DM23" s="712" t="s">
        <v>2673</v>
      </c>
      <c r="DN23" s="909">
        <v>31</v>
      </c>
      <c r="DO23" s="712" t="s">
        <v>389</v>
      </c>
      <c r="DP23" s="712" t="s">
        <v>410</v>
      </c>
      <c r="DQ23" s="712" t="s">
        <v>410</v>
      </c>
      <c r="DR23" s="712" t="s">
        <v>389</v>
      </c>
      <c r="DS23" s="712" t="s">
        <v>410</v>
      </c>
      <c r="DT23" s="712"/>
      <c r="DU23" s="712" t="s">
        <v>389</v>
      </c>
      <c r="DV23" s="712" t="s">
        <v>410</v>
      </c>
      <c r="DW23" s="712" t="s">
        <v>410</v>
      </c>
      <c r="DX23" s="712" t="s">
        <v>389</v>
      </c>
      <c r="DY23" s="712" t="s">
        <v>410</v>
      </c>
      <c r="DZ23" s="712" t="s">
        <v>410</v>
      </c>
      <c r="EA23" s="714" t="s">
        <v>279</v>
      </c>
      <c r="EB23" s="712" t="s">
        <v>410</v>
      </c>
      <c r="EC23" s="712" t="s">
        <v>410</v>
      </c>
      <c r="ED23" s="712" t="s">
        <v>392</v>
      </c>
      <c r="EE23" s="712" t="s">
        <v>2673</v>
      </c>
      <c r="EF23" s="909">
        <v>31</v>
      </c>
      <c r="EG23" s="712" t="s">
        <v>389</v>
      </c>
      <c r="EH23" s="712" t="s">
        <v>410</v>
      </c>
      <c r="EI23" s="712" t="s">
        <v>410</v>
      </c>
      <c r="EJ23" s="712" t="s">
        <v>389</v>
      </c>
      <c r="EK23" s="712" t="s">
        <v>410</v>
      </c>
      <c r="EL23" s="712" t="s">
        <v>410</v>
      </c>
      <c r="EM23" s="712" t="s">
        <v>392</v>
      </c>
      <c r="EN23" s="712" t="s">
        <v>2677</v>
      </c>
      <c r="EO23" s="909">
        <v>7</v>
      </c>
      <c r="EP23" s="712" t="s">
        <v>389</v>
      </c>
      <c r="EQ23" s="712" t="s">
        <v>410</v>
      </c>
      <c r="ER23" s="712" t="s">
        <v>410</v>
      </c>
      <c r="ES23" s="712" t="s">
        <v>389</v>
      </c>
      <c r="ET23" s="712" t="s">
        <v>410</v>
      </c>
      <c r="EU23" s="712" t="s">
        <v>410</v>
      </c>
      <c r="EV23" s="712"/>
      <c r="EW23" s="712"/>
      <c r="EX23" s="712"/>
      <c r="EY23" s="712" t="s">
        <v>389</v>
      </c>
      <c r="EZ23" s="712" t="s">
        <v>410</v>
      </c>
      <c r="FA23" s="712" t="s">
        <v>392</v>
      </c>
      <c r="FB23" s="712" t="s">
        <v>2681</v>
      </c>
      <c r="FC23" s="712" t="s">
        <v>410</v>
      </c>
      <c r="FD23" s="712" t="s">
        <v>410</v>
      </c>
      <c r="FE23" s="712" t="s">
        <v>410</v>
      </c>
      <c r="FF23" s="712" t="s">
        <v>2685</v>
      </c>
      <c r="FG23" s="712" t="s">
        <v>2687</v>
      </c>
      <c r="FH23" s="714" t="s">
        <v>2762</v>
      </c>
      <c r="FI23" s="909">
        <v>1</v>
      </c>
      <c r="FJ23" s="909">
        <v>22</v>
      </c>
      <c r="FK23" s="714" t="s">
        <v>2780</v>
      </c>
      <c r="FL23" s="712" t="s">
        <v>2694</v>
      </c>
      <c r="FM23" s="712" t="s">
        <v>2781</v>
      </c>
      <c r="FN23" s="714" t="s">
        <v>2765</v>
      </c>
      <c r="FO23" s="712" t="s">
        <v>2697</v>
      </c>
      <c r="FP23" s="712" t="s">
        <v>2766</v>
      </c>
    </row>
    <row r="24" spans="2:172" ht="80.5" customHeight="1">
      <c r="B24" s="850" t="s">
        <v>5313</v>
      </c>
      <c r="C24" s="863"/>
      <c r="D24" s="850" t="s">
        <v>4934</v>
      </c>
      <c r="E24" s="850" t="s">
        <v>5314</v>
      </c>
      <c r="F24" s="863"/>
      <c r="H24" s="850" t="s">
        <v>4934</v>
      </c>
      <c r="I24" s="850" t="s">
        <v>5520</v>
      </c>
      <c r="J24" s="853" t="s">
        <v>5392</v>
      </c>
      <c r="K24" s="714" t="s">
        <v>198</v>
      </c>
      <c r="L24" s="712" t="s">
        <v>2623</v>
      </c>
      <c r="M24" s="712" t="s">
        <v>2625</v>
      </c>
      <c r="N24" s="712" t="s">
        <v>2626</v>
      </c>
      <c r="O24" s="909">
        <v>2018</v>
      </c>
      <c r="P24" s="916">
        <v>43610</v>
      </c>
      <c r="Q24" s="916">
        <v>43830</v>
      </c>
      <c r="R24" s="712">
        <f>Q24-P24</f>
        <v>220</v>
      </c>
      <c r="S24" s="712"/>
      <c r="T24" s="712"/>
      <c r="U24" s="712"/>
      <c r="V24" s="712"/>
      <c r="W24" s="712"/>
      <c r="X24" s="712"/>
      <c r="Y24" s="712"/>
      <c r="Z24" s="712"/>
      <c r="AA24" s="712"/>
      <c r="AB24" s="714" t="s">
        <v>2782</v>
      </c>
      <c r="AC24" s="714" t="s">
        <v>2783</v>
      </c>
      <c r="AD24" s="712" t="s">
        <v>2632</v>
      </c>
      <c r="AE24" s="712" t="s">
        <v>2637</v>
      </c>
      <c r="AF24" s="712" t="s">
        <v>277</v>
      </c>
      <c r="AG24" s="712" t="s">
        <v>2639</v>
      </c>
      <c r="AH24" s="911">
        <v>2.17</v>
      </c>
      <c r="AI24" s="868">
        <f t="shared" si="1"/>
        <v>2.1700000000000004</v>
      </c>
      <c r="AJ24" s="867">
        <f t="shared" si="2"/>
        <v>0</v>
      </c>
      <c r="AK24" s="912"/>
      <c r="AL24" s="912"/>
      <c r="AM24" s="912"/>
      <c r="AN24" s="869">
        <f t="shared" si="3"/>
        <v>0</v>
      </c>
      <c r="AO24" s="869">
        <f t="shared" si="4"/>
        <v>0</v>
      </c>
      <c r="AP24" s="912"/>
      <c r="AQ24" s="712"/>
      <c r="AR24" s="712" t="s">
        <v>2649</v>
      </c>
      <c r="AS24" s="869">
        <f t="shared" si="5"/>
        <v>0</v>
      </c>
      <c r="AT24" s="869">
        <f t="shared" si="6"/>
        <v>0</v>
      </c>
      <c r="AU24" s="913">
        <v>1.8080000000000001</v>
      </c>
      <c r="AV24" s="712" t="s">
        <v>2644</v>
      </c>
      <c r="AW24" s="869">
        <f t="shared" si="7"/>
        <v>0.83317972350230418</v>
      </c>
      <c r="AX24" s="869">
        <f t="shared" si="8"/>
        <v>2.0276497695870255E-5</v>
      </c>
      <c r="AY24" s="914">
        <v>0.19400000000000001</v>
      </c>
      <c r="AZ24" s="712" t="s">
        <v>2655</v>
      </c>
      <c r="BA24" s="869">
        <f t="shared" si="9"/>
        <v>8.9400921658986179E-2</v>
      </c>
      <c r="BB24" s="869">
        <f t="shared" si="10"/>
        <v>-9.2165898618601361E-7</v>
      </c>
      <c r="BC24" s="914">
        <v>0.16800000000000001</v>
      </c>
      <c r="BD24" s="712" t="s">
        <v>2660</v>
      </c>
      <c r="BE24" s="869">
        <f t="shared" si="11"/>
        <v>7.7419354838709681E-2</v>
      </c>
      <c r="BF24" s="869">
        <f t="shared" si="12"/>
        <v>-1.9354838709684241E-5</v>
      </c>
      <c r="BG24" s="712"/>
      <c r="BH24" s="712"/>
      <c r="BI24" s="712"/>
      <c r="BJ24" s="712"/>
      <c r="BK24" s="712"/>
      <c r="BL24" s="714">
        <f t="shared" si="13"/>
        <v>0</v>
      </c>
      <c r="BM24" s="869">
        <f t="shared" si="14"/>
        <v>0</v>
      </c>
      <c r="BN24" s="712"/>
      <c r="BO24" s="712"/>
      <c r="BP24" s="869">
        <f t="shared" si="15"/>
        <v>0</v>
      </c>
      <c r="BQ24" s="869">
        <f t="shared" si="16"/>
        <v>0</v>
      </c>
      <c r="BR24" s="712"/>
      <c r="BS24" s="712"/>
      <c r="BT24" s="912">
        <v>2000</v>
      </c>
      <c r="BU24" s="712" t="s">
        <v>2663</v>
      </c>
      <c r="BV24" s="909">
        <v>11</v>
      </c>
      <c r="BW24" s="909">
        <v>4</v>
      </c>
      <c r="BX24" s="909">
        <v>4</v>
      </c>
      <c r="BY24" s="909">
        <v>0</v>
      </c>
      <c r="BZ24" s="909">
        <v>4</v>
      </c>
      <c r="CA24" s="909">
        <v>0</v>
      </c>
      <c r="CB24" s="909">
        <v>0</v>
      </c>
      <c r="CC24" s="909">
        <v>0</v>
      </c>
      <c r="CD24" s="909">
        <v>0</v>
      </c>
      <c r="CE24" s="909">
        <v>0</v>
      </c>
      <c r="CF24" s="909">
        <v>0</v>
      </c>
      <c r="CG24" s="909">
        <v>0</v>
      </c>
      <c r="CH24" s="909">
        <v>0</v>
      </c>
      <c r="CI24" s="909">
        <v>0</v>
      </c>
      <c r="CJ24" s="909">
        <v>0</v>
      </c>
      <c r="CK24" s="909">
        <v>0</v>
      </c>
      <c r="CL24" s="909">
        <v>0</v>
      </c>
      <c r="CM24" s="909">
        <v>0</v>
      </c>
      <c r="CN24" s="909">
        <v>0</v>
      </c>
      <c r="CO24" s="909">
        <v>0</v>
      </c>
      <c r="CP24" s="909">
        <v>0</v>
      </c>
      <c r="CQ24" s="909">
        <v>0</v>
      </c>
      <c r="CR24" s="909">
        <v>0</v>
      </c>
      <c r="CS24" s="915">
        <v>4</v>
      </c>
      <c r="CT24" s="871">
        <f t="shared" si="17"/>
        <v>4</v>
      </c>
      <c r="CU24" s="871">
        <f t="shared" si="18"/>
        <v>0</v>
      </c>
      <c r="CV24" s="911">
        <v>1500</v>
      </c>
      <c r="CW24" s="712" t="s">
        <v>2664</v>
      </c>
      <c r="CX24" s="712" t="s">
        <v>410</v>
      </c>
      <c r="CY24" s="712"/>
      <c r="CZ24" s="712"/>
      <c r="DA24" s="712" t="s">
        <v>2669</v>
      </c>
      <c r="DB24" s="712" t="s">
        <v>2757</v>
      </c>
      <c r="DC24" s="712" t="s">
        <v>389</v>
      </c>
      <c r="DD24" s="712" t="s">
        <v>410</v>
      </c>
      <c r="DE24" s="712" t="s">
        <v>410</v>
      </c>
      <c r="DF24" s="712" t="s">
        <v>410</v>
      </c>
      <c r="DG24" s="712" t="s">
        <v>410</v>
      </c>
      <c r="DH24" s="909">
        <v>2</v>
      </c>
      <c r="DI24" s="712" t="s">
        <v>392</v>
      </c>
      <c r="DJ24" s="712" t="s">
        <v>2671</v>
      </c>
      <c r="DK24" s="909">
        <v>228</v>
      </c>
      <c r="DL24" s="712" t="s">
        <v>392</v>
      </c>
      <c r="DM24" s="712" t="s">
        <v>551</v>
      </c>
      <c r="DN24" s="909">
        <v>228</v>
      </c>
      <c r="DO24" s="712" t="s">
        <v>389</v>
      </c>
      <c r="DP24" s="712" t="s">
        <v>410</v>
      </c>
      <c r="DQ24" s="712" t="s">
        <v>410</v>
      </c>
      <c r="DR24" s="712" t="s">
        <v>389</v>
      </c>
      <c r="DS24" s="712" t="s">
        <v>410</v>
      </c>
      <c r="DT24" s="712"/>
      <c r="DU24" s="712" t="s">
        <v>389</v>
      </c>
      <c r="DV24" s="712" t="s">
        <v>410</v>
      </c>
      <c r="DW24" s="712" t="s">
        <v>410</v>
      </c>
      <c r="DX24" s="712" t="s">
        <v>389</v>
      </c>
      <c r="DY24" s="712" t="s">
        <v>410</v>
      </c>
      <c r="DZ24" s="712" t="s">
        <v>410</v>
      </c>
      <c r="EA24" s="714" t="s">
        <v>279</v>
      </c>
      <c r="EB24" s="712" t="s">
        <v>410</v>
      </c>
      <c r="EC24" s="712" t="s">
        <v>410</v>
      </c>
      <c r="ED24" s="712" t="s">
        <v>392</v>
      </c>
      <c r="EE24" s="712" t="s">
        <v>551</v>
      </c>
      <c r="EF24" s="909">
        <v>228</v>
      </c>
      <c r="EG24" s="712" t="s">
        <v>389</v>
      </c>
      <c r="EH24" s="712" t="s">
        <v>410</v>
      </c>
      <c r="EI24" s="712" t="s">
        <v>410</v>
      </c>
      <c r="EJ24" s="712" t="s">
        <v>389</v>
      </c>
      <c r="EK24" s="712" t="s">
        <v>410</v>
      </c>
      <c r="EL24" s="712" t="s">
        <v>410</v>
      </c>
      <c r="EM24" s="712" t="s">
        <v>392</v>
      </c>
      <c r="EN24" s="714" t="s">
        <v>2784</v>
      </c>
      <c r="EO24" s="909">
        <v>9</v>
      </c>
      <c r="EP24" s="712" t="s">
        <v>389</v>
      </c>
      <c r="EQ24" s="712" t="s">
        <v>410</v>
      </c>
      <c r="ER24" s="712" t="s">
        <v>410</v>
      </c>
      <c r="ES24" s="712" t="s">
        <v>389</v>
      </c>
      <c r="ET24" s="712" t="s">
        <v>410</v>
      </c>
      <c r="EU24" s="712" t="s">
        <v>410</v>
      </c>
      <c r="EV24" s="712"/>
      <c r="EW24" s="712"/>
      <c r="EX24" s="712"/>
      <c r="EY24" s="712" t="s">
        <v>389</v>
      </c>
      <c r="EZ24" s="712" t="s">
        <v>410</v>
      </c>
      <c r="FA24" s="712" t="s">
        <v>392</v>
      </c>
      <c r="FB24" s="712" t="s">
        <v>2682</v>
      </c>
      <c r="FC24" s="712" t="s">
        <v>410</v>
      </c>
      <c r="FD24" s="712" t="s">
        <v>410</v>
      </c>
      <c r="FE24" s="712" t="s">
        <v>410</v>
      </c>
      <c r="FF24" s="712" t="s">
        <v>2686</v>
      </c>
      <c r="FG24" s="712" t="s">
        <v>2687</v>
      </c>
      <c r="FH24" s="714" t="s">
        <v>2762</v>
      </c>
      <c r="FI24" s="909">
        <v>1</v>
      </c>
      <c r="FJ24" s="909">
        <v>80</v>
      </c>
      <c r="FK24" s="714" t="s">
        <v>2785</v>
      </c>
      <c r="FL24" s="712" t="s">
        <v>2695</v>
      </c>
      <c r="FM24" s="712" t="s">
        <v>2786</v>
      </c>
      <c r="FN24" s="714" t="s">
        <v>2765</v>
      </c>
      <c r="FO24" s="712" t="s">
        <v>2697</v>
      </c>
      <c r="FP24" s="712" t="s">
        <v>2766</v>
      </c>
    </row>
    <row r="25" spans="2:172" ht="77" customHeight="1">
      <c r="B25" s="850" t="s">
        <v>5313</v>
      </c>
      <c r="C25" s="863"/>
      <c r="D25" s="850" t="s">
        <v>4934</v>
      </c>
      <c r="E25" s="850" t="s">
        <v>5314</v>
      </c>
      <c r="F25" s="863"/>
      <c r="H25" s="850" t="s">
        <v>4934</v>
      </c>
      <c r="I25" s="850" t="s">
        <v>5520</v>
      </c>
      <c r="J25" s="853" t="s">
        <v>5392</v>
      </c>
      <c r="K25" s="714" t="s">
        <v>198</v>
      </c>
      <c r="L25" s="712" t="s">
        <v>2624</v>
      </c>
      <c r="M25" s="712" t="s">
        <v>2625</v>
      </c>
      <c r="N25" s="712" t="s">
        <v>2626</v>
      </c>
      <c r="O25" s="909">
        <v>2018</v>
      </c>
      <c r="P25" s="916">
        <v>43643</v>
      </c>
      <c r="Q25" s="916">
        <v>43830</v>
      </c>
      <c r="R25" s="712">
        <f t="shared" ref="R25:R89" si="20">Q25-P25</f>
        <v>187</v>
      </c>
      <c r="S25" s="712"/>
      <c r="T25" s="712"/>
      <c r="U25" s="712"/>
      <c r="V25" s="712"/>
      <c r="W25" s="712"/>
      <c r="X25" s="712"/>
      <c r="Y25" s="712"/>
      <c r="Z25" s="712"/>
      <c r="AA25" s="712"/>
      <c r="AB25" s="714" t="s">
        <v>2787</v>
      </c>
      <c r="AC25" s="712" t="s">
        <v>2788</v>
      </c>
      <c r="AD25" s="712" t="s">
        <v>2633</v>
      </c>
      <c r="AE25" s="712" t="s">
        <v>2638</v>
      </c>
      <c r="AF25" s="712" t="s">
        <v>277</v>
      </c>
      <c r="AG25" s="712" t="s">
        <v>2639</v>
      </c>
      <c r="AH25" s="914">
        <v>0.49399999999999999</v>
      </c>
      <c r="AI25" s="868">
        <f t="shared" si="1"/>
        <v>0.49399999999999999</v>
      </c>
      <c r="AJ25" s="867">
        <f t="shared" si="2"/>
        <v>0</v>
      </c>
      <c r="AK25" s="712"/>
      <c r="AL25" s="712"/>
      <c r="AM25" s="712"/>
      <c r="AN25" s="869">
        <f t="shared" si="3"/>
        <v>0</v>
      </c>
      <c r="AO25" s="869">
        <f t="shared" si="4"/>
        <v>0</v>
      </c>
      <c r="AP25" s="914"/>
      <c r="AQ25" s="712"/>
      <c r="AR25" s="712" t="s">
        <v>2650</v>
      </c>
      <c r="AS25" s="869">
        <f t="shared" si="5"/>
        <v>0</v>
      </c>
      <c r="AT25" s="869">
        <f t="shared" si="6"/>
        <v>0</v>
      </c>
      <c r="AU25" s="914">
        <v>0.28499999999999998</v>
      </c>
      <c r="AV25" s="712" t="s">
        <v>2645</v>
      </c>
      <c r="AW25" s="869">
        <f t="shared" si="7"/>
        <v>0.57692307692307687</v>
      </c>
      <c r="AX25" s="869">
        <f t="shared" si="8"/>
        <v>-2.3076923076903455E-5</v>
      </c>
      <c r="AY25" s="914">
        <v>9.9000000000000005E-2</v>
      </c>
      <c r="AZ25" s="712" t="s">
        <v>2656</v>
      </c>
      <c r="BA25" s="869">
        <f t="shared" si="9"/>
        <v>0.20040485829959515</v>
      </c>
      <c r="BB25" s="869">
        <f t="shared" si="10"/>
        <v>-4.8582995951507169E-6</v>
      </c>
      <c r="BC25" s="914">
        <v>0.11</v>
      </c>
      <c r="BD25" s="712" t="s">
        <v>2661</v>
      </c>
      <c r="BE25" s="869">
        <f t="shared" si="11"/>
        <v>0.22267206477732793</v>
      </c>
      <c r="BF25" s="869">
        <f t="shared" si="12"/>
        <v>2.7935222672081927E-5</v>
      </c>
      <c r="BG25" s="712"/>
      <c r="BH25" s="712"/>
      <c r="BI25" s="712"/>
      <c r="BJ25" s="712"/>
      <c r="BK25" s="712"/>
      <c r="BL25" s="714">
        <f t="shared" si="13"/>
        <v>0</v>
      </c>
      <c r="BM25" s="869">
        <f t="shared" si="14"/>
        <v>0</v>
      </c>
      <c r="BN25" s="712"/>
      <c r="BO25" s="712"/>
      <c r="BP25" s="869">
        <f t="shared" si="15"/>
        <v>0</v>
      </c>
      <c r="BQ25" s="869">
        <f t="shared" si="16"/>
        <v>0</v>
      </c>
      <c r="BR25" s="712"/>
      <c r="BS25" s="712"/>
      <c r="BT25" s="712" t="s">
        <v>410</v>
      </c>
      <c r="BU25" s="712" t="s">
        <v>410</v>
      </c>
      <c r="BV25" s="909">
        <v>3</v>
      </c>
      <c r="BW25" s="909">
        <v>3</v>
      </c>
      <c r="BX25" s="909">
        <v>3</v>
      </c>
      <c r="BY25" s="909">
        <v>1</v>
      </c>
      <c r="BZ25" s="909">
        <v>0</v>
      </c>
      <c r="CA25" s="909">
        <v>0</v>
      </c>
      <c r="CB25" s="909">
        <v>0</v>
      </c>
      <c r="CC25" s="909">
        <v>0</v>
      </c>
      <c r="CD25" s="909">
        <v>1</v>
      </c>
      <c r="CE25" s="909">
        <v>0</v>
      </c>
      <c r="CF25" s="909">
        <v>0</v>
      </c>
      <c r="CG25" s="909">
        <v>0</v>
      </c>
      <c r="CH25" s="909">
        <v>0</v>
      </c>
      <c r="CI25" s="909">
        <v>0</v>
      </c>
      <c r="CJ25" s="909">
        <v>0</v>
      </c>
      <c r="CK25" s="909">
        <v>1</v>
      </c>
      <c r="CL25" s="909">
        <v>0</v>
      </c>
      <c r="CM25" s="909">
        <v>0</v>
      </c>
      <c r="CN25" s="909">
        <v>0</v>
      </c>
      <c r="CO25" s="909">
        <v>0</v>
      </c>
      <c r="CP25" s="909">
        <v>0</v>
      </c>
      <c r="CQ25" s="909">
        <v>0</v>
      </c>
      <c r="CR25" s="909">
        <v>0</v>
      </c>
      <c r="CS25" s="915">
        <v>3</v>
      </c>
      <c r="CT25" s="871">
        <f t="shared" si="17"/>
        <v>3</v>
      </c>
      <c r="CU25" s="871">
        <f t="shared" si="18"/>
        <v>0</v>
      </c>
      <c r="CV25" s="911">
        <v>1058</v>
      </c>
      <c r="CW25" s="712" t="s">
        <v>2664</v>
      </c>
      <c r="CX25" s="712" t="s">
        <v>410</v>
      </c>
      <c r="CY25" s="712"/>
      <c r="CZ25" s="712"/>
      <c r="DA25" s="712" t="s">
        <v>2670</v>
      </c>
      <c r="DB25" s="712" t="s">
        <v>2757</v>
      </c>
      <c r="DC25" s="712" t="s">
        <v>389</v>
      </c>
      <c r="DD25" s="712" t="s">
        <v>410</v>
      </c>
      <c r="DE25" s="712" t="s">
        <v>410</v>
      </c>
      <c r="DF25" s="712" t="s">
        <v>410</v>
      </c>
      <c r="DG25" s="712" t="s">
        <v>410</v>
      </c>
      <c r="DH25" s="909">
        <v>2</v>
      </c>
      <c r="DI25" s="712" t="s">
        <v>389</v>
      </c>
      <c r="DJ25" s="712" t="s">
        <v>410</v>
      </c>
      <c r="DK25" s="712" t="s">
        <v>410</v>
      </c>
      <c r="DL25" s="712" t="s">
        <v>392</v>
      </c>
      <c r="DM25" s="712" t="s">
        <v>551</v>
      </c>
      <c r="DN25" s="909">
        <v>95</v>
      </c>
      <c r="DO25" s="712" t="s">
        <v>389</v>
      </c>
      <c r="DP25" s="712" t="s">
        <v>410</v>
      </c>
      <c r="DQ25" s="712" t="s">
        <v>410</v>
      </c>
      <c r="DR25" s="712" t="s">
        <v>389</v>
      </c>
      <c r="DS25" s="712" t="s">
        <v>410</v>
      </c>
      <c r="DT25" s="712"/>
      <c r="DU25" s="712" t="s">
        <v>389</v>
      </c>
      <c r="DV25" s="712" t="s">
        <v>410</v>
      </c>
      <c r="DW25" s="712" t="s">
        <v>410</v>
      </c>
      <c r="DX25" s="712" t="s">
        <v>389</v>
      </c>
      <c r="DY25" s="712" t="s">
        <v>410</v>
      </c>
      <c r="DZ25" s="712" t="s">
        <v>410</v>
      </c>
      <c r="EA25" s="714" t="s">
        <v>279</v>
      </c>
      <c r="EB25" s="712" t="s">
        <v>410</v>
      </c>
      <c r="EC25" s="712" t="s">
        <v>410</v>
      </c>
      <c r="ED25" s="712" t="s">
        <v>392</v>
      </c>
      <c r="EE25" s="712" t="s">
        <v>551</v>
      </c>
      <c r="EF25" s="909">
        <v>211</v>
      </c>
      <c r="EG25" s="712" t="s">
        <v>389</v>
      </c>
      <c r="EH25" s="712" t="s">
        <v>410</v>
      </c>
      <c r="EI25" s="712" t="s">
        <v>410</v>
      </c>
      <c r="EJ25" s="712" t="s">
        <v>389</v>
      </c>
      <c r="EK25" s="712" t="s">
        <v>410</v>
      </c>
      <c r="EL25" s="712" t="s">
        <v>410</v>
      </c>
      <c r="EM25" s="712" t="s">
        <v>392</v>
      </c>
      <c r="EN25" s="712" t="s">
        <v>2677</v>
      </c>
      <c r="EO25" s="909">
        <v>6</v>
      </c>
      <c r="EP25" s="712" t="s">
        <v>389</v>
      </c>
      <c r="EQ25" s="712" t="s">
        <v>410</v>
      </c>
      <c r="ER25" s="712" t="s">
        <v>410</v>
      </c>
      <c r="ES25" s="712" t="s">
        <v>389</v>
      </c>
      <c r="ET25" s="712" t="s">
        <v>410</v>
      </c>
      <c r="EU25" s="712" t="s">
        <v>410</v>
      </c>
      <c r="EV25" s="712"/>
      <c r="EW25" s="712"/>
      <c r="EX25" s="712"/>
      <c r="EY25" s="712" t="s">
        <v>389</v>
      </c>
      <c r="EZ25" s="712" t="s">
        <v>410</v>
      </c>
      <c r="FA25" s="712" t="s">
        <v>392</v>
      </c>
      <c r="FB25" s="712" t="s">
        <v>2683</v>
      </c>
      <c r="FC25" s="712" t="s">
        <v>410</v>
      </c>
      <c r="FD25" s="712" t="s">
        <v>410</v>
      </c>
      <c r="FE25" s="712" t="s">
        <v>410</v>
      </c>
      <c r="FF25" s="714" t="s">
        <v>2789</v>
      </c>
      <c r="FG25" s="712" t="s">
        <v>2687</v>
      </c>
      <c r="FH25" s="714" t="s">
        <v>2762</v>
      </c>
      <c r="FI25" s="909">
        <v>1</v>
      </c>
      <c r="FJ25" s="909">
        <v>31</v>
      </c>
      <c r="FK25" s="712" t="s">
        <v>2690</v>
      </c>
      <c r="FL25" s="712" t="s">
        <v>2696</v>
      </c>
      <c r="FM25" s="714" t="s">
        <v>2790</v>
      </c>
      <c r="FN25" s="714" t="s">
        <v>2765</v>
      </c>
      <c r="FO25" s="712" t="s">
        <v>2697</v>
      </c>
      <c r="FP25" s="712" t="s">
        <v>2766</v>
      </c>
    </row>
    <row r="26" spans="2:172" ht="100.5" customHeight="1">
      <c r="B26" s="850" t="s">
        <v>5315</v>
      </c>
      <c r="C26" s="850" t="s">
        <v>5326</v>
      </c>
      <c r="D26" s="850" t="s">
        <v>4933</v>
      </c>
      <c r="E26" s="850" t="s">
        <v>5314</v>
      </c>
      <c r="F26" s="879" t="s">
        <v>5327</v>
      </c>
      <c r="G26" s="850" t="s">
        <v>4933</v>
      </c>
      <c r="I26" s="850" t="s">
        <v>5525</v>
      </c>
      <c r="J26" s="850" t="s">
        <v>5394</v>
      </c>
      <c r="K26" s="714" t="s">
        <v>199</v>
      </c>
      <c r="L26" s="714"/>
      <c r="M26" s="714" t="s">
        <v>564</v>
      </c>
      <c r="N26" s="714" t="s">
        <v>565</v>
      </c>
      <c r="O26" s="714">
        <v>2019</v>
      </c>
      <c r="P26" s="906">
        <v>43644</v>
      </c>
      <c r="Q26" s="906">
        <v>43826</v>
      </c>
      <c r="R26" s="712">
        <f t="shared" si="20"/>
        <v>182</v>
      </c>
      <c r="S26" s="714" t="s">
        <v>566</v>
      </c>
      <c r="T26" s="714" t="s">
        <v>567</v>
      </c>
      <c r="U26" s="855" t="s">
        <v>568</v>
      </c>
      <c r="V26" s="714" t="s">
        <v>569</v>
      </c>
      <c r="W26" s="714" t="s">
        <v>569</v>
      </c>
      <c r="X26" s="714" t="s">
        <v>570</v>
      </c>
      <c r="Y26" s="855" t="s">
        <v>571</v>
      </c>
      <c r="Z26" s="714" t="s">
        <v>572</v>
      </c>
      <c r="AA26" s="855" t="s">
        <v>573</v>
      </c>
      <c r="AB26" s="855"/>
      <c r="AC26" s="855"/>
      <c r="AD26" s="714" t="s">
        <v>574</v>
      </c>
      <c r="AE26" s="714" t="s">
        <v>574</v>
      </c>
      <c r="AF26" s="714" t="s">
        <v>454</v>
      </c>
      <c r="AG26" s="714" t="s">
        <v>575</v>
      </c>
      <c r="AH26" s="862">
        <v>1.333</v>
      </c>
      <c r="AI26" s="868">
        <f t="shared" si="1"/>
        <v>1.333</v>
      </c>
      <c r="AJ26" s="867">
        <f t="shared" si="2"/>
        <v>0</v>
      </c>
      <c r="AK26" s="862">
        <v>1</v>
      </c>
      <c r="AL26" s="878">
        <v>0.75</v>
      </c>
      <c r="AM26" s="874" t="s">
        <v>576</v>
      </c>
      <c r="AN26" s="869">
        <f t="shared" si="3"/>
        <v>0.75018754688672173</v>
      </c>
      <c r="AO26" s="869">
        <f t="shared" si="4"/>
        <v>-1.8754688672173447E-4</v>
      </c>
      <c r="AP26" s="874"/>
      <c r="AQ26" s="874"/>
      <c r="AR26" s="874"/>
      <c r="AS26" s="869">
        <f t="shared" si="5"/>
        <v>0</v>
      </c>
      <c r="AT26" s="869">
        <f t="shared" si="6"/>
        <v>0</v>
      </c>
      <c r="AU26" s="862">
        <v>0.33300000000000002</v>
      </c>
      <c r="AV26" s="878">
        <v>0.25</v>
      </c>
      <c r="AW26" s="869">
        <f t="shared" si="7"/>
        <v>0.24981245311327835</v>
      </c>
      <c r="AX26" s="869">
        <f t="shared" si="8"/>
        <v>1.8754688672165121E-4</v>
      </c>
      <c r="AY26" s="862"/>
      <c r="AZ26" s="878"/>
      <c r="BA26" s="869">
        <f t="shared" si="9"/>
        <v>0</v>
      </c>
      <c r="BB26" s="869">
        <f t="shared" si="10"/>
        <v>0</v>
      </c>
      <c r="BC26" s="862"/>
      <c r="BD26" s="878"/>
      <c r="BE26" s="869">
        <f t="shared" si="11"/>
        <v>0</v>
      </c>
      <c r="BF26" s="869">
        <f t="shared" si="12"/>
        <v>0</v>
      </c>
      <c r="BG26" s="862"/>
      <c r="BH26" s="878"/>
      <c r="BI26" s="714"/>
      <c r="BJ26" s="714"/>
      <c r="BK26" s="714"/>
      <c r="BL26" s="714">
        <f t="shared" si="13"/>
        <v>0</v>
      </c>
      <c r="BM26" s="869">
        <f t="shared" si="14"/>
        <v>0</v>
      </c>
      <c r="BN26" s="862"/>
      <c r="BO26" s="878"/>
      <c r="BP26" s="869">
        <f t="shared" si="15"/>
        <v>0</v>
      </c>
      <c r="BQ26" s="869">
        <f t="shared" si="16"/>
        <v>0</v>
      </c>
      <c r="BR26" s="862">
        <v>5</v>
      </c>
      <c r="BS26" s="874">
        <v>4.6E-5</v>
      </c>
      <c r="BT26" s="874"/>
      <c r="BU26" s="874"/>
      <c r="BV26" s="714">
        <v>209</v>
      </c>
      <c r="BW26" s="714">
        <v>139</v>
      </c>
      <c r="BX26" s="714">
        <v>14</v>
      </c>
      <c r="BY26" s="714"/>
      <c r="BZ26" s="714"/>
      <c r="CA26" s="714"/>
      <c r="CB26" s="714">
        <v>1</v>
      </c>
      <c r="CC26" s="714"/>
      <c r="CD26" s="714"/>
      <c r="CE26" s="714"/>
      <c r="CF26" s="714"/>
      <c r="CG26" s="714">
        <v>3</v>
      </c>
      <c r="CH26" s="714"/>
      <c r="CI26" s="714">
        <v>2</v>
      </c>
      <c r="CJ26" s="714">
        <v>4</v>
      </c>
      <c r="CK26" s="714"/>
      <c r="CL26" s="714"/>
      <c r="CM26" s="714"/>
      <c r="CN26" s="714"/>
      <c r="CO26" s="714">
        <v>2</v>
      </c>
      <c r="CP26" s="714">
        <v>1</v>
      </c>
      <c r="CQ26" s="714"/>
      <c r="CR26" s="714">
        <v>1</v>
      </c>
      <c r="CS26" s="917">
        <f t="shared" ref="CS26:CS41" si="21">SUM(BY26:CR26)</f>
        <v>14</v>
      </c>
      <c r="CT26" s="871">
        <f t="shared" si="17"/>
        <v>14</v>
      </c>
      <c r="CU26" s="871">
        <f t="shared" si="18"/>
        <v>0</v>
      </c>
      <c r="CV26" s="918">
        <v>3.327</v>
      </c>
      <c r="CW26" s="714" t="s">
        <v>577</v>
      </c>
      <c r="CX26" s="714"/>
      <c r="CY26" s="869">
        <v>2.2000000000000001E-3</v>
      </c>
      <c r="CZ26" s="855" t="s">
        <v>578</v>
      </c>
      <c r="DA26" s="855"/>
      <c r="DB26" s="855"/>
      <c r="DC26" s="714" t="s">
        <v>279</v>
      </c>
      <c r="DD26" s="714" t="s">
        <v>279</v>
      </c>
      <c r="DE26" s="714" t="s">
        <v>279</v>
      </c>
      <c r="DF26" s="714"/>
      <c r="DG26" s="714" t="s">
        <v>279</v>
      </c>
      <c r="DH26" s="714">
        <v>3</v>
      </c>
      <c r="DI26" s="714" t="s">
        <v>279</v>
      </c>
      <c r="DJ26" s="714" t="s">
        <v>279</v>
      </c>
      <c r="DK26" s="714" t="s">
        <v>279</v>
      </c>
      <c r="DL26" s="714" t="s">
        <v>579</v>
      </c>
      <c r="DM26" s="714" t="s">
        <v>279</v>
      </c>
      <c r="DN26" s="714">
        <v>27800</v>
      </c>
      <c r="DO26" s="714" t="s">
        <v>279</v>
      </c>
      <c r="DP26" s="714" t="s">
        <v>279</v>
      </c>
      <c r="DQ26" s="714" t="s">
        <v>279</v>
      </c>
      <c r="DR26" s="714" t="s">
        <v>279</v>
      </c>
      <c r="DS26" s="714" t="s">
        <v>279</v>
      </c>
      <c r="DT26" s="714"/>
      <c r="DU26" s="714" t="s">
        <v>279</v>
      </c>
      <c r="DV26" s="714" t="s">
        <v>279</v>
      </c>
      <c r="DW26" s="714" t="s">
        <v>279</v>
      </c>
      <c r="DX26" s="714" t="s">
        <v>279</v>
      </c>
      <c r="DY26" s="714" t="s">
        <v>279</v>
      </c>
      <c r="DZ26" s="714" t="s">
        <v>279</v>
      </c>
      <c r="EA26" s="714" t="s">
        <v>279</v>
      </c>
      <c r="EB26" s="714" t="s">
        <v>279</v>
      </c>
      <c r="EC26" s="714" t="s">
        <v>279</v>
      </c>
      <c r="ED26" s="714" t="s">
        <v>279</v>
      </c>
      <c r="EE26" s="714" t="s">
        <v>279</v>
      </c>
      <c r="EF26" s="714" t="s">
        <v>279</v>
      </c>
      <c r="EG26" s="714" t="s">
        <v>279</v>
      </c>
      <c r="EH26" s="714" t="s">
        <v>279</v>
      </c>
      <c r="EI26" s="714" t="s">
        <v>279</v>
      </c>
      <c r="EJ26" s="714" t="s">
        <v>279</v>
      </c>
      <c r="EK26" s="714" t="s">
        <v>279</v>
      </c>
      <c r="EL26" s="714" t="s">
        <v>279</v>
      </c>
      <c r="EM26" s="714" t="s">
        <v>580</v>
      </c>
      <c r="EN26" s="714" t="s">
        <v>581</v>
      </c>
      <c r="EO26" s="714">
        <v>10</v>
      </c>
      <c r="EP26" s="714" t="s">
        <v>279</v>
      </c>
      <c r="EQ26" s="714" t="s">
        <v>279</v>
      </c>
      <c r="ER26" s="714" t="s">
        <v>279</v>
      </c>
      <c r="ES26" s="714" t="s">
        <v>279</v>
      </c>
      <c r="ET26" s="714" t="s">
        <v>279</v>
      </c>
      <c r="EU26" s="714" t="s">
        <v>279</v>
      </c>
      <c r="EV26" s="878">
        <v>0.6</v>
      </c>
      <c r="EW26" s="714" t="s">
        <v>279</v>
      </c>
      <c r="EX26" s="714">
        <v>13</v>
      </c>
      <c r="EY26" s="714" t="s">
        <v>279</v>
      </c>
      <c r="EZ26" s="714" t="s">
        <v>279</v>
      </c>
      <c r="FA26" s="714" t="s">
        <v>579</v>
      </c>
      <c r="FB26" s="714" t="s">
        <v>582</v>
      </c>
      <c r="FC26" s="855" t="s">
        <v>583</v>
      </c>
      <c r="FD26" s="714" t="s">
        <v>279</v>
      </c>
      <c r="FE26" s="714" t="s">
        <v>279</v>
      </c>
      <c r="FF26" s="714" t="s">
        <v>584</v>
      </c>
      <c r="FG26" s="714" t="s">
        <v>279</v>
      </c>
      <c r="FH26" s="714" t="s">
        <v>279</v>
      </c>
      <c r="FI26" s="714" t="s">
        <v>279</v>
      </c>
      <c r="FJ26" s="714" t="s">
        <v>279</v>
      </c>
      <c r="FK26" s="714" t="s">
        <v>585</v>
      </c>
      <c r="FL26" s="714" t="s">
        <v>586</v>
      </c>
      <c r="FM26" s="714" t="s">
        <v>587</v>
      </c>
      <c r="FN26" s="714" t="s">
        <v>588</v>
      </c>
      <c r="FO26" s="714" t="s">
        <v>589</v>
      </c>
      <c r="FP26" s="855" t="s">
        <v>590</v>
      </c>
    </row>
    <row r="27" spans="2:172" ht="91.5" customHeight="1">
      <c r="B27" s="850" t="s">
        <v>5315</v>
      </c>
      <c r="C27" s="850" t="s">
        <v>5321</v>
      </c>
      <c r="D27" s="850" t="s">
        <v>4933</v>
      </c>
      <c r="E27" s="850" t="s">
        <v>5314</v>
      </c>
      <c r="F27" s="879">
        <v>1</v>
      </c>
      <c r="G27" s="850" t="s">
        <v>4933</v>
      </c>
      <c r="I27" s="850" t="s">
        <v>5525</v>
      </c>
      <c r="J27" s="850" t="s">
        <v>5394</v>
      </c>
      <c r="K27" s="714" t="s">
        <v>199</v>
      </c>
      <c r="L27" s="714"/>
      <c r="M27" s="714" t="s">
        <v>564</v>
      </c>
      <c r="N27" s="714" t="s">
        <v>591</v>
      </c>
      <c r="O27" s="714">
        <v>2018</v>
      </c>
      <c r="P27" s="906">
        <v>43556</v>
      </c>
      <c r="Q27" s="906">
        <v>43826</v>
      </c>
      <c r="R27" s="712">
        <f t="shared" si="20"/>
        <v>270</v>
      </c>
      <c r="S27" s="714" t="s">
        <v>566</v>
      </c>
      <c r="T27" s="714" t="s">
        <v>592</v>
      </c>
      <c r="U27" s="855" t="s">
        <v>593</v>
      </c>
      <c r="V27" s="714" t="s">
        <v>569</v>
      </c>
      <c r="W27" s="714" t="s">
        <v>569</v>
      </c>
      <c r="X27" s="714" t="s">
        <v>570</v>
      </c>
      <c r="Y27" s="855" t="s">
        <v>571</v>
      </c>
      <c r="Z27" s="714" t="s">
        <v>594</v>
      </c>
      <c r="AA27" s="855" t="s">
        <v>595</v>
      </c>
      <c r="AB27" s="855"/>
      <c r="AC27" s="855"/>
      <c r="AD27" s="714" t="s">
        <v>574</v>
      </c>
      <c r="AE27" s="714" t="s">
        <v>574</v>
      </c>
      <c r="AF27" s="714" t="s">
        <v>454</v>
      </c>
      <c r="AG27" s="714" t="s">
        <v>575</v>
      </c>
      <c r="AH27" s="714">
        <v>10.332000000000001</v>
      </c>
      <c r="AI27" s="868">
        <f t="shared" si="1"/>
        <v>10.332000000000001</v>
      </c>
      <c r="AJ27" s="867">
        <f>AI27-AH27</f>
        <v>0</v>
      </c>
      <c r="AK27" s="714">
        <v>7.9989999999999997</v>
      </c>
      <c r="AL27" s="878">
        <v>0.77400000000000002</v>
      </c>
      <c r="AM27" s="919">
        <v>8.8000000000000004E-7</v>
      </c>
      <c r="AN27" s="869">
        <f t="shared" si="3"/>
        <v>0.7741966705381339</v>
      </c>
      <c r="AO27" s="869">
        <f t="shared" si="4"/>
        <v>-1.9667053813388069E-4</v>
      </c>
      <c r="AP27" s="919"/>
      <c r="AQ27" s="919"/>
      <c r="AR27" s="919"/>
      <c r="AS27" s="869">
        <f t="shared" si="5"/>
        <v>0</v>
      </c>
      <c r="AT27" s="869">
        <f t="shared" si="6"/>
        <v>0</v>
      </c>
      <c r="AU27" s="862">
        <v>2.3330000000000002</v>
      </c>
      <c r="AV27" s="878">
        <v>0.22500000000000001</v>
      </c>
      <c r="AW27" s="869">
        <f t="shared" si="7"/>
        <v>0.22580332946186604</v>
      </c>
      <c r="AX27" s="869">
        <f t="shared" si="8"/>
        <v>-8.0332946186603693E-4</v>
      </c>
      <c r="AY27" s="862"/>
      <c r="AZ27" s="878"/>
      <c r="BA27" s="869">
        <f t="shared" si="9"/>
        <v>0</v>
      </c>
      <c r="BB27" s="869">
        <f t="shared" si="10"/>
        <v>0</v>
      </c>
      <c r="BC27" s="862"/>
      <c r="BD27" s="878"/>
      <c r="BE27" s="869">
        <f t="shared" si="11"/>
        <v>0</v>
      </c>
      <c r="BF27" s="869">
        <f t="shared" si="12"/>
        <v>0</v>
      </c>
      <c r="BG27" s="862"/>
      <c r="BH27" s="878"/>
      <c r="BI27" s="714" t="s">
        <v>569</v>
      </c>
      <c r="BJ27" s="714" t="s">
        <v>569</v>
      </c>
      <c r="BK27" s="714" t="s">
        <v>569</v>
      </c>
      <c r="BL27" s="714">
        <f t="shared" si="13"/>
        <v>0</v>
      </c>
      <c r="BM27" s="869">
        <f t="shared" si="14"/>
        <v>0</v>
      </c>
      <c r="BN27" s="862"/>
      <c r="BO27" s="878"/>
      <c r="BP27" s="869">
        <f t="shared" si="15"/>
        <v>0</v>
      </c>
      <c r="BQ27" s="869">
        <f t="shared" si="16"/>
        <v>0</v>
      </c>
      <c r="BR27" s="862">
        <v>15</v>
      </c>
      <c r="BS27" s="874">
        <v>1.3899999999999999E-4</v>
      </c>
      <c r="BT27" s="874"/>
      <c r="BU27" s="874"/>
      <c r="BV27" s="714">
        <v>677</v>
      </c>
      <c r="BW27" s="714">
        <v>311</v>
      </c>
      <c r="BX27" s="714">
        <v>35</v>
      </c>
      <c r="BY27" s="714"/>
      <c r="BZ27" s="714"/>
      <c r="CA27" s="714"/>
      <c r="CB27" s="714"/>
      <c r="CC27" s="714"/>
      <c r="CD27" s="714">
        <v>4</v>
      </c>
      <c r="CE27" s="714"/>
      <c r="CF27" s="714">
        <v>2</v>
      </c>
      <c r="CG27" s="714">
        <v>6</v>
      </c>
      <c r="CH27" s="714"/>
      <c r="CI27" s="714">
        <v>8</v>
      </c>
      <c r="CJ27" s="714">
        <v>9</v>
      </c>
      <c r="CK27" s="714"/>
      <c r="CL27" s="714">
        <v>1</v>
      </c>
      <c r="CM27" s="714">
        <v>1</v>
      </c>
      <c r="CN27" s="714">
        <v>3</v>
      </c>
      <c r="CO27" s="714"/>
      <c r="CP27" s="714"/>
      <c r="CQ27" s="714"/>
      <c r="CR27" s="714">
        <v>1</v>
      </c>
      <c r="CS27" s="917">
        <f t="shared" si="21"/>
        <v>35</v>
      </c>
      <c r="CT27" s="871">
        <f t="shared" si="17"/>
        <v>35</v>
      </c>
      <c r="CU27" s="871">
        <f t="shared" si="18"/>
        <v>0</v>
      </c>
      <c r="CV27" s="872" t="s">
        <v>5508</v>
      </c>
      <c r="CW27" s="714" t="s">
        <v>577</v>
      </c>
      <c r="CX27" s="714" t="s">
        <v>279</v>
      </c>
      <c r="CY27" s="869">
        <v>1.2E-2</v>
      </c>
      <c r="CZ27" s="855" t="s">
        <v>578</v>
      </c>
      <c r="DA27" s="855"/>
      <c r="DB27" s="855"/>
      <c r="DC27" s="714" t="s">
        <v>279</v>
      </c>
      <c r="DD27" s="714" t="s">
        <v>279</v>
      </c>
      <c r="DE27" s="714" t="s">
        <v>279</v>
      </c>
      <c r="DF27" s="714">
        <v>0</v>
      </c>
      <c r="DG27" s="714">
        <v>0</v>
      </c>
      <c r="DH27" s="714">
        <v>3</v>
      </c>
      <c r="DI27" s="714" t="s">
        <v>279</v>
      </c>
      <c r="DJ27" s="714" t="s">
        <v>279</v>
      </c>
      <c r="DK27" s="714">
        <v>0</v>
      </c>
      <c r="DL27" s="714" t="s">
        <v>579</v>
      </c>
      <c r="DM27" s="714" t="s">
        <v>279</v>
      </c>
      <c r="DN27" s="714">
        <v>62200</v>
      </c>
      <c r="DO27" s="714" t="s">
        <v>279</v>
      </c>
      <c r="DP27" s="714" t="s">
        <v>279</v>
      </c>
      <c r="DQ27" s="714" t="s">
        <v>279</v>
      </c>
      <c r="DR27" s="714" t="s">
        <v>279</v>
      </c>
      <c r="DS27" s="714" t="s">
        <v>279</v>
      </c>
      <c r="DT27" s="714"/>
      <c r="DU27" s="714" t="s">
        <v>279</v>
      </c>
      <c r="DV27" s="714" t="s">
        <v>279</v>
      </c>
      <c r="DW27" s="714" t="s">
        <v>279</v>
      </c>
      <c r="DX27" s="714" t="s">
        <v>279</v>
      </c>
      <c r="DY27" s="714" t="s">
        <v>279</v>
      </c>
      <c r="DZ27" s="714" t="s">
        <v>279</v>
      </c>
      <c r="EA27" s="714" t="s">
        <v>279</v>
      </c>
      <c r="EB27" s="714" t="s">
        <v>279</v>
      </c>
      <c r="EC27" s="714" t="s">
        <v>279</v>
      </c>
      <c r="ED27" s="714" t="s">
        <v>279</v>
      </c>
      <c r="EE27" s="714" t="s">
        <v>279</v>
      </c>
      <c r="EF27" s="714" t="s">
        <v>279</v>
      </c>
      <c r="EG27" s="714" t="s">
        <v>279</v>
      </c>
      <c r="EH27" s="714" t="s">
        <v>279</v>
      </c>
      <c r="EI27" s="714" t="s">
        <v>279</v>
      </c>
      <c r="EJ27" s="714" t="s">
        <v>279</v>
      </c>
      <c r="EK27" s="714" t="s">
        <v>279</v>
      </c>
      <c r="EL27" s="714" t="s">
        <v>279</v>
      </c>
      <c r="EM27" s="714" t="s">
        <v>63</v>
      </c>
      <c r="EN27" s="714" t="s">
        <v>581</v>
      </c>
      <c r="EO27" s="714">
        <v>10</v>
      </c>
      <c r="EP27" s="714" t="s">
        <v>279</v>
      </c>
      <c r="EQ27" s="714" t="s">
        <v>279</v>
      </c>
      <c r="ER27" s="714" t="s">
        <v>279</v>
      </c>
      <c r="ES27" s="714" t="s">
        <v>279</v>
      </c>
      <c r="ET27" s="714" t="s">
        <v>279</v>
      </c>
      <c r="EU27" s="714" t="s">
        <v>279</v>
      </c>
      <c r="EV27" s="878">
        <v>1</v>
      </c>
      <c r="EW27" s="714" t="s">
        <v>279</v>
      </c>
      <c r="EX27" s="714">
        <v>22</v>
      </c>
      <c r="EY27" s="714" t="s">
        <v>279</v>
      </c>
      <c r="EZ27" s="714" t="s">
        <v>279</v>
      </c>
      <c r="FA27" s="714" t="s">
        <v>579</v>
      </c>
      <c r="FB27" s="714" t="s">
        <v>596</v>
      </c>
      <c r="FC27" s="855" t="s">
        <v>597</v>
      </c>
      <c r="FD27" s="714" t="s">
        <v>279</v>
      </c>
      <c r="FE27" s="714" t="s">
        <v>279</v>
      </c>
      <c r="FF27" s="714" t="s">
        <v>598</v>
      </c>
      <c r="FG27" s="714" t="s">
        <v>279</v>
      </c>
      <c r="FH27" s="714" t="s">
        <v>599</v>
      </c>
      <c r="FI27" s="714">
        <v>12</v>
      </c>
      <c r="FJ27" s="714">
        <v>600</v>
      </c>
      <c r="FK27" s="714" t="s">
        <v>585</v>
      </c>
      <c r="FL27" s="714" t="s">
        <v>600</v>
      </c>
      <c r="FM27" s="714" t="s">
        <v>587</v>
      </c>
      <c r="FN27" s="714" t="s">
        <v>588</v>
      </c>
      <c r="FO27" s="714" t="s">
        <v>589</v>
      </c>
      <c r="FP27" s="855" t="s">
        <v>590</v>
      </c>
    </row>
    <row r="28" spans="2:172" ht="80.5" customHeight="1">
      <c r="B28" s="850" t="s">
        <v>5313</v>
      </c>
      <c r="C28" s="863"/>
      <c r="D28" s="850" t="s">
        <v>4934</v>
      </c>
      <c r="E28" s="850" t="s">
        <v>5314</v>
      </c>
      <c r="F28" s="863"/>
      <c r="H28" s="850" t="s">
        <v>4934</v>
      </c>
      <c r="I28" s="850" t="s">
        <v>5525</v>
      </c>
      <c r="J28" s="850" t="s">
        <v>5394</v>
      </c>
      <c r="K28" s="714" t="s">
        <v>199</v>
      </c>
      <c r="L28" s="712" t="s">
        <v>2698</v>
      </c>
      <c r="M28" s="712" t="s">
        <v>2700</v>
      </c>
      <c r="N28" s="712" t="s">
        <v>2702</v>
      </c>
      <c r="O28" s="881">
        <v>2018</v>
      </c>
      <c r="P28" s="882">
        <v>43374</v>
      </c>
      <c r="Q28" s="882">
        <v>43374</v>
      </c>
      <c r="R28" s="712">
        <f t="shared" si="20"/>
        <v>0</v>
      </c>
      <c r="S28" s="882"/>
      <c r="T28" s="882"/>
      <c r="U28" s="882"/>
      <c r="V28" s="882"/>
      <c r="W28" s="882"/>
      <c r="X28" s="882"/>
      <c r="Y28" s="882"/>
      <c r="Z28" s="882"/>
      <c r="AA28" s="882"/>
      <c r="AB28" s="712" t="s">
        <v>2704</v>
      </c>
      <c r="AC28" s="920" t="s">
        <v>2705</v>
      </c>
      <c r="AD28" s="712" t="s">
        <v>2707</v>
      </c>
      <c r="AE28" s="714" t="s">
        <v>2709</v>
      </c>
      <c r="AF28" s="714" t="s">
        <v>766</v>
      </c>
      <c r="AG28" s="714" t="s">
        <v>2712</v>
      </c>
      <c r="AH28" s="883">
        <f>0.597+1.5+2.915+0.571+22.188+0.259+2.173+5.4+3.896+6.63+0.3+16.497+3.97+14.016+0.25+0.394+4.5+0.761+2.981+0.583+0.24+0.51+3.9</f>
        <v>95.031000000000006</v>
      </c>
      <c r="AI28" s="868">
        <f t="shared" si="1"/>
        <v>95.031000000000006</v>
      </c>
      <c r="AJ28" s="867">
        <f t="shared" si="2"/>
        <v>0</v>
      </c>
      <c r="AK28" s="883"/>
      <c r="AL28" s="883"/>
      <c r="AM28" s="883"/>
      <c r="AN28" s="869">
        <f t="shared" si="3"/>
        <v>0</v>
      </c>
      <c r="AO28" s="869">
        <f t="shared" si="4"/>
        <v>0</v>
      </c>
      <c r="AP28" s="883"/>
      <c r="AQ28" s="884"/>
      <c r="AR28" s="884">
        <v>1.95E-2</v>
      </c>
      <c r="AS28" s="869">
        <f t="shared" si="5"/>
        <v>0</v>
      </c>
      <c r="AT28" s="869">
        <f t="shared" si="6"/>
        <v>0</v>
      </c>
      <c r="AU28" s="883">
        <v>95.031000000000006</v>
      </c>
      <c r="AV28" s="884">
        <v>1</v>
      </c>
      <c r="AW28" s="869">
        <f t="shared" si="7"/>
        <v>1</v>
      </c>
      <c r="AX28" s="869">
        <f t="shared" si="8"/>
        <v>0</v>
      </c>
      <c r="AY28" s="883">
        <v>0</v>
      </c>
      <c r="AZ28" s="884">
        <v>0</v>
      </c>
      <c r="BA28" s="869">
        <f t="shared" si="9"/>
        <v>0</v>
      </c>
      <c r="BB28" s="869">
        <f t="shared" si="10"/>
        <v>0</v>
      </c>
      <c r="BC28" s="883">
        <v>0</v>
      </c>
      <c r="BD28" s="884">
        <v>0</v>
      </c>
      <c r="BE28" s="869">
        <f t="shared" si="11"/>
        <v>0</v>
      </c>
      <c r="BF28" s="869">
        <f t="shared" si="12"/>
        <v>0</v>
      </c>
      <c r="BG28" s="884"/>
      <c r="BH28" s="884"/>
      <c r="BI28" s="884"/>
      <c r="BJ28" s="884"/>
      <c r="BK28" s="884"/>
      <c r="BL28" s="714">
        <f t="shared" si="13"/>
        <v>0</v>
      </c>
      <c r="BM28" s="869">
        <f t="shared" si="14"/>
        <v>0</v>
      </c>
      <c r="BN28" s="883">
        <v>0</v>
      </c>
      <c r="BO28" s="884">
        <v>0</v>
      </c>
      <c r="BP28" s="869">
        <f t="shared" si="15"/>
        <v>0</v>
      </c>
      <c r="BQ28" s="869">
        <f t="shared" si="16"/>
        <v>0</v>
      </c>
      <c r="BR28" s="884"/>
      <c r="BS28" s="884"/>
      <c r="BT28" s="883">
        <f>0.95+1.267+0.25+1.532+7.191+0.724+2.3+0.25+8.452+6+12.415+1.003+2.457+3.76+17+4.206+1.873+2.046+1.597+1.783+1.5+3.2</f>
        <v>81.756</v>
      </c>
      <c r="BU28" s="884">
        <v>1.2999999999999999E-2</v>
      </c>
      <c r="BV28" s="870">
        <f>4+4+2+3+3+7+6+4+3+3+2+5+2+6+2+4+7+3+5+3+3</f>
        <v>81</v>
      </c>
      <c r="BW28" s="870">
        <v>78</v>
      </c>
      <c r="BX28" s="870">
        <v>78</v>
      </c>
      <c r="BY28" s="870">
        <f>1+1</f>
        <v>2</v>
      </c>
      <c r="BZ28" s="870">
        <f>1+1+2+1+1+7+2+1+1+4+3+5+1+1+1+1+1+3+1+1</f>
        <v>39</v>
      </c>
      <c r="CA28" s="870">
        <f>1</f>
        <v>1</v>
      </c>
      <c r="CB28" s="870">
        <v>0</v>
      </c>
      <c r="CC28" s="870">
        <v>0</v>
      </c>
      <c r="CD28" s="870">
        <f>1</f>
        <v>1</v>
      </c>
      <c r="CE28" s="870">
        <v>0</v>
      </c>
      <c r="CF28" s="870">
        <f>1</f>
        <v>1</v>
      </c>
      <c r="CG28" s="870">
        <v>0</v>
      </c>
      <c r="CH28" s="870">
        <f>1+1</f>
        <v>2</v>
      </c>
      <c r="CI28" s="870">
        <f>1+2+1+1+1+1+1+2+1+2+1+2+1</f>
        <v>17</v>
      </c>
      <c r="CJ28" s="870">
        <f>1+2+1+1</f>
        <v>5</v>
      </c>
      <c r="CK28" s="870">
        <v>0</v>
      </c>
      <c r="CL28" s="870">
        <v>0</v>
      </c>
      <c r="CM28" s="870">
        <v>0</v>
      </c>
      <c r="CN28" s="870">
        <v>0</v>
      </c>
      <c r="CO28" s="870">
        <v>0</v>
      </c>
      <c r="CP28" s="870">
        <f>1+1+1+1+1+1</f>
        <v>6</v>
      </c>
      <c r="CQ28" s="870">
        <v>0</v>
      </c>
      <c r="CR28" s="870">
        <f>1+3</f>
        <v>4</v>
      </c>
      <c r="CS28" s="871">
        <f t="shared" si="21"/>
        <v>78</v>
      </c>
      <c r="CT28" s="871">
        <f t="shared" si="17"/>
        <v>78</v>
      </c>
      <c r="CU28" s="871">
        <f t="shared" si="18"/>
        <v>0</v>
      </c>
      <c r="CV28" s="872">
        <v>126.6</v>
      </c>
      <c r="CW28" s="714" t="s">
        <v>2713</v>
      </c>
      <c r="CX28" s="714" t="s">
        <v>279</v>
      </c>
      <c r="CY28" s="714"/>
      <c r="CZ28" s="714"/>
      <c r="DA28" s="868">
        <v>100</v>
      </c>
      <c r="DB28" s="869" t="s">
        <v>279</v>
      </c>
      <c r="DC28" s="714" t="s">
        <v>279</v>
      </c>
      <c r="DD28" s="714" t="s">
        <v>279</v>
      </c>
      <c r="DE28" s="714" t="s">
        <v>279</v>
      </c>
      <c r="DF28" s="870">
        <v>0</v>
      </c>
      <c r="DG28" s="870">
        <v>0</v>
      </c>
      <c r="DH28" s="870">
        <v>25</v>
      </c>
      <c r="DI28" s="714" t="s">
        <v>278</v>
      </c>
      <c r="DJ28" s="714" t="s">
        <v>2714</v>
      </c>
      <c r="DK28" s="870">
        <v>81</v>
      </c>
      <c r="DL28" s="714" t="s">
        <v>278</v>
      </c>
      <c r="DM28" s="714" t="s">
        <v>2715</v>
      </c>
      <c r="DN28" s="870">
        <v>6804</v>
      </c>
      <c r="DO28" s="714" t="s">
        <v>278</v>
      </c>
      <c r="DP28" s="714" t="s">
        <v>2716</v>
      </c>
      <c r="DQ28" s="870">
        <v>157</v>
      </c>
      <c r="DR28" s="714" t="s">
        <v>279</v>
      </c>
      <c r="DS28" s="714" t="s">
        <v>279</v>
      </c>
      <c r="DT28" s="870"/>
      <c r="DU28" s="714" t="s">
        <v>279</v>
      </c>
      <c r="DV28" s="714" t="s">
        <v>279</v>
      </c>
      <c r="DW28" s="870">
        <v>0</v>
      </c>
      <c r="DX28" s="714" t="s">
        <v>279</v>
      </c>
      <c r="DY28" s="714" t="s">
        <v>279</v>
      </c>
      <c r="DZ28" s="870">
        <v>0</v>
      </c>
      <c r="EA28" s="714" t="s">
        <v>279</v>
      </c>
      <c r="EB28" s="714" t="s">
        <v>279</v>
      </c>
      <c r="EC28" s="870">
        <v>0</v>
      </c>
      <c r="ED28" s="714" t="s">
        <v>278</v>
      </c>
      <c r="EE28" s="714" t="s">
        <v>2717</v>
      </c>
      <c r="EF28" s="870">
        <v>5814</v>
      </c>
      <c r="EG28" s="714" t="s">
        <v>279</v>
      </c>
      <c r="EH28" s="714" t="s">
        <v>279</v>
      </c>
      <c r="EI28" s="870">
        <v>0</v>
      </c>
      <c r="EJ28" s="714" t="s">
        <v>278</v>
      </c>
      <c r="EK28" s="714" t="s">
        <v>2718</v>
      </c>
      <c r="EL28" s="870">
        <v>147</v>
      </c>
      <c r="EM28" s="714" t="s">
        <v>278</v>
      </c>
      <c r="EN28" s="714" t="s">
        <v>2719</v>
      </c>
      <c r="EO28" s="870">
        <v>102</v>
      </c>
      <c r="EP28" s="714" t="s">
        <v>279</v>
      </c>
      <c r="EQ28" s="714" t="s">
        <v>279</v>
      </c>
      <c r="ER28" s="870">
        <v>0</v>
      </c>
      <c r="ES28" s="714" t="s">
        <v>279</v>
      </c>
      <c r="ET28" s="714" t="s">
        <v>279</v>
      </c>
      <c r="EU28" s="870">
        <v>0</v>
      </c>
      <c r="EV28" s="870"/>
      <c r="EW28" s="870"/>
      <c r="EX28" s="870"/>
      <c r="EY28" s="714" t="s">
        <v>279</v>
      </c>
      <c r="EZ28" s="714" t="s">
        <v>279</v>
      </c>
      <c r="FA28" s="714" t="s">
        <v>278</v>
      </c>
      <c r="FB28" s="714" t="s">
        <v>2720</v>
      </c>
      <c r="FC28" s="855" t="s">
        <v>2722</v>
      </c>
      <c r="FD28" s="855" t="s">
        <v>2723</v>
      </c>
      <c r="FE28" s="714" t="s">
        <v>279</v>
      </c>
      <c r="FF28" s="855" t="s">
        <v>2725</v>
      </c>
      <c r="FG28" s="714" t="s">
        <v>279</v>
      </c>
      <c r="FH28" s="714" t="s">
        <v>2727</v>
      </c>
      <c r="FI28" s="714">
        <v>0</v>
      </c>
      <c r="FJ28" s="714">
        <v>0</v>
      </c>
      <c r="FK28" s="714" t="s">
        <v>2728</v>
      </c>
      <c r="FL28" s="714" t="s">
        <v>2730</v>
      </c>
      <c r="FM28" s="855" t="s">
        <v>2732</v>
      </c>
      <c r="FN28" s="714" t="s">
        <v>2734</v>
      </c>
      <c r="FO28" s="714" t="s">
        <v>2735</v>
      </c>
      <c r="FP28" s="855" t="s">
        <v>2732</v>
      </c>
    </row>
    <row r="29" spans="2:172" ht="102" customHeight="1">
      <c r="B29" s="850" t="s">
        <v>5315</v>
      </c>
      <c r="C29" s="850" t="s">
        <v>5321</v>
      </c>
      <c r="D29" s="850" t="s">
        <v>4934</v>
      </c>
      <c r="E29" s="850" t="s">
        <v>5318</v>
      </c>
      <c r="F29" s="863"/>
      <c r="H29" s="850" t="s">
        <v>4934</v>
      </c>
      <c r="I29" s="850" t="s">
        <v>5525</v>
      </c>
      <c r="J29" s="850" t="s">
        <v>5394</v>
      </c>
      <c r="K29" s="714" t="s">
        <v>199</v>
      </c>
      <c r="L29" s="714" t="s">
        <v>2699</v>
      </c>
      <c r="M29" s="714" t="s">
        <v>2701</v>
      </c>
      <c r="N29" s="714" t="s">
        <v>2703</v>
      </c>
      <c r="O29" s="852">
        <v>2019</v>
      </c>
      <c r="P29" s="865">
        <v>43591</v>
      </c>
      <c r="Q29" s="882">
        <v>43830</v>
      </c>
      <c r="R29" s="712">
        <f t="shared" si="20"/>
        <v>239</v>
      </c>
      <c r="S29" s="882"/>
      <c r="T29" s="882"/>
      <c r="U29" s="882"/>
      <c r="V29" s="882"/>
      <c r="W29" s="882"/>
      <c r="X29" s="882"/>
      <c r="Y29" s="882"/>
      <c r="Z29" s="882"/>
      <c r="AA29" s="882"/>
      <c r="AB29" s="714" t="s">
        <v>2701</v>
      </c>
      <c r="AC29" s="714" t="s">
        <v>2706</v>
      </c>
      <c r="AD29" s="712" t="s">
        <v>2708</v>
      </c>
      <c r="AE29" s="714" t="s">
        <v>2710</v>
      </c>
      <c r="AF29" s="712" t="s">
        <v>2711</v>
      </c>
      <c r="AG29" s="712" t="s">
        <v>2710</v>
      </c>
      <c r="AH29" s="867">
        <v>1.1439999999999999</v>
      </c>
      <c r="AI29" s="868">
        <f t="shared" si="1"/>
        <v>1.1440000000000001</v>
      </c>
      <c r="AJ29" s="867">
        <f t="shared" si="2"/>
        <v>0</v>
      </c>
      <c r="AK29" s="867"/>
      <c r="AL29" s="867"/>
      <c r="AM29" s="867"/>
      <c r="AN29" s="869">
        <f t="shared" si="3"/>
        <v>0</v>
      </c>
      <c r="AO29" s="869">
        <f t="shared" si="4"/>
        <v>0</v>
      </c>
      <c r="AP29" s="867"/>
      <c r="AQ29" s="867"/>
      <c r="AR29" s="867">
        <v>2.1999999999999999E-2</v>
      </c>
      <c r="AS29" s="869">
        <f t="shared" si="5"/>
        <v>0</v>
      </c>
      <c r="AT29" s="869">
        <f t="shared" si="6"/>
        <v>0</v>
      </c>
      <c r="AU29" s="867">
        <v>0.93200000000000005</v>
      </c>
      <c r="AV29" s="869">
        <v>0.81499999999999995</v>
      </c>
      <c r="AW29" s="869">
        <f t="shared" si="7"/>
        <v>0.8146853146853148</v>
      </c>
      <c r="AX29" s="869">
        <f t="shared" si="8"/>
        <v>3.1468531468514804E-4</v>
      </c>
      <c r="AY29" s="867">
        <v>0.21199999999999999</v>
      </c>
      <c r="AZ29" s="869">
        <v>0.18529999999999999</v>
      </c>
      <c r="BA29" s="869">
        <f t="shared" si="9"/>
        <v>0.18531468531468531</v>
      </c>
      <c r="BB29" s="869">
        <f t="shared" si="10"/>
        <v>-1.4685314685319861E-5</v>
      </c>
      <c r="BC29" s="867">
        <v>0</v>
      </c>
      <c r="BD29" s="869">
        <v>0</v>
      </c>
      <c r="BE29" s="869">
        <f t="shared" si="11"/>
        <v>0</v>
      </c>
      <c r="BF29" s="869">
        <f t="shared" si="12"/>
        <v>0</v>
      </c>
      <c r="BG29" s="869"/>
      <c r="BH29" s="869"/>
      <c r="BI29" s="869"/>
      <c r="BJ29" s="869"/>
      <c r="BK29" s="869"/>
      <c r="BL29" s="714">
        <f t="shared" si="13"/>
        <v>0</v>
      </c>
      <c r="BM29" s="869">
        <f t="shared" si="14"/>
        <v>0</v>
      </c>
      <c r="BN29" s="883">
        <v>0</v>
      </c>
      <c r="BO29" s="869">
        <v>0</v>
      </c>
      <c r="BP29" s="869">
        <f t="shared" si="15"/>
        <v>0</v>
      </c>
      <c r="BQ29" s="869">
        <f t="shared" si="16"/>
        <v>0</v>
      </c>
      <c r="BR29" s="869"/>
      <c r="BS29" s="869"/>
      <c r="BT29" s="867">
        <v>1</v>
      </c>
      <c r="BU29" s="869">
        <v>2.0000000000000001E-4</v>
      </c>
      <c r="BV29" s="870">
        <v>22</v>
      </c>
      <c r="BW29" s="870">
        <v>22</v>
      </c>
      <c r="BX29" s="870">
        <v>15</v>
      </c>
      <c r="BY29" s="870"/>
      <c r="BZ29" s="870"/>
      <c r="CA29" s="870"/>
      <c r="CB29" s="870"/>
      <c r="CC29" s="870"/>
      <c r="CD29" s="870"/>
      <c r="CE29" s="870"/>
      <c r="CF29" s="870"/>
      <c r="CG29" s="870">
        <v>1</v>
      </c>
      <c r="CH29" s="870"/>
      <c r="CI29" s="870">
        <v>9</v>
      </c>
      <c r="CJ29" s="870">
        <v>5</v>
      </c>
      <c r="CK29" s="870"/>
      <c r="CL29" s="870"/>
      <c r="CM29" s="870"/>
      <c r="CN29" s="870"/>
      <c r="CO29" s="870"/>
      <c r="CP29" s="870"/>
      <c r="CQ29" s="870"/>
      <c r="CR29" s="870"/>
      <c r="CS29" s="871">
        <f t="shared" si="21"/>
        <v>15</v>
      </c>
      <c r="CT29" s="871">
        <f t="shared" si="17"/>
        <v>15</v>
      </c>
      <c r="CU29" s="871">
        <f t="shared" si="18"/>
        <v>0</v>
      </c>
      <c r="CV29" s="872">
        <v>7.5519999999999996</v>
      </c>
      <c r="CW29" s="714"/>
      <c r="CX29" s="714"/>
      <c r="CY29" s="714"/>
      <c r="CZ29" s="714"/>
      <c r="DA29" s="714">
        <v>6.47</v>
      </c>
      <c r="DB29" s="869"/>
      <c r="DC29" s="714" t="s">
        <v>279</v>
      </c>
      <c r="DD29" s="714"/>
      <c r="DE29" s="714"/>
      <c r="DF29" s="870"/>
      <c r="DG29" s="870"/>
      <c r="DH29" s="870"/>
      <c r="DI29" s="714" t="s">
        <v>279</v>
      </c>
      <c r="DJ29" s="714"/>
      <c r="DK29" s="885"/>
      <c r="DL29" s="712" t="s">
        <v>278</v>
      </c>
      <c r="DM29" s="712" t="s">
        <v>1685</v>
      </c>
      <c r="DN29" s="885">
        <v>2633</v>
      </c>
      <c r="DO29" s="714" t="s">
        <v>279</v>
      </c>
      <c r="DP29" s="714"/>
      <c r="DQ29" s="870"/>
      <c r="DR29" s="714" t="s">
        <v>279</v>
      </c>
      <c r="DS29" s="714"/>
      <c r="DT29" s="870"/>
      <c r="DU29" s="714" t="s">
        <v>279</v>
      </c>
      <c r="DV29" s="714"/>
      <c r="DW29" s="870"/>
      <c r="DX29" s="714"/>
      <c r="DY29" s="712"/>
      <c r="DZ29" s="885"/>
      <c r="EA29" s="714" t="s">
        <v>279</v>
      </c>
      <c r="EB29" s="712"/>
      <c r="EC29" s="885"/>
      <c r="ED29" s="714" t="s">
        <v>279</v>
      </c>
      <c r="EE29" s="712"/>
      <c r="EF29" s="885"/>
      <c r="EG29" s="714" t="s">
        <v>279</v>
      </c>
      <c r="EH29" s="712"/>
      <c r="EI29" s="885"/>
      <c r="EJ29" s="714" t="s">
        <v>279</v>
      </c>
      <c r="EK29" s="712"/>
      <c r="EL29" s="885"/>
      <c r="EM29" s="712" t="s">
        <v>278</v>
      </c>
      <c r="EN29" s="712" t="s">
        <v>1685</v>
      </c>
      <c r="EO29" s="870">
        <v>9</v>
      </c>
      <c r="EP29" s="714" t="s">
        <v>279</v>
      </c>
      <c r="EQ29" s="714"/>
      <c r="ER29" s="870"/>
      <c r="ES29" s="714"/>
      <c r="ET29" s="714"/>
      <c r="EU29" s="870"/>
      <c r="EV29" s="870"/>
      <c r="EW29" s="870"/>
      <c r="EX29" s="870"/>
      <c r="EY29" s="714" t="s">
        <v>279</v>
      </c>
      <c r="EZ29" s="714"/>
      <c r="FA29" s="714" t="s">
        <v>278</v>
      </c>
      <c r="FB29" s="714" t="s">
        <v>2721</v>
      </c>
      <c r="FC29" s="714" t="s">
        <v>279</v>
      </c>
      <c r="FD29" s="855" t="s">
        <v>2724</v>
      </c>
      <c r="FE29" s="714" t="s">
        <v>279</v>
      </c>
      <c r="FF29" s="714" t="s">
        <v>2726</v>
      </c>
      <c r="FG29" s="855"/>
      <c r="FH29" s="714" t="s">
        <v>279</v>
      </c>
      <c r="FI29" s="714"/>
      <c r="FJ29" s="714"/>
      <c r="FK29" s="714" t="s">
        <v>2729</v>
      </c>
      <c r="FL29" s="714" t="s">
        <v>2731</v>
      </c>
      <c r="FM29" s="855" t="s">
        <v>2733</v>
      </c>
      <c r="FN29" s="714" t="s">
        <v>2729</v>
      </c>
      <c r="FO29" s="714" t="s">
        <v>2731</v>
      </c>
      <c r="FP29" s="855" t="s">
        <v>2733</v>
      </c>
    </row>
    <row r="30" spans="2:172" ht="108.5" customHeight="1">
      <c r="B30" s="850" t="s">
        <v>5313</v>
      </c>
      <c r="C30" s="863"/>
      <c r="D30" s="850" t="s">
        <v>4933</v>
      </c>
      <c r="E30" s="850" t="s">
        <v>5314</v>
      </c>
      <c r="F30" s="879">
        <v>1</v>
      </c>
      <c r="G30" s="850" t="s">
        <v>4933</v>
      </c>
      <c r="I30" s="850" t="s">
        <v>5525</v>
      </c>
      <c r="J30" s="850" t="s">
        <v>5395</v>
      </c>
      <c r="K30" s="714" t="s">
        <v>200</v>
      </c>
      <c r="L30" s="714"/>
      <c r="M30" s="714" t="s">
        <v>744</v>
      </c>
      <c r="N30" s="714" t="s">
        <v>744</v>
      </c>
      <c r="O30" s="852">
        <v>2018</v>
      </c>
      <c r="P30" s="865">
        <v>43466</v>
      </c>
      <c r="Q30" s="882">
        <v>43830</v>
      </c>
      <c r="R30" s="712">
        <f t="shared" si="20"/>
        <v>364</v>
      </c>
      <c r="S30" s="714" t="s">
        <v>745</v>
      </c>
      <c r="T30" s="714" t="s">
        <v>746</v>
      </c>
      <c r="U30" s="714" t="s">
        <v>747</v>
      </c>
      <c r="V30" s="714"/>
      <c r="W30" s="714"/>
      <c r="X30" s="714"/>
      <c r="Y30" s="714"/>
      <c r="Z30" s="714"/>
      <c r="AA30" s="714"/>
      <c r="AB30" s="714"/>
      <c r="AC30" s="714"/>
      <c r="AD30" s="714" t="s">
        <v>748</v>
      </c>
      <c r="AE30" s="714" t="s">
        <v>748</v>
      </c>
      <c r="AF30" s="714" t="s">
        <v>454</v>
      </c>
      <c r="AG30" s="714" t="s">
        <v>749</v>
      </c>
      <c r="AH30" s="867">
        <v>109</v>
      </c>
      <c r="AI30" s="868">
        <f t="shared" si="1"/>
        <v>109</v>
      </c>
      <c r="AJ30" s="867">
        <f t="shared" si="2"/>
        <v>0</v>
      </c>
      <c r="AK30" s="867">
        <v>96</v>
      </c>
      <c r="AL30" s="869">
        <v>0.88070000000000004</v>
      </c>
      <c r="AM30" s="869">
        <v>1.5E-3</v>
      </c>
      <c r="AN30" s="869">
        <f t="shared" si="3"/>
        <v>0.88073394495412849</v>
      </c>
      <c r="AO30" s="869">
        <f t="shared" si="4"/>
        <v>-3.3944954128450888E-5</v>
      </c>
      <c r="AP30" s="869"/>
      <c r="AQ30" s="869"/>
      <c r="AR30" s="869"/>
      <c r="AS30" s="869">
        <f t="shared" si="5"/>
        <v>0</v>
      </c>
      <c r="AT30" s="869">
        <f t="shared" si="6"/>
        <v>0</v>
      </c>
      <c r="AU30" s="867">
        <v>8</v>
      </c>
      <c r="AV30" s="869">
        <v>7.3400000000000007E-2</v>
      </c>
      <c r="AW30" s="869">
        <f t="shared" si="7"/>
        <v>7.3394495412844041E-2</v>
      </c>
      <c r="AX30" s="869">
        <f t="shared" si="8"/>
        <v>5.5045871559661341E-6</v>
      </c>
      <c r="AY30" s="867">
        <v>5</v>
      </c>
      <c r="AZ30" s="869">
        <v>4.5900000000000003E-2</v>
      </c>
      <c r="BA30" s="869">
        <f t="shared" si="9"/>
        <v>4.5871559633027525E-2</v>
      </c>
      <c r="BB30" s="869">
        <f t="shared" si="10"/>
        <v>2.8440366972477815E-5</v>
      </c>
      <c r="BC30" s="867"/>
      <c r="BD30" s="869"/>
      <c r="BE30" s="869">
        <f t="shared" si="11"/>
        <v>0</v>
      </c>
      <c r="BF30" s="869">
        <f t="shared" si="12"/>
        <v>0</v>
      </c>
      <c r="BG30" s="867">
        <v>0</v>
      </c>
      <c r="BH30" s="869">
        <v>0</v>
      </c>
      <c r="BI30" s="714"/>
      <c r="BJ30" s="714"/>
      <c r="BK30" s="714"/>
      <c r="BL30" s="714">
        <f t="shared" si="13"/>
        <v>0</v>
      </c>
      <c r="BM30" s="869">
        <f t="shared" si="14"/>
        <v>0</v>
      </c>
      <c r="BN30" s="867"/>
      <c r="BO30" s="869"/>
      <c r="BP30" s="869">
        <f t="shared" si="15"/>
        <v>0</v>
      </c>
      <c r="BQ30" s="869">
        <f t="shared" si="16"/>
        <v>0</v>
      </c>
      <c r="BR30" s="867">
        <v>100</v>
      </c>
      <c r="BS30" s="869">
        <v>1.4E-3</v>
      </c>
      <c r="BT30" s="869"/>
      <c r="BU30" s="869"/>
      <c r="BV30" s="870">
        <v>145</v>
      </c>
      <c r="BW30" s="870">
        <v>145</v>
      </c>
      <c r="BX30" s="870">
        <v>89</v>
      </c>
      <c r="BY30" s="870">
        <v>1</v>
      </c>
      <c r="BZ30" s="870">
        <v>1</v>
      </c>
      <c r="CA30" s="870">
        <v>1</v>
      </c>
      <c r="CB30" s="870"/>
      <c r="CC30" s="870"/>
      <c r="CD30" s="870">
        <v>34</v>
      </c>
      <c r="CE30" s="870"/>
      <c r="CF30" s="870">
        <v>2</v>
      </c>
      <c r="CG30" s="870">
        <v>14</v>
      </c>
      <c r="CH30" s="870">
        <v>2</v>
      </c>
      <c r="CI30" s="870">
        <v>13</v>
      </c>
      <c r="CJ30" s="870">
        <v>16</v>
      </c>
      <c r="CK30" s="870">
        <v>5</v>
      </c>
      <c r="CL30" s="870"/>
      <c r="CM30" s="870"/>
      <c r="CN30" s="870"/>
      <c r="CO30" s="870"/>
      <c r="CP30" s="870"/>
      <c r="CQ30" s="870"/>
      <c r="CR30" s="870"/>
      <c r="CS30" s="871">
        <f t="shared" si="21"/>
        <v>89</v>
      </c>
      <c r="CT30" s="871">
        <f t="shared" si="17"/>
        <v>89</v>
      </c>
      <c r="CU30" s="871">
        <f t="shared" si="18"/>
        <v>0</v>
      </c>
      <c r="CV30" s="872">
        <v>215</v>
      </c>
      <c r="CW30" s="714" t="s">
        <v>750</v>
      </c>
      <c r="CX30" s="714" t="s">
        <v>751</v>
      </c>
      <c r="CY30" s="869">
        <v>0.17499999999999999</v>
      </c>
      <c r="CZ30" s="907" t="s">
        <v>752</v>
      </c>
      <c r="DA30" s="907"/>
      <c r="DB30" s="907"/>
      <c r="DC30" s="714" t="s">
        <v>279</v>
      </c>
      <c r="DD30" s="714"/>
      <c r="DE30" s="714"/>
      <c r="DF30" s="870"/>
      <c r="DG30" s="870"/>
      <c r="DH30" s="870"/>
      <c r="DI30" s="714"/>
      <c r="DJ30" s="714"/>
      <c r="DK30" s="870"/>
      <c r="DL30" s="714" t="s">
        <v>278</v>
      </c>
      <c r="DM30" s="714" t="s">
        <v>753</v>
      </c>
      <c r="DN30" s="870">
        <v>22300</v>
      </c>
      <c r="DO30" s="714"/>
      <c r="DP30" s="714"/>
      <c r="DQ30" s="870"/>
      <c r="DR30" s="714"/>
      <c r="DS30" s="714"/>
      <c r="DT30" s="870"/>
      <c r="DU30" s="714"/>
      <c r="DV30" s="714"/>
      <c r="DW30" s="870"/>
      <c r="DX30" s="714"/>
      <c r="DY30" s="714"/>
      <c r="DZ30" s="870"/>
      <c r="EA30" s="714"/>
      <c r="EB30" s="714"/>
      <c r="EC30" s="870"/>
      <c r="ED30" s="714"/>
      <c r="EE30" s="714"/>
      <c r="EF30" s="870"/>
      <c r="EG30" s="714"/>
      <c r="EH30" s="714"/>
      <c r="EI30" s="870"/>
      <c r="EJ30" s="714"/>
      <c r="EK30" s="714"/>
      <c r="EL30" s="870"/>
      <c r="EM30" s="714"/>
      <c r="EN30" s="714"/>
      <c r="EO30" s="870"/>
      <c r="EP30" s="714"/>
      <c r="EQ30" s="714"/>
      <c r="ER30" s="870"/>
      <c r="ES30" s="714"/>
      <c r="ET30" s="714"/>
      <c r="EU30" s="870"/>
      <c r="EV30" s="878">
        <v>1</v>
      </c>
      <c r="EW30" s="714"/>
      <c r="EX30" s="854">
        <v>81</v>
      </c>
      <c r="EY30" s="714" t="s">
        <v>279</v>
      </c>
      <c r="EZ30" s="714"/>
      <c r="FA30" s="714"/>
      <c r="FB30" s="714"/>
      <c r="FC30" s="714"/>
      <c r="FD30" s="714"/>
      <c r="FE30" s="714"/>
      <c r="FF30" s="714" t="s">
        <v>754</v>
      </c>
      <c r="FG30" s="714"/>
      <c r="FH30" s="714"/>
      <c r="FI30" s="714"/>
      <c r="FJ30" s="714"/>
      <c r="FK30" s="714" t="s">
        <v>755</v>
      </c>
      <c r="FL30" s="714" t="s">
        <v>756</v>
      </c>
      <c r="FM30" s="855" t="s">
        <v>757</v>
      </c>
      <c r="FN30" s="714"/>
      <c r="FO30" s="714"/>
      <c r="FP30" s="714"/>
    </row>
    <row r="31" spans="2:172" ht="98" customHeight="1">
      <c r="B31" s="850" t="s">
        <v>5315</v>
      </c>
      <c r="C31" s="850" t="s">
        <v>5321</v>
      </c>
      <c r="D31" s="850" t="s">
        <v>4933</v>
      </c>
      <c r="E31" s="850" t="s">
        <v>5314</v>
      </c>
      <c r="F31" s="879">
        <v>1</v>
      </c>
      <c r="G31" s="850" t="s">
        <v>4933</v>
      </c>
      <c r="I31" s="850" t="s">
        <v>5522</v>
      </c>
      <c r="J31" s="850" t="s">
        <v>5393</v>
      </c>
      <c r="K31" s="714" t="s">
        <v>201</v>
      </c>
      <c r="L31" s="714"/>
      <c r="M31" s="714" t="s">
        <v>1339</v>
      </c>
      <c r="N31" s="714" t="s">
        <v>1340</v>
      </c>
      <c r="O31" s="852">
        <v>2013</v>
      </c>
      <c r="P31" s="865">
        <v>43373</v>
      </c>
      <c r="Q31" s="865">
        <v>43738</v>
      </c>
      <c r="R31" s="712">
        <f t="shared" si="20"/>
        <v>365</v>
      </c>
      <c r="S31" s="714" t="s">
        <v>1341</v>
      </c>
      <c r="T31" s="714" t="s">
        <v>1342</v>
      </c>
      <c r="U31" s="855" t="s">
        <v>1343</v>
      </c>
      <c r="V31" s="714" t="s">
        <v>279</v>
      </c>
      <c r="W31" s="714"/>
      <c r="X31" s="714" t="s">
        <v>1344</v>
      </c>
      <c r="Y31" s="855" t="s">
        <v>1345</v>
      </c>
      <c r="Z31" s="714" t="s">
        <v>1346</v>
      </c>
      <c r="AA31" s="855" t="s">
        <v>1347</v>
      </c>
      <c r="AB31" s="855"/>
      <c r="AC31" s="855"/>
      <c r="AD31" s="714" t="s">
        <v>1348</v>
      </c>
      <c r="AE31" s="714" t="s">
        <v>1349</v>
      </c>
      <c r="AF31" s="714" t="s">
        <v>766</v>
      </c>
      <c r="AG31" s="714" t="s">
        <v>1350</v>
      </c>
      <c r="AH31" s="867">
        <v>60</v>
      </c>
      <c r="AI31" s="868">
        <f t="shared" si="1"/>
        <v>60</v>
      </c>
      <c r="AJ31" s="867">
        <f t="shared" si="2"/>
        <v>0</v>
      </c>
      <c r="AK31" s="867">
        <v>60</v>
      </c>
      <c r="AL31" s="869">
        <v>1</v>
      </c>
      <c r="AM31" s="869">
        <v>8.9999999999999998E-4</v>
      </c>
      <c r="AN31" s="869">
        <f t="shared" si="3"/>
        <v>1</v>
      </c>
      <c r="AO31" s="869">
        <f t="shared" si="4"/>
        <v>0</v>
      </c>
      <c r="AP31" s="869"/>
      <c r="AQ31" s="869"/>
      <c r="AR31" s="869"/>
      <c r="AS31" s="869">
        <f t="shared" si="5"/>
        <v>0</v>
      </c>
      <c r="AT31" s="869">
        <f t="shared" si="6"/>
        <v>0</v>
      </c>
      <c r="AU31" s="867">
        <v>0</v>
      </c>
      <c r="AV31" s="869">
        <v>0</v>
      </c>
      <c r="AW31" s="869">
        <f t="shared" si="7"/>
        <v>0</v>
      </c>
      <c r="AX31" s="869">
        <f t="shared" si="8"/>
        <v>0</v>
      </c>
      <c r="AY31" s="867">
        <v>0</v>
      </c>
      <c r="AZ31" s="869">
        <v>0</v>
      </c>
      <c r="BA31" s="869">
        <f t="shared" si="9"/>
        <v>0</v>
      </c>
      <c r="BB31" s="869">
        <f t="shared" si="10"/>
        <v>0</v>
      </c>
      <c r="BC31" s="867">
        <v>0</v>
      </c>
      <c r="BD31" s="869">
        <v>0</v>
      </c>
      <c r="BE31" s="869">
        <f t="shared" si="11"/>
        <v>0</v>
      </c>
      <c r="BF31" s="869">
        <f t="shared" si="12"/>
        <v>0</v>
      </c>
      <c r="BG31" s="867">
        <v>0</v>
      </c>
      <c r="BH31" s="869">
        <v>0</v>
      </c>
      <c r="BI31" s="714">
        <v>0</v>
      </c>
      <c r="BJ31" s="714">
        <v>0</v>
      </c>
      <c r="BK31" s="714">
        <v>0</v>
      </c>
      <c r="BL31" s="714">
        <f t="shared" si="13"/>
        <v>0</v>
      </c>
      <c r="BM31" s="869">
        <f t="shared" si="14"/>
        <v>0</v>
      </c>
      <c r="BN31" s="867">
        <v>0</v>
      </c>
      <c r="BO31" s="869">
        <v>0</v>
      </c>
      <c r="BP31" s="869">
        <f t="shared" si="15"/>
        <v>0</v>
      </c>
      <c r="BQ31" s="869">
        <f t="shared" si="16"/>
        <v>0</v>
      </c>
      <c r="BR31" s="867">
        <v>60</v>
      </c>
      <c r="BS31" s="869">
        <v>8.0000000000000004E-4</v>
      </c>
      <c r="BT31" s="869"/>
      <c r="BU31" s="869"/>
      <c r="BV31" s="870">
        <v>1324</v>
      </c>
      <c r="BW31" s="870">
        <v>1324</v>
      </c>
      <c r="BX31" s="870">
        <v>1054</v>
      </c>
      <c r="BY31" s="870">
        <v>4</v>
      </c>
      <c r="BZ31" s="870"/>
      <c r="CA31" s="870">
        <v>15</v>
      </c>
      <c r="CB31" s="870">
        <v>68</v>
      </c>
      <c r="CC31" s="870"/>
      <c r="CD31" s="870"/>
      <c r="CE31" s="870"/>
      <c r="CF31" s="870"/>
      <c r="CG31" s="870">
        <v>307</v>
      </c>
      <c r="CH31" s="870">
        <v>531</v>
      </c>
      <c r="CI31" s="870">
        <v>129</v>
      </c>
      <c r="CJ31" s="870"/>
      <c r="CK31" s="870"/>
      <c r="CL31" s="870"/>
      <c r="CM31" s="870"/>
      <c r="CN31" s="870"/>
      <c r="CO31" s="870"/>
      <c r="CP31" s="870"/>
      <c r="CQ31" s="870"/>
      <c r="CR31" s="870"/>
      <c r="CS31" s="871">
        <f t="shared" si="21"/>
        <v>1054</v>
      </c>
      <c r="CT31" s="871">
        <f t="shared" si="17"/>
        <v>1054</v>
      </c>
      <c r="CU31" s="871">
        <f t="shared" si="18"/>
        <v>0</v>
      </c>
      <c r="CV31" s="872">
        <v>231</v>
      </c>
      <c r="CW31" s="714" t="s">
        <v>1351</v>
      </c>
      <c r="CX31" s="714"/>
      <c r="CY31" s="714">
        <v>23.5</v>
      </c>
      <c r="CZ31" s="907" t="s">
        <v>1352</v>
      </c>
      <c r="DA31" s="907"/>
      <c r="DB31" s="907"/>
      <c r="DC31" s="714" t="s">
        <v>278</v>
      </c>
      <c r="DD31" s="714" t="s">
        <v>1353</v>
      </c>
      <c r="DE31" s="714" t="s">
        <v>1354</v>
      </c>
      <c r="DF31" s="870">
        <v>7</v>
      </c>
      <c r="DG31" s="870"/>
      <c r="DH31" s="870"/>
      <c r="DI31" s="714"/>
      <c r="DJ31" s="714"/>
      <c r="DK31" s="870"/>
      <c r="DL31" s="714"/>
      <c r="DM31" s="714"/>
      <c r="DN31" s="870"/>
      <c r="DO31" s="714"/>
      <c r="DP31" s="714"/>
      <c r="DQ31" s="870"/>
      <c r="DR31" s="714"/>
      <c r="DS31" s="714"/>
      <c r="DT31" s="870"/>
      <c r="DU31" s="714"/>
      <c r="DV31" s="714"/>
      <c r="DW31" s="870"/>
      <c r="DX31" s="714" t="s">
        <v>278</v>
      </c>
      <c r="DY31" s="714" t="s">
        <v>1355</v>
      </c>
      <c r="DZ31" s="870">
        <v>1324</v>
      </c>
      <c r="EA31" s="714"/>
      <c r="EB31" s="714"/>
      <c r="EC31" s="870"/>
      <c r="ED31" s="714"/>
      <c r="EE31" s="714"/>
      <c r="EF31" s="870"/>
      <c r="EG31" s="714"/>
      <c r="EH31" s="714"/>
      <c r="EI31" s="870"/>
      <c r="EJ31" s="714"/>
      <c r="EK31" s="714"/>
      <c r="EL31" s="870"/>
      <c r="EM31" s="714" t="s">
        <v>278</v>
      </c>
      <c r="EN31" s="714" t="s">
        <v>1356</v>
      </c>
      <c r="EO31" s="870">
        <v>12</v>
      </c>
      <c r="EP31" s="714"/>
      <c r="EQ31" s="714"/>
      <c r="ER31" s="870"/>
      <c r="ES31" s="714"/>
      <c r="ET31" s="714"/>
      <c r="EU31" s="870"/>
      <c r="EV31" s="878">
        <v>1</v>
      </c>
      <c r="EW31" s="714"/>
      <c r="EX31" s="854">
        <v>235</v>
      </c>
      <c r="EY31" s="714" t="s">
        <v>279</v>
      </c>
      <c r="EZ31" s="714"/>
      <c r="FA31" s="714" t="s">
        <v>278</v>
      </c>
      <c r="FB31" s="714" t="s">
        <v>1357</v>
      </c>
      <c r="FC31" s="855" t="s">
        <v>1358</v>
      </c>
      <c r="FD31" s="855" t="s">
        <v>1359</v>
      </c>
      <c r="FE31" s="714"/>
      <c r="FF31" s="714"/>
      <c r="FG31" s="714"/>
      <c r="FH31" s="714" t="s">
        <v>1360</v>
      </c>
      <c r="FI31" s="714">
        <v>26</v>
      </c>
      <c r="FJ31" s="714">
        <v>754</v>
      </c>
      <c r="FK31" s="714" t="s">
        <v>1361</v>
      </c>
      <c r="FL31" s="714" t="s">
        <v>1362</v>
      </c>
      <c r="FM31" s="714" t="s">
        <v>1363</v>
      </c>
      <c r="FN31" s="714" t="s">
        <v>1364</v>
      </c>
      <c r="FO31" s="714" t="s">
        <v>1365</v>
      </c>
      <c r="FP31" s="855" t="s">
        <v>1366</v>
      </c>
    </row>
    <row r="32" spans="2:172" ht="90.5" customHeight="1">
      <c r="B32" s="850" t="s">
        <v>5315</v>
      </c>
      <c r="C32" s="850" t="s">
        <v>5316</v>
      </c>
      <c r="D32" s="850" t="s">
        <v>5317</v>
      </c>
      <c r="E32" s="850" t="s">
        <v>5318</v>
      </c>
      <c r="F32" s="850" t="s">
        <v>5319</v>
      </c>
      <c r="G32" s="850" t="s">
        <v>4933</v>
      </c>
      <c r="I32" s="850" t="s">
        <v>5525</v>
      </c>
      <c r="J32" s="850" t="s">
        <v>5396</v>
      </c>
      <c r="K32" s="714" t="s">
        <v>202</v>
      </c>
      <c r="L32" s="714"/>
      <c r="M32" s="714" t="s">
        <v>881</v>
      </c>
      <c r="N32" s="714" t="s">
        <v>881</v>
      </c>
      <c r="O32" s="852">
        <v>2017</v>
      </c>
      <c r="P32" s="865">
        <v>43466</v>
      </c>
      <c r="Q32" s="865">
        <v>43830</v>
      </c>
      <c r="R32" s="712">
        <f t="shared" si="20"/>
        <v>364</v>
      </c>
      <c r="S32" s="714" t="s">
        <v>882</v>
      </c>
      <c r="T32" s="714" t="s">
        <v>883</v>
      </c>
      <c r="U32" s="866" t="s">
        <v>884</v>
      </c>
      <c r="V32" s="714"/>
      <c r="W32" s="714"/>
      <c r="X32" s="714"/>
      <c r="Y32" s="714"/>
      <c r="Z32" s="714"/>
      <c r="AA32" s="714"/>
      <c r="AB32" s="714"/>
      <c r="AC32" s="714"/>
      <c r="AD32" s="714" t="s">
        <v>885</v>
      </c>
      <c r="AE32" s="714" t="s">
        <v>885</v>
      </c>
      <c r="AF32" s="714" t="s">
        <v>277</v>
      </c>
      <c r="AG32" s="714" t="s">
        <v>886</v>
      </c>
      <c r="AH32" s="867">
        <v>612.94299999999998</v>
      </c>
      <c r="AI32" s="868">
        <f t="shared" si="1"/>
        <v>612.94399999999996</v>
      </c>
      <c r="AJ32" s="875">
        <f t="shared" si="2"/>
        <v>9.9999999997635314E-4</v>
      </c>
      <c r="AK32" s="867">
        <v>10.500999999999999</v>
      </c>
      <c r="AL32" s="869">
        <f>AK32/AH32*100%</f>
        <v>1.713209874327629E-2</v>
      </c>
      <c r="AM32" s="869"/>
      <c r="AN32" s="869">
        <f t="shared" si="3"/>
        <v>1.713209874327629E-2</v>
      </c>
      <c r="AO32" s="869">
        <f t="shared" si="4"/>
        <v>0</v>
      </c>
      <c r="AP32" s="869"/>
      <c r="AQ32" s="869"/>
      <c r="AR32" s="869"/>
      <c r="AS32" s="869">
        <f t="shared" si="5"/>
        <v>0</v>
      </c>
      <c r="AT32" s="869">
        <f t="shared" si="6"/>
        <v>0</v>
      </c>
      <c r="AU32" s="867">
        <v>65.129000000000005</v>
      </c>
      <c r="AV32" s="869">
        <f>AU32/AH32*100%</f>
        <v>0.10625620979438546</v>
      </c>
      <c r="AW32" s="869">
        <f t="shared" si="7"/>
        <v>0.10625620979438546</v>
      </c>
      <c r="AX32" s="869">
        <f t="shared" si="8"/>
        <v>0</v>
      </c>
      <c r="AY32" s="867">
        <v>22.783999999999999</v>
      </c>
      <c r="AZ32" s="869">
        <f>AY32/AH32*100%</f>
        <v>3.7171482503267024E-2</v>
      </c>
      <c r="BA32" s="869">
        <f t="shared" si="9"/>
        <v>3.7171482503267024E-2</v>
      </c>
      <c r="BB32" s="869">
        <f t="shared" si="10"/>
        <v>0</v>
      </c>
      <c r="BC32" s="867"/>
      <c r="BD32" s="869"/>
      <c r="BE32" s="869">
        <f t="shared" si="11"/>
        <v>0</v>
      </c>
      <c r="BF32" s="869">
        <f t="shared" si="12"/>
        <v>0</v>
      </c>
      <c r="BG32" s="867">
        <v>514.53</v>
      </c>
      <c r="BH32" s="869">
        <f>BG32/AH32*100%</f>
        <v>0.83944184043214454</v>
      </c>
      <c r="BI32" s="714" t="s">
        <v>887</v>
      </c>
      <c r="BJ32" s="714" t="s">
        <v>457</v>
      </c>
      <c r="BK32" s="714" t="s">
        <v>885</v>
      </c>
      <c r="BL32" s="714">
        <f t="shared" si="13"/>
        <v>0.83944184043214454</v>
      </c>
      <c r="BM32" s="869">
        <f t="shared" si="14"/>
        <v>0</v>
      </c>
      <c r="BN32" s="867"/>
      <c r="BO32" s="869"/>
      <c r="BP32" s="869">
        <f t="shared" si="15"/>
        <v>0</v>
      </c>
      <c r="BQ32" s="869">
        <f t="shared" si="16"/>
        <v>0</v>
      </c>
      <c r="BR32" s="867">
        <v>497.46699999999998</v>
      </c>
      <c r="BS32" s="869">
        <v>7.3000000000000001E-3</v>
      </c>
      <c r="BT32" s="869"/>
      <c r="BU32" s="869"/>
      <c r="BV32" s="870"/>
      <c r="BW32" s="870">
        <v>236</v>
      </c>
      <c r="BX32" s="870">
        <v>236</v>
      </c>
      <c r="BY32" s="870"/>
      <c r="BZ32" s="870"/>
      <c r="CA32" s="870"/>
      <c r="CB32" s="870"/>
      <c r="CC32" s="870"/>
      <c r="CD32" s="870"/>
      <c r="CE32" s="870"/>
      <c r="CF32" s="870"/>
      <c r="CG32" s="870"/>
      <c r="CH32" s="870">
        <v>151</v>
      </c>
      <c r="CI32" s="870"/>
      <c r="CJ32" s="870">
        <v>85</v>
      </c>
      <c r="CK32" s="870"/>
      <c r="CL32" s="870"/>
      <c r="CM32" s="870"/>
      <c r="CN32" s="870"/>
      <c r="CO32" s="870"/>
      <c r="CP32" s="870"/>
      <c r="CQ32" s="870"/>
      <c r="CR32" s="870"/>
      <c r="CS32" s="871">
        <f t="shared" si="21"/>
        <v>236</v>
      </c>
      <c r="CT32" s="871">
        <f t="shared" si="17"/>
        <v>236</v>
      </c>
      <c r="CU32" s="871">
        <f t="shared" si="18"/>
        <v>0</v>
      </c>
      <c r="CV32" s="872">
        <v>1037.5719999999999</v>
      </c>
      <c r="CW32" s="714" t="s">
        <v>888</v>
      </c>
      <c r="CX32" s="714"/>
      <c r="CY32" s="869">
        <v>0.75970000000000004</v>
      </c>
      <c r="CZ32" s="714"/>
      <c r="DA32" s="714"/>
      <c r="DB32" s="714"/>
      <c r="DC32" s="714" t="s">
        <v>279</v>
      </c>
      <c r="DD32" s="714"/>
      <c r="DE32" s="870"/>
      <c r="DF32" s="870"/>
      <c r="DG32" s="714">
        <v>422</v>
      </c>
      <c r="DH32" s="714">
        <v>6</v>
      </c>
      <c r="DI32" s="870" t="s">
        <v>278</v>
      </c>
      <c r="DJ32" s="714" t="s">
        <v>889</v>
      </c>
      <c r="DK32" s="870">
        <v>4741</v>
      </c>
      <c r="DL32" s="870" t="s">
        <v>278</v>
      </c>
      <c r="DM32" s="714" t="s">
        <v>890</v>
      </c>
      <c r="DN32" s="714">
        <v>28373</v>
      </c>
      <c r="DO32" s="870" t="s">
        <v>278</v>
      </c>
      <c r="DP32" s="714" t="s">
        <v>891</v>
      </c>
      <c r="DQ32" s="714">
        <v>2799</v>
      </c>
      <c r="DR32" s="870" t="s">
        <v>278</v>
      </c>
      <c r="DS32" s="714" t="s">
        <v>892</v>
      </c>
      <c r="DT32" s="714">
        <v>13568</v>
      </c>
      <c r="DU32" s="870" t="s">
        <v>279</v>
      </c>
      <c r="DV32" s="714"/>
      <c r="DW32" s="714"/>
      <c r="DX32" s="870" t="s">
        <v>278</v>
      </c>
      <c r="DY32" s="714"/>
      <c r="DZ32" s="714">
        <v>12415</v>
      </c>
      <c r="EA32" s="870" t="s">
        <v>278</v>
      </c>
      <c r="EB32" s="714" t="s">
        <v>893</v>
      </c>
      <c r="EC32" s="714">
        <v>75520</v>
      </c>
      <c r="ED32" s="870" t="s">
        <v>278</v>
      </c>
      <c r="EE32" s="714" t="s">
        <v>894</v>
      </c>
      <c r="EF32" s="714">
        <v>41152</v>
      </c>
      <c r="EG32" s="870"/>
      <c r="EH32" s="714"/>
      <c r="EI32" s="714"/>
      <c r="EJ32" s="870"/>
      <c r="EK32" s="714"/>
      <c r="EL32" s="714"/>
      <c r="EM32" s="870"/>
      <c r="EN32" s="714"/>
      <c r="EO32" s="714"/>
      <c r="EP32" s="870"/>
      <c r="EQ32" s="714"/>
      <c r="ER32" s="714"/>
      <c r="ES32" s="870"/>
      <c r="ET32" s="878"/>
      <c r="EU32" s="714"/>
      <c r="EV32" s="854">
        <v>67</v>
      </c>
      <c r="EW32" s="714" t="s">
        <v>895</v>
      </c>
      <c r="EX32" s="714">
        <v>67</v>
      </c>
      <c r="EY32" s="714" t="s">
        <v>279</v>
      </c>
      <c r="EZ32" s="714"/>
      <c r="FA32" s="714" t="s">
        <v>278</v>
      </c>
      <c r="FB32" s="714" t="s">
        <v>896</v>
      </c>
      <c r="FC32" s="714" t="s">
        <v>897</v>
      </c>
      <c r="FD32" s="873" t="s">
        <v>898</v>
      </c>
      <c r="FE32" s="714"/>
      <c r="FF32" s="714"/>
      <c r="FG32" s="714"/>
      <c r="FH32" s="714"/>
      <c r="FI32" s="873"/>
      <c r="FJ32" s="714"/>
      <c r="FK32" s="714" t="s">
        <v>899</v>
      </c>
      <c r="FL32" s="714" t="s">
        <v>900</v>
      </c>
      <c r="FM32" s="873" t="s">
        <v>901</v>
      </c>
      <c r="FN32" s="714"/>
      <c r="FO32" s="714"/>
      <c r="FP32" s="714"/>
    </row>
    <row r="33" spans="2:210" ht="63" customHeight="1">
      <c r="B33" s="850" t="s">
        <v>5315</v>
      </c>
      <c r="C33" s="850" t="s">
        <v>5328</v>
      </c>
      <c r="D33" s="850" t="s">
        <v>4933</v>
      </c>
      <c r="E33" s="850" t="s">
        <v>5314</v>
      </c>
      <c r="F33" s="879">
        <v>1</v>
      </c>
      <c r="G33" s="850" t="s">
        <v>4933</v>
      </c>
      <c r="I33" s="850" t="s">
        <v>5525</v>
      </c>
      <c r="J33" s="850" t="s">
        <v>5396</v>
      </c>
      <c r="K33" s="714" t="s">
        <v>202</v>
      </c>
      <c r="L33" s="714"/>
      <c r="M33" s="714" t="s">
        <v>902</v>
      </c>
      <c r="N33" s="714" t="s">
        <v>903</v>
      </c>
      <c r="O33" s="852">
        <v>2013</v>
      </c>
      <c r="P33" s="865">
        <v>43466</v>
      </c>
      <c r="Q33" s="865">
        <v>43814</v>
      </c>
      <c r="R33" s="712">
        <f t="shared" si="20"/>
        <v>348</v>
      </c>
      <c r="S33" s="714" t="s">
        <v>904</v>
      </c>
      <c r="T33" s="714" t="s">
        <v>905</v>
      </c>
      <c r="U33" s="714" t="s">
        <v>906</v>
      </c>
      <c r="V33" s="714"/>
      <c r="W33" s="714"/>
      <c r="X33" s="714"/>
      <c r="Y33" s="714"/>
      <c r="Z33" s="714"/>
      <c r="AA33" s="714"/>
      <c r="AB33" s="714"/>
      <c r="AC33" s="714"/>
      <c r="AD33" s="714" t="s">
        <v>907</v>
      </c>
      <c r="AE33" s="714" t="s">
        <v>907</v>
      </c>
      <c r="AF33" s="714" t="s">
        <v>908</v>
      </c>
      <c r="AG33" s="714" t="s">
        <v>909</v>
      </c>
      <c r="AH33" s="867">
        <v>89.882000000000005</v>
      </c>
      <c r="AI33" s="868">
        <f t="shared" si="1"/>
        <v>89.882000000000005</v>
      </c>
      <c r="AJ33" s="867">
        <f t="shared" si="2"/>
        <v>0</v>
      </c>
      <c r="AK33" s="867">
        <v>44.941000000000003</v>
      </c>
      <c r="AL33" s="869">
        <v>0.5</v>
      </c>
      <c r="AM33" s="869">
        <v>6.9999999999999999E-4</v>
      </c>
      <c r="AN33" s="869">
        <f t="shared" si="3"/>
        <v>0.5</v>
      </c>
      <c r="AO33" s="869">
        <f t="shared" si="4"/>
        <v>0</v>
      </c>
      <c r="AP33" s="869"/>
      <c r="AQ33" s="869"/>
      <c r="AR33" s="869"/>
      <c r="AS33" s="869">
        <f t="shared" si="5"/>
        <v>0</v>
      </c>
      <c r="AT33" s="869">
        <f t="shared" si="6"/>
        <v>0</v>
      </c>
      <c r="AU33" s="867"/>
      <c r="AV33" s="869"/>
      <c r="AW33" s="869">
        <f t="shared" si="7"/>
        <v>0</v>
      </c>
      <c r="AX33" s="869">
        <f t="shared" si="8"/>
        <v>0</v>
      </c>
      <c r="AY33" s="867">
        <v>37.981999999999999</v>
      </c>
      <c r="AZ33" s="869">
        <v>0.42249999999999999</v>
      </c>
      <c r="BA33" s="869">
        <f t="shared" si="9"/>
        <v>0.42257626666073295</v>
      </c>
      <c r="BB33" s="869">
        <f t="shared" si="10"/>
        <v>-7.6266660732959846E-5</v>
      </c>
      <c r="BC33" s="867">
        <v>6.9589999999999996</v>
      </c>
      <c r="BD33" s="869">
        <v>7.7499999999999999E-2</v>
      </c>
      <c r="BE33" s="869">
        <f t="shared" si="11"/>
        <v>7.7423733339267026E-2</v>
      </c>
      <c r="BF33" s="869">
        <f t="shared" si="12"/>
        <v>7.6266660732973723E-5</v>
      </c>
      <c r="BG33" s="867"/>
      <c r="BH33" s="869"/>
      <c r="BI33" s="714"/>
      <c r="BJ33" s="714"/>
      <c r="BK33" s="714"/>
      <c r="BL33" s="714">
        <f t="shared" si="13"/>
        <v>0</v>
      </c>
      <c r="BM33" s="869">
        <f t="shared" si="14"/>
        <v>0</v>
      </c>
      <c r="BN33" s="867"/>
      <c r="BO33" s="869"/>
      <c r="BP33" s="869">
        <f t="shared" si="15"/>
        <v>0</v>
      </c>
      <c r="BQ33" s="869">
        <f t="shared" si="16"/>
        <v>0</v>
      </c>
      <c r="BR33" s="867">
        <v>76.95</v>
      </c>
      <c r="BS33" s="869">
        <v>1E-3</v>
      </c>
      <c r="BT33" s="869"/>
      <c r="BU33" s="869"/>
      <c r="BV33" s="870">
        <v>206</v>
      </c>
      <c r="BW33" s="870">
        <v>206</v>
      </c>
      <c r="BX33" s="870" t="s">
        <v>910</v>
      </c>
      <c r="BY33" s="870">
        <v>14</v>
      </c>
      <c r="BZ33" s="870">
        <v>38</v>
      </c>
      <c r="CA33" s="870">
        <v>37</v>
      </c>
      <c r="CB33" s="870"/>
      <c r="CC33" s="870"/>
      <c r="CD33" s="870">
        <v>24</v>
      </c>
      <c r="CE33" s="870"/>
      <c r="CF33" s="870"/>
      <c r="CG33" s="870"/>
      <c r="CH33" s="870"/>
      <c r="CI33" s="870">
        <v>28</v>
      </c>
      <c r="CJ33" s="870">
        <v>32</v>
      </c>
      <c r="CK33" s="870">
        <v>18</v>
      </c>
      <c r="CL33" s="870">
        <v>7</v>
      </c>
      <c r="CM33" s="870"/>
      <c r="CN33" s="870"/>
      <c r="CO33" s="870"/>
      <c r="CP33" s="870"/>
      <c r="CQ33" s="870"/>
      <c r="CR33" s="870">
        <v>8</v>
      </c>
      <c r="CS33" s="871">
        <f t="shared" si="21"/>
        <v>206</v>
      </c>
      <c r="CT33" s="871">
        <f t="shared" si="17"/>
        <v>206</v>
      </c>
      <c r="CU33" s="871">
        <f t="shared" si="18"/>
        <v>0</v>
      </c>
      <c r="CV33" s="872">
        <v>88.927000000000007</v>
      </c>
      <c r="CW33" s="714" t="s">
        <v>911</v>
      </c>
      <c r="CX33" s="714"/>
      <c r="CY33" s="714">
        <v>6.45</v>
      </c>
      <c r="CZ33" s="869"/>
      <c r="DA33" s="869"/>
      <c r="DB33" s="869"/>
      <c r="DC33" s="714"/>
      <c r="DD33" s="714"/>
      <c r="DE33" s="714"/>
      <c r="DF33" s="870"/>
      <c r="DG33" s="870"/>
      <c r="DH33" s="870"/>
      <c r="DI33" s="714"/>
      <c r="DJ33" s="714"/>
      <c r="DK33" s="870"/>
      <c r="DL33" s="714"/>
      <c r="DM33" s="714"/>
      <c r="DN33" s="870"/>
      <c r="DO33" s="714"/>
      <c r="DP33" s="714"/>
      <c r="DQ33" s="870"/>
      <c r="DR33" s="714"/>
      <c r="DS33" s="714"/>
      <c r="DT33" s="870"/>
      <c r="DU33" s="714"/>
      <c r="DV33" s="714"/>
      <c r="DW33" s="870"/>
      <c r="DX33" s="714" t="s">
        <v>579</v>
      </c>
      <c r="DY33" s="714" t="s">
        <v>912</v>
      </c>
      <c r="DZ33" s="870">
        <v>88927</v>
      </c>
      <c r="EA33" s="714"/>
      <c r="EB33" s="714"/>
      <c r="EC33" s="870"/>
      <c r="ED33" s="714"/>
      <c r="EE33" s="714"/>
      <c r="EF33" s="870"/>
      <c r="EG33" s="714"/>
      <c r="EH33" s="714"/>
      <c r="EI33" s="870"/>
      <c r="EJ33" s="714"/>
      <c r="EK33" s="714"/>
      <c r="EL33" s="870"/>
      <c r="EM33" s="714"/>
      <c r="EN33" s="714"/>
      <c r="EO33" s="870"/>
      <c r="EP33" s="714"/>
      <c r="EQ33" s="714"/>
      <c r="ER33" s="870"/>
      <c r="ES33" s="714" t="s">
        <v>279</v>
      </c>
      <c r="ET33" s="714" t="s">
        <v>912</v>
      </c>
      <c r="EU33" s="870">
        <v>88927</v>
      </c>
      <c r="EV33" s="878">
        <v>1</v>
      </c>
      <c r="EW33" s="714"/>
      <c r="EX33" s="854">
        <v>70</v>
      </c>
      <c r="EY33" s="714" t="s">
        <v>279</v>
      </c>
      <c r="EZ33" s="714"/>
      <c r="FA33" s="714" t="s">
        <v>279</v>
      </c>
      <c r="FB33" s="714"/>
      <c r="FC33" s="873" t="s">
        <v>906</v>
      </c>
      <c r="FD33" s="714"/>
      <c r="FE33" s="714"/>
      <c r="FF33" s="714"/>
      <c r="FG33" s="714"/>
      <c r="FH33" s="714" t="s">
        <v>279</v>
      </c>
      <c r="FI33" s="714"/>
      <c r="FJ33" s="714"/>
      <c r="FK33" s="714" t="s">
        <v>913</v>
      </c>
      <c r="FL33" s="714" t="s">
        <v>914</v>
      </c>
      <c r="FM33" s="873" t="s">
        <v>915</v>
      </c>
      <c r="FN33" s="714"/>
      <c r="FO33" s="714"/>
      <c r="FP33" s="714"/>
    </row>
    <row r="34" spans="2:210" ht="95.5" customHeight="1">
      <c r="B34" s="850" t="s">
        <v>5315</v>
      </c>
      <c r="C34" s="850" t="s">
        <v>5320</v>
      </c>
      <c r="D34" s="850" t="s">
        <v>5317</v>
      </c>
      <c r="E34" s="850" t="s">
        <v>5318</v>
      </c>
      <c r="F34" s="850" t="s">
        <v>694</v>
      </c>
      <c r="G34" s="850" t="s">
        <v>4933</v>
      </c>
      <c r="I34" s="850" t="s">
        <v>5525</v>
      </c>
      <c r="J34" s="850" t="s">
        <v>5396</v>
      </c>
      <c r="K34" s="714" t="s">
        <v>202</v>
      </c>
      <c r="L34" s="714"/>
      <c r="M34" s="714" t="s">
        <v>916</v>
      </c>
      <c r="N34" s="714" t="s">
        <v>389</v>
      </c>
      <c r="O34" s="852">
        <v>2015</v>
      </c>
      <c r="P34" s="865">
        <v>43497</v>
      </c>
      <c r="Q34" s="882">
        <v>43770</v>
      </c>
      <c r="R34" s="712">
        <f t="shared" si="20"/>
        <v>273</v>
      </c>
      <c r="S34" s="714" t="s">
        <v>917</v>
      </c>
      <c r="T34" s="714" t="s">
        <v>918</v>
      </c>
      <c r="U34" s="855" t="s">
        <v>919</v>
      </c>
      <c r="V34" s="714" t="s">
        <v>279</v>
      </c>
      <c r="W34" s="714"/>
      <c r="X34" s="714" t="s">
        <v>920</v>
      </c>
      <c r="Y34" s="855" t="s">
        <v>921</v>
      </c>
      <c r="Z34" s="714" t="s">
        <v>922</v>
      </c>
      <c r="AA34" s="855" t="s">
        <v>923</v>
      </c>
      <c r="AB34" s="855"/>
      <c r="AC34" s="855"/>
      <c r="AD34" s="714" t="s">
        <v>924</v>
      </c>
      <c r="AE34" s="714" t="s">
        <v>924</v>
      </c>
      <c r="AF34" s="714" t="s">
        <v>277</v>
      </c>
      <c r="AG34" s="714" t="s">
        <v>925</v>
      </c>
      <c r="AH34" s="867">
        <v>10.545999999999999</v>
      </c>
      <c r="AI34" s="868">
        <f t="shared" si="1"/>
        <v>10.545999999999999</v>
      </c>
      <c r="AJ34" s="867">
        <f t="shared" si="2"/>
        <v>0</v>
      </c>
      <c r="AK34" s="867">
        <v>6.4969999999999999</v>
      </c>
      <c r="AL34" s="869">
        <f>AK34/AH34</f>
        <v>0.61606296226057278</v>
      </c>
      <c r="AM34" s="884">
        <v>1E-4</v>
      </c>
      <c r="AN34" s="869">
        <f t="shared" si="3"/>
        <v>0.61606296226057278</v>
      </c>
      <c r="AO34" s="869">
        <f t="shared" si="4"/>
        <v>0</v>
      </c>
      <c r="AP34" s="884"/>
      <c r="AQ34" s="884"/>
      <c r="AR34" s="884"/>
      <c r="AS34" s="869">
        <f t="shared" si="5"/>
        <v>0</v>
      </c>
      <c r="AT34" s="869">
        <f t="shared" si="6"/>
        <v>0</v>
      </c>
      <c r="AU34" s="867">
        <v>0.80900000000000005</v>
      </c>
      <c r="AV34" s="869">
        <f>AU34/AH34</f>
        <v>7.671154940261711E-2</v>
      </c>
      <c r="AW34" s="869">
        <f t="shared" si="7"/>
        <v>7.671154940261711E-2</v>
      </c>
      <c r="AX34" s="869">
        <f t="shared" si="8"/>
        <v>0</v>
      </c>
      <c r="AY34" s="867">
        <v>0</v>
      </c>
      <c r="AZ34" s="869"/>
      <c r="BA34" s="869">
        <f t="shared" si="9"/>
        <v>0</v>
      </c>
      <c r="BB34" s="869">
        <f t="shared" si="10"/>
        <v>0</v>
      </c>
      <c r="BC34" s="867">
        <v>0.03</v>
      </c>
      <c r="BD34" s="869">
        <f>BC34/AH34</f>
        <v>2.844680447563057E-3</v>
      </c>
      <c r="BE34" s="869">
        <f t="shared" si="11"/>
        <v>2.844680447563057E-3</v>
      </c>
      <c r="BF34" s="869">
        <f t="shared" si="12"/>
        <v>0</v>
      </c>
      <c r="BG34" s="867">
        <v>3.21</v>
      </c>
      <c r="BH34" s="869">
        <f>BG34/AH34</f>
        <v>0.3043808078892471</v>
      </c>
      <c r="BI34" s="714" t="s">
        <v>926</v>
      </c>
      <c r="BJ34" s="714" t="s">
        <v>769</v>
      </c>
      <c r="BK34" s="714" t="s">
        <v>924</v>
      </c>
      <c r="BL34" s="714">
        <f t="shared" si="13"/>
        <v>0.3043808078892471</v>
      </c>
      <c r="BM34" s="869">
        <f t="shared" si="14"/>
        <v>0</v>
      </c>
      <c r="BN34" s="867"/>
      <c r="BO34" s="869"/>
      <c r="BP34" s="869">
        <f t="shared" si="15"/>
        <v>0</v>
      </c>
      <c r="BQ34" s="869">
        <f t="shared" si="16"/>
        <v>0</v>
      </c>
      <c r="BR34" s="867">
        <v>33.271500000000003</v>
      </c>
      <c r="BS34" s="869">
        <v>5.0000000000000001E-4</v>
      </c>
      <c r="BT34" s="869"/>
      <c r="BU34" s="869"/>
      <c r="BV34" s="870">
        <v>17</v>
      </c>
      <c r="BW34" s="870">
        <v>17</v>
      </c>
      <c r="BX34" s="870">
        <v>11</v>
      </c>
      <c r="BY34" s="870"/>
      <c r="BZ34" s="870"/>
      <c r="CA34" s="870"/>
      <c r="CB34" s="870"/>
      <c r="CC34" s="870"/>
      <c r="CD34" s="870"/>
      <c r="CE34" s="870"/>
      <c r="CF34" s="870"/>
      <c r="CG34" s="870">
        <v>4</v>
      </c>
      <c r="CH34" s="870"/>
      <c r="CI34" s="870">
        <v>2</v>
      </c>
      <c r="CJ34" s="870">
        <v>5</v>
      </c>
      <c r="CK34" s="870"/>
      <c r="CL34" s="870"/>
      <c r="CM34" s="870"/>
      <c r="CN34" s="870"/>
      <c r="CO34" s="870"/>
      <c r="CP34" s="870"/>
      <c r="CQ34" s="870"/>
      <c r="CR34" s="870"/>
      <c r="CS34" s="871">
        <f t="shared" si="21"/>
        <v>11</v>
      </c>
      <c r="CT34" s="871">
        <f t="shared" si="17"/>
        <v>11</v>
      </c>
      <c r="CU34" s="871">
        <f t="shared" si="18"/>
        <v>0</v>
      </c>
      <c r="CV34" s="872">
        <v>22.425000000000001</v>
      </c>
      <c r="CW34" s="714" t="s">
        <v>927</v>
      </c>
      <c r="CX34" s="714"/>
      <c r="CY34" s="869">
        <v>1.6400000000000001E-2</v>
      </c>
      <c r="CZ34" s="907" t="s">
        <v>928</v>
      </c>
      <c r="DA34" s="907"/>
      <c r="DB34" s="907"/>
      <c r="DC34" s="714" t="s">
        <v>279</v>
      </c>
      <c r="DD34" s="714"/>
      <c r="DE34" s="714"/>
      <c r="DF34" s="870"/>
      <c r="DG34" s="870"/>
      <c r="DH34" s="870">
        <v>1</v>
      </c>
      <c r="DI34" s="714" t="s">
        <v>279</v>
      </c>
      <c r="DJ34" s="714"/>
      <c r="DK34" s="870"/>
      <c r="DL34" s="714" t="s">
        <v>279</v>
      </c>
      <c r="DM34" s="714"/>
      <c r="DN34" s="870"/>
      <c r="DO34" s="714" t="s">
        <v>279</v>
      </c>
      <c r="DP34" s="714"/>
      <c r="DQ34" s="870"/>
      <c r="DR34" s="714" t="s">
        <v>279</v>
      </c>
      <c r="DS34" s="714"/>
      <c r="DT34" s="870"/>
      <c r="DU34" s="714" t="s">
        <v>279</v>
      </c>
      <c r="DV34" s="714"/>
      <c r="DW34" s="870"/>
      <c r="DX34" s="714" t="s">
        <v>278</v>
      </c>
      <c r="DY34" s="714" t="s">
        <v>929</v>
      </c>
      <c r="DZ34" s="870">
        <v>9081</v>
      </c>
      <c r="EA34" s="714" t="s">
        <v>279</v>
      </c>
      <c r="EB34" s="714"/>
      <c r="EC34" s="870"/>
      <c r="ED34" s="714" t="s">
        <v>278</v>
      </c>
      <c r="EE34" s="714" t="s">
        <v>929</v>
      </c>
      <c r="EF34" s="870">
        <v>9081</v>
      </c>
      <c r="EG34" s="714" t="s">
        <v>279</v>
      </c>
      <c r="EH34" s="714"/>
      <c r="EI34" s="870"/>
      <c r="EJ34" s="714" t="s">
        <v>279</v>
      </c>
      <c r="EK34" s="714"/>
      <c r="EL34" s="870"/>
      <c r="EM34" s="714" t="s">
        <v>278</v>
      </c>
      <c r="EN34" s="714" t="s">
        <v>930</v>
      </c>
      <c r="EO34" s="885">
        <v>7</v>
      </c>
      <c r="EP34" s="714" t="s">
        <v>279</v>
      </c>
      <c r="EQ34" s="714"/>
      <c r="ER34" s="870"/>
      <c r="ES34" s="714" t="s">
        <v>279</v>
      </c>
      <c r="ET34" s="714"/>
      <c r="EU34" s="870"/>
      <c r="EV34" s="805" t="s">
        <v>931</v>
      </c>
      <c r="EW34" s="851"/>
      <c r="EX34" s="870">
        <v>17</v>
      </c>
      <c r="EY34" s="714" t="s">
        <v>279</v>
      </c>
      <c r="EZ34" s="714"/>
      <c r="FA34" s="714" t="s">
        <v>278</v>
      </c>
      <c r="FB34" s="714" t="s">
        <v>932</v>
      </c>
      <c r="FC34" s="855" t="s">
        <v>933</v>
      </c>
      <c r="FD34" s="714"/>
      <c r="FE34" s="714"/>
      <c r="FF34" s="714" t="s">
        <v>934</v>
      </c>
      <c r="FG34" s="714" t="s">
        <v>279</v>
      </c>
      <c r="FH34" s="714" t="s">
        <v>279</v>
      </c>
      <c r="FI34" s="714">
        <v>0</v>
      </c>
      <c r="FJ34" s="714">
        <v>0</v>
      </c>
      <c r="FK34" s="714" t="s">
        <v>935</v>
      </c>
      <c r="FL34" s="714" t="s">
        <v>936</v>
      </c>
      <c r="FM34" s="855" t="s">
        <v>937</v>
      </c>
      <c r="FN34" s="714"/>
      <c r="FO34" s="714"/>
      <c r="FP34" s="714"/>
    </row>
    <row r="35" spans="2:210" ht="95.5" customHeight="1">
      <c r="B35" s="850" t="s">
        <v>5313</v>
      </c>
      <c r="C35" s="863"/>
      <c r="D35" s="850" t="s">
        <v>4933</v>
      </c>
      <c r="E35" s="850" t="s">
        <v>5314</v>
      </c>
      <c r="F35" s="879">
        <v>1</v>
      </c>
      <c r="G35" s="850" t="s">
        <v>4933</v>
      </c>
      <c r="I35" s="850" t="s">
        <v>5523</v>
      </c>
      <c r="J35" s="673" t="s">
        <v>5398</v>
      </c>
      <c r="K35" s="714" t="s">
        <v>203</v>
      </c>
      <c r="L35" s="714"/>
      <c r="M35" s="714" t="s">
        <v>474</v>
      </c>
      <c r="N35" s="714" t="s">
        <v>475</v>
      </c>
      <c r="O35" s="852">
        <v>2019</v>
      </c>
      <c r="P35" s="865">
        <v>43570</v>
      </c>
      <c r="Q35" s="865">
        <v>43800</v>
      </c>
      <c r="R35" s="712">
        <f t="shared" si="20"/>
        <v>230</v>
      </c>
      <c r="S35" s="714" t="s">
        <v>476</v>
      </c>
      <c r="T35" s="714" t="s">
        <v>477</v>
      </c>
      <c r="U35" s="714" t="s">
        <v>478</v>
      </c>
      <c r="V35" s="714"/>
      <c r="W35" s="714"/>
      <c r="X35" s="714"/>
      <c r="Y35" s="714"/>
      <c r="Z35" s="714" t="s">
        <v>479</v>
      </c>
      <c r="AA35" s="714" t="s">
        <v>478</v>
      </c>
      <c r="AB35" s="714"/>
      <c r="AC35" s="714"/>
      <c r="AD35" s="714" t="s">
        <v>480</v>
      </c>
      <c r="AE35" s="714" t="s">
        <v>480</v>
      </c>
      <c r="AF35" s="714" t="s">
        <v>481</v>
      </c>
      <c r="AG35" s="714" t="s">
        <v>482</v>
      </c>
      <c r="AH35" s="867">
        <v>114.42100000000001</v>
      </c>
      <c r="AI35" s="868">
        <f t="shared" si="1"/>
        <v>114.420907</v>
      </c>
      <c r="AJ35" s="867">
        <f t="shared" si="2"/>
        <v>-9.3000000006782102E-5</v>
      </c>
      <c r="AK35" s="867">
        <v>52.185000000000002</v>
      </c>
      <c r="AL35" s="869">
        <f>AK35/AH35</f>
        <v>0.45607886664161301</v>
      </c>
      <c r="AM35" s="869">
        <f>AK35/107984.281</f>
        <v>4.8326478184357221E-4</v>
      </c>
      <c r="AN35" s="869">
        <f t="shared" si="3"/>
        <v>0.45607886664161301</v>
      </c>
      <c r="AO35" s="869">
        <f t="shared" si="4"/>
        <v>0</v>
      </c>
      <c r="AP35" s="869"/>
      <c r="AQ35" s="869"/>
      <c r="AR35" s="869"/>
      <c r="AS35" s="869">
        <f t="shared" si="5"/>
        <v>0</v>
      </c>
      <c r="AT35" s="869">
        <f t="shared" si="6"/>
        <v>0</v>
      </c>
      <c r="AU35" s="867">
        <f>60.6676</f>
        <v>60.6676</v>
      </c>
      <c r="AV35" s="869">
        <f>AU35/AH35</f>
        <v>0.53021385934400156</v>
      </c>
      <c r="AW35" s="869">
        <f t="shared" si="7"/>
        <v>0.53021385934400156</v>
      </c>
      <c r="AX35" s="869">
        <f t="shared" si="8"/>
        <v>0</v>
      </c>
      <c r="AY35" s="867">
        <v>1.5086999999999999</v>
      </c>
      <c r="AZ35" s="869">
        <f>AY35/AH35</f>
        <v>1.3185516644671868E-2</v>
      </c>
      <c r="BA35" s="869">
        <f t="shared" si="9"/>
        <v>1.3185516644671868E-2</v>
      </c>
      <c r="BB35" s="869">
        <f t="shared" si="10"/>
        <v>0</v>
      </c>
      <c r="BC35" s="867">
        <v>5.9607E-2</v>
      </c>
      <c r="BD35" s="869">
        <f>BC35/AH35</f>
        <v>5.2094458185123361E-4</v>
      </c>
      <c r="BE35" s="869">
        <f t="shared" si="11"/>
        <v>5.2094458185123361E-4</v>
      </c>
      <c r="BF35" s="869">
        <f t="shared" si="12"/>
        <v>0</v>
      </c>
      <c r="BG35" s="867"/>
      <c r="BH35" s="869"/>
      <c r="BI35" s="714"/>
      <c r="BJ35" s="714"/>
      <c r="BK35" s="714"/>
      <c r="BL35" s="714">
        <f t="shared" si="13"/>
        <v>0</v>
      </c>
      <c r="BM35" s="869">
        <f t="shared" si="14"/>
        <v>0</v>
      </c>
      <c r="BN35" s="867"/>
      <c r="BO35" s="869"/>
      <c r="BP35" s="869">
        <f t="shared" si="15"/>
        <v>0</v>
      </c>
      <c r="BQ35" s="869">
        <f t="shared" si="16"/>
        <v>0</v>
      </c>
      <c r="BR35" s="867">
        <v>73.5</v>
      </c>
      <c r="BS35" s="869">
        <f>BR35/114500.785</f>
        <v>6.4191699646426004E-4</v>
      </c>
      <c r="BT35" s="869"/>
      <c r="BU35" s="869"/>
      <c r="BV35" s="870">
        <v>209</v>
      </c>
      <c r="BW35" s="870">
        <v>209</v>
      </c>
      <c r="BX35" s="870">
        <v>93</v>
      </c>
      <c r="BY35" s="870">
        <v>2</v>
      </c>
      <c r="BZ35" s="870">
        <v>13</v>
      </c>
      <c r="CA35" s="870">
        <v>2</v>
      </c>
      <c r="CB35" s="870">
        <v>1</v>
      </c>
      <c r="CC35" s="870"/>
      <c r="CD35" s="870">
        <v>2</v>
      </c>
      <c r="CE35" s="870">
        <v>6</v>
      </c>
      <c r="CF35" s="870">
        <v>14</v>
      </c>
      <c r="CG35" s="870">
        <v>12</v>
      </c>
      <c r="CH35" s="870">
        <v>3</v>
      </c>
      <c r="CI35" s="870">
        <v>3</v>
      </c>
      <c r="CJ35" s="870">
        <v>29</v>
      </c>
      <c r="CK35" s="870">
        <v>5</v>
      </c>
      <c r="CL35" s="870"/>
      <c r="CM35" s="870"/>
      <c r="CN35" s="870"/>
      <c r="CO35" s="870"/>
      <c r="CP35" s="870">
        <v>1</v>
      </c>
      <c r="CQ35" s="870"/>
      <c r="CR35" s="870"/>
      <c r="CS35" s="871">
        <f t="shared" si="21"/>
        <v>93</v>
      </c>
      <c r="CT35" s="871">
        <f t="shared" si="17"/>
        <v>93</v>
      </c>
      <c r="CU35" s="871">
        <f t="shared" si="18"/>
        <v>0</v>
      </c>
      <c r="CV35" s="872">
        <v>2051.029</v>
      </c>
      <c r="CW35" s="714"/>
      <c r="CX35" s="714"/>
      <c r="CY35" s="921">
        <f>CV35/2507.509</f>
        <v>0.81795479098978308</v>
      </c>
      <c r="CZ35" s="907" t="s">
        <v>483</v>
      </c>
      <c r="DA35" s="907"/>
      <c r="DB35" s="907"/>
      <c r="DC35" s="714" t="s">
        <v>278</v>
      </c>
      <c r="DD35" s="714" t="s">
        <v>484</v>
      </c>
      <c r="DE35" s="714" t="s">
        <v>485</v>
      </c>
      <c r="DF35" s="870">
        <v>20</v>
      </c>
      <c r="DG35" s="870"/>
      <c r="DH35" s="870"/>
      <c r="DI35" s="714"/>
      <c r="DJ35" s="714"/>
      <c r="DK35" s="870"/>
      <c r="DL35" s="714" t="s">
        <v>278</v>
      </c>
      <c r="DM35" s="714" t="s">
        <v>486</v>
      </c>
      <c r="DN35" s="870">
        <v>4195</v>
      </c>
      <c r="DO35" s="714"/>
      <c r="DP35" s="714"/>
      <c r="DQ35" s="870"/>
      <c r="DR35" s="714"/>
      <c r="DS35" s="714"/>
      <c r="DT35" s="870"/>
      <c r="DU35" s="714"/>
      <c r="DV35" s="714"/>
      <c r="DW35" s="870"/>
      <c r="DX35" s="714"/>
      <c r="DY35" s="714"/>
      <c r="DZ35" s="870"/>
      <c r="EA35" s="714" t="s">
        <v>278</v>
      </c>
      <c r="EB35" s="714" t="s">
        <v>487</v>
      </c>
      <c r="EC35" s="870">
        <v>82512</v>
      </c>
      <c r="ED35" s="714"/>
      <c r="EE35" s="714"/>
      <c r="EF35" s="870"/>
      <c r="EG35" s="714"/>
      <c r="EH35" s="714"/>
      <c r="EI35" s="870"/>
      <c r="EJ35" s="714"/>
      <c r="EK35" s="714"/>
      <c r="EL35" s="870"/>
      <c r="EM35" s="714"/>
      <c r="EN35" s="714"/>
      <c r="EO35" s="870"/>
      <c r="EP35" s="714"/>
      <c r="EQ35" s="714"/>
      <c r="ER35" s="870"/>
      <c r="ES35" s="714"/>
      <c r="ET35" s="714"/>
      <c r="EU35" s="870"/>
      <c r="EV35" s="878">
        <v>1</v>
      </c>
      <c r="EW35" s="714"/>
      <c r="EX35" s="854">
        <v>114</v>
      </c>
      <c r="EY35" s="714" t="s">
        <v>278</v>
      </c>
      <c r="EZ35" s="714" t="s">
        <v>488</v>
      </c>
      <c r="FA35" s="714" t="s">
        <v>279</v>
      </c>
      <c r="FB35" s="714"/>
      <c r="FC35" s="855" t="s">
        <v>489</v>
      </c>
      <c r="FD35" s="714" t="s">
        <v>490</v>
      </c>
      <c r="FE35" s="714"/>
      <c r="FF35" s="714" t="s">
        <v>491</v>
      </c>
      <c r="FG35" s="714"/>
      <c r="FH35" s="714" t="s">
        <v>563</v>
      </c>
      <c r="FI35" s="714">
        <v>2</v>
      </c>
      <c r="FJ35" s="714">
        <v>76</v>
      </c>
      <c r="FK35" s="714" t="s">
        <v>492</v>
      </c>
      <c r="FL35" s="714" t="s">
        <v>493</v>
      </c>
      <c r="FM35" s="855" t="s">
        <v>494</v>
      </c>
      <c r="FN35" s="714" t="s">
        <v>492</v>
      </c>
      <c r="FO35" s="714" t="s">
        <v>493</v>
      </c>
      <c r="FP35" s="855" t="s">
        <v>494</v>
      </c>
    </row>
    <row r="36" spans="2:210" ht="89.5" customHeight="1">
      <c r="B36" s="850" t="s">
        <v>5313</v>
      </c>
      <c r="C36" s="863"/>
      <c r="D36" s="850" t="s">
        <v>4933</v>
      </c>
      <c r="E36" s="850" t="s">
        <v>5314</v>
      </c>
      <c r="F36" s="850" t="s">
        <v>5329</v>
      </c>
      <c r="G36" s="850" t="s">
        <v>4933</v>
      </c>
      <c r="I36" s="850" t="s">
        <v>5524</v>
      </c>
      <c r="J36" s="673" t="s">
        <v>5397</v>
      </c>
      <c r="K36" s="714" t="s">
        <v>204</v>
      </c>
      <c r="L36" s="714"/>
      <c r="M36" s="714" t="s">
        <v>1220</v>
      </c>
      <c r="N36" s="714" t="s">
        <v>2062</v>
      </c>
      <c r="O36" s="852">
        <v>2015</v>
      </c>
      <c r="P36" s="865">
        <v>43342</v>
      </c>
      <c r="Q36" s="865">
        <v>43830</v>
      </c>
      <c r="R36" s="712">
        <f t="shared" si="20"/>
        <v>488</v>
      </c>
      <c r="S36" s="714" t="s">
        <v>2063</v>
      </c>
      <c r="T36" s="714" t="s">
        <v>2064</v>
      </c>
      <c r="U36" s="855" t="s">
        <v>2065</v>
      </c>
      <c r="V36" s="714" t="s">
        <v>410</v>
      </c>
      <c r="W36" s="714" t="s">
        <v>410</v>
      </c>
      <c r="X36" s="714" t="s">
        <v>410</v>
      </c>
      <c r="Y36" s="714" t="s">
        <v>410</v>
      </c>
      <c r="Z36" s="714" t="s">
        <v>410</v>
      </c>
      <c r="AA36" s="714" t="s">
        <v>410</v>
      </c>
      <c r="AB36" s="714"/>
      <c r="AC36" s="714"/>
      <c r="AD36" s="714" t="s">
        <v>2066</v>
      </c>
      <c r="AE36" s="714" t="s">
        <v>2067</v>
      </c>
      <c r="AF36" s="714" t="s">
        <v>2068</v>
      </c>
      <c r="AG36" s="714" t="s">
        <v>2069</v>
      </c>
      <c r="AH36" s="867">
        <v>171.38</v>
      </c>
      <c r="AI36" s="868">
        <f t="shared" si="1"/>
        <v>171.38</v>
      </c>
      <c r="AJ36" s="875">
        <f t="shared" si="2"/>
        <v>0</v>
      </c>
      <c r="AK36" s="867">
        <v>82.058000000000007</v>
      </c>
      <c r="AL36" s="869">
        <f>AK36/AH36</f>
        <v>0.47880732874314397</v>
      </c>
      <c r="AM36" s="869">
        <f>82.058/82295.507</f>
        <v>9.9711397367051899E-4</v>
      </c>
      <c r="AN36" s="869">
        <f t="shared" si="3"/>
        <v>0.47880732874314397</v>
      </c>
      <c r="AO36" s="869">
        <f t="shared" si="4"/>
        <v>0</v>
      </c>
      <c r="AP36" s="869"/>
      <c r="AQ36" s="869"/>
      <c r="AR36" s="869"/>
      <c r="AS36" s="869">
        <f t="shared" si="5"/>
        <v>0</v>
      </c>
      <c r="AT36" s="869">
        <f t="shared" si="6"/>
        <v>0</v>
      </c>
      <c r="AU36" s="867">
        <v>61.469000000000001</v>
      </c>
      <c r="AV36" s="869">
        <f>(AU36/AH36)</f>
        <v>0.35867079005718289</v>
      </c>
      <c r="AW36" s="869">
        <f t="shared" si="7"/>
        <v>0.35867079005718289</v>
      </c>
      <c r="AX36" s="869">
        <f t="shared" si="8"/>
        <v>0</v>
      </c>
      <c r="AY36" s="867">
        <v>15.617000000000001</v>
      </c>
      <c r="AZ36" s="869">
        <f>AY36/AH36</f>
        <v>9.1124985412533555E-2</v>
      </c>
      <c r="BA36" s="869">
        <f t="shared" si="9"/>
        <v>9.1124985412533555E-2</v>
      </c>
      <c r="BB36" s="869">
        <f t="shared" si="10"/>
        <v>0</v>
      </c>
      <c r="BC36" s="867">
        <v>12.236000000000001</v>
      </c>
      <c r="BD36" s="869">
        <f>BC36/AH36</f>
        <v>7.1396895787139689E-2</v>
      </c>
      <c r="BE36" s="869">
        <f t="shared" si="11"/>
        <v>7.1396895787139689E-2</v>
      </c>
      <c r="BF36" s="869">
        <f t="shared" si="12"/>
        <v>0</v>
      </c>
      <c r="BG36" s="867"/>
      <c r="BH36" s="869"/>
      <c r="BI36" s="714" t="s">
        <v>410</v>
      </c>
      <c r="BJ36" s="714" t="s">
        <v>410</v>
      </c>
      <c r="BK36" s="714" t="s">
        <v>410</v>
      </c>
      <c r="BL36" s="714">
        <f t="shared" si="13"/>
        <v>0</v>
      </c>
      <c r="BM36" s="869">
        <f t="shared" si="14"/>
        <v>0</v>
      </c>
      <c r="BN36" s="867"/>
      <c r="BO36" s="869"/>
      <c r="BP36" s="869">
        <f t="shared" si="15"/>
        <v>0</v>
      </c>
      <c r="BQ36" s="869">
        <f t="shared" si="16"/>
        <v>0</v>
      </c>
      <c r="BR36" s="867">
        <v>167.267</v>
      </c>
      <c r="BS36" s="869">
        <f>BR36/94514.174</f>
        <v>1.7697557193908291E-3</v>
      </c>
      <c r="BT36" s="869"/>
      <c r="BU36" s="869"/>
      <c r="BV36" s="870">
        <v>835</v>
      </c>
      <c r="BW36" s="870">
        <v>835</v>
      </c>
      <c r="BX36" s="870">
        <v>818</v>
      </c>
      <c r="BY36" s="870">
        <v>134</v>
      </c>
      <c r="BZ36" s="870" t="s">
        <v>410</v>
      </c>
      <c r="CA36" s="870">
        <v>85</v>
      </c>
      <c r="CB36" s="870">
        <v>82</v>
      </c>
      <c r="CC36" s="870">
        <v>2</v>
      </c>
      <c r="CD36" s="870">
        <v>54</v>
      </c>
      <c r="CE36" s="870" t="s">
        <v>410</v>
      </c>
      <c r="CF36" s="870">
        <v>68</v>
      </c>
      <c r="CG36" s="870">
        <v>54</v>
      </c>
      <c r="CH36" s="870" t="s">
        <v>410</v>
      </c>
      <c r="CI36" s="870">
        <v>161</v>
      </c>
      <c r="CJ36" s="870">
        <v>158</v>
      </c>
      <c r="CK36" s="870" t="s">
        <v>410</v>
      </c>
      <c r="CL36" s="870">
        <v>9</v>
      </c>
      <c r="CM36" s="870" t="s">
        <v>410</v>
      </c>
      <c r="CN36" s="870">
        <v>11</v>
      </c>
      <c r="CO36" s="870" t="s">
        <v>410</v>
      </c>
      <c r="CP36" s="870" t="s">
        <v>410</v>
      </c>
      <c r="CQ36" s="870" t="s">
        <v>410</v>
      </c>
      <c r="CR36" s="870" t="s">
        <v>410</v>
      </c>
      <c r="CS36" s="871">
        <f t="shared" si="21"/>
        <v>818</v>
      </c>
      <c r="CT36" s="871">
        <f t="shared" si="17"/>
        <v>818</v>
      </c>
      <c r="CU36" s="871">
        <f t="shared" si="18"/>
        <v>0</v>
      </c>
      <c r="CV36" s="872">
        <v>235.411</v>
      </c>
      <c r="CW36" s="714" t="s">
        <v>2070</v>
      </c>
      <c r="CX36" s="855" t="s">
        <v>2065</v>
      </c>
      <c r="CY36" s="921">
        <f>CV36/1167.713</f>
        <v>0.20160005069738884</v>
      </c>
      <c r="CZ36" s="907" t="s">
        <v>2071</v>
      </c>
      <c r="DA36" s="907"/>
      <c r="DB36" s="907"/>
      <c r="DC36" s="714" t="s">
        <v>410</v>
      </c>
      <c r="DD36" s="714" t="s">
        <v>410</v>
      </c>
      <c r="DE36" s="714" t="s">
        <v>410</v>
      </c>
      <c r="DF36" s="870" t="s">
        <v>410</v>
      </c>
      <c r="DG36" s="870" t="s">
        <v>410</v>
      </c>
      <c r="DH36" s="870">
        <v>5</v>
      </c>
      <c r="DI36" s="714" t="s">
        <v>389</v>
      </c>
      <c r="DJ36" s="714" t="s">
        <v>410</v>
      </c>
      <c r="DK36" s="870" t="s">
        <v>410</v>
      </c>
      <c r="DL36" s="714" t="s">
        <v>278</v>
      </c>
      <c r="DM36" s="714" t="s">
        <v>1041</v>
      </c>
      <c r="DN36" s="870">
        <v>83260</v>
      </c>
      <c r="DO36" s="714" t="s">
        <v>389</v>
      </c>
      <c r="DP36" s="714" t="s">
        <v>410</v>
      </c>
      <c r="DQ36" s="870" t="s">
        <v>410</v>
      </c>
      <c r="DR36" s="714" t="s">
        <v>389</v>
      </c>
      <c r="DS36" s="714" t="s">
        <v>410</v>
      </c>
      <c r="DT36" s="870"/>
      <c r="DU36" s="714" t="s">
        <v>389</v>
      </c>
      <c r="DV36" s="714" t="s">
        <v>410</v>
      </c>
      <c r="DW36" s="870" t="s">
        <v>410</v>
      </c>
      <c r="DX36" s="714" t="s">
        <v>389</v>
      </c>
      <c r="DY36" s="714" t="s">
        <v>410</v>
      </c>
      <c r="DZ36" s="870" t="s">
        <v>410</v>
      </c>
      <c r="EA36" s="714" t="s">
        <v>279</v>
      </c>
      <c r="EB36" s="714" t="s">
        <v>410</v>
      </c>
      <c r="EC36" s="870" t="s">
        <v>410</v>
      </c>
      <c r="ED36" s="714" t="s">
        <v>389</v>
      </c>
      <c r="EE36" s="714" t="s">
        <v>410</v>
      </c>
      <c r="EF36" s="870" t="s">
        <v>410</v>
      </c>
      <c r="EG36" s="714" t="s">
        <v>389</v>
      </c>
      <c r="EH36" s="714" t="s">
        <v>410</v>
      </c>
      <c r="EI36" s="870" t="s">
        <v>410</v>
      </c>
      <c r="EJ36" s="714" t="s">
        <v>389</v>
      </c>
      <c r="EK36" s="714" t="s">
        <v>410</v>
      </c>
      <c r="EL36" s="870" t="s">
        <v>410</v>
      </c>
      <c r="EM36" s="714" t="s">
        <v>392</v>
      </c>
      <c r="EN36" s="714" t="s">
        <v>2072</v>
      </c>
      <c r="EO36" s="870">
        <v>14</v>
      </c>
      <c r="EP36" s="714" t="s">
        <v>389</v>
      </c>
      <c r="EQ36" s="714" t="s">
        <v>410</v>
      </c>
      <c r="ER36" s="870" t="s">
        <v>410</v>
      </c>
      <c r="ES36" s="714" t="s">
        <v>389</v>
      </c>
      <c r="ET36" s="714" t="s">
        <v>410</v>
      </c>
      <c r="EU36" s="870" t="s">
        <v>410</v>
      </c>
      <c r="EV36" s="714" t="s">
        <v>2073</v>
      </c>
      <c r="EW36" s="714" t="s">
        <v>2074</v>
      </c>
      <c r="EX36" s="854">
        <v>193</v>
      </c>
      <c r="EY36" s="714" t="s">
        <v>389</v>
      </c>
      <c r="EZ36" s="714" t="s">
        <v>410</v>
      </c>
      <c r="FA36" s="714" t="s">
        <v>389</v>
      </c>
      <c r="FB36" s="714" t="s">
        <v>410</v>
      </c>
      <c r="FC36" s="855" t="s">
        <v>2075</v>
      </c>
      <c r="FD36" s="855" t="s">
        <v>2076</v>
      </c>
      <c r="FE36" s="714"/>
      <c r="FF36" s="855" t="s">
        <v>2077</v>
      </c>
      <c r="FG36" s="714" t="s">
        <v>2078</v>
      </c>
      <c r="FH36" s="714" t="s">
        <v>389</v>
      </c>
      <c r="FI36" s="714" t="s">
        <v>410</v>
      </c>
      <c r="FJ36" s="714" t="s">
        <v>410</v>
      </c>
      <c r="FK36" s="714" t="s">
        <v>2079</v>
      </c>
      <c r="FL36" s="714" t="s">
        <v>2080</v>
      </c>
      <c r="FM36" s="855" t="s">
        <v>2081</v>
      </c>
      <c r="FN36" s="714" t="s">
        <v>410</v>
      </c>
      <c r="FO36" s="714" t="s">
        <v>410</v>
      </c>
      <c r="FP36" s="714" t="s">
        <v>410</v>
      </c>
    </row>
    <row r="37" spans="2:210" ht="89.5" customHeight="1">
      <c r="B37" s="850" t="s">
        <v>5313</v>
      </c>
      <c r="C37" s="863"/>
      <c r="D37" s="850" t="s">
        <v>4934</v>
      </c>
      <c r="E37" s="850" t="s">
        <v>5314</v>
      </c>
      <c r="H37" s="850" t="s">
        <v>4934</v>
      </c>
      <c r="I37" s="850" t="s">
        <v>5524</v>
      </c>
      <c r="J37" s="673" t="s">
        <v>5397</v>
      </c>
      <c r="K37" s="714" t="s">
        <v>204</v>
      </c>
      <c r="L37" s="714" t="s">
        <v>5361</v>
      </c>
      <c r="M37" s="857" t="s">
        <v>5845</v>
      </c>
      <c r="N37" s="857" t="s">
        <v>5805</v>
      </c>
      <c r="O37" s="857">
        <v>2013</v>
      </c>
      <c r="P37" s="922">
        <v>43160</v>
      </c>
      <c r="Q37" s="922">
        <v>43800</v>
      </c>
      <c r="R37" s="712">
        <f t="shared" si="20"/>
        <v>640</v>
      </c>
      <c r="S37" s="857"/>
      <c r="T37" s="857"/>
      <c r="U37" s="857"/>
      <c r="V37" s="857"/>
      <c r="W37" s="857"/>
      <c r="X37" s="857"/>
      <c r="Y37" s="857"/>
      <c r="Z37" s="857"/>
      <c r="AA37" s="857"/>
      <c r="AB37" s="857" t="s">
        <v>5806</v>
      </c>
      <c r="AC37" s="859" t="s">
        <v>5807</v>
      </c>
      <c r="AD37" s="857" t="s">
        <v>5808</v>
      </c>
      <c r="AE37" s="857" t="s">
        <v>5809</v>
      </c>
      <c r="AF37" s="857" t="s">
        <v>5810</v>
      </c>
      <c r="AG37" s="857" t="s">
        <v>5809</v>
      </c>
      <c r="AH37" s="857">
        <v>44.786000000000001</v>
      </c>
      <c r="AI37" s="868">
        <f>AK37+AY37+BG37+BK37+BS37+AU37</f>
        <v>44.786000000000001</v>
      </c>
      <c r="AJ37" s="875">
        <f t="shared" si="2"/>
        <v>0</v>
      </c>
      <c r="AK37" s="857"/>
      <c r="AL37" s="857"/>
      <c r="AM37" s="857"/>
      <c r="AN37" s="869">
        <f t="shared" si="3"/>
        <v>0</v>
      </c>
      <c r="AO37" s="869">
        <f t="shared" si="4"/>
        <v>0</v>
      </c>
      <c r="AR37" s="923">
        <v>4.7999999999999996E-3</v>
      </c>
      <c r="AS37" s="869">
        <f>AU37/AH37</f>
        <v>1</v>
      </c>
      <c r="AT37" s="869">
        <f>AV37-AS37</f>
        <v>0</v>
      </c>
      <c r="AU37" s="857">
        <v>44.786000000000001</v>
      </c>
      <c r="AV37" s="923">
        <v>1</v>
      </c>
      <c r="AW37" s="869">
        <f t="shared" si="7"/>
        <v>1</v>
      </c>
      <c r="AX37" s="869">
        <f t="shared" si="8"/>
        <v>0</v>
      </c>
      <c r="AY37" s="924">
        <v>0</v>
      </c>
      <c r="AZ37" s="923">
        <v>0</v>
      </c>
      <c r="BA37" s="869">
        <f t="shared" si="9"/>
        <v>0</v>
      </c>
      <c r="BB37" s="869">
        <f t="shared" si="10"/>
        <v>0</v>
      </c>
      <c r="BC37" s="924">
        <v>0</v>
      </c>
      <c r="BD37" s="923">
        <v>0</v>
      </c>
      <c r="BE37" s="869">
        <f t="shared" si="11"/>
        <v>0</v>
      </c>
      <c r="BF37" s="869">
        <f t="shared" si="12"/>
        <v>0</v>
      </c>
      <c r="BG37" s="923"/>
      <c r="BH37" s="923"/>
      <c r="BI37" s="923"/>
      <c r="BJ37" s="923"/>
      <c r="BK37" s="923"/>
      <c r="BL37" s="714">
        <f t="shared" si="13"/>
        <v>0</v>
      </c>
      <c r="BM37" s="869">
        <f t="shared" si="14"/>
        <v>0</v>
      </c>
      <c r="BN37" s="924">
        <v>0</v>
      </c>
      <c r="BO37" s="923">
        <v>0</v>
      </c>
      <c r="BP37" s="869">
        <f t="shared" si="15"/>
        <v>0</v>
      </c>
      <c r="BQ37" s="869">
        <f t="shared" si="16"/>
        <v>0</v>
      </c>
      <c r="BR37" s="923"/>
      <c r="BS37" s="923"/>
      <c r="BT37" s="924">
        <v>57.5</v>
      </c>
      <c r="BU37" s="923">
        <v>5.7000000000000002E-3</v>
      </c>
      <c r="BV37" s="856">
        <v>108</v>
      </c>
      <c r="BW37" s="856">
        <v>71</v>
      </c>
      <c r="BX37" s="856">
        <v>39</v>
      </c>
      <c r="BY37" s="856"/>
      <c r="BZ37" s="856">
        <v>3</v>
      </c>
      <c r="CA37" s="856">
        <v>1</v>
      </c>
      <c r="CB37" s="856"/>
      <c r="CC37" s="856"/>
      <c r="CD37" s="856"/>
      <c r="CE37" s="856"/>
      <c r="CF37" s="856"/>
      <c r="CG37" s="856">
        <v>12</v>
      </c>
      <c r="CH37" s="856"/>
      <c r="CI37" s="856">
        <v>17</v>
      </c>
      <c r="CJ37" s="856">
        <v>6</v>
      </c>
      <c r="CK37" s="856"/>
      <c r="CL37" s="856"/>
      <c r="CM37" s="856"/>
      <c r="CN37" s="856"/>
      <c r="CO37" s="856"/>
      <c r="CP37" s="856"/>
      <c r="CQ37" s="856"/>
      <c r="CR37" s="856"/>
      <c r="CS37" s="925">
        <f>SUM(BY37:CR37)</f>
        <v>39</v>
      </c>
      <c r="CT37" s="871">
        <f t="shared" si="17"/>
        <v>39</v>
      </c>
      <c r="CU37" s="871">
        <f t="shared" si="18"/>
        <v>0</v>
      </c>
      <c r="CV37" s="924">
        <v>184.137</v>
      </c>
      <c r="CW37" s="857" t="s">
        <v>5811</v>
      </c>
      <c r="CX37" s="857"/>
      <c r="CY37" s="857"/>
      <c r="CZ37" s="857"/>
      <c r="DA37" s="923">
        <v>0.58499999999999996</v>
      </c>
      <c r="DB37" s="858" t="s">
        <v>5812</v>
      </c>
      <c r="DC37" s="857" t="s">
        <v>279</v>
      </c>
      <c r="DD37" s="857" t="s">
        <v>279</v>
      </c>
      <c r="DE37" s="857" t="s">
        <v>279</v>
      </c>
      <c r="DF37" s="856" t="s">
        <v>279</v>
      </c>
      <c r="DG37" s="856" t="s">
        <v>279</v>
      </c>
      <c r="DH37" s="856">
        <v>5</v>
      </c>
      <c r="DI37" s="857" t="s">
        <v>279</v>
      </c>
      <c r="DJ37" s="857"/>
      <c r="DK37" s="856"/>
      <c r="DL37" s="857" t="s">
        <v>278</v>
      </c>
      <c r="DM37" s="857"/>
      <c r="DN37" s="856"/>
      <c r="DO37" s="857" t="s">
        <v>279</v>
      </c>
      <c r="DP37" s="857"/>
      <c r="DQ37" s="856"/>
      <c r="DR37" s="857" t="s">
        <v>279</v>
      </c>
      <c r="DS37" s="857"/>
      <c r="DT37" s="856"/>
      <c r="DU37" s="857" t="s">
        <v>279</v>
      </c>
      <c r="DV37" s="857"/>
      <c r="DW37" s="856"/>
      <c r="DX37" s="857" t="s">
        <v>278</v>
      </c>
      <c r="DY37" s="857" t="s">
        <v>5813</v>
      </c>
      <c r="DZ37" s="857" t="s">
        <v>5814</v>
      </c>
      <c r="EA37" s="857" t="s">
        <v>279</v>
      </c>
      <c r="EB37" s="857"/>
      <c r="EC37" s="856"/>
      <c r="ED37" s="857" t="s">
        <v>279</v>
      </c>
      <c r="EE37" s="857"/>
      <c r="EF37" s="856"/>
      <c r="EG37" s="857" t="s">
        <v>279</v>
      </c>
      <c r="EH37" s="857"/>
      <c r="EI37" s="856"/>
      <c r="EJ37" s="857" t="s">
        <v>279</v>
      </c>
      <c r="EK37" s="857"/>
      <c r="EL37" s="856"/>
      <c r="EM37" s="857" t="s">
        <v>279</v>
      </c>
      <c r="EN37" s="857"/>
      <c r="EO37" s="856"/>
      <c r="EP37" s="857" t="s">
        <v>279</v>
      </c>
      <c r="EQ37" s="857"/>
      <c r="ER37" s="856"/>
      <c r="ES37" s="857" t="s">
        <v>278</v>
      </c>
      <c r="ET37" s="857" t="s">
        <v>5815</v>
      </c>
      <c r="EU37" s="856">
        <v>30193</v>
      </c>
      <c r="EV37" s="856"/>
      <c r="EW37" s="856"/>
      <c r="EX37" s="856"/>
      <c r="EY37" s="857" t="s">
        <v>279</v>
      </c>
      <c r="EZ37" s="857"/>
      <c r="FA37" s="857" t="s">
        <v>279</v>
      </c>
      <c r="FB37" s="857"/>
      <c r="FC37" s="857" t="s">
        <v>5816</v>
      </c>
      <c r="FD37" s="857" t="s">
        <v>5817</v>
      </c>
      <c r="FE37" s="857"/>
      <c r="FF37" s="857" t="s">
        <v>5818</v>
      </c>
      <c r="FG37" s="857" t="s">
        <v>5819</v>
      </c>
      <c r="FH37" s="857" t="s">
        <v>5820</v>
      </c>
      <c r="FI37" s="857"/>
      <c r="FJ37" s="857"/>
      <c r="FK37" s="857" t="s">
        <v>5821</v>
      </c>
      <c r="FL37" s="857" t="s">
        <v>5822</v>
      </c>
      <c r="FM37" s="858" t="s">
        <v>5823</v>
      </c>
      <c r="FN37" s="857" t="s">
        <v>5824</v>
      </c>
      <c r="FO37" s="857" t="s">
        <v>2080</v>
      </c>
      <c r="FP37" s="859" t="s">
        <v>2081</v>
      </c>
      <c r="FQ37" s="854"/>
      <c r="FR37" s="714"/>
      <c r="FS37" s="714"/>
      <c r="FT37" s="714"/>
      <c r="FU37" s="714"/>
      <c r="FV37" s="855"/>
      <c r="FW37" s="855"/>
      <c r="FX37" s="714"/>
      <c r="FY37" s="855"/>
      <c r="FZ37" s="714"/>
      <c r="GA37" s="714"/>
      <c r="GB37" s="714"/>
      <c r="GC37" s="714"/>
      <c r="GD37" s="714"/>
      <c r="GE37" s="714"/>
      <c r="GF37" s="855"/>
      <c r="GG37" s="714"/>
      <c r="GH37" s="714"/>
      <c r="GI37" s="714"/>
    </row>
    <row r="38" spans="2:210" ht="89.5" customHeight="1">
      <c r="B38" s="850" t="s">
        <v>5313</v>
      </c>
      <c r="C38" s="863"/>
      <c r="D38" s="850" t="s">
        <v>4934</v>
      </c>
      <c r="E38" s="850" t="s">
        <v>5314</v>
      </c>
      <c r="H38" s="850" t="s">
        <v>4934</v>
      </c>
      <c r="I38" s="850" t="s">
        <v>5524</v>
      </c>
      <c r="J38" s="673" t="s">
        <v>5397</v>
      </c>
      <c r="K38" s="710" t="s">
        <v>204</v>
      </c>
      <c r="L38" s="710" t="s">
        <v>5825</v>
      </c>
      <c r="M38" s="710" t="s">
        <v>2931</v>
      </c>
      <c r="N38" s="710" t="s">
        <v>5826</v>
      </c>
      <c r="O38" s="895">
        <v>2019</v>
      </c>
      <c r="P38" s="896">
        <v>43398</v>
      </c>
      <c r="Q38" s="896">
        <v>43769</v>
      </c>
      <c r="R38" s="712">
        <f t="shared" si="20"/>
        <v>371</v>
      </c>
      <c r="S38" s="896"/>
      <c r="T38" s="896"/>
      <c r="U38" s="896"/>
      <c r="V38" s="896"/>
      <c r="W38" s="896"/>
      <c r="X38" s="896"/>
      <c r="Y38" s="896"/>
      <c r="Z38" s="896"/>
      <c r="AA38" s="896"/>
      <c r="AB38" s="710" t="s">
        <v>5827</v>
      </c>
      <c r="AC38" s="926" t="s">
        <v>5828</v>
      </c>
      <c r="AD38" s="710" t="s">
        <v>5829</v>
      </c>
      <c r="AE38" s="710" t="s">
        <v>5829</v>
      </c>
      <c r="AF38" s="710" t="s">
        <v>5830</v>
      </c>
      <c r="AG38" s="710" t="s">
        <v>5831</v>
      </c>
      <c r="AH38" s="898">
        <v>34.700000000000003</v>
      </c>
      <c r="AI38" s="868">
        <f>AK38+AP38+AU38+AY38+BC38</f>
        <v>34.700000000000003</v>
      </c>
      <c r="AJ38" s="875">
        <f t="shared" si="2"/>
        <v>0</v>
      </c>
      <c r="AK38" s="898"/>
      <c r="AL38" s="898"/>
      <c r="AM38" s="898"/>
      <c r="AN38" s="869">
        <f t="shared" si="3"/>
        <v>0</v>
      </c>
      <c r="AO38" s="869">
        <f t="shared" si="4"/>
        <v>0</v>
      </c>
      <c r="AR38" s="927">
        <v>3.0000000000000001E-3</v>
      </c>
      <c r="AS38" s="869">
        <f>AU38/AH38</f>
        <v>1</v>
      </c>
      <c r="AT38" s="869">
        <f>AV38-AS38</f>
        <v>0</v>
      </c>
      <c r="AU38" s="898">
        <v>34.700000000000003</v>
      </c>
      <c r="AV38" s="899">
        <v>1</v>
      </c>
      <c r="AW38" s="869">
        <f t="shared" si="7"/>
        <v>1</v>
      </c>
      <c r="AX38" s="869">
        <f t="shared" si="8"/>
        <v>0</v>
      </c>
      <c r="AY38" s="898">
        <v>0</v>
      </c>
      <c r="AZ38" s="899">
        <v>0</v>
      </c>
      <c r="BA38" s="869">
        <f t="shared" si="9"/>
        <v>0</v>
      </c>
      <c r="BB38" s="869">
        <f t="shared" si="10"/>
        <v>0</v>
      </c>
      <c r="BC38" s="898">
        <v>0</v>
      </c>
      <c r="BD38" s="899">
        <v>0</v>
      </c>
      <c r="BE38" s="869">
        <f t="shared" si="11"/>
        <v>0</v>
      </c>
      <c r="BF38" s="869">
        <f t="shared" si="12"/>
        <v>0</v>
      </c>
      <c r="BG38" s="899"/>
      <c r="BH38" s="899"/>
      <c r="BI38" s="899"/>
      <c r="BJ38" s="898">
        <v>0</v>
      </c>
      <c r="BK38" s="899">
        <v>0</v>
      </c>
      <c r="BL38" s="714">
        <f t="shared" si="13"/>
        <v>0</v>
      </c>
      <c r="BM38" s="869">
        <f t="shared" si="14"/>
        <v>0</v>
      </c>
      <c r="BN38" s="899"/>
      <c r="BO38" s="899"/>
      <c r="BP38" s="869">
        <f t="shared" si="15"/>
        <v>0</v>
      </c>
      <c r="BQ38" s="869">
        <f t="shared" si="16"/>
        <v>0</v>
      </c>
      <c r="BT38" s="928">
        <v>46.5</v>
      </c>
      <c r="BU38" s="929">
        <v>1.1000000000000001E-3</v>
      </c>
      <c r="BV38" s="930">
        <v>176</v>
      </c>
      <c r="BW38" s="901">
        <v>176</v>
      </c>
      <c r="BX38" s="901">
        <v>36</v>
      </c>
      <c r="BY38" s="901"/>
      <c r="BZ38" s="901">
        <v>8</v>
      </c>
      <c r="CA38" s="901">
        <v>1</v>
      </c>
      <c r="CB38" s="901"/>
      <c r="CC38" s="901"/>
      <c r="CD38" s="901"/>
      <c r="CE38" s="901"/>
      <c r="CF38" s="901"/>
      <c r="CG38" s="901">
        <v>13</v>
      </c>
      <c r="CH38" s="901"/>
      <c r="CI38" s="901">
        <v>9</v>
      </c>
      <c r="CJ38" s="901">
        <v>3</v>
      </c>
      <c r="CK38" s="901"/>
      <c r="CL38" s="901"/>
      <c r="CM38" s="901"/>
      <c r="CN38" s="901">
        <v>1</v>
      </c>
      <c r="CO38" s="901"/>
      <c r="CP38" s="901"/>
      <c r="CQ38" s="901">
        <v>1</v>
      </c>
      <c r="CR38" s="901"/>
      <c r="CS38" s="902">
        <f>SUM(BY38:CR38)</f>
        <v>36</v>
      </c>
      <c r="CT38" s="871">
        <f t="shared" si="17"/>
        <v>36</v>
      </c>
      <c r="CU38" s="871">
        <f t="shared" si="18"/>
        <v>0</v>
      </c>
      <c r="CV38" s="898">
        <v>240</v>
      </c>
      <c r="CW38" s="710" t="s">
        <v>5832</v>
      </c>
      <c r="CX38" s="710"/>
      <c r="CY38" s="710"/>
      <c r="CZ38" s="710"/>
      <c r="DA38" s="904">
        <v>0.76</v>
      </c>
      <c r="DB38" s="899"/>
      <c r="DC38" s="710" t="s">
        <v>279</v>
      </c>
      <c r="DD38" s="931"/>
      <c r="DE38" s="710"/>
      <c r="DF38" s="932"/>
      <c r="DG38" s="932"/>
      <c r="DH38" s="901">
        <v>13</v>
      </c>
      <c r="DI38" s="710" t="s">
        <v>279</v>
      </c>
      <c r="DJ38" s="710"/>
      <c r="DK38" s="901"/>
      <c r="DL38" s="710" t="s">
        <v>278</v>
      </c>
      <c r="DM38" s="926" t="s">
        <v>5833</v>
      </c>
      <c r="DN38" s="901"/>
      <c r="DO38" s="710" t="s">
        <v>279</v>
      </c>
      <c r="DP38" s="710"/>
      <c r="DQ38" s="901"/>
      <c r="DR38" s="710" t="s">
        <v>279</v>
      </c>
      <c r="DS38" s="710"/>
      <c r="DT38" s="901"/>
      <c r="DU38" s="710" t="s">
        <v>279</v>
      </c>
      <c r="DV38" s="710"/>
      <c r="DW38" s="901"/>
      <c r="DX38" s="710"/>
      <c r="DY38" s="710"/>
      <c r="DZ38" s="901"/>
      <c r="EA38" s="857" t="s">
        <v>279</v>
      </c>
      <c r="EB38" s="710"/>
      <c r="EC38" s="901"/>
      <c r="ED38" s="710"/>
      <c r="EE38" s="710"/>
      <c r="EF38" s="901"/>
      <c r="EG38" s="857" t="s">
        <v>279</v>
      </c>
      <c r="EH38" s="710"/>
      <c r="EI38" s="901"/>
      <c r="EJ38" s="710" t="s">
        <v>278</v>
      </c>
      <c r="EK38" s="710"/>
      <c r="EL38" s="901"/>
      <c r="EM38" s="710" t="s">
        <v>279</v>
      </c>
      <c r="EN38" s="710"/>
      <c r="EO38" s="901"/>
      <c r="EP38" s="710" t="s">
        <v>279</v>
      </c>
      <c r="EQ38" s="710"/>
      <c r="ER38" s="901"/>
      <c r="ES38" s="710" t="s">
        <v>278</v>
      </c>
      <c r="ET38" s="926" t="s">
        <v>5834</v>
      </c>
      <c r="EU38" s="901">
        <v>15968</v>
      </c>
      <c r="EV38" s="901"/>
      <c r="EW38" s="901"/>
      <c r="EX38" s="901"/>
      <c r="EY38" s="710" t="s">
        <v>279</v>
      </c>
      <c r="EZ38" s="710" t="s">
        <v>5835</v>
      </c>
      <c r="FA38" s="710" t="s">
        <v>278</v>
      </c>
      <c r="FB38" s="926" t="s">
        <v>5836</v>
      </c>
      <c r="FC38" s="710" t="s">
        <v>5833</v>
      </c>
      <c r="FD38" s="710" t="s">
        <v>5837</v>
      </c>
      <c r="FE38" s="710" t="s">
        <v>5837</v>
      </c>
      <c r="FF38" s="710"/>
      <c r="FG38" s="710" t="s">
        <v>5833</v>
      </c>
      <c r="FH38" s="710" t="s">
        <v>5838</v>
      </c>
      <c r="FI38" s="710">
        <v>9</v>
      </c>
      <c r="FJ38" s="710">
        <v>297</v>
      </c>
      <c r="FK38" s="710" t="s">
        <v>5839</v>
      </c>
      <c r="FL38" s="710" t="s">
        <v>5840</v>
      </c>
      <c r="FM38" s="926" t="s">
        <v>5841</v>
      </c>
      <c r="FN38" s="710" t="s">
        <v>5842</v>
      </c>
      <c r="FO38" s="710" t="s">
        <v>5843</v>
      </c>
      <c r="FP38" s="926" t="s">
        <v>5844</v>
      </c>
      <c r="FQ38" s="856"/>
      <c r="FR38" s="857"/>
      <c r="FS38" s="857"/>
      <c r="FT38" s="857"/>
      <c r="FU38" s="857"/>
      <c r="FV38" s="857"/>
      <c r="FW38" s="857"/>
      <c r="FX38" s="857"/>
      <c r="FY38" s="857"/>
      <c r="FZ38" s="857"/>
      <c r="GA38" s="857"/>
      <c r="GB38" s="857"/>
      <c r="GC38" s="857"/>
      <c r="GD38" s="857"/>
      <c r="GE38" s="857"/>
      <c r="GF38" s="858"/>
      <c r="GG38" s="857"/>
      <c r="GH38" s="857"/>
      <c r="GI38" s="859"/>
      <c r="GJ38" s="854"/>
      <c r="GK38" s="714"/>
      <c r="GL38" s="714"/>
      <c r="GM38" s="714"/>
      <c r="GN38" s="714"/>
      <c r="GO38" s="855"/>
      <c r="GP38" s="855"/>
      <c r="GQ38" s="714"/>
      <c r="GR38" s="855"/>
      <c r="GS38" s="714"/>
      <c r="GT38" s="714"/>
      <c r="GU38" s="714"/>
      <c r="GV38" s="714"/>
      <c r="GW38" s="714"/>
      <c r="GX38" s="714"/>
      <c r="GY38" s="855"/>
      <c r="GZ38" s="714"/>
      <c r="HA38" s="714"/>
      <c r="HB38" s="714"/>
    </row>
    <row r="39" spans="2:210" ht="88" customHeight="1">
      <c r="B39" s="850" t="s">
        <v>5313</v>
      </c>
      <c r="C39" s="863"/>
      <c r="D39" s="850" t="s">
        <v>4933</v>
      </c>
      <c r="E39" s="850" t="s">
        <v>5314</v>
      </c>
      <c r="F39" s="879">
        <v>1</v>
      </c>
      <c r="G39" s="850" t="s">
        <v>4933</v>
      </c>
      <c r="I39" s="850" t="s">
        <v>5525</v>
      </c>
      <c r="J39" s="673" t="s">
        <v>5399</v>
      </c>
      <c r="K39" s="714" t="s">
        <v>5666</v>
      </c>
      <c r="L39" s="714"/>
      <c r="M39" s="714" t="s">
        <v>938</v>
      </c>
      <c r="N39" s="714" t="s">
        <v>939</v>
      </c>
      <c r="O39" s="852">
        <v>2018</v>
      </c>
      <c r="P39" s="865">
        <v>43353</v>
      </c>
      <c r="Q39" s="865">
        <v>43824</v>
      </c>
      <c r="R39" s="712">
        <f t="shared" si="20"/>
        <v>471</v>
      </c>
      <c r="S39" s="714" t="s">
        <v>5847</v>
      </c>
      <c r="T39" s="714" t="s">
        <v>940</v>
      </c>
      <c r="U39" s="714" t="s">
        <v>941</v>
      </c>
      <c r="V39" s="714"/>
      <c r="W39" s="714"/>
      <c r="X39" s="714" t="s">
        <v>942</v>
      </c>
      <c r="Y39" s="714"/>
      <c r="Z39" s="712" t="s">
        <v>943</v>
      </c>
      <c r="AA39" s="714" t="s">
        <v>944</v>
      </c>
      <c r="AB39" s="714"/>
      <c r="AC39" s="714"/>
      <c r="AD39" s="714" t="s">
        <v>945</v>
      </c>
      <c r="AE39" s="714" t="s">
        <v>945</v>
      </c>
      <c r="AF39" s="714" t="s">
        <v>454</v>
      </c>
      <c r="AG39" s="714" t="s">
        <v>946</v>
      </c>
      <c r="AH39" s="867">
        <v>152.10499999999999</v>
      </c>
      <c r="AI39" s="868">
        <f t="shared" si="1"/>
        <v>152.10200000000003</v>
      </c>
      <c r="AJ39" s="875">
        <f t="shared" si="2"/>
        <v>-2.9999999999574811E-3</v>
      </c>
      <c r="AK39" s="867">
        <v>113.626</v>
      </c>
      <c r="AL39" s="869">
        <f>AK39/AH39</f>
        <v>0.74702343775681279</v>
      </c>
      <c r="AM39" s="874">
        <f>AK39/115474.5</f>
        <v>9.8399213679210558E-4</v>
      </c>
      <c r="AN39" s="869">
        <f t="shared" si="3"/>
        <v>0.74702343775681279</v>
      </c>
      <c r="AO39" s="869">
        <f t="shared" si="4"/>
        <v>0</v>
      </c>
      <c r="AP39" s="874"/>
      <c r="AQ39" s="874"/>
      <c r="AR39" s="874"/>
      <c r="AS39" s="869">
        <f t="shared" si="5"/>
        <v>0</v>
      </c>
      <c r="AT39" s="869">
        <f t="shared" si="6"/>
        <v>0</v>
      </c>
      <c r="AU39" s="872">
        <v>20.867999999999999</v>
      </c>
      <c r="AV39" s="869">
        <f>AU39/AH39</f>
        <v>0.1371947010288945</v>
      </c>
      <c r="AW39" s="869">
        <f t="shared" si="7"/>
        <v>0.1371947010288945</v>
      </c>
      <c r="AX39" s="869">
        <f t="shared" si="8"/>
        <v>0</v>
      </c>
      <c r="AY39" s="867">
        <v>8.3350000000000009</v>
      </c>
      <c r="AZ39" s="869">
        <f>AY39/AH39</f>
        <v>5.4797672660333328E-2</v>
      </c>
      <c r="BA39" s="869">
        <f t="shared" si="9"/>
        <v>5.4797672660333328E-2</v>
      </c>
      <c r="BB39" s="869">
        <f t="shared" si="10"/>
        <v>0</v>
      </c>
      <c r="BC39" s="867">
        <v>9.0090000000000003</v>
      </c>
      <c r="BD39" s="869">
        <f>BC39/AH39</f>
        <v>5.9228822195194118E-2</v>
      </c>
      <c r="BE39" s="869">
        <f t="shared" si="11"/>
        <v>5.9228822195194118E-2</v>
      </c>
      <c r="BF39" s="869">
        <f t="shared" si="12"/>
        <v>0</v>
      </c>
      <c r="BG39" s="867">
        <v>0</v>
      </c>
      <c r="BH39" s="869">
        <v>0</v>
      </c>
      <c r="BI39" s="714"/>
      <c r="BJ39" s="714"/>
      <c r="BK39" s="714"/>
      <c r="BL39" s="714">
        <f t="shared" si="13"/>
        <v>0</v>
      </c>
      <c r="BM39" s="869">
        <f t="shared" si="14"/>
        <v>0</v>
      </c>
      <c r="BN39" s="867">
        <f>6.814-6.55</f>
        <v>0.26400000000000023</v>
      </c>
      <c r="BO39" s="869">
        <f>BN39/AH39</f>
        <v>1.7356431412511111E-3</v>
      </c>
      <c r="BP39" s="869">
        <f t="shared" si="15"/>
        <v>1.7356431412511111E-3</v>
      </c>
      <c r="BQ39" s="869">
        <f t="shared" si="16"/>
        <v>0</v>
      </c>
      <c r="BR39" s="867">
        <v>120</v>
      </c>
      <c r="BS39" s="869">
        <f>BR39/124219</f>
        <v>9.6603579162607975E-4</v>
      </c>
      <c r="BT39" s="869"/>
      <c r="BU39" s="869"/>
      <c r="BV39" s="870"/>
      <c r="BW39" s="870">
        <v>196</v>
      </c>
      <c r="BX39" s="870">
        <v>65</v>
      </c>
      <c r="BY39" s="870">
        <v>13</v>
      </c>
      <c r="BZ39" s="870">
        <v>7</v>
      </c>
      <c r="CA39" s="870">
        <v>3</v>
      </c>
      <c r="CB39" s="870">
        <v>0</v>
      </c>
      <c r="CC39" s="870">
        <v>0</v>
      </c>
      <c r="CD39" s="870">
        <v>8</v>
      </c>
      <c r="CE39" s="870">
        <v>0</v>
      </c>
      <c r="CF39" s="870">
        <v>0</v>
      </c>
      <c r="CG39" s="870">
        <v>5</v>
      </c>
      <c r="CH39" s="870">
        <v>0</v>
      </c>
      <c r="CI39" s="870">
        <v>0</v>
      </c>
      <c r="CJ39" s="870">
        <v>18</v>
      </c>
      <c r="CK39" s="870">
        <v>3</v>
      </c>
      <c r="CL39" s="870">
        <v>0</v>
      </c>
      <c r="CM39" s="870">
        <v>0</v>
      </c>
      <c r="CN39" s="870">
        <v>0</v>
      </c>
      <c r="CO39" s="870">
        <v>0</v>
      </c>
      <c r="CP39" s="870">
        <v>0</v>
      </c>
      <c r="CQ39" s="870">
        <v>0</v>
      </c>
      <c r="CR39" s="870">
        <v>8</v>
      </c>
      <c r="CS39" s="871">
        <f t="shared" si="21"/>
        <v>65</v>
      </c>
      <c r="CT39" s="871">
        <f t="shared" si="17"/>
        <v>65</v>
      </c>
      <c r="CU39" s="871">
        <f t="shared" si="18"/>
        <v>0</v>
      </c>
      <c r="CV39" s="872">
        <v>380.774</v>
      </c>
      <c r="CW39" s="712" t="s">
        <v>947</v>
      </c>
      <c r="CX39" s="714"/>
      <c r="CY39" s="878">
        <f>CV39/2327.821</f>
        <v>0.16357529208646199</v>
      </c>
      <c r="CZ39" s="907" t="s">
        <v>948</v>
      </c>
      <c r="DA39" s="907"/>
      <c r="DB39" s="907"/>
      <c r="DC39" s="714" t="s">
        <v>279</v>
      </c>
      <c r="DD39" s="714"/>
      <c r="DE39" s="714"/>
      <c r="DF39" s="870"/>
      <c r="DG39" s="870"/>
      <c r="DH39" s="870"/>
      <c r="DI39" s="714" t="s">
        <v>278</v>
      </c>
      <c r="DJ39" s="714" t="s">
        <v>949</v>
      </c>
      <c r="DK39" s="870">
        <v>50840</v>
      </c>
      <c r="DL39" s="714" t="s">
        <v>278</v>
      </c>
      <c r="DM39" s="714" t="s">
        <v>949</v>
      </c>
      <c r="DN39" s="870">
        <v>50002</v>
      </c>
      <c r="DO39" s="714" t="s">
        <v>950</v>
      </c>
      <c r="DP39" s="714"/>
      <c r="DQ39" s="870"/>
      <c r="DR39" s="714" t="s">
        <v>279</v>
      </c>
      <c r="DS39" s="714"/>
      <c r="DT39" s="870"/>
      <c r="DU39" s="714" t="s">
        <v>279</v>
      </c>
      <c r="DV39" s="714"/>
      <c r="DW39" s="870"/>
      <c r="DX39" s="714" t="s">
        <v>278</v>
      </c>
      <c r="DY39" s="714" t="s">
        <v>949</v>
      </c>
      <c r="DZ39" s="870">
        <v>23000</v>
      </c>
      <c r="EA39" s="714" t="s">
        <v>279</v>
      </c>
      <c r="EB39" s="714"/>
      <c r="EC39" s="870"/>
      <c r="ED39" s="714" t="s">
        <v>279</v>
      </c>
      <c r="EE39" s="714"/>
      <c r="EF39" s="870"/>
      <c r="EG39" s="714" t="s">
        <v>279</v>
      </c>
      <c r="EH39" s="714"/>
      <c r="EI39" s="870"/>
      <c r="EJ39" s="714" t="s">
        <v>279</v>
      </c>
      <c r="EK39" s="714"/>
      <c r="EL39" s="870"/>
      <c r="EM39" s="714"/>
      <c r="EN39" s="714"/>
      <c r="EO39" s="870"/>
      <c r="EP39" s="714" t="s">
        <v>279</v>
      </c>
      <c r="EQ39" s="714"/>
      <c r="ER39" s="870"/>
      <c r="ES39" s="714" t="s">
        <v>963</v>
      </c>
      <c r="ET39" s="714" t="s">
        <v>951</v>
      </c>
      <c r="EU39" s="870">
        <v>15</v>
      </c>
      <c r="EV39" s="878">
        <v>1</v>
      </c>
      <c r="EW39" s="714"/>
      <c r="EX39" s="854">
        <v>189</v>
      </c>
      <c r="EY39" s="714" t="s">
        <v>279</v>
      </c>
      <c r="EZ39" s="714"/>
      <c r="FA39" s="714" t="s">
        <v>278</v>
      </c>
      <c r="FB39" s="714" t="s">
        <v>5667</v>
      </c>
      <c r="FC39" s="714" t="s">
        <v>952</v>
      </c>
      <c r="FD39" s="714"/>
      <c r="FE39" s="714"/>
      <c r="FF39" s="714" t="s">
        <v>953</v>
      </c>
      <c r="FG39" s="714" t="s">
        <v>954</v>
      </c>
      <c r="FH39" s="714" t="s">
        <v>955</v>
      </c>
      <c r="FI39" s="714">
        <v>9</v>
      </c>
      <c r="FJ39" s="714" t="s">
        <v>956</v>
      </c>
      <c r="FK39" s="714" t="s">
        <v>957</v>
      </c>
      <c r="FL39" s="714" t="s">
        <v>958</v>
      </c>
      <c r="FM39" s="855" t="s">
        <v>959</v>
      </c>
      <c r="FN39" s="714" t="s">
        <v>960</v>
      </c>
      <c r="FO39" s="714" t="s">
        <v>961</v>
      </c>
      <c r="FP39" s="855" t="s">
        <v>962</v>
      </c>
    </row>
    <row r="40" spans="2:210" ht="87" customHeight="1">
      <c r="B40" s="850" t="s">
        <v>5315</v>
      </c>
      <c r="C40" s="850" t="s">
        <v>5321</v>
      </c>
      <c r="D40" s="850" t="s">
        <v>4933</v>
      </c>
      <c r="E40" s="850" t="s">
        <v>5314</v>
      </c>
      <c r="F40" s="879">
        <v>1</v>
      </c>
      <c r="G40" s="850" t="s">
        <v>4933</v>
      </c>
      <c r="I40" s="850" t="s">
        <v>5525</v>
      </c>
      <c r="J40" s="673" t="s">
        <v>5399</v>
      </c>
      <c r="K40" s="714" t="s">
        <v>205</v>
      </c>
      <c r="L40" s="714"/>
      <c r="M40" s="714" t="s">
        <v>964</v>
      </c>
      <c r="N40" s="714" t="s">
        <v>965</v>
      </c>
      <c r="O40" s="852">
        <v>2015</v>
      </c>
      <c r="P40" s="906">
        <v>43496</v>
      </c>
      <c r="Q40" s="865">
        <v>43824</v>
      </c>
      <c r="R40" s="712">
        <f t="shared" si="20"/>
        <v>328</v>
      </c>
      <c r="S40" s="714" t="s">
        <v>5849</v>
      </c>
      <c r="T40" s="714" t="s">
        <v>966</v>
      </c>
      <c r="U40" s="714" t="s">
        <v>967</v>
      </c>
      <c r="V40" s="714"/>
      <c r="W40" s="714"/>
      <c r="X40" s="714" t="s">
        <v>968</v>
      </c>
      <c r="Y40" s="714" t="s">
        <v>969</v>
      </c>
      <c r="Z40" s="714" t="s">
        <v>970</v>
      </c>
      <c r="AA40" s="714" t="s">
        <v>967</v>
      </c>
      <c r="AB40" s="714"/>
      <c r="AC40" s="714"/>
      <c r="AD40" s="714" t="s">
        <v>945</v>
      </c>
      <c r="AE40" s="714" t="s">
        <v>945</v>
      </c>
      <c r="AF40" s="714" t="s">
        <v>971</v>
      </c>
      <c r="AG40" s="714" t="s">
        <v>972</v>
      </c>
      <c r="AH40" s="867">
        <v>137.43700000000001</v>
      </c>
      <c r="AI40" s="868">
        <f t="shared" si="1"/>
        <v>137.43699999999998</v>
      </c>
      <c r="AJ40" s="867">
        <f t="shared" si="2"/>
        <v>0</v>
      </c>
      <c r="AK40" s="867">
        <v>89.581999999999994</v>
      </c>
      <c r="AL40" s="869">
        <f>AK40/AH40</f>
        <v>0.65180409933278505</v>
      </c>
      <c r="AM40" s="869">
        <f>AK40/115474.5</f>
        <v>7.7577300616153342E-4</v>
      </c>
      <c r="AN40" s="869">
        <f t="shared" si="3"/>
        <v>0.65180409933278505</v>
      </c>
      <c r="AO40" s="869">
        <f t="shared" si="4"/>
        <v>0</v>
      </c>
      <c r="AP40" s="869"/>
      <c r="AQ40" s="869"/>
      <c r="AR40" s="869"/>
      <c r="AS40" s="869">
        <f t="shared" si="5"/>
        <v>0</v>
      </c>
      <c r="AT40" s="869">
        <f t="shared" si="6"/>
        <v>0</v>
      </c>
      <c r="AU40" s="867">
        <v>16.315999999999999</v>
      </c>
      <c r="AV40" s="869">
        <f>AU40/AH40</f>
        <v>0.11871621179158449</v>
      </c>
      <c r="AW40" s="869">
        <f t="shared" si="7"/>
        <v>0.11871621179158449</v>
      </c>
      <c r="AX40" s="869">
        <f t="shared" si="8"/>
        <v>0</v>
      </c>
      <c r="AY40" s="867">
        <v>14.436999999999999</v>
      </c>
      <c r="AZ40" s="869">
        <f>AY40/AH40</f>
        <v>0.10504449311320822</v>
      </c>
      <c r="BA40" s="869">
        <f t="shared" si="9"/>
        <v>0.10504449311320822</v>
      </c>
      <c r="BB40" s="869">
        <f t="shared" si="10"/>
        <v>0</v>
      </c>
      <c r="BC40" s="867">
        <v>17.102</v>
      </c>
      <c r="BD40" s="869">
        <f>BC40/AH40</f>
        <v>0.12443519576242204</v>
      </c>
      <c r="BE40" s="869">
        <f t="shared" si="11"/>
        <v>0.12443519576242204</v>
      </c>
      <c r="BF40" s="869">
        <f t="shared" si="12"/>
        <v>0</v>
      </c>
      <c r="BG40" s="867"/>
      <c r="BH40" s="869"/>
      <c r="BI40" s="714"/>
      <c r="BJ40" s="714"/>
      <c r="BK40" s="714"/>
      <c r="BL40" s="714">
        <f t="shared" si="13"/>
        <v>0</v>
      </c>
      <c r="BM40" s="869">
        <f t="shared" si="14"/>
        <v>0</v>
      </c>
      <c r="BN40" s="867"/>
      <c r="BO40" s="869"/>
      <c r="BP40" s="869">
        <f t="shared" si="15"/>
        <v>0</v>
      </c>
      <c r="BQ40" s="869">
        <f t="shared" si="16"/>
        <v>0</v>
      </c>
      <c r="BR40" s="867">
        <v>90</v>
      </c>
      <c r="BS40" s="869">
        <f>BR40/124219.06</f>
        <v>7.2452649376029737E-4</v>
      </c>
      <c r="BT40" s="869"/>
      <c r="BU40" s="869"/>
      <c r="BV40" s="870">
        <v>1017</v>
      </c>
      <c r="BW40" s="870">
        <v>943</v>
      </c>
      <c r="BX40" s="870">
        <v>259</v>
      </c>
      <c r="BY40" s="870">
        <v>4</v>
      </c>
      <c r="BZ40" s="870">
        <v>35</v>
      </c>
      <c r="CA40" s="870">
        <v>8</v>
      </c>
      <c r="CB40" s="870"/>
      <c r="CC40" s="870"/>
      <c r="CD40" s="870">
        <v>39</v>
      </c>
      <c r="CE40" s="870"/>
      <c r="CF40" s="870"/>
      <c r="CG40" s="870"/>
      <c r="CH40" s="870">
        <v>3</v>
      </c>
      <c r="CI40" s="870">
        <v>72</v>
      </c>
      <c r="CJ40" s="870">
        <v>48</v>
      </c>
      <c r="CK40" s="870">
        <v>42</v>
      </c>
      <c r="CL40" s="870"/>
      <c r="CM40" s="870"/>
      <c r="CN40" s="870"/>
      <c r="CO40" s="870"/>
      <c r="CP40" s="870"/>
      <c r="CQ40" s="870"/>
      <c r="CR40" s="870">
        <v>8</v>
      </c>
      <c r="CS40" s="871">
        <f t="shared" si="21"/>
        <v>259</v>
      </c>
      <c r="CT40" s="871">
        <f t="shared" si="17"/>
        <v>259</v>
      </c>
      <c r="CU40" s="871">
        <f t="shared" si="18"/>
        <v>0</v>
      </c>
      <c r="CV40" s="872">
        <v>161.887</v>
      </c>
      <c r="CW40" s="714" t="s">
        <v>973</v>
      </c>
      <c r="CX40" s="714"/>
      <c r="CY40" s="869">
        <f>CV40/2323.7</f>
        <v>6.9667771226922581E-2</v>
      </c>
      <c r="CZ40" s="907" t="s">
        <v>948</v>
      </c>
      <c r="DA40" s="907"/>
      <c r="DB40" s="907"/>
      <c r="DC40" s="714" t="s">
        <v>278</v>
      </c>
      <c r="DD40" s="714" t="s">
        <v>974</v>
      </c>
      <c r="DE40" s="714" t="s">
        <v>975</v>
      </c>
      <c r="DF40" s="870">
        <v>7</v>
      </c>
      <c r="DG40" s="870"/>
      <c r="DH40" s="870"/>
      <c r="DI40" s="714" t="s">
        <v>279</v>
      </c>
      <c r="DJ40" s="714"/>
      <c r="DK40" s="870"/>
      <c r="DL40" s="933" t="s">
        <v>278</v>
      </c>
      <c r="DM40" s="933" t="s">
        <v>976</v>
      </c>
      <c r="DN40" s="870"/>
      <c r="DO40" s="714" t="s">
        <v>279</v>
      </c>
      <c r="DP40" s="714"/>
      <c r="DQ40" s="870"/>
      <c r="DR40" s="714" t="s">
        <v>279</v>
      </c>
      <c r="DS40" s="714"/>
      <c r="DT40" s="870"/>
      <c r="DU40" s="714" t="s">
        <v>279</v>
      </c>
      <c r="DV40" s="714"/>
      <c r="DW40" s="870"/>
      <c r="DX40" s="714" t="s">
        <v>279</v>
      </c>
      <c r="DY40" s="714"/>
      <c r="DZ40" s="870"/>
      <c r="EA40" s="714" t="s">
        <v>279</v>
      </c>
      <c r="EB40" s="714"/>
      <c r="EC40" s="870"/>
      <c r="ED40" s="714" t="s">
        <v>279</v>
      </c>
      <c r="EE40" s="714"/>
      <c r="EF40" s="870"/>
      <c r="EG40" s="714" t="s">
        <v>279</v>
      </c>
      <c r="EH40" s="714"/>
      <c r="EI40" s="870"/>
      <c r="EJ40" s="714" t="s">
        <v>279</v>
      </c>
      <c r="EK40" s="714"/>
      <c r="EL40" s="870"/>
      <c r="EM40" s="714" t="s">
        <v>279</v>
      </c>
      <c r="EN40" s="714"/>
      <c r="EO40" s="870"/>
      <c r="EP40" s="714" t="s">
        <v>278</v>
      </c>
      <c r="EQ40" s="933" t="s">
        <v>977</v>
      </c>
      <c r="ER40" s="870"/>
      <c r="ES40" s="714" t="s">
        <v>279</v>
      </c>
      <c r="ET40" s="714"/>
      <c r="EU40" s="870"/>
      <c r="EV40" s="878">
        <v>1</v>
      </c>
      <c r="EW40" s="714"/>
      <c r="EX40" s="889">
        <v>375</v>
      </c>
      <c r="EY40" s="714" t="s">
        <v>279</v>
      </c>
      <c r="EZ40" s="714"/>
      <c r="FA40" s="714" t="s">
        <v>279</v>
      </c>
      <c r="FB40" s="714"/>
      <c r="FC40" s="855" t="s">
        <v>978</v>
      </c>
      <c r="FD40" s="714" t="s">
        <v>979</v>
      </c>
      <c r="FE40" s="855" t="s">
        <v>978</v>
      </c>
      <c r="FF40" s="714" t="s">
        <v>980</v>
      </c>
      <c r="FG40" s="714" t="s">
        <v>981</v>
      </c>
      <c r="FH40" s="714" t="s">
        <v>982</v>
      </c>
      <c r="FI40" s="714">
        <v>7</v>
      </c>
      <c r="FJ40" s="870">
        <v>8630</v>
      </c>
      <c r="FK40" s="714" t="s">
        <v>983</v>
      </c>
      <c r="FL40" s="714" t="s">
        <v>984</v>
      </c>
      <c r="FM40" s="714" t="s">
        <v>985</v>
      </c>
      <c r="FN40" s="714" t="s">
        <v>960</v>
      </c>
      <c r="FO40" s="714" t="s">
        <v>961</v>
      </c>
      <c r="FP40" s="855" t="s">
        <v>962</v>
      </c>
    </row>
    <row r="41" spans="2:210" ht="78" customHeight="1">
      <c r="B41" s="850" t="s">
        <v>5315</v>
      </c>
      <c r="C41" s="850" t="s">
        <v>5320</v>
      </c>
      <c r="D41" s="850" t="s">
        <v>5317</v>
      </c>
      <c r="E41" s="850" t="s">
        <v>5318</v>
      </c>
      <c r="F41" s="850" t="s">
        <v>694</v>
      </c>
      <c r="G41" s="850" t="s">
        <v>4933</v>
      </c>
      <c r="I41" s="850" t="s">
        <v>5525</v>
      </c>
      <c r="J41" s="673" t="s">
        <v>5399</v>
      </c>
      <c r="K41" s="714" t="s">
        <v>205</v>
      </c>
      <c r="L41" s="714"/>
      <c r="M41" s="714" t="s">
        <v>759</v>
      </c>
      <c r="N41" s="714"/>
      <c r="O41" s="852">
        <v>2018</v>
      </c>
      <c r="P41" s="865">
        <v>43586</v>
      </c>
      <c r="Q41" s="865">
        <v>43712</v>
      </c>
      <c r="R41" s="712">
        <f t="shared" si="20"/>
        <v>126</v>
      </c>
      <c r="S41" s="852" t="s">
        <v>986</v>
      </c>
      <c r="T41" s="865" t="s">
        <v>987</v>
      </c>
      <c r="U41" s="855" t="s">
        <v>988</v>
      </c>
      <c r="V41" s="714"/>
      <c r="W41" s="714"/>
      <c r="X41" s="714"/>
      <c r="Y41" s="714"/>
      <c r="Z41" s="714"/>
      <c r="AA41" s="714"/>
      <c r="AB41" s="714"/>
      <c r="AC41" s="714"/>
      <c r="AD41" s="714" t="s">
        <v>989</v>
      </c>
      <c r="AE41" s="714" t="s">
        <v>989</v>
      </c>
      <c r="AF41" s="714" t="s">
        <v>454</v>
      </c>
      <c r="AG41" s="714" t="s">
        <v>990</v>
      </c>
      <c r="AH41" s="867">
        <v>2.5550000000000002</v>
      </c>
      <c r="AI41" s="868">
        <f t="shared" si="1"/>
        <v>2.5549999999999997</v>
      </c>
      <c r="AJ41" s="867">
        <f t="shared" si="2"/>
        <v>0</v>
      </c>
      <c r="AK41" s="867">
        <v>0.53500000000000003</v>
      </c>
      <c r="AL41" s="869">
        <v>0.20930000000000001</v>
      </c>
      <c r="AM41" s="877">
        <f>AK41/115474.5</f>
        <v>4.6330575148625891E-6</v>
      </c>
      <c r="AN41" s="869">
        <f t="shared" si="3"/>
        <v>0.20939334637964774</v>
      </c>
      <c r="AO41" s="869">
        <f t="shared" si="4"/>
        <v>-9.3346379647724076E-5</v>
      </c>
      <c r="AP41" s="877"/>
      <c r="AQ41" s="877"/>
      <c r="AR41" s="877"/>
      <c r="AS41" s="869">
        <f t="shared" si="5"/>
        <v>0</v>
      </c>
      <c r="AT41" s="869">
        <f t="shared" si="6"/>
        <v>0</v>
      </c>
      <c r="AU41" s="867">
        <v>1.337</v>
      </c>
      <c r="AV41" s="869">
        <v>0.52380000000000004</v>
      </c>
      <c r="AW41" s="869">
        <f t="shared" si="7"/>
        <v>0.52328767123287667</v>
      </c>
      <c r="AX41" s="869">
        <f t="shared" si="8"/>
        <v>5.1232876712337116E-4</v>
      </c>
      <c r="AY41" s="867">
        <v>0</v>
      </c>
      <c r="AZ41" s="869">
        <v>0</v>
      </c>
      <c r="BA41" s="869">
        <f t="shared" si="9"/>
        <v>0</v>
      </c>
      <c r="BB41" s="869">
        <f t="shared" si="10"/>
        <v>0</v>
      </c>
      <c r="BC41" s="867">
        <v>4.2999999999999997E-2</v>
      </c>
      <c r="BD41" s="869" t="s">
        <v>991</v>
      </c>
      <c r="BE41" s="869">
        <f t="shared" si="11"/>
        <v>1.6829745596868881E-2</v>
      </c>
      <c r="BF41" s="869" t="e">
        <f t="shared" si="12"/>
        <v>#VALUE!</v>
      </c>
      <c r="BG41" s="867">
        <v>0.64</v>
      </c>
      <c r="BH41" s="869">
        <v>0.25080000000000002</v>
      </c>
      <c r="BI41" s="714" t="s">
        <v>992</v>
      </c>
      <c r="BJ41" s="714" t="s">
        <v>993</v>
      </c>
      <c r="BK41" s="714" t="s">
        <v>989</v>
      </c>
      <c r="BL41" s="714">
        <f t="shared" si="13"/>
        <v>0.25048923679060664</v>
      </c>
      <c r="BM41" s="869">
        <f t="shared" si="14"/>
        <v>3.107632093933832E-4</v>
      </c>
      <c r="BN41" s="867"/>
      <c r="BO41" s="869"/>
      <c r="BP41" s="869">
        <f t="shared" si="15"/>
        <v>0</v>
      </c>
      <c r="BQ41" s="869">
        <f t="shared" si="16"/>
        <v>0</v>
      </c>
      <c r="BR41" s="867">
        <v>0</v>
      </c>
      <c r="BS41" s="869">
        <v>0</v>
      </c>
      <c r="BT41" s="869"/>
      <c r="BU41" s="869"/>
      <c r="BV41" s="870">
        <v>1</v>
      </c>
      <c r="BW41" s="870">
        <v>1</v>
      </c>
      <c r="BX41" s="870">
        <v>1</v>
      </c>
      <c r="BY41" s="870"/>
      <c r="BZ41" s="870"/>
      <c r="CA41" s="870"/>
      <c r="CB41" s="870"/>
      <c r="CC41" s="870"/>
      <c r="CD41" s="870"/>
      <c r="CE41" s="870"/>
      <c r="CF41" s="870"/>
      <c r="CG41" s="870"/>
      <c r="CH41" s="870"/>
      <c r="CI41" s="870"/>
      <c r="CJ41" s="870"/>
      <c r="CK41" s="870"/>
      <c r="CL41" s="870"/>
      <c r="CM41" s="870"/>
      <c r="CN41" s="870"/>
      <c r="CO41" s="870"/>
      <c r="CP41" s="870"/>
      <c r="CQ41" s="870"/>
      <c r="CR41" s="870">
        <v>1</v>
      </c>
      <c r="CS41" s="871">
        <f t="shared" si="21"/>
        <v>1</v>
      </c>
      <c r="CT41" s="871">
        <f t="shared" si="17"/>
        <v>1</v>
      </c>
      <c r="CU41" s="871">
        <f t="shared" si="18"/>
        <v>0</v>
      </c>
      <c r="CV41" s="872">
        <v>5</v>
      </c>
      <c r="CW41" s="714" t="s">
        <v>994</v>
      </c>
      <c r="CX41" s="714"/>
      <c r="CY41" s="869">
        <f>CV41/2327.8</f>
        <v>2.1479508548844402E-3</v>
      </c>
      <c r="CZ41" s="869"/>
      <c r="DA41" s="869"/>
      <c r="DB41" s="869"/>
      <c r="DC41" s="714" t="s">
        <v>279</v>
      </c>
      <c r="DD41" s="714"/>
      <c r="DE41" s="714"/>
      <c r="DF41" s="870"/>
      <c r="DG41" s="870"/>
      <c r="DH41" s="870"/>
      <c r="DI41" s="714" t="s">
        <v>279</v>
      </c>
      <c r="DJ41" s="714"/>
      <c r="DK41" s="870"/>
      <c r="DL41" s="714" t="s">
        <v>278</v>
      </c>
      <c r="DM41" s="714" t="s">
        <v>995</v>
      </c>
      <c r="DN41" s="870">
        <v>84</v>
      </c>
      <c r="DO41" s="714" t="s">
        <v>279</v>
      </c>
      <c r="DP41" s="714"/>
      <c r="DQ41" s="870"/>
      <c r="DR41" s="714" t="s">
        <v>279</v>
      </c>
      <c r="DS41" s="714"/>
      <c r="DT41" s="870"/>
      <c r="DU41" s="714" t="s">
        <v>279</v>
      </c>
      <c r="DV41" s="714"/>
      <c r="DW41" s="870"/>
      <c r="DX41" s="714" t="s">
        <v>279</v>
      </c>
      <c r="DY41" s="714"/>
      <c r="DZ41" s="870"/>
      <c r="EA41" s="714" t="s">
        <v>279</v>
      </c>
      <c r="EB41" s="714"/>
      <c r="EC41" s="870"/>
      <c r="ED41" s="714" t="s">
        <v>278</v>
      </c>
      <c r="EE41" s="714" t="s">
        <v>996</v>
      </c>
      <c r="EF41" s="870">
        <v>84</v>
      </c>
      <c r="EG41" s="714" t="s">
        <v>279</v>
      </c>
      <c r="EH41" s="714"/>
      <c r="EI41" s="870"/>
      <c r="EJ41" s="714" t="s">
        <v>279</v>
      </c>
      <c r="EK41" s="714"/>
      <c r="EL41" s="870"/>
      <c r="EM41" s="714" t="s">
        <v>279</v>
      </c>
      <c r="EN41" s="714"/>
      <c r="EO41" s="870"/>
      <c r="EP41" s="714" t="s">
        <v>279</v>
      </c>
      <c r="EQ41" s="714"/>
      <c r="ER41" s="870"/>
      <c r="ES41" s="714" t="s">
        <v>279</v>
      </c>
      <c r="ET41" s="714"/>
      <c r="EU41" s="870"/>
      <c r="EV41" s="714"/>
      <c r="EW41" s="714"/>
      <c r="EX41" s="854"/>
      <c r="EY41" s="714"/>
      <c r="EZ41" s="714"/>
      <c r="FA41" s="714"/>
      <c r="FB41" s="714"/>
      <c r="FC41" s="714"/>
      <c r="FD41" s="714"/>
      <c r="FE41" s="714"/>
      <c r="FF41" s="714"/>
      <c r="FG41" s="714"/>
      <c r="FH41" s="714"/>
      <c r="FI41" s="714"/>
      <c r="FJ41" s="714"/>
      <c r="FK41" s="714" t="s">
        <v>997</v>
      </c>
      <c r="FL41" s="714" t="s">
        <v>998</v>
      </c>
      <c r="FM41" s="855" t="s">
        <v>999</v>
      </c>
      <c r="FN41" s="714" t="s">
        <v>960</v>
      </c>
      <c r="FO41" s="714" t="s">
        <v>961</v>
      </c>
      <c r="FP41" s="855" t="s">
        <v>962</v>
      </c>
    </row>
    <row r="42" spans="2:210" ht="51.5" customHeight="1">
      <c r="B42" s="863"/>
      <c r="C42" s="863"/>
      <c r="D42" s="863"/>
      <c r="E42" s="863"/>
      <c r="F42" s="863"/>
      <c r="I42" s="850" t="s">
        <v>5521</v>
      </c>
      <c r="J42" s="673" t="s">
        <v>5400</v>
      </c>
      <c r="K42" s="714" t="s">
        <v>206</v>
      </c>
      <c r="L42" s="714"/>
      <c r="M42" s="714"/>
      <c r="N42" s="714"/>
      <c r="O42" s="852"/>
      <c r="P42" s="906"/>
      <c r="Q42" s="906"/>
      <c r="R42" s="712">
        <f t="shared" si="20"/>
        <v>0</v>
      </c>
      <c r="S42" s="714"/>
      <c r="T42" s="714"/>
      <c r="U42" s="714"/>
      <c r="V42" s="714"/>
      <c r="W42" s="714"/>
      <c r="X42" s="714"/>
      <c r="Y42" s="714"/>
      <c r="Z42" s="714"/>
      <c r="AA42" s="714"/>
      <c r="AB42" s="714"/>
      <c r="AC42" s="714"/>
      <c r="AD42" s="714"/>
      <c r="AE42" s="714"/>
      <c r="AF42" s="714"/>
      <c r="AG42" s="714"/>
      <c r="AH42" s="867"/>
      <c r="AI42" s="868">
        <f t="shared" si="1"/>
        <v>0</v>
      </c>
      <c r="AJ42" s="867">
        <f t="shared" si="2"/>
        <v>0</v>
      </c>
      <c r="AK42" s="867"/>
      <c r="AL42" s="869"/>
      <c r="AM42" s="869"/>
      <c r="AN42" s="869" t="e">
        <f t="shared" si="3"/>
        <v>#DIV/0!</v>
      </c>
      <c r="AO42" s="869" t="e">
        <f t="shared" si="4"/>
        <v>#DIV/0!</v>
      </c>
      <c r="AP42" s="869"/>
      <c r="AQ42" s="869"/>
      <c r="AR42" s="869"/>
      <c r="AS42" s="869" t="e">
        <f t="shared" si="5"/>
        <v>#DIV/0!</v>
      </c>
      <c r="AT42" s="869" t="e">
        <f t="shared" si="6"/>
        <v>#DIV/0!</v>
      </c>
      <c r="AU42" s="867"/>
      <c r="AV42" s="869"/>
      <c r="AW42" s="869" t="e">
        <f t="shared" si="7"/>
        <v>#DIV/0!</v>
      </c>
      <c r="AX42" s="869" t="e">
        <f t="shared" si="8"/>
        <v>#DIV/0!</v>
      </c>
      <c r="AY42" s="867"/>
      <c r="AZ42" s="869"/>
      <c r="BA42" s="869" t="e">
        <f t="shared" si="9"/>
        <v>#DIV/0!</v>
      </c>
      <c r="BB42" s="869" t="e">
        <f t="shared" si="10"/>
        <v>#DIV/0!</v>
      </c>
      <c r="BC42" s="867"/>
      <c r="BD42" s="869"/>
      <c r="BE42" s="869" t="e">
        <f t="shared" si="11"/>
        <v>#DIV/0!</v>
      </c>
      <c r="BF42" s="869" t="e">
        <f t="shared" si="12"/>
        <v>#DIV/0!</v>
      </c>
      <c r="BG42" s="867"/>
      <c r="BH42" s="869"/>
      <c r="BI42" s="714"/>
      <c r="BJ42" s="714"/>
      <c r="BK42" s="714"/>
      <c r="BL42" s="714" t="e">
        <f t="shared" si="13"/>
        <v>#DIV/0!</v>
      </c>
      <c r="BM42" s="869" t="e">
        <f t="shared" si="14"/>
        <v>#DIV/0!</v>
      </c>
      <c r="BN42" s="867"/>
      <c r="BO42" s="869"/>
      <c r="BP42" s="869" t="e">
        <f t="shared" si="15"/>
        <v>#DIV/0!</v>
      </c>
      <c r="BQ42" s="869" t="e">
        <f t="shared" si="16"/>
        <v>#DIV/0!</v>
      </c>
      <c r="BR42" s="867"/>
      <c r="BS42" s="869"/>
      <c r="BT42" s="869"/>
      <c r="BU42" s="869"/>
      <c r="BV42" s="870"/>
      <c r="BW42" s="870"/>
      <c r="BX42" s="870"/>
      <c r="BY42" s="870"/>
      <c r="BZ42" s="870"/>
      <c r="CA42" s="870"/>
      <c r="CB42" s="870"/>
      <c r="CC42" s="870"/>
      <c r="CD42" s="870"/>
      <c r="CE42" s="870"/>
      <c r="CF42" s="870"/>
      <c r="CG42" s="870"/>
      <c r="CH42" s="870"/>
      <c r="CI42" s="870"/>
      <c r="CJ42" s="870"/>
      <c r="CK42" s="870"/>
      <c r="CL42" s="870"/>
      <c r="CM42" s="870"/>
      <c r="CN42" s="870"/>
      <c r="CO42" s="870"/>
      <c r="CP42" s="870"/>
      <c r="CQ42" s="870"/>
      <c r="CR42" s="870"/>
      <c r="CS42" s="871"/>
      <c r="CT42" s="871">
        <f t="shared" si="17"/>
        <v>0</v>
      </c>
      <c r="CU42" s="871">
        <f t="shared" si="18"/>
        <v>0</v>
      </c>
      <c r="CV42" s="872"/>
      <c r="CW42" s="714"/>
      <c r="CX42" s="714"/>
      <c r="CY42" s="869"/>
      <c r="CZ42" s="714"/>
      <c r="DA42" s="714"/>
      <c r="DB42" s="714"/>
      <c r="DC42" s="714"/>
      <c r="DD42" s="714"/>
      <c r="DE42" s="870"/>
      <c r="DF42" s="870"/>
      <c r="DG42" s="714"/>
      <c r="DH42" s="714"/>
      <c r="DI42" s="870"/>
      <c r="DJ42" s="714"/>
      <c r="DK42" s="714"/>
      <c r="DL42" s="870"/>
      <c r="DM42" s="714"/>
      <c r="DN42" s="714"/>
      <c r="DO42" s="870"/>
      <c r="DP42" s="714"/>
      <c r="DQ42" s="714"/>
      <c r="DR42" s="870"/>
      <c r="DS42" s="714"/>
      <c r="DT42" s="714"/>
      <c r="DU42" s="870"/>
      <c r="DV42" s="714"/>
      <c r="DW42" s="714"/>
      <c r="DX42" s="870"/>
      <c r="DY42" s="714"/>
      <c r="DZ42" s="714"/>
      <c r="EA42" s="870"/>
      <c r="EB42" s="714"/>
      <c r="EC42" s="714"/>
      <c r="ED42" s="870"/>
      <c r="EE42" s="714"/>
      <c r="EF42" s="714"/>
      <c r="EG42" s="870"/>
      <c r="EH42" s="714"/>
      <c r="EI42" s="714"/>
      <c r="EJ42" s="870"/>
      <c r="EK42" s="714"/>
      <c r="EL42" s="714"/>
      <c r="EM42" s="870"/>
      <c r="EN42" s="714"/>
      <c r="EO42" s="714"/>
      <c r="EP42" s="870"/>
      <c r="EQ42" s="714"/>
      <c r="ER42" s="714"/>
      <c r="ES42" s="870"/>
      <c r="ET42" s="714"/>
      <c r="EU42" s="714"/>
      <c r="EV42" s="854"/>
      <c r="EW42" s="714"/>
      <c r="EX42" s="714"/>
      <c r="EY42" s="714"/>
      <c r="EZ42" s="714"/>
      <c r="FA42" s="714"/>
      <c r="FB42" s="714"/>
      <c r="FC42" s="714"/>
      <c r="FD42" s="714"/>
      <c r="FE42" s="714"/>
      <c r="FF42" s="714"/>
      <c r="FG42" s="714"/>
      <c r="FH42" s="714"/>
      <c r="FI42" s="714"/>
    </row>
    <row r="43" spans="2:210" ht="63.5" customHeight="1">
      <c r="B43" s="863"/>
      <c r="C43" s="863"/>
      <c r="D43" s="863"/>
      <c r="E43" s="863"/>
      <c r="F43" s="863"/>
      <c r="I43" s="850" t="s">
        <v>5522</v>
      </c>
      <c r="J43" s="673" t="s">
        <v>5401</v>
      </c>
      <c r="K43" s="714" t="s">
        <v>207</v>
      </c>
      <c r="L43" s="714"/>
      <c r="M43" s="714"/>
      <c r="N43" s="714"/>
      <c r="O43" s="852"/>
      <c r="P43" s="865"/>
      <c r="Q43" s="865"/>
      <c r="R43" s="712">
        <f t="shared" si="20"/>
        <v>0</v>
      </c>
      <c r="S43" s="714"/>
      <c r="T43" s="714"/>
      <c r="U43" s="714"/>
      <c r="V43" s="714"/>
      <c r="W43" s="714"/>
      <c r="X43" s="714"/>
      <c r="Y43" s="714"/>
      <c r="Z43" s="714"/>
      <c r="AA43" s="714"/>
      <c r="AB43" s="714"/>
      <c r="AC43" s="714"/>
      <c r="AD43" s="714"/>
      <c r="AE43" s="714"/>
      <c r="AF43" s="714"/>
      <c r="AG43" s="714"/>
      <c r="AH43" s="867"/>
      <c r="AI43" s="868">
        <f t="shared" si="1"/>
        <v>0</v>
      </c>
      <c r="AJ43" s="867">
        <f t="shared" si="2"/>
        <v>0</v>
      </c>
      <c r="AK43" s="867"/>
      <c r="AL43" s="869"/>
      <c r="AM43" s="869"/>
      <c r="AN43" s="869" t="e">
        <f t="shared" si="3"/>
        <v>#DIV/0!</v>
      </c>
      <c r="AO43" s="869" t="e">
        <f t="shared" si="4"/>
        <v>#DIV/0!</v>
      </c>
      <c r="AP43" s="869"/>
      <c r="AQ43" s="869"/>
      <c r="AR43" s="869"/>
      <c r="AS43" s="869" t="e">
        <f t="shared" si="5"/>
        <v>#DIV/0!</v>
      </c>
      <c r="AT43" s="869" t="e">
        <f t="shared" si="6"/>
        <v>#DIV/0!</v>
      </c>
      <c r="AU43" s="867"/>
      <c r="AV43" s="869"/>
      <c r="AW43" s="869" t="e">
        <f t="shared" si="7"/>
        <v>#DIV/0!</v>
      </c>
      <c r="AX43" s="869" t="e">
        <f t="shared" si="8"/>
        <v>#DIV/0!</v>
      </c>
      <c r="AY43" s="867"/>
      <c r="AZ43" s="869"/>
      <c r="BA43" s="869" t="e">
        <f t="shared" si="9"/>
        <v>#DIV/0!</v>
      </c>
      <c r="BB43" s="869" t="e">
        <f t="shared" si="10"/>
        <v>#DIV/0!</v>
      </c>
      <c r="BC43" s="867"/>
      <c r="BD43" s="869"/>
      <c r="BE43" s="869" t="e">
        <f t="shared" si="11"/>
        <v>#DIV/0!</v>
      </c>
      <c r="BF43" s="869" t="e">
        <f t="shared" si="12"/>
        <v>#DIV/0!</v>
      </c>
      <c r="BG43" s="867"/>
      <c r="BH43" s="869"/>
      <c r="BI43" s="714"/>
      <c r="BJ43" s="714"/>
      <c r="BK43" s="714"/>
      <c r="BL43" s="714" t="e">
        <f t="shared" si="13"/>
        <v>#DIV/0!</v>
      </c>
      <c r="BM43" s="869" t="e">
        <f t="shared" si="14"/>
        <v>#DIV/0!</v>
      </c>
      <c r="BN43" s="867"/>
      <c r="BO43" s="869"/>
      <c r="BP43" s="869" t="e">
        <f t="shared" si="15"/>
        <v>#DIV/0!</v>
      </c>
      <c r="BQ43" s="869" t="e">
        <f t="shared" si="16"/>
        <v>#DIV/0!</v>
      </c>
      <c r="BR43" s="867"/>
      <c r="BS43" s="869"/>
      <c r="BT43" s="869"/>
      <c r="BU43" s="869"/>
      <c r="BV43" s="870"/>
      <c r="BW43" s="870"/>
      <c r="BX43" s="870"/>
      <c r="BY43" s="870"/>
      <c r="BZ43" s="870"/>
      <c r="CA43" s="870"/>
      <c r="CB43" s="870"/>
      <c r="CC43" s="870"/>
      <c r="CD43" s="870"/>
      <c r="CE43" s="870"/>
      <c r="CF43" s="870"/>
      <c r="CG43" s="870"/>
      <c r="CH43" s="870"/>
      <c r="CI43" s="870"/>
      <c r="CJ43" s="870"/>
      <c r="CK43" s="870"/>
      <c r="CL43" s="870"/>
      <c r="CM43" s="870"/>
      <c r="CN43" s="870"/>
      <c r="CO43" s="870"/>
      <c r="CP43" s="870"/>
      <c r="CQ43" s="870"/>
      <c r="CR43" s="870"/>
      <c r="CS43" s="871"/>
      <c r="CT43" s="871">
        <f t="shared" si="17"/>
        <v>0</v>
      </c>
      <c r="CU43" s="871">
        <f t="shared" si="18"/>
        <v>0</v>
      </c>
      <c r="CV43" s="872"/>
      <c r="CW43" s="714"/>
      <c r="CX43" s="714"/>
      <c r="CY43" s="869"/>
      <c r="CZ43" s="714"/>
      <c r="DA43" s="714"/>
      <c r="DB43" s="714"/>
      <c r="DC43" s="714"/>
      <c r="DD43" s="714"/>
      <c r="DE43" s="870"/>
      <c r="DF43" s="870"/>
      <c r="DG43" s="714"/>
      <c r="DH43" s="714"/>
      <c r="DI43" s="870"/>
      <c r="DJ43" s="714"/>
      <c r="DK43" s="714"/>
      <c r="DL43" s="870"/>
      <c r="DM43" s="714"/>
      <c r="DN43" s="714"/>
      <c r="DO43" s="870"/>
      <c r="DP43" s="714"/>
      <c r="DQ43" s="714"/>
      <c r="DR43" s="870"/>
      <c r="DS43" s="714"/>
      <c r="DT43" s="714"/>
      <c r="DU43" s="870"/>
      <c r="DV43" s="714"/>
      <c r="DW43" s="714"/>
      <c r="DX43" s="870"/>
      <c r="DY43" s="714"/>
      <c r="DZ43" s="714"/>
      <c r="EA43" s="870"/>
      <c r="EB43" s="714"/>
      <c r="EC43" s="714"/>
      <c r="ED43" s="870"/>
      <c r="EE43" s="714"/>
      <c r="EF43" s="714"/>
      <c r="EG43" s="870"/>
      <c r="EH43" s="714"/>
      <c r="EI43" s="714"/>
      <c r="EJ43" s="870"/>
      <c r="EK43" s="714"/>
      <c r="EL43" s="714"/>
      <c r="EM43" s="870"/>
      <c r="EN43" s="714"/>
      <c r="EO43" s="714"/>
      <c r="EP43" s="870"/>
      <c r="EQ43" s="714"/>
      <c r="ER43" s="714"/>
      <c r="ES43" s="870"/>
      <c r="ET43" s="714"/>
      <c r="EU43" s="714"/>
      <c r="EV43" s="854"/>
      <c r="EW43" s="714"/>
      <c r="EX43" s="714"/>
      <c r="EY43" s="714"/>
      <c r="EZ43" s="714"/>
      <c r="FA43" s="714"/>
      <c r="FB43" s="714"/>
      <c r="FC43" s="714"/>
      <c r="FD43" s="714"/>
      <c r="FE43" s="714"/>
      <c r="FF43" s="714"/>
      <c r="FG43" s="714"/>
      <c r="FH43" s="714"/>
      <c r="FI43" s="714"/>
    </row>
    <row r="44" spans="2:210" ht="110.5" customHeight="1">
      <c r="B44" s="850" t="s">
        <v>5315</v>
      </c>
      <c r="C44" s="850" t="s">
        <v>5330</v>
      </c>
      <c r="D44" s="850" t="s">
        <v>4933</v>
      </c>
      <c r="E44" s="850" t="s">
        <v>5314</v>
      </c>
      <c r="F44" s="879">
        <v>1</v>
      </c>
      <c r="G44" s="850" t="s">
        <v>4933</v>
      </c>
      <c r="I44" s="850" t="s">
        <v>5522</v>
      </c>
      <c r="J44" s="673" t="s">
        <v>5402</v>
      </c>
      <c r="K44" s="714" t="s">
        <v>208</v>
      </c>
      <c r="L44" s="714"/>
      <c r="M44" s="714" t="s">
        <v>2486</v>
      </c>
      <c r="N44" s="714" t="s">
        <v>2487</v>
      </c>
      <c r="O44" s="852">
        <v>2018</v>
      </c>
      <c r="P44" s="865">
        <v>43101</v>
      </c>
      <c r="Q44" s="865">
        <v>43830</v>
      </c>
      <c r="R44" s="712">
        <f t="shared" si="20"/>
        <v>729</v>
      </c>
      <c r="S44" s="714" t="s">
        <v>2488</v>
      </c>
      <c r="T44" s="714" t="s">
        <v>2489</v>
      </c>
      <c r="U44" s="714" t="s">
        <v>410</v>
      </c>
      <c r="V44" s="714" t="s">
        <v>410</v>
      </c>
      <c r="W44" s="714" t="s">
        <v>410</v>
      </c>
      <c r="X44" s="714" t="s">
        <v>410</v>
      </c>
      <c r="Y44" s="714" t="s">
        <v>410</v>
      </c>
      <c r="Z44" s="866" t="s">
        <v>2490</v>
      </c>
      <c r="AA44" s="866" t="s">
        <v>2491</v>
      </c>
      <c r="AB44" s="866"/>
      <c r="AC44" s="866"/>
      <c r="AD44" s="714" t="s">
        <v>2492</v>
      </c>
      <c r="AE44" s="714" t="s">
        <v>2493</v>
      </c>
      <c r="AF44" s="714" t="s">
        <v>2494</v>
      </c>
      <c r="AG44" s="714" t="s">
        <v>2495</v>
      </c>
      <c r="AH44" s="867">
        <v>25.139099999999999</v>
      </c>
      <c r="AI44" s="868">
        <f t="shared" si="1"/>
        <v>25.139099999999999</v>
      </c>
      <c r="AJ44" s="867">
        <f t="shared" si="2"/>
        <v>0</v>
      </c>
      <c r="AK44" s="867">
        <v>25.139099999999999</v>
      </c>
      <c r="AL44" s="934">
        <v>1</v>
      </c>
      <c r="AM44" s="869">
        <v>2.9999999999999997E-4</v>
      </c>
      <c r="AN44" s="869">
        <f t="shared" si="3"/>
        <v>1</v>
      </c>
      <c r="AO44" s="869">
        <f t="shared" si="4"/>
        <v>0</v>
      </c>
      <c r="AP44" s="869"/>
      <c r="AQ44" s="869"/>
      <c r="AR44" s="869"/>
      <c r="AS44" s="869">
        <f t="shared" si="5"/>
        <v>0</v>
      </c>
      <c r="AT44" s="869">
        <f t="shared" si="6"/>
        <v>0</v>
      </c>
      <c r="AU44" s="854">
        <v>0</v>
      </c>
      <c r="AV44" s="934">
        <v>0</v>
      </c>
      <c r="AW44" s="869">
        <f t="shared" si="7"/>
        <v>0</v>
      </c>
      <c r="AX44" s="869">
        <f t="shared" si="8"/>
        <v>0</v>
      </c>
      <c r="AY44" s="854">
        <v>0</v>
      </c>
      <c r="AZ44" s="934">
        <v>0</v>
      </c>
      <c r="BA44" s="869">
        <f t="shared" si="9"/>
        <v>0</v>
      </c>
      <c r="BB44" s="869">
        <f t="shared" si="10"/>
        <v>0</v>
      </c>
      <c r="BC44" s="854">
        <v>0</v>
      </c>
      <c r="BD44" s="934">
        <v>0</v>
      </c>
      <c r="BE44" s="869">
        <f t="shared" si="11"/>
        <v>0</v>
      </c>
      <c r="BF44" s="869">
        <f t="shared" si="12"/>
        <v>0</v>
      </c>
      <c r="BG44" s="854">
        <v>0</v>
      </c>
      <c r="BH44" s="934">
        <v>0</v>
      </c>
      <c r="BI44" s="714" t="s">
        <v>410</v>
      </c>
      <c r="BJ44" s="714" t="s">
        <v>410</v>
      </c>
      <c r="BK44" s="714" t="s">
        <v>410</v>
      </c>
      <c r="BL44" s="714">
        <f t="shared" si="13"/>
        <v>0</v>
      </c>
      <c r="BM44" s="869">
        <f t="shared" si="14"/>
        <v>0</v>
      </c>
      <c r="BN44" s="854">
        <v>0</v>
      </c>
      <c r="BO44" s="934">
        <v>0</v>
      </c>
      <c r="BP44" s="869">
        <f t="shared" si="15"/>
        <v>0</v>
      </c>
      <c r="BQ44" s="869">
        <f t="shared" si="16"/>
        <v>0</v>
      </c>
      <c r="BR44" s="854">
        <v>0</v>
      </c>
      <c r="BS44" s="934">
        <v>0</v>
      </c>
      <c r="BT44" s="934"/>
      <c r="BU44" s="934"/>
      <c r="BV44" s="870">
        <v>0</v>
      </c>
      <c r="BW44" s="870">
        <v>0</v>
      </c>
      <c r="BX44" s="870">
        <v>0</v>
      </c>
      <c r="BY44" s="870">
        <v>0</v>
      </c>
      <c r="BZ44" s="870">
        <v>0</v>
      </c>
      <c r="CA44" s="870">
        <v>0</v>
      </c>
      <c r="CB44" s="870">
        <v>0</v>
      </c>
      <c r="CC44" s="870">
        <v>0</v>
      </c>
      <c r="CD44" s="870">
        <v>0</v>
      </c>
      <c r="CE44" s="870">
        <v>0</v>
      </c>
      <c r="CF44" s="870">
        <v>0</v>
      </c>
      <c r="CG44" s="870">
        <v>0</v>
      </c>
      <c r="CH44" s="870">
        <v>0</v>
      </c>
      <c r="CI44" s="870">
        <v>0</v>
      </c>
      <c r="CJ44" s="870">
        <v>0</v>
      </c>
      <c r="CK44" s="870">
        <v>0</v>
      </c>
      <c r="CL44" s="870">
        <v>0</v>
      </c>
      <c r="CM44" s="870">
        <v>0</v>
      </c>
      <c r="CN44" s="870">
        <v>0</v>
      </c>
      <c r="CO44" s="870">
        <v>0</v>
      </c>
      <c r="CP44" s="870">
        <v>1</v>
      </c>
      <c r="CQ44" s="870">
        <v>0</v>
      </c>
      <c r="CR44" s="870">
        <v>0</v>
      </c>
      <c r="CS44" s="871">
        <f>SUM(BY44:CR44)</f>
        <v>1</v>
      </c>
      <c r="CT44" s="871">
        <f t="shared" si="17"/>
        <v>1</v>
      </c>
      <c r="CU44" s="871">
        <f t="shared" si="18"/>
        <v>0</v>
      </c>
      <c r="CV44" s="872">
        <v>21.7</v>
      </c>
      <c r="CW44" s="714" t="s">
        <v>410</v>
      </c>
      <c r="CX44" s="714" t="s">
        <v>410</v>
      </c>
      <c r="CY44" s="714">
        <v>2</v>
      </c>
      <c r="CZ44" s="869" t="s">
        <v>2496</v>
      </c>
      <c r="DA44" s="869"/>
      <c r="DB44" s="869"/>
      <c r="DC44" s="714" t="s">
        <v>279</v>
      </c>
      <c r="DD44" s="714" t="s">
        <v>410</v>
      </c>
      <c r="DE44" s="714" t="s">
        <v>410</v>
      </c>
      <c r="DF44" s="870">
        <v>0</v>
      </c>
      <c r="DG44" s="870">
        <v>0</v>
      </c>
      <c r="DH44" s="870">
        <v>0</v>
      </c>
      <c r="DI44" s="714" t="s">
        <v>279</v>
      </c>
      <c r="DJ44" s="714" t="s">
        <v>410</v>
      </c>
      <c r="DK44" s="870" t="s">
        <v>410</v>
      </c>
      <c r="DL44" s="714" t="s">
        <v>278</v>
      </c>
      <c r="DM44" s="714" t="s">
        <v>2497</v>
      </c>
      <c r="DN44" s="870">
        <v>150</v>
      </c>
      <c r="DO44" s="714" t="s">
        <v>279</v>
      </c>
      <c r="DP44" s="714" t="s">
        <v>410</v>
      </c>
      <c r="DQ44" s="870">
        <v>0</v>
      </c>
      <c r="DR44" s="714" t="s">
        <v>279</v>
      </c>
      <c r="DS44" s="714" t="s">
        <v>410</v>
      </c>
      <c r="DT44" s="870"/>
      <c r="DU44" s="714" t="s">
        <v>279</v>
      </c>
      <c r="DV44" s="714" t="s">
        <v>410</v>
      </c>
      <c r="DW44" s="870">
        <v>0</v>
      </c>
      <c r="DX44" s="714" t="s">
        <v>279</v>
      </c>
      <c r="DY44" s="714" t="s">
        <v>410</v>
      </c>
      <c r="DZ44" s="870">
        <v>0</v>
      </c>
      <c r="EA44" s="714" t="s">
        <v>279</v>
      </c>
      <c r="EB44" s="714" t="s">
        <v>410</v>
      </c>
      <c r="EC44" s="870">
        <v>0</v>
      </c>
      <c r="ED44" s="714" t="s">
        <v>279</v>
      </c>
      <c r="EE44" s="714" t="s">
        <v>410</v>
      </c>
      <c r="EF44" s="870">
        <v>0</v>
      </c>
      <c r="EG44" s="714" t="s">
        <v>279</v>
      </c>
      <c r="EH44" s="714" t="s">
        <v>410</v>
      </c>
      <c r="EI44" s="870">
        <v>0</v>
      </c>
      <c r="EJ44" s="714" t="s">
        <v>279</v>
      </c>
      <c r="EK44" s="714" t="s">
        <v>410</v>
      </c>
      <c r="EL44" s="870">
        <v>0</v>
      </c>
      <c r="EM44" s="714" t="s">
        <v>279</v>
      </c>
      <c r="EN44" s="714" t="s">
        <v>410</v>
      </c>
      <c r="EO44" s="870">
        <v>0</v>
      </c>
      <c r="EP44" s="714" t="s">
        <v>279</v>
      </c>
      <c r="EQ44" s="714" t="s">
        <v>410</v>
      </c>
      <c r="ER44" s="870">
        <v>0</v>
      </c>
      <c r="ES44" s="714" t="s">
        <v>279</v>
      </c>
      <c r="ET44" s="714" t="s">
        <v>410</v>
      </c>
      <c r="EU44" s="870">
        <v>0</v>
      </c>
      <c r="EV44" s="935">
        <v>1</v>
      </c>
      <c r="EW44" s="714" t="s">
        <v>410</v>
      </c>
      <c r="EX44" s="870">
        <v>0</v>
      </c>
      <c r="EY44" s="714" t="s">
        <v>279</v>
      </c>
      <c r="EZ44" s="714" t="s">
        <v>410</v>
      </c>
      <c r="FA44" s="714" t="s">
        <v>279</v>
      </c>
      <c r="FB44" s="714" t="s">
        <v>410</v>
      </c>
      <c r="FC44" s="714" t="s">
        <v>410</v>
      </c>
      <c r="FD44" s="714" t="s">
        <v>410</v>
      </c>
      <c r="FE44" s="714" t="s">
        <v>410</v>
      </c>
      <c r="FF44" s="714" t="s">
        <v>410</v>
      </c>
      <c r="FG44" s="714" t="s">
        <v>410</v>
      </c>
      <c r="FH44" s="714" t="s">
        <v>410</v>
      </c>
      <c r="FI44" s="714">
        <v>0</v>
      </c>
      <c r="FJ44" s="714">
        <v>0</v>
      </c>
      <c r="FK44" s="714" t="s">
        <v>410</v>
      </c>
      <c r="FL44" s="714" t="s">
        <v>410</v>
      </c>
      <c r="FM44" s="714" t="s">
        <v>410</v>
      </c>
      <c r="FN44" s="714" t="s">
        <v>2498</v>
      </c>
      <c r="FO44" s="714" t="s">
        <v>2499</v>
      </c>
      <c r="FP44" s="714" t="s">
        <v>2500</v>
      </c>
    </row>
    <row r="45" spans="2:210" ht="77" customHeight="1">
      <c r="B45" s="863"/>
      <c r="C45" s="863"/>
      <c r="D45" s="863"/>
      <c r="E45" s="863"/>
      <c r="F45" s="863"/>
      <c r="I45" s="850" t="s">
        <v>5525</v>
      </c>
      <c r="J45" s="673" t="s">
        <v>5403</v>
      </c>
      <c r="K45" s="714" t="s">
        <v>209</v>
      </c>
      <c r="L45" s="714"/>
      <c r="M45" s="714"/>
      <c r="N45" s="714"/>
      <c r="O45" s="852"/>
      <c r="P45" s="865"/>
      <c r="Q45" s="865"/>
      <c r="R45" s="712">
        <f t="shared" si="20"/>
        <v>0</v>
      </c>
      <c r="S45" s="714"/>
      <c r="T45" s="714"/>
      <c r="U45" s="714"/>
      <c r="V45" s="714"/>
      <c r="W45" s="714"/>
      <c r="X45" s="714"/>
      <c r="Y45" s="714"/>
      <c r="Z45" s="714"/>
      <c r="AA45" s="714"/>
      <c r="AB45" s="714"/>
      <c r="AC45" s="714"/>
      <c r="AD45" s="714"/>
      <c r="AE45" s="714"/>
      <c r="AF45" s="714"/>
      <c r="AG45" s="714"/>
      <c r="AH45" s="867"/>
      <c r="AI45" s="868">
        <f t="shared" si="1"/>
        <v>0</v>
      </c>
      <c r="AJ45" s="867">
        <f t="shared" si="2"/>
        <v>0</v>
      </c>
      <c r="AK45" s="867"/>
      <c r="AL45" s="869"/>
      <c r="AM45" s="869"/>
      <c r="AN45" s="869" t="e">
        <f t="shared" si="3"/>
        <v>#DIV/0!</v>
      </c>
      <c r="AO45" s="869" t="e">
        <f t="shared" si="4"/>
        <v>#DIV/0!</v>
      </c>
      <c r="AP45" s="869"/>
      <c r="AQ45" s="869"/>
      <c r="AR45" s="869"/>
      <c r="AS45" s="869" t="e">
        <f t="shared" si="5"/>
        <v>#DIV/0!</v>
      </c>
      <c r="AT45" s="869" t="e">
        <f t="shared" si="6"/>
        <v>#DIV/0!</v>
      </c>
      <c r="AU45" s="867"/>
      <c r="AV45" s="869"/>
      <c r="AW45" s="869" t="e">
        <f t="shared" si="7"/>
        <v>#DIV/0!</v>
      </c>
      <c r="AX45" s="869" t="e">
        <f t="shared" si="8"/>
        <v>#DIV/0!</v>
      </c>
      <c r="AY45" s="867"/>
      <c r="AZ45" s="869"/>
      <c r="BA45" s="869" t="e">
        <f t="shared" si="9"/>
        <v>#DIV/0!</v>
      </c>
      <c r="BB45" s="869" t="e">
        <f t="shared" si="10"/>
        <v>#DIV/0!</v>
      </c>
      <c r="BC45" s="867"/>
      <c r="BD45" s="869"/>
      <c r="BE45" s="869" t="e">
        <f t="shared" si="11"/>
        <v>#DIV/0!</v>
      </c>
      <c r="BF45" s="869" t="e">
        <f t="shared" si="12"/>
        <v>#DIV/0!</v>
      </c>
      <c r="BG45" s="867"/>
      <c r="BH45" s="869"/>
      <c r="BI45" s="714"/>
      <c r="BJ45" s="714"/>
      <c r="BK45" s="714"/>
      <c r="BL45" s="714" t="e">
        <f t="shared" si="13"/>
        <v>#DIV/0!</v>
      </c>
      <c r="BM45" s="869" t="e">
        <f t="shared" si="14"/>
        <v>#DIV/0!</v>
      </c>
      <c r="BN45" s="867"/>
      <c r="BO45" s="869"/>
      <c r="BP45" s="869" t="e">
        <f t="shared" si="15"/>
        <v>#DIV/0!</v>
      </c>
      <c r="BQ45" s="869" t="e">
        <f t="shared" si="16"/>
        <v>#DIV/0!</v>
      </c>
      <c r="BR45" s="867"/>
      <c r="BS45" s="869"/>
      <c r="BT45" s="869"/>
      <c r="BU45" s="869"/>
      <c r="BV45" s="870"/>
      <c r="BW45" s="870"/>
      <c r="BX45" s="870"/>
      <c r="BY45" s="870"/>
      <c r="BZ45" s="870"/>
      <c r="CA45" s="870"/>
      <c r="CB45" s="870"/>
      <c r="CC45" s="870"/>
      <c r="CD45" s="870"/>
      <c r="CE45" s="870"/>
      <c r="CF45" s="870"/>
      <c r="CG45" s="870"/>
      <c r="CH45" s="870"/>
      <c r="CI45" s="870"/>
      <c r="CJ45" s="870"/>
      <c r="CK45" s="870"/>
      <c r="CL45" s="870"/>
      <c r="CM45" s="870"/>
      <c r="CN45" s="870"/>
      <c r="CO45" s="870"/>
      <c r="CP45" s="870"/>
      <c r="CQ45" s="870"/>
      <c r="CR45" s="870"/>
      <c r="CS45" s="871"/>
      <c r="CT45" s="871">
        <f t="shared" si="17"/>
        <v>0</v>
      </c>
      <c r="CU45" s="871">
        <f t="shared" si="18"/>
        <v>0</v>
      </c>
      <c r="CV45" s="872"/>
      <c r="CW45" s="714"/>
      <c r="CX45" s="714"/>
      <c r="CY45" s="869"/>
      <c r="CZ45" s="714"/>
      <c r="DA45" s="714"/>
      <c r="DB45" s="714"/>
      <c r="DC45" s="714"/>
      <c r="DD45" s="714"/>
      <c r="DE45" s="870"/>
      <c r="DF45" s="870"/>
      <c r="DG45" s="714"/>
      <c r="DH45" s="714"/>
      <c r="DI45" s="870"/>
      <c r="DJ45" s="714"/>
      <c r="DK45" s="714"/>
      <c r="DL45" s="870"/>
      <c r="DM45" s="714"/>
      <c r="DN45" s="714"/>
      <c r="DO45" s="870"/>
      <c r="DP45" s="714"/>
      <c r="DQ45" s="714"/>
      <c r="DR45" s="870"/>
      <c r="DS45" s="714"/>
      <c r="DT45" s="714"/>
      <c r="DU45" s="870"/>
      <c r="DV45" s="714"/>
      <c r="DW45" s="714"/>
      <c r="DX45" s="870"/>
      <c r="DY45" s="714"/>
      <c r="DZ45" s="714"/>
      <c r="EA45" s="870"/>
      <c r="EB45" s="714"/>
      <c r="EC45" s="714"/>
      <c r="ED45" s="870"/>
      <c r="EE45" s="714"/>
      <c r="EF45" s="714"/>
      <c r="EG45" s="870"/>
      <c r="EH45" s="714"/>
      <c r="EI45" s="714"/>
      <c r="EJ45" s="870"/>
      <c r="EK45" s="714"/>
      <c r="EL45" s="714"/>
      <c r="EM45" s="870"/>
      <c r="EN45" s="714"/>
      <c r="EO45" s="714"/>
      <c r="EP45" s="870"/>
      <c r="EQ45" s="714"/>
      <c r="ER45" s="714"/>
      <c r="ES45" s="870"/>
      <c r="ET45" s="714"/>
      <c r="EU45" s="714"/>
      <c r="EV45" s="854"/>
      <c r="EW45" s="714"/>
      <c r="EX45" s="714"/>
      <c r="EY45" s="714"/>
      <c r="EZ45" s="714"/>
      <c r="FA45" s="714"/>
      <c r="FB45" s="714"/>
      <c r="FC45" s="714"/>
      <c r="FD45" s="714"/>
      <c r="FE45" s="714"/>
      <c r="FF45" s="714"/>
      <c r="FG45" s="714"/>
      <c r="FH45" s="714"/>
      <c r="FI45" s="714"/>
    </row>
    <row r="46" spans="2:210" ht="62.5" customHeight="1">
      <c r="B46" s="863"/>
      <c r="C46" s="863"/>
      <c r="D46" s="863"/>
      <c r="E46" s="863"/>
      <c r="F46" s="863"/>
      <c r="I46" s="850" t="s">
        <v>5521</v>
      </c>
      <c r="J46" s="673" t="s">
        <v>5404</v>
      </c>
      <c r="K46" s="714" t="s">
        <v>210</v>
      </c>
      <c r="L46" s="714"/>
      <c r="M46" s="714"/>
      <c r="N46" s="714"/>
      <c r="O46" s="852"/>
      <c r="P46" s="865"/>
      <c r="Q46" s="865"/>
      <c r="R46" s="712">
        <f t="shared" si="20"/>
        <v>0</v>
      </c>
      <c r="S46" s="714"/>
      <c r="T46" s="714"/>
      <c r="U46" s="714"/>
      <c r="V46" s="714"/>
      <c r="W46" s="714"/>
      <c r="X46" s="714"/>
      <c r="Y46" s="714"/>
      <c r="Z46" s="714"/>
      <c r="AA46" s="714"/>
      <c r="AB46" s="714"/>
      <c r="AC46" s="714"/>
      <c r="AD46" s="714"/>
      <c r="AE46" s="714"/>
      <c r="AF46" s="714"/>
      <c r="AG46" s="714"/>
      <c r="AH46" s="867"/>
      <c r="AI46" s="868">
        <f t="shared" si="1"/>
        <v>0</v>
      </c>
      <c r="AJ46" s="867">
        <f t="shared" si="2"/>
        <v>0</v>
      </c>
      <c r="AK46" s="867"/>
      <c r="AL46" s="869"/>
      <c r="AM46" s="869"/>
      <c r="AN46" s="869" t="e">
        <f t="shared" si="3"/>
        <v>#DIV/0!</v>
      </c>
      <c r="AO46" s="869" t="e">
        <f t="shared" si="4"/>
        <v>#DIV/0!</v>
      </c>
      <c r="AP46" s="869"/>
      <c r="AQ46" s="869"/>
      <c r="AR46" s="869"/>
      <c r="AS46" s="869" t="e">
        <f t="shared" si="5"/>
        <v>#DIV/0!</v>
      </c>
      <c r="AT46" s="869" t="e">
        <f t="shared" si="6"/>
        <v>#DIV/0!</v>
      </c>
      <c r="AU46" s="867"/>
      <c r="AV46" s="869"/>
      <c r="AW46" s="869" t="e">
        <f t="shared" si="7"/>
        <v>#DIV/0!</v>
      </c>
      <c r="AX46" s="869" t="e">
        <f t="shared" si="8"/>
        <v>#DIV/0!</v>
      </c>
      <c r="AY46" s="867"/>
      <c r="AZ46" s="869"/>
      <c r="BA46" s="869" t="e">
        <f t="shared" si="9"/>
        <v>#DIV/0!</v>
      </c>
      <c r="BB46" s="869" t="e">
        <f t="shared" si="10"/>
        <v>#DIV/0!</v>
      </c>
      <c r="BC46" s="867"/>
      <c r="BD46" s="869"/>
      <c r="BE46" s="869" t="e">
        <f t="shared" si="11"/>
        <v>#DIV/0!</v>
      </c>
      <c r="BF46" s="869" t="e">
        <f t="shared" si="12"/>
        <v>#DIV/0!</v>
      </c>
      <c r="BG46" s="867"/>
      <c r="BH46" s="869"/>
      <c r="BI46" s="714"/>
      <c r="BJ46" s="714"/>
      <c r="BK46" s="714"/>
      <c r="BL46" s="714" t="e">
        <f t="shared" si="13"/>
        <v>#DIV/0!</v>
      </c>
      <c r="BM46" s="869" t="e">
        <f t="shared" si="14"/>
        <v>#DIV/0!</v>
      </c>
      <c r="BN46" s="867"/>
      <c r="BO46" s="869"/>
      <c r="BP46" s="869" t="e">
        <f t="shared" si="15"/>
        <v>#DIV/0!</v>
      </c>
      <c r="BQ46" s="869" t="e">
        <f t="shared" si="16"/>
        <v>#DIV/0!</v>
      </c>
      <c r="BR46" s="867"/>
      <c r="BS46" s="869"/>
      <c r="BT46" s="869"/>
      <c r="BU46" s="869"/>
      <c r="BV46" s="870"/>
      <c r="BW46" s="870"/>
      <c r="BX46" s="870"/>
      <c r="BY46" s="870"/>
      <c r="BZ46" s="870"/>
      <c r="CA46" s="870"/>
      <c r="CB46" s="870"/>
      <c r="CC46" s="870"/>
      <c r="CD46" s="870"/>
      <c r="CE46" s="870"/>
      <c r="CF46" s="870"/>
      <c r="CG46" s="870"/>
      <c r="CH46" s="870"/>
      <c r="CI46" s="870"/>
      <c r="CJ46" s="870"/>
      <c r="CK46" s="870"/>
      <c r="CL46" s="870"/>
      <c r="CM46" s="870"/>
      <c r="CN46" s="870"/>
      <c r="CO46" s="870"/>
      <c r="CP46" s="870"/>
      <c r="CQ46" s="870"/>
      <c r="CR46" s="870"/>
      <c r="CS46" s="871"/>
      <c r="CT46" s="871">
        <f t="shared" si="17"/>
        <v>0</v>
      </c>
      <c r="CU46" s="871">
        <f t="shared" si="18"/>
        <v>0</v>
      </c>
      <c r="CV46" s="872"/>
      <c r="CW46" s="714"/>
      <c r="CX46" s="714"/>
      <c r="CY46" s="869"/>
      <c r="CZ46" s="714"/>
      <c r="DA46" s="714"/>
      <c r="DB46" s="714"/>
      <c r="DC46" s="714"/>
      <c r="DD46" s="714"/>
      <c r="DE46" s="870"/>
      <c r="DF46" s="870"/>
      <c r="DG46" s="714"/>
      <c r="DH46" s="714"/>
      <c r="DI46" s="870"/>
      <c r="DJ46" s="714"/>
      <c r="DK46" s="714"/>
      <c r="DL46" s="870"/>
      <c r="DM46" s="714"/>
      <c r="DN46" s="714"/>
      <c r="DO46" s="870"/>
      <c r="DP46" s="714"/>
      <c r="DQ46" s="714"/>
      <c r="DR46" s="870"/>
      <c r="DS46" s="714"/>
      <c r="DT46" s="714"/>
      <c r="DU46" s="870"/>
      <c r="DV46" s="714"/>
      <c r="DW46" s="714"/>
      <c r="DX46" s="870"/>
      <c r="DY46" s="714"/>
      <c r="DZ46" s="714"/>
      <c r="EA46" s="870"/>
      <c r="EB46" s="714"/>
      <c r="EC46" s="714"/>
      <c r="ED46" s="870"/>
      <c r="EE46" s="714"/>
      <c r="EF46" s="714"/>
      <c r="EG46" s="870"/>
      <c r="EH46" s="714"/>
      <c r="EI46" s="714"/>
      <c r="EJ46" s="870"/>
      <c r="EK46" s="714"/>
      <c r="EL46" s="714"/>
      <c r="EM46" s="870"/>
      <c r="EN46" s="714"/>
      <c r="EO46" s="714"/>
      <c r="EP46" s="870"/>
      <c r="EQ46" s="714"/>
      <c r="ER46" s="714"/>
      <c r="ES46" s="870"/>
      <c r="ET46" s="714"/>
      <c r="EU46" s="714"/>
      <c r="EV46" s="854"/>
      <c r="EW46" s="714"/>
      <c r="EX46" s="714"/>
      <c r="EY46" s="714"/>
      <c r="EZ46" s="714"/>
      <c r="FA46" s="714"/>
      <c r="FB46" s="714"/>
      <c r="FC46" s="714"/>
      <c r="FD46" s="714"/>
      <c r="FE46" s="714"/>
      <c r="FF46" s="714"/>
      <c r="FG46" s="714"/>
      <c r="FH46" s="714"/>
      <c r="FI46" s="714"/>
    </row>
    <row r="47" spans="2:210" ht="78" customHeight="1">
      <c r="B47" s="850" t="s">
        <v>5315</v>
      </c>
      <c r="C47" s="850" t="s">
        <v>5325</v>
      </c>
      <c r="D47" s="850" t="s">
        <v>4933</v>
      </c>
      <c r="E47" s="850" t="s">
        <v>5314</v>
      </c>
      <c r="F47" s="879">
        <v>1</v>
      </c>
      <c r="G47" s="850" t="s">
        <v>4933</v>
      </c>
      <c r="I47" s="850" t="s">
        <v>5518</v>
      </c>
      <c r="J47" s="673" t="s">
        <v>5405</v>
      </c>
      <c r="K47" s="714" t="s">
        <v>211</v>
      </c>
      <c r="L47" s="714"/>
      <c r="M47" s="714" t="s">
        <v>2387</v>
      </c>
      <c r="N47" s="714" t="s">
        <v>2388</v>
      </c>
      <c r="O47" s="852">
        <v>2011</v>
      </c>
      <c r="P47" s="865">
        <v>43510</v>
      </c>
      <c r="Q47" s="865">
        <v>43829</v>
      </c>
      <c r="R47" s="712">
        <f t="shared" si="20"/>
        <v>319</v>
      </c>
      <c r="S47" s="852" t="s">
        <v>2389</v>
      </c>
      <c r="T47" s="714" t="s">
        <v>2390</v>
      </c>
      <c r="U47" s="855" t="s">
        <v>2391</v>
      </c>
      <c r="V47" s="714" t="s">
        <v>2392</v>
      </c>
      <c r="W47" s="714" t="s">
        <v>410</v>
      </c>
      <c r="X47" s="714" t="s">
        <v>2392</v>
      </c>
      <c r="Y47" s="714" t="s">
        <v>410</v>
      </c>
      <c r="Z47" s="714" t="s">
        <v>2791</v>
      </c>
      <c r="AA47" s="855" t="s">
        <v>2393</v>
      </c>
      <c r="AB47" s="855"/>
      <c r="AC47" s="855"/>
      <c r="AD47" s="714" t="s">
        <v>2394</v>
      </c>
      <c r="AE47" s="714" t="s">
        <v>2394</v>
      </c>
      <c r="AF47" s="714" t="s">
        <v>2395</v>
      </c>
      <c r="AG47" s="714" t="s">
        <v>2396</v>
      </c>
      <c r="AH47" s="854">
        <v>749.3</v>
      </c>
      <c r="AI47" s="868">
        <f t="shared" si="1"/>
        <v>749.3</v>
      </c>
      <c r="AJ47" s="867">
        <f t="shared" si="2"/>
        <v>0</v>
      </c>
      <c r="AK47" s="854">
        <v>650</v>
      </c>
      <c r="AL47" s="934">
        <v>0.86699999999999999</v>
      </c>
      <c r="AM47" s="934">
        <v>3.0000000000000001E-3</v>
      </c>
      <c r="AN47" s="869">
        <f t="shared" si="3"/>
        <v>0.86747631122380897</v>
      </c>
      <c r="AO47" s="869">
        <f t="shared" si="4"/>
        <v>-4.7631122380897839E-4</v>
      </c>
      <c r="AP47" s="934"/>
      <c r="AQ47" s="934"/>
      <c r="AR47" s="934"/>
      <c r="AS47" s="869">
        <f t="shared" si="5"/>
        <v>0</v>
      </c>
      <c r="AT47" s="869">
        <f t="shared" si="6"/>
        <v>0</v>
      </c>
      <c r="AU47" s="854">
        <v>99.3</v>
      </c>
      <c r="AV47" s="934">
        <v>0.13300000000000001</v>
      </c>
      <c r="AW47" s="869">
        <f t="shared" si="7"/>
        <v>0.13252368877619111</v>
      </c>
      <c r="AX47" s="869">
        <f t="shared" si="8"/>
        <v>4.7631122380889512E-4</v>
      </c>
      <c r="AY47" s="854">
        <v>0</v>
      </c>
      <c r="AZ47" s="878">
        <v>0</v>
      </c>
      <c r="BA47" s="869">
        <f t="shared" si="9"/>
        <v>0</v>
      </c>
      <c r="BB47" s="869">
        <f t="shared" si="10"/>
        <v>0</v>
      </c>
      <c r="BC47" s="854">
        <v>0</v>
      </c>
      <c r="BD47" s="854">
        <v>0</v>
      </c>
      <c r="BE47" s="869">
        <f t="shared" si="11"/>
        <v>0</v>
      </c>
      <c r="BF47" s="869">
        <f t="shared" si="12"/>
        <v>0</v>
      </c>
      <c r="BG47" s="854">
        <v>0</v>
      </c>
      <c r="BH47" s="854">
        <v>0</v>
      </c>
      <c r="BI47" s="714" t="s">
        <v>2397</v>
      </c>
      <c r="BJ47" s="714" t="s">
        <v>410</v>
      </c>
      <c r="BK47" s="714" t="s">
        <v>410</v>
      </c>
      <c r="BL47" s="714">
        <f t="shared" si="13"/>
        <v>0</v>
      </c>
      <c r="BM47" s="869">
        <f t="shared" si="14"/>
        <v>0</v>
      </c>
      <c r="BN47" s="870">
        <v>0</v>
      </c>
      <c r="BO47" s="878">
        <v>0</v>
      </c>
      <c r="BP47" s="869">
        <f t="shared" si="15"/>
        <v>0</v>
      </c>
      <c r="BQ47" s="869">
        <f t="shared" si="16"/>
        <v>0</v>
      </c>
      <c r="BR47" s="854">
        <v>850</v>
      </c>
      <c r="BS47" s="934">
        <v>5.0000000000000001E-3</v>
      </c>
      <c r="BT47" s="934"/>
      <c r="BU47" s="934"/>
      <c r="BV47" s="870">
        <v>1700</v>
      </c>
      <c r="BW47" s="870">
        <v>455</v>
      </c>
      <c r="BX47" s="870">
        <v>455</v>
      </c>
      <c r="BY47" s="870">
        <v>105</v>
      </c>
      <c r="BZ47" s="870">
        <v>115</v>
      </c>
      <c r="CA47" s="870">
        <v>74</v>
      </c>
      <c r="CB47" s="870">
        <v>96</v>
      </c>
      <c r="CC47" s="870">
        <v>0</v>
      </c>
      <c r="CD47" s="870">
        <v>0</v>
      </c>
      <c r="CE47" s="870">
        <v>367</v>
      </c>
      <c r="CF47" s="870">
        <v>390</v>
      </c>
      <c r="CG47" s="870">
        <v>35</v>
      </c>
      <c r="CH47" s="870">
        <v>0</v>
      </c>
      <c r="CI47" s="870">
        <v>78</v>
      </c>
      <c r="CJ47" s="870">
        <v>216</v>
      </c>
      <c r="CK47" s="870">
        <v>42</v>
      </c>
      <c r="CL47" s="870">
        <v>31</v>
      </c>
      <c r="CM47" s="870">
        <v>0</v>
      </c>
      <c r="CN47" s="870">
        <v>0</v>
      </c>
      <c r="CO47" s="870">
        <v>0</v>
      </c>
      <c r="CP47" s="870">
        <v>151</v>
      </c>
      <c r="CQ47" s="870">
        <v>0</v>
      </c>
      <c r="CR47" s="870">
        <v>0</v>
      </c>
      <c r="CS47" s="871">
        <f>SUM(BY47:CR47)</f>
        <v>1700</v>
      </c>
      <c r="CT47" s="871">
        <f t="shared" si="17"/>
        <v>1700</v>
      </c>
      <c r="CU47" s="871">
        <f t="shared" si="18"/>
        <v>0</v>
      </c>
      <c r="CV47" s="872" t="s">
        <v>5509</v>
      </c>
      <c r="CW47" s="714" t="s">
        <v>2392</v>
      </c>
      <c r="CX47" s="714" t="s">
        <v>410</v>
      </c>
      <c r="CY47" s="714" t="s">
        <v>410</v>
      </c>
      <c r="CZ47" s="869" t="s">
        <v>410</v>
      </c>
      <c r="DA47" s="869"/>
      <c r="DB47" s="869"/>
      <c r="DC47" s="714"/>
      <c r="DD47" s="714" t="s">
        <v>2398</v>
      </c>
      <c r="DE47" s="714" t="s">
        <v>2392</v>
      </c>
      <c r="DF47" s="714"/>
      <c r="DG47" s="714" t="s">
        <v>2392</v>
      </c>
      <c r="DH47" s="870">
        <v>6</v>
      </c>
      <c r="DI47" s="714" t="s">
        <v>278</v>
      </c>
      <c r="DJ47" s="714" t="s">
        <v>1685</v>
      </c>
      <c r="DK47" s="714"/>
      <c r="DL47" s="714" t="s">
        <v>278</v>
      </c>
      <c r="DM47" s="714" t="s">
        <v>1685</v>
      </c>
      <c r="DN47" s="714" t="s">
        <v>1012</v>
      </c>
      <c r="DO47" s="714" t="s">
        <v>278</v>
      </c>
      <c r="DP47" s="714" t="s">
        <v>1685</v>
      </c>
      <c r="DQ47" s="714" t="s">
        <v>1012</v>
      </c>
      <c r="DR47" s="714" t="s">
        <v>278</v>
      </c>
      <c r="DS47" s="714" t="s">
        <v>1685</v>
      </c>
      <c r="DT47" s="714"/>
      <c r="DU47" s="714" t="s">
        <v>279</v>
      </c>
      <c r="DV47" s="714" t="s">
        <v>410</v>
      </c>
      <c r="DW47" s="870" t="s">
        <v>410</v>
      </c>
      <c r="DX47" s="714" t="s">
        <v>279</v>
      </c>
      <c r="DY47" s="714" t="s">
        <v>410</v>
      </c>
      <c r="DZ47" s="714" t="s">
        <v>410</v>
      </c>
      <c r="EA47" s="714" t="s">
        <v>278</v>
      </c>
      <c r="EB47" s="714" t="s">
        <v>1685</v>
      </c>
      <c r="EC47" s="870" t="s">
        <v>1012</v>
      </c>
      <c r="ED47" s="714" t="s">
        <v>278</v>
      </c>
      <c r="EE47" s="714" t="s">
        <v>1685</v>
      </c>
      <c r="EF47" s="870" t="s">
        <v>1012</v>
      </c>
      <c r="EG47" s="714" t="s">
        <v>279</v>
      </c>
      <c r="EH47" s="714" t="s">
        <v>410</v>
      </c>
      <c r="EI47" s="714" t="s">
        <v>410</v>
      </c>
      <c r="EJ47" s="714" t="s">
        <v>279</v>
      </c>
      <c r="EK47" s="714" t="s">
        <v>410</v>
      </c>
      <c r="EL47" s="714" t="s">
        <v>410</v>
      </c>
      <c r="EM47" s="714" t="s">
        <v>279</v>
      </c>
      <c r="EN47" s="714" t="s">
        <v>410</v>
      </c>
      <c r="EO47" s="714" t="s">
        <v>410</v>
      </c>
      <c r="EP47" s="714" t="s">
        <v>279</v>
      </c>
      <c r="EQ47" s="714" t="s">
        <v>410</v>
      </c>
      <c r="ER47" s="714" t="s">
        <v>410</v>
      </c>
      <c r="ES47" s="714" t="s">
        <v>278</v>
      </c>
      <c r="ET47" s="714" t="s">
        <v>2399</v>
      </c>
      <c r="EU47" s="714" t="s">
        <v>1012</v>
      </c>
      <c r="EV47" s="714" t="s">
        <v>2400</v>
      </c>
      <c r="EW47" s="714" t="s">
        <v>2401</v>
      </c>
      <c r="EX47" s="870">
        <v>455</v>
      </c>
      <c r="EY47" s="714" t="s">
        <v>279</v>
      </c>
      <c r="EZ47" s="714" t="s">
        <v>410</v>
      </c>
      <c r="FA47" s="714" t="s">
        <v>279</v>
      </c>
      <c r="FB47" s="714" t="s">
        <v>410</v>
      </c>
      <c r="FC47" s="714" t="s">
        <v>2402</v>
      </c>
      <c r="FD47" s="714" t="s">
        <v>2403</v>
      </c>
      <c r="FE47" s="714" t="s">
        <v>2403</v>
      </c>
      <c r="FF47" s="714" t="s">
        <v>2404</v>
      </c>
      <c r="FG47" s="714" t="s">
        <v>2403</v>
      </c>
      <c r="FH47" s="805" t="s">
        <v>2405</v>
      </c>
      <c r="FI47" s="805"/>
      <c r="FJ47" s="805"/>
      <c r="FK47" s="714" t="s">
        <v>2406</v>
      </c>
      <c r="FL47" s="870" t="s">
        <v>2407</v>
      </c>
      <c r="FM47" s="855" t="s">
        <v>2408</v>
      </c>
      <c r="FN47" s="714"/>
      <c r="FO47" s="714"/>
      <c r="FP47" s="714"/>
    </row>
    <row r="48" spans="2:210" ht="79.5" customHeight="1">
      <c r="B48" s="863"/>
      <c r="C48" s="863"/>
      <c r="D48" s="863"/>
      <c r="E48" s="863"/>
      <c r="F48" s="863"/>
      <c r="I48" s="850" t="s">
        <v>5521</v>
      </c>
      <c r="J48" s="673" t="s">
        <v>5406</v>
      </c>
      <c r="K48" s="714" t="s">
        <v>212</v>
      </c>
      <c r="L48" s="714"/>
      <c r="M48" s="714"/>
      <c r="N48" s="714"/>
      <c r="O48" s="852"/>
      <c r="P48" s="865"/>
      <c r="Q48" s="865"/>
      <c r="R48" s="712">
        <f t="shared" si="20"/>
        <v>0</v>
      </c>
      <c r="S48" s="714"/>
      <c r="T48" s="714"/>
      <c r="U48" s="714"/>
      <c r="V48" s="714"/>
      <c r="W48" s="714"/>
      <c r="X48" s="714"/>
      <c r="Y48" s="714"/>
      <c r="Z48" s="714"/>
      <c r="AA48" s="714"/>
      <c r="AB48" s="714"/>
      <c r="AC48" s="714"/>
      <c r="AD48" s="714"/>
      <c r="AE48" s="714"/>
      <c r="AF48" s="714"/>
      <c r="AG48" s="714"/>
      <c r="AH48" s="867"/>
      <c r="AI48" s="868">
        <f t="shared" si="1"/>
        <v>0</v>
      </c>
      <c r="AJ48" s="867">
        <f t="shared" si="2"/>
        <v>0</v>
      </c>
      <c r="AK48" s="867"/>
      <c r="AL48" s="869"/>
      <c r="AM48" s="869"/>
      <c r="AN48" s="869" t="e">
        <f t="shared" si="3"/>
        <v>#DIV/0!</v>
      </c>
      <c r="AO48" s="869" t="e">
        <f t="shared" si="4"/>
        <v>#DIV/0!</v>
      </c>
      <c r="AP48" s="869"/>
      <c r="AQ48" s="869"/>
      <c r="AR48" s="869"/>
      <c r="AS48" s="869" t="e">
        <f t="shared" si="5"/>
        <v>#DIV/0!</v>
      </c>
      <c r="AT48" s="869" t="e">
        <f t="shared" si="6"/>
        <v>#DIV/0!</v>
      </c>
      <c r="AU48" s="867"/>
      <c r="AV48" s="869"/>
      <c r="AW48" s="869" t="e">
        <f t="shared" si="7"/>
        <v>#DIV/0!</v>
      </c>
      <c r="AX48" s="869" t="e">
        <f t="shared" si="8"/>
        <v>#DIV/0!</v>
      </c>
      <c r="AY48" s="867"/>
      <c r="AZ48" s="869"/>
      <c r="BA48" s="869" t="e">
        <f t="shared" si="9"/>
        <v>#DIV/0!</v>
      </c>
      <c r="BB48" s="869" t="e">
        <f t="shared" si="10"/>
        <v>#DIV/0!</v>
      </c>
      <c r="BC48" s="867"/>
      <c r="BD48" s="869"/>
      <c r="BE48" s="869" t="e">
        <f t="shared" si="11"/>
        <v>#DIV/0!</v>
      </c>
      <c r="BF48" s="869" t="e">
        <f t="shared" si="12"/>
        <v>#DIV/0!</v>
      </c>
      <c r="BG48" s="867"/>
      <c r="BH48" s="869"/>
      <c r="BI48" s="714"/>
      <c r="BJ48" s="714"/>
      <c r="BK48" s="714"/>
      <c r="BL48" s="714" t="e">
        <f t="shared" si="13"/>
        <v>#DIV/0!</v>
      </c>
      <c r="BM48" s="869" t="e">
        <f t="shared" si="14"/>
        <v>#DIV/0!</v>
      </c>
      <c r="BN48" s="867"/>
      <c r="BO48" s="869"/>
      <c r="BP48" s="869" t="e">
        <f t="shared" si="15"/>
        <v>#DIV/0!</v>
      </c>
      <c r="BQ48" s="869" t="e">
        <f t="shared" si="16"/>
        <v>#DIV/0!</v>
      </c>
      <c r="BR48" s="867"/>
      <c r="BS48" s="869"/>
      <c r="BT48" s="869"/>
      <c r="BU48" s="869"/>
      <c r="BV48" s="870"/>
      <c r="BW48" s="870"/>
      <c r="BX48" s="870"/>
      <c r="BY48" s="870"/>
      <c r="BZ48" s="870"/>
      <c r="CA48" s="870"/>
      <c r="CB48" s="870"/>
      <c r="CC48" s="870"/>
      <c r="CD48" s="870"/>
      <c r="CE48" s="870"/>
      <c r="CF48" s="870"/>
      <c r="CG48" s="870"/>
      <c r="CH48" s="870"/>
      <c r="CI48" s="870"/>
      <c r="CJ48" s="870"/>
      <c r="CK48" s="870"/>
      <c r="CL48" s="870"/>
      <c r="CM48" s="870"/>
      <c r="CN48" s="870"/>
      <c r="CO48" s="870"/>
      <c r="CP48" s="870"/>
      <c r="CQ48" s="870"/>
      <c r="CR48" s="870"/>
      <c r="CS48" s="871"/>
      <c r="CT48" s="871">
        <f t="shared" si="17"/>
        <v>0</v>
      </c>
      <c r="CU48" s="871">
        <f t="shared" si="18"/>
        <v>0</v>
      </c>
      <c r="CV48" s="872"/>
      <c r="CW48" s="714"/>
      <c r="CX48" s="714"/>
      <c r="CY48" s="869"/>
      <c r="CZ48" s="714"/>
      <c r="DA48" s="714"/>
      <c r="DB48" s="714"/>
      <c r="DC48" s="714"/>
      <c r="DD48" s="714"/>
      <c r="DE48" s="870"/>
      <c r="DF48" s="870"/>
      <c r="DG48" s="714"/>
      <c r="DH48" s="714"/>
      <c r="DI48" s="870"/>
      <c r="DJ48" s="714"/>
      <c r="DK48" s="714"/>
      <c r="DL48" s="870"/>
      <c r="DM48" s="714"/>
      <c r="DN48" s="714"/>
      <c r="DO48" s="870"/>
      <c r="DP48" s="714"/>
      <c r="DQ48" s="714"/>
      <c r="DR48" s="870"/>
      <c r="DS48" s="714"/>
      <c r="DT48" s="714"/>
      <c r="DU48" s="870"/>
      <c r="DV48" s="714"/>
      <c r="DW48" s="714"/>
      <c r="DX48" s="870"/>
      <c r="DY48" s="714"/>
      <c r="DZ48" s="714"/>
      <c r="EA48" s="870"/>
      <c r="EB48" s="714"/>
      <c r="EC48" s="714"/>
      <c r="ED48" s="870"/>
      <c r="EE48" s="714"/>
      <c r="EF48" s="714"/>
      <c r="EG48" s="870"/>
      <c r="EH48" s="714"/>
      <c r="EI48" s="714"/>
      <c r="EJ48" s="870"/>
      <c r="EK48" s="714"/>
      <c r="EL48" s="714"/>
      <c r="EM48" s="870"/>
      <c r="EN48" s="714"/>
      <c r="EO48" s="714"/>
      <c r="EP48" s="870"/>
      <c r="EQ48" s="714"/>
      <c r="ER48" s="714"/>
      <c r="ES48" s="870"/>
      <c r="ET48" s="714"/>
      <c r="EU48" s="714"/>
      <c r="EV48" s="854"/>
      <c r="EW48" s="714"/>
      <c r="EX48" s="714"/>
      <c r="EY48" s="714"/>
      <c r="EZ48" s="714"/>
      <c r="FA48" s="714"/>
      <c r="FB48" s="714"/>
      <c r="FC48" s="714"/>
      <c r="FD48" s="714"/>
      <c r="FE48" s="714"/>
      <c r="FF48" s="714"/>
      <c r="FG48" s="714"/>
      <c r="FH48" s="714"/>
      <c r="FI48" s="714"/>
    </row>
    <row r="49" spans="2:172" ht="120.5" customHeight="1">
      <c r="B49" s="850" t="s">
        <v>5315</v>
      </c>
      <c r="C49" s="850" t="s">
        <v>5331</v>
      </c>
      <c r="D49" s="850" t="s">
        <v>4934</v>
      </c>
      <c r="E49" s="850" t="s">
        <v>5323</v>
      </c>
      <c r="F49" s="863"/>
      <c r="H49" s="850" t="s">
        <v>4934</v>
      </c>
      <c r="I49" s="850" t="s">
        <v>5521</v>
      </c>
      <c r="J49" s="673" t="s">
        <v>5406</v>
      </c>
      <c r="K49" s="714" t="s">
        <v>212</v>
      </c>
      <c r="L49" s="714" t="s">
        <v>2736</v>
      </c>
      <c r="M49" s="714" t="s">
        <v>2737</v>
      </c>
      <c r="N49" s="714" t="s">
        <v>2738</v>
      </c>
      <c r="O49" s="852">
        <v>2019</v>
      </c>
      <c r="P49" s="865">
        <v>43647</v>
      </c>
      <c r="Q49" s="865">
        <v>43830</v>
      </c>
      <c r="R49" s="712">
        <f t="shared" si="20"/>
        <v>183</v>
      </c>
      <c r="S49" s="865"/>
      <c r="T49" s="865"/>
      <c r="U49" s="865"/>
      <c r="V49" s="865"/>
      <c r="W49" s="865"/>
      <c r="X49" s="865"/>
      <c r="Y49" s="865"/>
      <c r="Z49" s="865"/>
      <c r="AA49" s="865"/>
      <c r="AB49" s="714" t="s">
        <v>2739</v>
      </c>
      <c r="AC49" s="862" t="s">
        <v>2740</v>
      </c>
      <c r="AD49" s="714" t="s">
        <v>2741</v>
      </c>
      <c r="AE49" s="714" t="s">
        <v>2742</v>
      </c>
      <c r="AF49" s="714" t="s">
        <v>2743</v>
      </c>
      <c r="AG49" s="714" t="s">
        <v>2742</v>
      </c>
      <c r="AH49" s="867">
        <v>2</v>
      </c>
      <c r="AI49" s="868">
        <f>AK49+AU49+AY49+BC49+BG49+AP49+BN49</f>
        <v>2</v>
      </c>
      <c r="AJ49" s="867">
        <f t="shared" si="2"/>
        <v>0</v>
      </c>
      <c r="AK49" s="867"/>
      <c r="AL49" s="867"/>
      <c r="AM49" s="867"/>
      <c r="AN49" s="869">
        <f t="shared" si="3"/>
        <v>0</v>
      </c>
      <c r="AO49" s="869">
        <f t="shared" si="4"/>
        <v>0</v>
      </c>
      <c r="AP49" s="867"/>
      <c r="AQ49" s="869"/>
      <c r="AR49" s="869">
        <f>AP49/4311.9</f>
        <v>0</v>
      </c>
      <c r="AS49" s="869">
        <f>AP49/AH49</f>
        <v>0</v>
      </c>
      <c r="AT49" s="869">
        <f>AQ49-AS49</f>
        <v>0</v>
      </c>
      <c r="AU49" s="867">
        <v>1</v>
      </c>
      <c r="AV49" s="869">
        <v>0.5</v>
      </c>
      <c r="AW49" s="869">
        <f>AU49/AH49</f>
        <v>0.5</v>
      </c>
      <c r="AX49" s="869">
        <f>AV49-AW49</f>
        <v>0</v>
      </c>
      <c r="AY49" s="867">
        <v>1</v>
      </c>
      <c r="AZ49" s="869">
        <f>AY49/AH49</f>
        <v>0.5</v>
      </c>
      <c r="BA49" s="869">
        <f t="shared" si="9"/>
        <v>0.5</v>
      </c>
      <c r="BB49" s="869">
        <f t="shared" si="10"/>
        <v>0</v>
      </c>
      <c r="BC49" s="867">
        <v>0</v>
      </c>
      <c r="BD49" s="869">
        <v>0</v>
      </c>
      <c r="BE49" s="869">
        <f t="shared" si="11"/>
        <v>0</v>
      </c>
      <c r="BF49" s="869">
        <f t="shared" si="12"/>
        <v>0</v>
      </c>
      <c r="BG49" s="869"/>
      <c r="BH49" s="869"/>
      <c r="BI49" s="869"/>
      <c r="BJ49" s="869"/>
      <c r="BK49" s="869"/>
      <c r="BL49" s="714">
        <f t="shared" si="13"/>
        <v>0</v>
      </c>
      <c r="BM49" s="869">
        <f t="shared" si="14"/>
        <v>0</v>
      </c>
      <c r="BN49" s="867">
        <v>0</v>
      </c>
      <c r="BO49" s="869">
        <v>0</v>
      </c>
      <c r="BP49" s="869">
        <f t="shared" si="15"/>
        <v>0</v>
      </c>
      <c r="BQ49" s="869">
        <f t="shared" si="16"/>
        <v>0</v>
      </c>
      <c r="BR49" s="869"/>
      <c r="BS49" s="869"/>
      <c r="BT49" s="867">
        <v>1</v>
      </c>
      <c r="BU49" s="869">
        <f>BT49/4466.2</f>
        <v>2.2390398996910126E-4</v>
      </c>
      <c r="BV49" s="870">
        <v>1</v>
      </c>
      <c r="BW49" s="870">
        <v>1</v>
      </c>
      <c r="BX49" s="870">
        <v>1</v>
      </c>
      <c r="BY49" s="870"/>
      <c r="BZ49" s="870"/>
      <c r="CA49" s="870"/>
      <c r="CB49" s="870"/>
      <c r="CC49" s="870"/>
      <c r="CD49" s="870"/>
      <c r="CE49" s="870"/>
      <c r="CF49" s="870"/>
      <c r="CG49" s="870"/>
      <c r="CH49" s="870"/>
      <c r="CI49" s="870">
        <v>1</v>
      </c>
      <c r="CJ49" s="870"/>
      <c r="CK49" s="870"/>
      <c r="CL49" s="870"/>
      <c r="CM49" s="870"/>
      <c r="CN49" s="870"/>
      <c r="CO49" s="870"/>
      <c r="CP49" s="870"/>
      <c r="CQ49" s="870"/>
      <c r="CR49" s="870"/>
      <c r="CS49" s="871">
        <f t="shared" ref="CS49:CS56" si="22">SUM(BY49:CR49)</f>
        <v>1</v>
      </c>
      <c r="CT49" s="871">
        <f t="shared" si="17"/>
        <v>1</v>
      </c>
      <c r="CU49" s="871">
        <f t="shared" si="18"/>
        <v>0</v>
      </c>
      <c r="CV49" s="872">
        <v>30</v>
      </c>
      <c r="CW49" s="714" t="s">
        <v>279</v>
      </c>
      <c r="CX49" s="714"/>
      <c r="CY49" s="714"/>
      <c r="CZ49" s="714"/>
      <c r="DA49" s="714">
        <f>CV49/264.753</f>
        <v>0.11331316359021427</v>
      </c>
      <c r="DB49" s="907" t="s">
        <v>2744</v>
      </c>
      <c r="DC49" s="714" t="s">
        <v>279</v>
      </c>
      <c r="DD49" s="714"/>
      <c r="DE49" s="714"/>
      <c r="DF49" s="870"/>
      <c r="DG49" s="870"/>
      <c r="DH49" s="870"/>
      <c r="DI49" s="714" t="s">
        <v>279</v>
      </c>
      <c r="DJ49" s="714"/>
      <c r="DK49" s="870"/>
      <c r="DL49" s="714" t="s">
        <v>278</v>
      </c>
      <c r="DM49" s="714" t="s">
        <v>2745</v>
      </c>
      <c r="DN49" s="870"/>
      <c r="DO49" s="714" t="s">
        <v>279</v>
      </c>
      <c r="DP49" s="714"/>
      <c r="DQ49" s="870"/>
      <c r="DR49" s="714" t="s">
        <v>279</v>
      </c>
      <c r="DS49" s="714"/>
      <c r="DT49" s="870"/>
      <c r="DU49" s="714" t="s">
        <v>279</v>
      </c>
      <c r="DV49" s="714"/>
      <c r="DW49" s="870"/>
      <c r="DX49" s="714" t="s">
        <v>279</v>
      </c>
      <c r="DY49" s="714"/>
      <c r="DZ49" s="870"/>
      <c r="EA49" s="714" t="s">
        <v>279</v>
      </c>
      <c r="EB49" s="714"/>
      <c r="EC49" s="870"/>
      <c r="ED49" s="714" t="s">
        <v>279</v>
      </c>
      <c r="EE49" s="714"/>
      <c r="EF49" s="870"/>
      <c r="EG49" s="714" t="s">
        <v>279</v>
      </c>
      <c r="EH49" s="714"/>
      <c r="EI49" s="870"/>
      <c r="EJ49" s="714" t="s">
        <v>279</v>
      </c>
      <c r="EK49" s="714"/>
      <c r="EL49" s="870"/>
      <c r="EM49" s="714" t="s">
        <v>279</v>
      </c>
      <c r="EN49" s="714"/>
      <c r="EO49" s="870"/>
      <c r="EP49" s="714" t="s">
        <v>278</v>
      </c>
      <c r="EQ49" s="714"/>
      <c r="ER49" s="870"/>
      <c r="ES49" s="714"/>
      <c r="ET49" s="714"/>
      <c r="EU49" s="870"/>
      <c r="EV49" s="870"/>
      <c r="EW49" s="870"/>
      <c r="EX49" s="870"/>
      <c r="EY49" s="714" t="s">
        <v>279</v>
      </c>
      <c r="EZ49" s="714"/>
      <c r="FA49" s="714" t="s">
        <v>278</v>
      </c>
      <c r="FB49" s="714" t="s">
        <v>2746</v>
      </c>
      <c r="FC49" s="714" t="s">
        <v>410</v>
      </c>
      <c r="FD49" s="855" t="s">
        <v>2747</v>
      </c>
      <c r="FE49" s="714" t="s">
        <v>410</v>
      </c>
      <c r="FF49" s="714" t="s">
        <v>410</v>
      </c>
      <c r="FG49" s="714" t="s">
        <v>410</v>
      </c>
      <c r="FH49" s="714" t="s">
        <v>2471</v>
      </c>
      <c r="FI49" s="714"/>
      <c r="FJ49" s="714"/>
      <c r="FK49" s="714" t="s">
        <v>2748</v>
      </c>
      <c r="FL49" s="714" t="s">
        <v>2749</v>
      </c>
      <c r="FM49" s="855" t="s">
        <v>2750</v>
      </c>
      <c r="FN49" s="714" t="s">
        <v>2751</v>
      </c>
      <c r="FO49" s="714" t="s">
        <v>2752</v>
      </c>
      <c r="FP49" s="936" t="s">
        <v>2753</v>
      </c>
    </row>
    <row r="50" spans="2:172" ht="124.5" customHeight="1">
      <c r="B50" s="850" t="s">
        <v>5315</v>
      </c>
      <c r="C50" s="850" t="s">
        <v>5316</v>
      </c>
      <c r="D50" s="850" t="s">
        <v>5317</v>
      </c>
      <c r="E50" s="850" t="s">
        <v>5318</v>
      </c>
      <c r="F50" s="850" t="s">
        <v>5319</v>
      </c>
      <c r="G50" s="850" t="s">
        <v>4933</v>
      </c>
      <c r="I50" s="850" t="s">
        <v>5524</v>
      </c>
      <c r="J50" s="850" t="s">
        <v>5407</v>
      </c>
      <c r="K50" s="714" t="s">
        <v>213</v>
      </c>
      <c r="L50" s="714"/>
      <c r="M50" s="714" t="s">
        <v>2452</v>
      </c>
      <c r="N50" s="714" t="s">
        <v>410</v>
      </c>
      <c r="O50" s="852">
        <v>2017</v>
      </c>
      <c r="P50" s="865">
        <v>43466</v>
      </c>
      <c r="Q50" s="865">
        <v>43830</v>
      </c>
      <c r="R50" s="712">
        <f t="shared" si="20"/>
        <v>364</v>
      </c>
      <c r="S50" s="714" t="s">
        <v>2453</v>
      </c>
      <c r="T50" s="714" t="s">
        <v>2454</v>
      </c>
      <c r="U50" s="855" t="s">
        <v>2455</v>
      </c>
      <c r="V50" s="714" t="s">
        <v>410</v>
      </c>
      <c r="W50" s="714" t="s">
        <v>410</v>
      </c>
      <c r="X50" s="714" t="s">
        <v>410</v>
      </c>
      <c r="Y50" s="714" t="s">
        <v>410</v>
      </c>
      <c r="Z50" s="937" t="s">
        <v>410</v>
      </c>
      <c r="AA50" s="714" t="s">
        <v>410</v>
      </c>
      <c r="AB50" s="714"/>
      <c r="AC50" s="714"/>
      <c r="AD50" s="714" t="s">
        <v>2456</v>
      </c>
      <c r="AE50" s="714" t="s">
        <v>2456</v>
      </c>
      <c r="AF50" s="714" t="s">
        <v>454</v>
      </c>
      <c r="AG50" s="714" t="s">
        <v>767</v>
      </c>
      <c r="AH50" s="883">
        <f>AK50+AU50+AY50+BC50+BG50</f>
        <v>1439.12023527</v>
      </c>
      <c r="AI50" s="868">
        <f t="shared" si="1"/>
        <v>1439.12023527</v>
      </c>
      <c r="AJ50" s="867">
        <f t="shared" si="2"/>
        <v>0</v>
      </c>
      <c r="AK50" s="867">
        <f>914.36723527-BG50</f>
        <v>609.92823526999996</v>
      </c>
      <c r="AL50" s="869">
        <f>AK50/AH50</f>
        <v>0.42382020648578295</v>
      </c>
      <c r="AM50" s="869">
        <f>AK50/116382.795</f>
        <v>5.240707917952993E-3</v>
      </c>
      <c r="AN50" s="869">
        <f t="shared" si="3"/>
        <v>0.42382020648578295</v>
      </c>
      <c r="AO50" s="869">
        <f t="shared" si="4"/>
        <v>0</v>
      </c>
      <c r="AP50" s="869"/>
      <c r="AQ50" s="869"/>
      <c r="AR50" s="869"/>
      <c r="AS50" s="869">
        <f t="shared" si="5"/>
        <v>0</v>
      </c>
      <c r="AT50" s="869">
        <f t="shared" si="6"/>
        <v>0</v>
      </c>
      <c r="AU50" s="875">
        <v>362.50599999999997</v>
      </c>
      <c r="AV50" s="869">
        <f>AU50/AH50</f>
        <v>0.25189417195012098</v>
      </c>
      <c r="AW50" s="869">
        <f t="shared" si="7"/>
        <v>0.25189417195012098</v>
      </c>
      <c r="AX50" s="869">
        <f t="shared" si="8"/>
        <v>0</v>
      </c>
      <c r="AY50" s="867">
        <v>16.882999999999999</v>
      </c>
      <c r="AZ50" s="869">
        <f>AY50/AH50</f>
        <v>1.1731472872266648E-2</v>
      </c>
      <c r="BA50" s="869">
        <f t="shared" si="9"/>
        <v>1.1731472872266648E-2</v>
      </c>
      <c r="BB50" s="869">
        <f t="shared" si="10"/>
        <v>0</v>
      </c>
      <c r="BC50" s="867">
        <v>145.364</v>
      </c>
      <c r="BD50" s="869">
        <f>BC50/AH50</f>
        <v>0.10100893340070893</v>
      </c>
      <c r="BE50" s="869">
        <f t="shared" si="11"/>
        <v>0.10100893340070893</v>
      </c>
      <c r="BF50" s="869">
        <f t="shared" si="12"/>
        <v>0</v>
      </c>
      <c r="BG50" s="867">
        <v>304.43900000000002</v>
      </c>
      <c r="BH50" s="869">
        <f>BG50/AH50</f>
        <v>0.21154521529112041</v>
      </c>
      <c r="BI50" s="867" t="s">
        <v>2457</v>
      </c>
      <c r="BJ50" s="714" t="s">
        <v>457</v>
      </c>
      <c r="BK50" s="714" t="s">
        <v>2456</v>
      </c>
      <c r="BL50" s="714">
        <f t="shared" si="13"/>
        <v>0.21154521529112041</v>
      </c>
      <c r="BM50" s="869">
        <f t="shared" si="14"/>
        <v>0</v>
      </c>
      <c r="BN50" s="867"/>
      <c r="BO50" s="869"/>
      <c r="BP50" s="869">
        <f t="shared" si="15"/>
        <v>0</v>
      </c>
      <c r="BQ50" s="869">
        <f t="shared" si="16"/>
        <v>0</v>
      </c>
      <c r="BR50" s="867">
        <v>339.8646</v>
      </c>
      <c r="BS50" s="884">
        <f>BR50/121538.579</f>
        <v>2.7963516012475347E-3</v>
      </c>
      <c r="BT50" s="884"/>
      <c r="BU50" s="884"/>
      <c r="BV50" s="870">
        <v>430</v>
      </c>
      <c r="BW50" s="870">
        <v>111</v>
      </c>
      <c r="BX50" s="870">
        <v>101</v>
      </c>
      <c r="BY50" s="901">
        <v>0</v>
      </c>
      <c r="BZ50" s="901">
        <v>7</v>
      </c>
      <c r="CA50" s="901">
        <v>1</v>
      </c>
      <c r="CB50" s="901">
        <v>0</v>
      </c>
      <c r="CC50" s="901">
        <v>0</v>
      </c>
      <c r="CD50" s="901">
        <v>0</v>
      </c>
      <c r="CE50" s="901">
        <v>0</v>
      </c>
      <c r="CF50" s="901">
        <v>0</v>
      </c>
      <c r="CG50" s="901">
        <v>0</v>
      </c>
      <c r="CH50" s="901">
        <v>76</v>
      </c>
      <c r="CI50" s="901">
        <v>1</v>
      </c>
      <c r="CJ50" s="901">
        <v>13</v>
      </c>
      <c r="CK50" s="901">
        <v>0</v>
      </c>
      <c r="CL50" s="901">
        <v>0</v>
      </c>
      <c r="CM50" s="901">
        <v>0</v>
      </c>
      <c r="CN50" s="901">
        <v>0</v>
      </c>
      <c r="CO50" s="901">
        <v>1</v>
      </c>
      <c r="CP50" s="901">
        <v>0</v>
      </c>
      <c r="CQ50" s="901">
        <v>0</v>
      </c>
      <c r="CR50" s="901">
        <v>0</v>
      </c>
      <c r="CS50" s="902">
        <f>SUM(BY50:CR50)</f>
        <v>99</v>
      </c>
      <c r="CT50" s="871">
        <f t="shared" si="17"/>
        <v>99</v>
      </c>
      <c r="CU50" s="871">
        <f t="shared" si="18"/>
        <v>0</v>
      </c>
      <c r="CV50" s="872">
        <v>622.64300000000003</v>
      </c>
      <c r="CW50" s="714" t="s">
        <v>410</v>
      </c>
      <c r="CX50" s="714" t="s">
        <v>410</v>
      </c>
      <c r="CY50" s="869">
        <f>CV50/1012.512</f>
        <v>0.61494876110110308</v>
      </c>
      <c r="CZ50" s="907" t="s">
        <v>2458</v>
      </c>
      <c r="DA50" s="907"/>
      <c r="DB50" s="907"/>
      <c r="DC50" s="714" t="s">
        <v>279</v>
      </c>
      <c r="DD50" s="714" t="s">
        <v>410</v>
      </c>
      <c r="DE50" s="714" t="s">
        <v>410</v>
      </c>
      <c r="DF50" s="870" t="s">
        <v>410</v>
      </c>
      <c r="DG50" s="870" t="s">
        <v>410</v>
      </c>
      <c r="DH50" s="870" t="s">
        <v>5705</v>
      </c>
      <c r="DI50" s="714" t="s">
        <v>278</v>
      </c>
      <c r="DJ50" s="714" t="s">
        <v>1987</v>
      </c>
      <c r="DK50" s="870">
        <v>10944</v>
      </c>
      <c r="DL50" s="714" t="s">
        <v>278</v>
      </c>
      <c r="DM50" s="714" t="s">
        <v>2459</v>
      </c>
      <c r="DN50" s="870">
        <v>64396</v>
      </c>
      <c r="DO50" s="714" t="s">
        <v>278</v>
      </c>
      <c r="DP50" s="714" t="s">
        <v>2460</v>
      </c>
      <c r="DQ50" s="870">
        <v>138</v>
      </c>
      <c r="DR50" s="714" t="s">
        <v>278</v>
      </c>
      <c r="DS50" s="714" t="s">
        <v>2461</v>
      </c>
      <c r="DT50" s="870">
        <v>516</v>
      </c>
      <c r="DU50" s="710" t="s">
        <v>278</v>
      </c>
      <c r="DV50" s="710" t="s">
        <v>5706</v>
      </c>
      <c r="DW50" s="901">
        <v>28</v>
      </c>
      <c r="DX50" s="714" t="s">
        <v>278</v>
      </c>
      <c r="DY50" s="714" t="s">
        <v>2754</v>
      </c>
      <c r="DZ50" s="885">
        <v>905</v>
      </c>
      <c r="EA50" s="714" t="s">
        <v>278</v>
      </c>
      <c r="EB50" s="714"/>
      <c r="EC50" s="870">
        <v>53130</v>
      </c>
      <c r="ED50" s="714" t="s">
        <v>278</v>
      </c>
      <c r="EE50" s="714" t="s">
        <v>2459</v>
      </c>
      <c r="EF50" s="870">
        <v>5956</v>
      </c>
      <c r="EG50" s="714" t="s">
        <v>279</v>
      </c>
      <c r="EH50" s="714" t="s">
        <v>410</v>
      </c>
      <c r="EI50" s="870">
        <v>0</v>
      </c>
      <c r="EJ50" s="714" t="s">
        <v>278</v>
      </c>
      <c r="EK50" s="714" t="s">
        <v>2462</v>
      </c>
      <c r="EL50" s="870">
        <v>88</v>
      </c>
      <c r="EM50" s="714" t="s">
        <v>278</v>
      </c>
      <c r="EN50" s="714" t="s">
        <v>2463</v>
      </c>
      <c r="EO50" s="870">
        <v>102</v>
      </c>
      <c r="EP50" s="714" t="s">
        <v>278</v>
      </c>
      <c r="EQ50" s="714" t="s">
        <v>2464</v>
      </c>
      <c r="ER50" s="870">
        <v>40</v>
      </c>
      <c r="ES50" s="714" t="s">
        <v>279</v>
      </c>
      <c r="ET50" s="714" t="s">
        <v>410</v>
      </c>
      <c r="EU50" s="870">
        <v>0</v>
      </c>
      <c r="EV50" s="888">
        <v>1</v>
      </c>
      <c r="EW50" s="712" t="s">
        <v>410</v>
      </c>
      <c r="EX50" s="889" t="s">
        <v>2465</v>
      </c>
      <c r="EY50" s="714" t="s">
        <v>2466</v>
      </c>
      <c r="EZ50" s="714" t="s">
        <v>2467</v>
      </c>
      <c r="FA50" s="714" t="s">
        <v>278</v>
      </c>
      <c r="FB50" s="714" t="s">
        <v>1990</v>
      </c>
      <c r="FC50" s="855" t="s">
        <v>2468</v>
      </c>
      <c r="FD50" s="714" t="s">
        <v>2469</v>
      </c>
      <c r="FE50" s="714" t="s">
        <v>279</v>
      </c>
      <c r="FF50" s="714" t="s">
        <v>2470</v>
      </c>
      <c r="FG50" s="714" t="s">
        <v>410</v>
      </c>
      <c r="FH50" s="714" t="s">
        <v>2471</v>
      </c>
      <c r="FI50" s="714">
        <v>0</v>
      </c>
      <c r="FJ50" s="714">
        <v>0</v>
      </c>
      <c r="FK50" s="714" t="s">
        <v>410</v>
      </c>
      <c r="FL50" s="714" t="s">
        <v>410</v>
      </c>
      <c r="FM50" s="714" t="s">
        <v>410</v>
      </c>
      <c r="FN50" s="714" t="s">
        <v>2472</v>
      </c>
      <c r="FO50" s="714" t="s">
        <v>2473</v>
      </c>
      <c r="FP50" s="714" t="s">
        <v>2474</v>
      </c>
    </row>
    <row r="51" spans="2:172" ht="89.5" customHeight="1">
      <c r="B51" s="850" t="s">
        <v>5315</v>
      </c>
      <c r="C51" s="850" t="s">
        <v>5332</v>
      </c>
      <c r="D51" s="850" t="s">
        <v>4933</v>
      </c>
      <c r="E51" s="850" t="s">
        <v>5314</v>
      </c>
      <c r="F51" s="850" t="s">
        <v>5333</v>
      </c>
      <c r="G51" s="850" t="s">
        <v>4933</v>
      </c>
      <c r="I51" s="850" t="s">
        <v>5524</v>
      </c>
      <c r="J51" s="850" t="s">
        <v>5407</v>
      </c>
      <c r="K51" s="714" t="s">
        <v>213</v>
      </c>
      <c r="L51" s="714"/>
      <c r="M51" s="714" t="s">
        <v>2475</v>
      </c>
      <c r="N51" s="714" t="s">
        <v>2476</v>
      </c>
      <c r="O51" s="852">
        <v>2011</v>
      </c>
      <c r="P51" s="865">
        <v>43466</v>
      </c>
      <c r="Q51" s="865">
        <v>43830</v>
      </c>
      <c r="R51" s="712">
        <f t="shared" si="20"/>
        <v>364</v>
      </c>
      <c r="S51" s="714" t="s">
        <v>2477</v>
      </c>
      <c r="T51" s="714" t="s">
        <v>2478</v>
      </c>
      <c r="U51" s="855" t="s">
        <v>2479</v>
      </c>
      <c r="V51" s="714" t="s">
        <v>279</v>
      </c>
      <c r="W51" s="714" t="s">
        <v>410</v>
      </c>
      <c r="X51" s="714" t="s">
        <v>279</v>
      </c>
      <c r="Y51" s="714" t="s">
        <v>410</v>
      </c>
      <c r="Z51" s="937" t="s">
        <v>410</v>
      </c>
      <c r="AA51" s="714" t="s">
        <v>410</v>
      </c>
      <c r="AB51" s="714"/>
      <c r="AC51" s="714"/>
      <c r="AD51" s="714" t="s">
        <v>2456</v>
      </c>
      <c r="AE51" s="714" t="s">
        <v>2456</v>
      </c>
      <c r="AF51" s="714" t="s">
        <v>454</v>
      </c>
      <c r="AG51" s="714" t="s">
        <v>767</v>
      </c>
      <c r="AH51" s="868">
        <f>AK51+AU51+BC51+BG51+BN51</f>
        <v>346.35947077000003</v>
      </c>
      <c r="AI51" s="868">
        <f t="shared" si="1"/>
        <v>346.35947077000003</v>
      </c>
      <c r="AJ51" s="867">
        <f t="shared" si="2"/>
        <v>0</v>
      </c>
      <c r="AK51" s="875">
        <v>293.82947077</v>
      </c>
      <c r="AL51" s="869">
        <f>AK51/AH51</f>
        <v>0.84833675867670277</v>
      </c>
      <c r="AM51" s="869">
        <f>AK51/116382.795</f>
        <v>2.5246813394539974E-3</v>
      </c>
      <c r="AN51" s="869">
        <f t="shared" si="3"/>
        <v>0.84833675867670277</v>
      </c>
      <c r="AO51" s="869">
        <f t="shared" si="4"/>
        <v>0</v>
      </c>
      <c r="AP51" s="869"/>
      <c r="AQ51" s="869"/>
      <c r="AR51" s="869"/>
      <c r="AS51" s="869">
        <f t="shared" si="5"/>
        <v>0</v>
      </c>
      <c r="AT51" s="869">
        <f t="shared" si="6"/>
        <v>0</v>
      </c>
      <c r="AU51" s="875">
        <v>52.53</v>
      </c>
      <c r="AV51" s="869">
        <f>AU51/AH51</f>
        <v>0.15166324132329714</v>
      </c>
      <c r="AW51" s="869">
        <f t="shared" si="7"/>
        <v>0.15166324132329714</v>
      </c>
      <c r="AX51" s="869">
        <f t="shared" si="8"/>
        <v>0</v>
      </c>
      <c r="AY51" s="883">
        <v>0</v>
      </c>
      <c r="AZ51" s="869">
        <v>0</v>
      </c>
      <c r="BA51" s="869">
        <f t="shared" si="9"/>
        <v>0</v>
      </c>
      <c r="BB51" s="869">
        <f t="shared" si="10"/>
        <v>0</v>
      </c>
      <c r="BC51" s="867">
        <v>0</v>
      </c>
      <c r="BD51" s="869">
        <v>0</v>
      </c>
      <c r="BE51" s="869">
        <f t="shared" si="11"/>
        <v>0</v>
      </c>
      <c r="BF51" s="869">
        <f t="shared" si="12"/>
        <v>0</v>
      </c>
      <c r="BG51" s="867">
        <v>0</v>
      </c>
      <c r="BH51" s="869" t="s">
        <v>410</v>
      </c>
      <c r="BI51" s="714" t="s">
        <v>410</v>
      </c>
      <c r="BJ51" s="714" t="s">
        <v>410</v>
      </c>
      <c r="BK51" s="714" t="s">
        <v>410</v>
      </c>
      <c r="BL51" s="714">
        <f t="shared" si="13"/>
        <v>0</v>
      </c>
      <c r="BM51" s="869" t="e">
        <f t="shared" si="14"/>
        <v>#VALUE!</v>
      </c>
      <c r="BN51" s="867">
        <v>0</v>
      </c>
      <c r="BO51" s="869" t="s">
        <v>410</v>
      </c>
      <c r="BP51" s="869">
        <f t="shared" si="15"/>
        <v>0</v>
      </c>
      <c r="BQ51" s="869" t="e">
        <f t="shared" si="16"/>
        <v>#VALUE!</v>
      </c>
      <c r="BR51" s="867">
        <v>457.14269999999999</v>
      </c>
      <c r="BS51" s="869">
        <f>BR51/121538.579</f>
        <v>3.761297061075562E-3</v>
      </c>
      <c r="BT51" s="869"/>
      <c r="BU51" s="869"/>
      <c r="BV51" s="901">
        <v>619</v>
      </c>
      <c r="BW51" s="901">
        <v>387</v>
      </c>
      <c r="BX51" s="901">
        <v>471</v>
      </c>
      <c r="BY51" s="901">
        <v>61</v>
      </c>
      <c r="BZ51" s="901">
        <v>117</v>
      </c>
      <c r="CA51" s="901">
        <v>76</v>
      </c>
      <c r="CB51" s="901">
        <v>0</v>
      </c>
      <c r="CC51" s="901">
        <v>0</v>
      </c>
      <c r="CD51" s="901">
        <v>0</v>
      </c>
      <c r="CE51" s="901">
        <v>2</v>
      </c>
      <c r="CF51" s="901">
        <v>1</v>
      </c>
      <c r="CG51" s="901">
        <v>4</v>
      </c>
      <c r="CH51" s="901">
        <v>4</v>
      </c>
      <c r="CI51" s="901">
        <v>32</v>
      </c>
      <c r="CJ51" s="901">
        <v>10</v>
      </c>
      <c r="CK51" s="901">
        <v>0</v>
      </c>
      <c r="CL51" s="901">
        <v>152</v>
      </c>
      <c r="CM51" s="901">
        <v>0</v>
      </c>
      <c r="CN51" s="901">
        <v>12</v>
      </c>
      <c r="CO51" s="901">
        <v>0</v>
      </c>
      <c r="CP51" s="901">
        <v>0</v>
      </c>
      <c r="CQ51" s="901">
        <v>0</v>
      </c>
      <c r="CR51" s="901">
        <v>0</v>
      </c>
      <c r="CS51" s="938">
        <f>SUM(BY51:CR51)</f>
        <v>471</v>
      </c>
      <c r="CT51" s="871">
        <f t="shared" si="17"/>
        <v>471</v>
      </c>
      <c r="CU51" s="871">
        <f t="shared" si="18"/>
        <v>0</v>
      </c>
      <c r="CV51" s="872">
        <v>278.78399999999999</v>
      </c>
      <c r="CW51" s="714" t="s">
        <v>410</v>
      </c>
      <c r="CX51" s="714" t="s">
        <v>410</v>
      </c>
      <c r="CY51" s="869">
        <f>CV51/1012512</f>
        <v>2.7533895894567176E-4</v>
      </c>
      <c r="CZ51" s="907" t="s">
        <v>2458</v>
      </c>
      <c r="DA51" s="907"/>
      <c r="DB51" s="907"/>
      <c r="DC51" s="714" t="s">
        <v>279</v>
      </c>
      <c r="DD51" s="714" t="s">
        <v>410</v>
      </c>
      <c r="DE51" s="714" t="s">
        <v>410</v>
      </c>
      <c r="DF51" s="870" t="s">
        <v>410</v>
      </c>
      <c r="DG51" s="870" t="s">
        <v>410</v>
      </c>
      <c r="DH51" s="870" t="s">
        <v>5707</v>
      </c>
      <c r="DI51" s="714" t="s">
        <v>278</v>
      </c>
      <c r="DJ51" s="714" t="s">
        <v>410</v>
      </c>
      <c r="DK51" s="870">
        <v>63</v>
      </c>
      <c r="DL51" s="714" t="s">
        <v>278</v>
      </c>
      <c r="DM51" s="714" t="s">
        <v>2459</v>
      </c>
      <c r="DN51" s="870">
        <v>668</v>
      </c>
      <c r="DO51" s="714" t="s">
        <v>279</v>
      </c>
      <c r="DP51" s="714" t="s">
        <v>410</v>
      </c>
      <c r="DQ51" s="870" t="s">
        <v>410</v>
      </c>
      <c r="DR51" s="714" t="s">
        <v>278</v>
      </c>
      <c r="DS51" s="714" t="s">
        <v>2480</v>
      </c>
      <c r="DT51" s="870">
        <v>1800</v>
      </c>
      <c r="DU51" s="714" t="s">
        <v>278</v>
      </c>
      <c r="DV51" s="714" t="s">
        <v>410</v>
      </c>
      <c r="DW51" s="870">
        <v>9</v>
      </c>
      <c r="DX51" s="714" t="s">
        <v>278</v>
      </c>
      <c r="DY51" s="714" t="s">
        <v>2485</v>
      </c>
      <c r="DZ51" s="870">
        <v>748</v>
      </c>
      <c r="EA51" s="714" t="s">
        <v>278</v>
      </c>
      <c r="EB51" s="714" t="s">
        <v>2481</v>
      </c>
      <c r="EC51" s="870">
        <v>2053</v>
      </c>
      <c r="ED51" s="714" t="s">
        <v>278</v>
      </c>
      <c r="EE51" s="714" t="s">
        <v>2459</v>
      </c>
      <c r="EF51" s="870">
        <v>633</v>
      </c>
      <c r="EG51" s="714" t="s">
        <v>279</v>
      </c>
      <c r="EH51" s="714" t="s">
        <v>410</v>
      </c>
      <c r="EI51" s="870" t="s">
        <v>410</v>
      </c>
      <c r="EJ51" s="714" t="s">
        <v>278</v>
      </c>
      <c r="EK51" s="714" t="s">
        <v>2463</v>
      </c>
      <c r="EL51" s="870">
        <v>120</v>
      </c>
      <c r="EM51" s="714" t="s">
        <v>278</v>
      </c>
      <c r="EN51" s="714" t="s">
        <v>2463</v>
      </c>
      <c r="EO51" s="870">
        <v>75</v>
      </c>
      <c r="EP51" s="714" t="s">
        <v>278</v>
      </c>
      <c r="EQ51" s="714" t="s">
        <v>2464</v>
      </c>
      <c r="ER51" s="870">
        <v>48</v>
      </c>
      <c r="ES51" s="714" t="s">
        <v>279</v>
      </c>
      <c r="ET51" s="714" t="s">
        <v>410</v>
      </c>
      <c r="EU51" s="870" t="s">
        <v>410</v>
      </c>
      <c r="EV51" s="878" t="s">
        <v>2482</v>
      </c>
      <c r="EW51" s="878" t="s">
        <v>2483</v>
      </c>
      <c r="EX51" s="854" t="s">
        <v>2465</v>
      </c>
      <c r="EY51" s="714" t="s">
        <v>2466</v>
      </c>
      <c r="EZ51" s="714" t="s">
        <v>2467</v>
      </c>
      <c r="FA51" s="714" t="s">
        <v>279</v>
      </c>
      <c r="FB51" s="714" t="s">
        <v>410</v>
      </c>
      <c r="FC51" s="714" t="s">
        <v>279</v>
      </c>
      <c r="FD51" s="714" t="s">
        <v>410</v>
      </c>
      <c r="FE51" s="714" t="s">
        <v>410</v>
      </c>
      <c r="FF51" s="714" t="s">
        <v>2484</v>
      </c>
      <c r="FG51" s="714"/>
      <c r="FH51" s="714" t="s">
        <v>279</v>
      </c>
      <c r="FI51" s="714" t="s">
        <v>410</v>
      </c>
      <c r="FJ51" s="714" t="s">
        <v>410</v>
      </c>
      <c r="FK51" s="714"/>
      <c r="FL51" s="714"/>
      <c r="FM51" s="714"/>
      <c r="FN51" s="714" t="s">
        <v>2472</v>
      </c>
      <c r="FO51" s="714" t="s">
        <v>2473</v>
      </c>
      <c r="FP51" s="714" t="s">
        <v>2474</v>
      </c>
    </row>
    <row r="52" spans="2:172" ht="85.5" customHeight="1">
      <c r="B52" s="850" t="s">
        <v>5313</v>
      </c>
      <c r="C52" s="863"/>
      <c r="D52" s="850" t="s">
        <v>4933</v>
      </c>
      <c r="E52" s="850" t="s">
        <v>5314</v>
      </c>
      <c r="F52" s="879">
        <v>1</v>
      </c>
      <c r="G52" s="850" t="s">
        <v>4933</v>
      </c>
      <c r="I52" s="850" t="s">
        <v>5523</v>
      </c>
      <c r="J52" s="850" t="s">
        <v>5408</v>
      </c>
      <c r="K52" s="714" t="s">
        <v>214</v>
      </c>
      <c r="L52" s="714"/>
      <c r="M52" s="714" t="s">
        <v>525</v>
      </c>
      <c r="N52" s="714" t="s">
        <v>526</v>
      </c>
      <c r="O52" s="852">
        <v>2019</v>
      </c>
      <c r="P52" s="865">
        <v>43474</v>
      </c>
      <c r="Q52" s="865">
        <v>43830</v>
      </c>
      <c r="R52" s="712">
        <f t="shared" si="20"/>
        <v>356</v>
      </c>
      <c r="S52" s="714" t="s">
        <v>527</v>
      </c>
      <c r="T52" s="714" t="s">
        <v>528</v>
      </c>
      <c r="U52" s="855" t="s">
        <v>529</v>
      </c>
      <c r="V52" s="714"/>
      <c r="W52" s="714"/>
      <c r="X52" s="714"/>
      <c r="Y52" s="714"/>
      <c r="Z52" s="714"/>
      <c r="AA52" s="714"/>
      <c r="AB52" s="714"/>
      <c r="AC52" s="714"/>
      <c r="AD52" s="714" t="s">
        <v>530</v>
      </c>
      <c r="AE52" s="714" t="s">
        <v>530</v>
      </c>
      <c r="AF52" s="714" t="s">
        <v>277</v>
      </c>
      <c r="AG52" s="714" t="s">
        <v>531</v>
      </c>
      <c r="AH52" s="867">
        <v>7.5031929999999996</v>
      </c>
      <c r="AI52" s="868">
        <f t="shared" si="1"/>
        <v>7.5026929999999998</v>
      </c>
      <c r="AJ52" s="867">
        <f t="shared" si="2"/>
        <v>-4.9999999999972289E-4</v>
      </c>
      <c r="AK52" s="867">
        <v>5.3776929999999998</v>
      </c>
      <c r="AL52" s="869">
        <v>0.69599999999999995</v>
      </c>
      <c r="AM52" s="869">
        <v>3.1E-4</v>
      </c>
      <c r="AN52" s="869">
        <f t="shared" si="3"/>
        <v>0.71672060148259553</v>
      </c>
      <c r="AO52" s="869">
        <f t="shared" si="4"/>
        <v>-2.072060148259558E-2</v>
      </c>
      <c r="AP52" s="869"/>
      <c r="AQ52" s="869"/>
      <c r="AR52" s="869"/>
      <c r="AS52" s="869">
        <f t="shared" si="5"/>
        <v>0</v>
      </c>
      <c r="AT52" s="869">
        <f t="shared" si="6"/>
        <v>0</v>
      </c>
      <c r="AU52" s="867">
        <v>1.0269999999999999</v>
      </c>
      <c r="AV52" s="869">
        <v>0.13300000000000001</v>
      </c>
      <c r="AW52" s="869">
        <f t="shared" si="7"/>
        <v>0.13687506105733918</v>
      </c>
      <c r="AX52" s="869">
        <f t="shared" si="8"/>
        <v>-3.8750610573391742E-3</v>
      </c>
      <c r="AY52" s="867">
        <v>0.68300000000000005</v>
      </c>
      <c r="AZ52" s="869">
        <v>8.8499999999999995E-2</v>
      </c>
      <c r="BA52" s="869">
        <f t="shared" si="9"/>
        <v>9.1027913049817596E-2</v>
      </c>
      <c r="BB52" s="869">
        <f t="shared" si="10"/>
        <v>-2.5279130498176011E-3</v>
      </c>
      <c r="BC52" s="867">
        <v>0.41499999999999998</v>
      </c>
      <c r="BD52" s="869">
        <v>5.3699999999999998E-2</v>
      </c>
      <c r="BE52" s="869">
        <f t="shared" si="11"/>
        <v>5.5309786113725182E-2</v>
      </c>
      <c r="BF52" s="869">
        <f t="shared" si="12"/>
        <v>-1.609786113725184E-3</v>
      </c>
      <c r="BG52" s="867"/>
      <c r="BH52" s="869"/>
      <c r="BI52" s="714"/>
      <c r="BJ52" s="714"/>
      <c r="BK52" s="714"/>
      <c r="BL52" s="714">
        <f t="shared" si="13"/>
        <v>0</v>
      </c>
      <c r="BM52" s="869">
        <f t="shared" si="14"/>
        <v>0</v>
      </c>
      <c r="BN52" s="867"/>
      <c r="BO52" s="869"/>
      <c r="BP52" s="869">
        <f t="shared" si="15"/>
        <v>0</v>
      </c>
      <c r="BQ52" s="869">
        <f t="shared" si="16"/>
        <v>0</v>
      </c>
      <c r="BR52" s="867">
        <v>10</v>
      </c>
      <c r="BS52" s="869">
        <v>5.9999999999999995E-4</v>
      </c>
      <c r="BT52" s="869"/>
      <c r="BU52" s="869"/>
      <c r="BV52" s="870">
        <v>21</v>
      </c>
      <c r="BW52" s="870">
        <v>21</v>
      </c>
      <c r="BX52" s="870">
        <v>19</v>
      </c>
      <c r="BY52" s="870">
        <v>1</v>
      </c>
      <c r="BZ52" s="870"/>
      <c r="CA52" s="870"/>
      <c r="CB52" s="870"/>
      <c r="CC52" s="870"/>
      <c r="CD52" s="870"/>
      <c r="CE52" s="870"/>
      <c r="CF52" s="870"/>
      <c r="CG52" s="870"/>
      <c r="CH52" s="870"/>
      <c r="CI52" s="870">
        <v>3</v>
      </c>
      <c r="CJ52" s="870">
        <v>3</v>
      </c>
      <c r="CK52" s="870">
        <v>2</v>
      </c>
      <c r="CL52" s="870"/>
      <c r="CM52" s="870"/>
      <c r="CN52" s="870"/>
      <c r="CO52" s="870"/>
      <c r="CP52" s="870"/>
      <c r="CQ52" s="870"/>
      <c r="CR52" s="870"/>
      <c r="CS52" s="871">
        <f t="shared" si="22"/>
        <v>9</v>
      </c>
      <c r="CT52" s="871">
        <f t="shared" si="17"/>
        <v>9</v>
      </c>
      <c r="CU52" s="871">
        <f t="shared" si="18"/>
        <v>0</v>
      </c>
      <c r="CV52" s="872">
        <v>5.4989999999999997</v>
      </c>
      <c r="CW52" s="714" t="s">
        <v>532</v>
      </c>
      <c r="CX52" s="714"/>
      <c r="CY52" s="714">
        <v>2</v>
      </c>
      <c r="CZ52" s="869" t="s">
        <v>533</v>
      </c>
      <c r="DA52" s="869"/>
      <c r="DB52" s="869"/>
      <c r="DC52" s="714" t="s">
        <v>279</v>
      </c>
      <c r="DD52" s="714"/>
      <c r="DE52" s="714"/>
      <c r="DF52" s="870"/>
      <c r="DG52" s="870"/>
      <c r="DH52" s="870">
        <v>4</v>
      </c>
      <c r="DI52" s="714" t="s">
        <v>279</v>
      </c>
      <c r="DJ52" s="714"/>
      <c r="DK52" s="870"/>
      <c r="DL52" s="714" t="s">
        <v>278</v>
      </c>
      <c r="DM52" s="714" t="s">
        <v>534</v>
      </c>
      <c r="DN52" s="870">
        <v>2426</v>
      </c>
      <c r="DO52" s="714" t="s">
        <v>279</v>
      </c>
      <c r="DP52" s="714"/>
      <c r="DQ52" s="870"/>
      <c r="DR52" s="714" t="s">
        <v>279</v>
      </c>
      <c r="DS52" s="714"/>
      <c r="DT52" s="870"/>
      <c r="DU52" s="714" t="s">
        <v>279</v>
      </c>
      <c r="DV52" s="714"/>
      <c r="DW52" s="870"/>
      <c r="DX52" s="714" t="s">
        <v>279</v>
      </c>
      <c r="DY52" s="714"/>
      <c r="DZ52" s="870"/>
      <c r="EA52" s="714" t="s">
        <v>279</v>
      </c>
      <c r="EB52" s="714"/>
      <c r="EC52" s="870"/>
      <c r="ED52" s="714" t="s">
        <v>279</v>
      </c>
      <c r="EE52" s="714"/>
      <c r="EF52" s="870"/>
      <c r="EG52" s="714" t="s">
        <v>279</v>
      </c>
      <c r="EH52" s="714"/>
      <c r="EI52" s="870"/>
      <c r="EJ52" s="714" t="s">
        <v>279</v>
      </c>
      <c r="EK52" s="714"/>
      <c r="EL52" s="870"/>
      <c r="EM52" s="714" t="s">
        <v>278</v>
      </c>
      <c r="EN52" s="714" t="s">
        <v>535</v>
      </c>
      <c r="EO52" s="870">
        <v>8</v>
      </c>
      <c r="EP52" s="714" t="s">
        <v>279</v>
      </c>
      <c r="EQ52" s="714"/>
      <c r="ER52" s="870"/>
      <c r="ES52" s="714" t="s">
        <v>279</v>
      </c>
      <c r="ET52" s="714"/>
      <c r="EU52" s="870"/>
      <c r="EV52" s="878">
        <v>1</v>
      </c>
      <c r="EW52" s="714"/>
      <c r="EX52" s="854">
        <v>9</v>
      </c>
      <c r="EY52" s="714" t="s">
        <v>279</v>
      </c>
      <c r="EZ52" s="714"/>
      <c r="FA52" s="714" t="s">
        <v>278</v>
      </c>
      <c r="FB52" s="714" t="s">
        <v>536</v>
      </c>
      <c r="FC52" s="855" t="s">
        <v>537</v>
      </c>
      <c r="FD52" s="714"/>
      <c r="FE52" s="714"/>
      <c r="FF52" s="714"/>
      <c r="FG52" s="714" t="s">
        <v>538</v>
      </c>
      <c r="FH52" s="714" t="s">
        <v>539</v>
      </c>
      <c r="FI52" s="714">
        <v>3</v>
      </c>
      <c r="FJ52" s="714">
        <v>100</v>
      </c>
      <c r="FK52" s="714" t="s">
        <v>540</v>
      </c>
      <c r="FL52" s="714" t="s">
        <v>541</v>
      </c>
      <c r="FM52" s="855" t="s">
        <v>542</v>
      </c>
      <c r="FN52" s="714"/>
      <c r="FO52" s="714"/>
      <c r="FP52" s="714"/>
    </row>
    <row r="53" spans="2:172" ht="70.5" customHeight="1">
      <c r="B53" s="850" t="s">
        <v>5313</v>
      </c>
      <c r="C53" s="863"/>
      <c r="D53" s="850" t="s">
        <v>4933</v>
      </c>
      <c r="E53" s="850" t="s">
        <v>5314</v>
      </c>
      <c r="F53" s="850" t="s">
        <v>5334</v>
      </c>
      <c r="G53" s="850" t="s">
        <v>4933</v>
      </c>
      <c r="I53" s="850" t="s">
        <v>5525</v>
      </c>
      <c r="J53" s="850" t="s">
        <v>5409</v>
      </c>
      <c r="K53" s="710" t="s">
        <v>215</v>
      </c>
      <c r="L53" s="710"/>
      <c r="M53" s="710" t="s">
        <v>2329</v>
      </c>
      <c r="N53" s="710" t="s">
        <v>2330</v>
      </c>
      <c r="O53" s="708">
        <v>2017</v>
      </c>
      <c r="P53" s="939">
        <v>43252</v>
      </c>
      <c r="Q53" s="939">
        <v>43830</v>
      </c>
      <c r="R53" s="712">
        <f t="shared" si="20"/>
        <v>578</v>
      </c>
      <c r="S53" s="710" t="s">
        <v>2331</v>
      </c>
      <c r="T53" s="710" t="s">
        <v>2332</v>
      </c>
      <c r="U53" s="940" t="s">
        <v>2333</v>
      </c>
      <c r="V53" s="710"/>
      <c r="W53" s="710"/>
      <c r="X53" s="710"/>
      <c r="Y53" s="710"/>
      <c r="Z53" s="710" t="s">
        <v>4913</v>
      </c>
      <c r="AA53" s="940" t="s">
        <v>2334</v>
      </c>
      <c r="AB53" s="940"/>
      <c r="AC53" s="940"/>
      <c r="AD53" s="710" t="s">
        <v>2335</v>
      </c>
      <c r="AE53" s="710" t="s">
        <v>2335</v>
      </c>
      <c r="AF53" s="710" t="s">
        <v>454</v>
      </c>
      <c r="AG53" s="710" t="s">
        <v>2336</v>
      </c>
      <c r="AH53" s="898">
        <v>138.15299999999999</v>
      </c>
      <c r="AI53" s="868">
        <f t="shared" si="1"/>
        <v>138.15299999999999</v>
      </c>
      <c r="AJ53" s="867">
        <f t="shared" si="2"/>
        <v>0</v>
      </c>
      <c r="AK53" s="898">
        <v>92.531999999999996</v>
      </c>
      <c r="AL53" s="899">
        <f>AK53/AH53</f>
        <v>0.66977915789016529</v>
      </c>
      <c r="AM53" s="900">
        <v>1.3600126388932301E-3</v>
      </c>
      <c r="AN53" s="869">
        <f t="shared" si="3"/>
        <v>0.66977915789016529</v>
      </c>
      <c r="AO53" s="869">
        <f t="shared" si="4"/>
        <v>0</v>
      </c>
      <c r="AP53" s="898"/>
      <c r="AQ53" s="898"/>
      <c r="AR53" s="898"/>
      <c r="AS53" s="869">
        <f t="shared" si="5"/>
        <v>0</v>
      </c>
      <c r="AT53" s="869">
        <f t="shared" si="6"/>
        <v>0</v>
      </c>
      <c r="AU53" s="898">
        <v>33.896999999999998</v>
      </c>
      <c r="AV53" s="899">
        <f>AU53/AH53</f>
        <v>0.24535840698356171</v>
      </c>
      <c r="AW53" s="869">
        <f t="shared" si="7"/>
        <v>0.24535840698356171</v>
      </c>
      <c r="AX53" s="869">
        <f t="shared" si="8"/>
        <v>0</v>
      </c>
      <c r="AY53" s="898">
        <v>7.3929999999999998</v>
      </c>
      <c r="AZ53" s="899">
        <f>AY53/AH53</f>
        <v>5.3513133989127999E-2</v>
      </c>
      <c r="BA53" s="869">
        <f t="shared" si="9"/>
        <v>5.3513133989127999E-2</v>
      </c>
      <c r="BB53" s="869">
        <f t="shared" si="10"/>
        <v>0</v>
      </c>
      <c r="BC53" s="898">
        <v>4.3310000000000004</v>
      </c>
      <c r="BD53" s="899">
        <f>BC53/AH53</f>
        <v>3.1349301137145055E-2</v>
      </c>
      <c r="BE53" s="869">
        <f t="shared" si="11"/>
        <v>3.1349301137145055E-2</v>
      </c>
      <c r="BF53" s="869">
        <f t="shared" si="12"/>
        <v>0</v>
      </c>
      <c r="BG53" s="898">
        <v>0</v>
      </c>
      <c r="BH53" s="899"/>
      <c r="BI53" s="710"/>
      <c r="BJ53" s="710"/>
      <c r="BK53" s="710"/>
      <c r="BL53" s="714">
        <f t="shared" si="13"/>
        <v>0</v>
      </c>
      <c r="BM53" s="869">
        <f t="shared" si="14"/>
        <v>0</v>
      </c>
      <c r="BN53" s="898"/>
      <c r="BO53" s="899"/>
      <c r="BP53" s="869">
        <f t="shared" si="15"/>
        <v>0</v>
      </c>
      <c r="BQ53" s="869">
        <f t="shared" si="16"/>
        <v>0</v>
      </c>
      <c r="BR53" s="898">
        <v>133.10900000000001</v>
      </c>
      <c r="BS53" s="941">
        <v>1.92E-3</v>
      </c>
      <c r="BT53" s="941"/>
      <c r="BU53" s="941"/>
      <c r="BV53" s="860"/>
      <c r="BW53" s="901">
        <v>150</v>
      </c>
      <c r="BX53" s="901">
        <v>150</v>
      </c>
      <c r="BY53" s="901">
        <v>9</v>
      </c>
      <c r="BZ53" s="901"/>
      <c r="CA53" s="901">
        <v>10</v>
      </c>
      <c r="CB53" s="901">
        <v>2</v>
      </c>
      <c r="CC53" s="901">
        <v>3</v>
      </c>
      <c r="CD53" s="901"/>
      <c r="CE53" s="901"/>
      <c r="CF53" s="901">
        <v>20</v>
      </c>
      <c r="CG53" s="901">
        <v>24</v>
      </c>
      <c r="CH53" s="901"/>
      <c r="CI53" s="901">
        <v>15</v>
      </c>
      <c r="CJ53" s="901">
        <v>31</v>
      </c>
      <c r="CK53" s="901">
        <v>15</v>
      </c>
      <c r="CL53" s="901"/>
      <c r="CM53" s="901"/>
      <c r="CN53" s="901"/>
      <c r="CO53" s="901"/>
      <c r="CP53" s="901"/>
      <c r="CQ53" s="901"/>
      <c r="CR53" s="901">
        <v>19</v>
      </c>
      <c r="CS53" s="901">
        <f t="shared" si="22"/>
        <v>148</v>
      </c>
      <c r="CT53" s="871">
        <f t="shared" si="17"/>
        <v>148</v>
      </c>
      <c r="CU53" s="871">
        <f t="shared" si="18"/>
        <v>0</v>
      </c>
      <c r="CV53" s="942">
        <v>310.00599999999997</v>
      </c>
      <c r="CW53" s="901" t="s">
        <v>2337</v>
      </c>
      <c r="CX53" s="901" t="s">
        <v>279</v>
      </c>
      <c r="CY53" s="860">
        <v>30.7</v>
      </c>
      <c r="CZ53" s="943" t="s">
        <v>2338</v>
      </c>
      <c r="DA53" s="943"/>
      <c r="DB53" s="943"/>
      <c r="DC53" s="901" t="s">
        <v>279</v>
      </c>
      <c r="DD53" s="901" t="s">
        <v>2339</v>
      </c>
      <c r="DE53" s="901"/>
      <c r="DF53" s="901"/>
      <c r="DG53" s="901"/>
      <c r="DH53" s="901">
        <v>5</v>
      </c>
      <c r="DI53" s="901" t="s">
        <v>278</v>
      </c>
      <c r="DJ53" s="901" t="s">
        <v>2340</v>
      </c>
      <c r="DK53" s="901">
        <v>27155</v>
      </c>
      <c r="DL53" s="901" t="s">
        <v>278</v>
      </c>
      <c r="DM53" s="901" t="s">
        <v>2341</v>
      </c>
      <c r="DN53" s="901" t="s">
        <v>2342</v>
      </c>
      <c r="DO53" s="901" t="s">
        <v>279</v>
      </c>
      <c r="DP53" s="901"/>
      <c r="DQ53" s="901">
        <v>0</v>
      </c>
      <c r="DR53" s="901" t="s">
        <v>279</v>
      </c>
      <c r="DS53" s="901"/>
      <c r="DT53" s="901">
        <v>0</v>
      </c>
      <c r="DU53" s="901" t="s">
        <v>279</v>
      </c>
      <c r="DV53" s="901"/>
      <c r="DW53" s="901">
        <v>0</v>
      </c>
      <c r="DX53" s="901"/>
      <c r="DY53" s="901"/>
      <c r="DZ53" s="901"/>
      <c r="EA53" s="901" t="s">
        <v>279</v>
      </c>
      <c r="EB53" s="901"/>
      <c r="EC53" s="901">
        <v>0</v>
      </c>
      <c r="ED53" s="901" t="s">
        <v>278</v>
      </c>
      <c r="EE53" s="901" t="s">
        <v>2343</v>
      </c>
      <c r="EF53" s="901">
        <v>12172</v>
      </c>
      <c r="EG53" s="901" t="s">
        <v>279</v>
      </c>
      <c r="EH53" s="901"/>
      <c r="EI53" s="901"/>
      <c r="EJ53" s="901" t="s">
        <v>279</v>
      </c>
      <c r="EK53" s="901"/>
      <c r="EL53" s="901"/>
      <c r="EM53" s="901" t="s">
        <v>279</v>
      </c>
      <c r="EN53" s="901"/>
      <c r="EO53" s="901"/>
      <c r="EP53" s="901" t="s">
        <v>279</v>
      </c>
      <c r="EQ53" s="901"/>
      <c r="ER53" s="901"/>
      <c r="ES53" s="901" t="s">
        <v>279</v>
      </c>
      <c r="ET53" s="901"/>
      <c r="EU53" s="901"/>
      <c r="EV53" s="708" t="s">
        <v>2344</v>
      </c>
      <c r="EW53" s="710" t="s">
        <v>2345</v>
      </c>
      <c r="EX53" s="901">
        <v>150</v>
      </c>
      <c r="EY53" s="901" t="s">
        <v>279</v>
      </c>
      <c r="EZ53" s="901" t="s">
        <v>279</v>
      </c>
      <c r="FA53" s="901" t="s">
        <v>278</v>
      </c>
      <c r="FB53" s="901" t="s">
        <v>2346</v>
      </c>
      <c r="FC53" s="944" t="s">
        <v>2347</v>
      </c>
      <c r="FD53" s="901"/>
      <c r="FE53" s="901"/>
      <c r="FF53" s="901" t="s">
        <v>2348</v>
      </c>
      <c r="FG53" s="901"/>
      <c r="FH53" s="710" t="s">
        <v>4914</v>
      </c>
      <c r="FI53" s="710">
        <v>13</v>
      </c>
      <c r="FJ53" s="708">
        <v>768</v>
      </c>
      <c r="FK53" s="710" t="s">
        <v>2349</v>
      </c>
      <c r="FL53" s="710" t="s">
        <v>2350</v>
      </c>
      <c r="FM53" s="861" t="s">
        <v>2351</v>
      </c>
      <c r="FN53" s="710" t="s">
        <v>2352</v>
      </c>
      <c r="FO53" s="710" t="s">
        <v>2350</v>
      </c>
      <c r="FP53" s="710" t="s">
        <v>2353</v>
      </c>
    </row>
    <row r="54" spans="2:172" ht="89.5" customHeight="1">
      <c r="B54" s="850" t="s">
        <v>5313</v>
      </c>
      <c r="C54" s="863"/>
      <c r="D54" s="850" t="s">
        <v>4934</v>
      </c>
      <c r="E54" s="850" t="s">
        <v>5314</v>
      </c>
      <c r="F54" s="863"/>
      <c r="H54" s="850" t="s">
        <v>4934</v>
      </c>
      <c r="I54" s="850" t="s">
        <v>5525</v>
      </c>
      <c r="J54" s="850" t="s">
        <v>5409</v>
      </c>
      <c r="K54" s="710" t="s">
        <v>215</v>
      </c>
      <c r="L54" s="710" t="s">
        <v>2792</v>
      </c>
      <c r="M54" s="710" t="s">
        <v>2795</v>
      </c>
      <c r="N54" s="710" t="s">
        <v>279</v>
      </c>
      <c r="O54" s="895">
        <v>2019</v>
      </c>
      <c r="P54" s="896">
        <v>43501</v>
      </c>
      <c r="Q54" s="896">
        <v>43830</v>
      </c>
      <c r="R54" s="712">
        <f t="shared" si="20"/>
        <v>329</v>
      </c>
      <c r="S54" s="896"/>
      <c r="T54" s="896"/>
      <c r="U54" s="896"/>
      <c r="V54" s="896"/>
      <c r="W54" s="896"/>
      <c r="X54" s="896"/>
      <c r="Y54" s="896"/>
      <c r="Z54" s="896"/>
      <c r="AA54" s="896"/>
      <c r="AB54" s="710" t="s">
        <v>2798</v>
      </c>
      <c r="AC54" s="945" t="s">
        <v>2801</v>
      </c>
      <c r="AD54" s="710" t="s">
        <v>2804</v>
      </c>
      <c r="AE54" s="710" t="s">
        <v>2804</v>
      </c>
      <c r="AF54" s="710" t="s">
        <v>2419</v>
      </c>
      <c r="AG54" s="710" t="s">
        <v>2810</v>
      </c>
      <c r="AH54" s="898">
        <v>14.817057549999999</v>
      </c>
      <c r="AI54" s="868">
        <f t="shared" si="1"/>
        <v>14.817191679999999</v>
      </c>
      <c r="AJ54" s="867">
        <f t="shared" si="2"/>
        <v>1.3412999999928843E-4</v>
      </c>
      <c r="AK54" s="898"/>
      <c r="AL54" s="898"/>
      <c r="AM54" s="898"/>
      <c r="AN54" s="869">
        <f t="shared" si="3"/>
        <v>0</v>
      </c>
      <c r="AO54" s="869">
        <f t="shared" si="4"/>
        <v>0</v>
      </c>
      <c r="AP54" s="898"/>
      <c r="AQ54" s="899"/>
      <c r="AR54" s="899">
        <v>1.2999999999999999E-3</v>
      </c>
      <c r="AS54" s="869">
        <f t="shared" si="5"/>
        <v>0</v>
      </c>
      <c r="AT54" s="869">
        <f t="shared" si="6"/>
        <v>0</v>
      </c>
      <c r="AU54" s="942">
        <v>13.746</v>
      </c>
      <c r="AV54" s="899">
        <v>0.9277145582794879</v>
      </c>
      <c r="AW54" s="869">
        <f t="shared" si="7"/>
        <v>0.9277145582794879</v>
      </c>
      <c r="AX54" s="869">
        <f t="shared" si="8"/>
        <v>0</v>
      </c>
      <c r="AY54" s="898">
        <v>0.70722693000000003</v>
      </c>
      <c r="AZ54" s="899">
        <f>(AY54/AH54)*100%</f>
        <v>4.7730592097214336E-2</v>
      </c>
      <c r="BA54" s="869">
        <f t="shared" si="9"/>
        <v>4.7730592097214336E-2</v>
      </c>
      <c r="BB54" s="869">
        <f t="shared" si="10"/>
        <v>0</v>
      </c>
      <c r="BC54" s="898">
        <v>0.36396475</v>
      </c>
      <c r="BD54" s="899">
        <f>(BC54/AH54)*100%</f>
        <v>2.456390202790297E-2</v>
      </c>
      <c r="BE54" s="869">
        <f t="shared" si="11"/>
        <v>2.456390202790297E-2</v>
      </c>
      <c r="BF54" s="869">
        <f t="shared" si="12"/>
        <v>0</v>
      </c>
      <c r="BG54" s="899"/>
      <c r="BH54" s="899"/>
      <c r="BI54" s="899"/>
      <c r="BJ54" s="899"/>
      <c r="BK54" s="899"/>
      <c r="BL54" s="714">
        <f t="shared" si="13"/>
        <v>0</v>
      </c>
      <c r="BM54" s="869">
        <f t="shared" si="14"/>
        <v>0</v>
      </c>
      <c r="BN54" s="898"/>
      <c r="BO54" s="899"/>
      <c r="BP54" s="869">
        <f t="shared" si="15"/>
        <v>0</v>
      </c>
      <c r="BQ54" s="869">
        <f t="shared" si="16"/>
        <v>0</v>
      </c>
      <c r="BR54" s="899"/>
      <c r="BS54" s="899"/>
      <c r="BT54" s="946">
        <v>9.4589999999999996</v>
      </c>
      <c r="BU54" s="899">
        <v>2.8999999999999998E-3</v>
      </c>
      <c r="BV54" s="901">
        <v>11</v>
      </c>
      <c r="BW54" s="901">
        <v>11</v>
      </c>
      <c r="BX54" s="901">
        <v>11</v>
      </c>
      <c r="BY54" s="901"/>
      <c r="BZ54" s="901">
        <v>1</v>
      </c>
      <c r="CA54" s="901">
        <v>1</v>
      </c>
      <c r="CB54" s="901"/>
      <c r="CC54" s="901">
        <v>1</v>
      </c>
      <c r="CD54" s="901"/>
      <c r="CE54" s="901"/>
      <c r="CF54" s="901">
        <v>1</v>
      </c>
      <c r="CG54" s="901">
        <v>1</v>
      </c>
      <c r="CH54" s="901"/>
      <c r="CI54" s="901">
        <v>3</v>
      </c>
      <c r="CJ54" s="901">
        <v>1</v>
      </c>
      <c r="CK54" s="901">
        <v>2</v>
      </c>
      <c r="CL54" s="901"/>
      <c r="CM54" s="901"/>
      <c r="CN54" s="901"/>
      <c r="CO54" s="901"/>
      <c r="CP54" s="901"/>
      <c r="CQ54" s="901"/>
      <c r="CR54" s="901"/>
      <c r="CS54" s="902">
        <f t="shared" si="22"/>
        <v>11</v>
      </c>
      <c r="CT54" s="871">
        <f t="shared" si="17"/>
        <v>11</v>
      </c>
      <c r="CU54" s="871">
        <f t="shared" si="18"/>
        <v>0</v>
      </c>
      <c r="CV54" s="942">
        <v>51.686999999999998</v>
      </c>
      <c r="CW54" s="710" t="s">
        <v>2814</v>
      </c>
      <c r="CX54" s="710"/>
      <c r="CY54" s="710"/>
      <c r="CZ54" s="710"/>
      <c r="DA54" s="710">
        <v>124.72</v>
      </c>
      <c r="DB54" s="943" t="s">
        <v>2817</v>
      </c>
      <c r="DC54" s="710" t="s">
        <v>279</v>
      </c>
      <c r="DD54" s="710"/>
      <c r="DE54" s="710"/>
      <c r="DF54" s="901"/>
      <c r="DG54" s="901"/>
      <c r="DH54" s="901">
        <v>6</v>
      </c>
      <c r="DI54" s="710" t="s">
        <v>278</v>
      </c>
      <c r="DJ54" s="710"/>
      <c r="DK54" s="901"/>
      <c r="DL54" s="710" t="s">
        <v>278</v>
      </c>
      <c r="DM54" s="710" t="s">
        <v>2819</v>
      </c>
      <c r="DN54" s="901">
        <v>3109</v>
      </c>
      <c r="DO54" s="710"/>
      <c r="DP54" s="710"/>
      <c r="DQ54" s="901"/>
      <c r="DR54" s="710"/>
      <c r="DS54" s="710"/>
      <c r="DT54" s="901"/>
      <c r="DU54" s="710"/>
      <c r="DV54" s="710"/>
      <c r="DW54" s="901"/>
      <c r="DX54" s="710"/>
      <c r="DY54" s="710"/>
      <c r="DZ54" s="901"/>
      <c r="EA54" s="710"/>
      <c r="EB54" s="710"/>
      <c r="EC54" s="901"/>
      <c r="ED54" s="710" t="s">
        <v>278</v>
      </c>
      <c r="EE54" s="710" t="s">
        <v>2819</v>
      </c>
      <c r="EF54" s="901">
        <v>3109</v>
      </c>
      <c r="EG54" s="710"/>
      <c r="EH54" s="710"/>
      <c r="EI54" s="901"/>
      <c r="EJ54" s="710"/>
      <c r="EK54" s="710"/>
      <c r="EL54" s="901"/>
      <c r="EM54" s="710"/>
      <c r="EN54" s="710"/>
      <c r="EO54" s="901"/>
      <c r="EP54" s="710"/>
      <c r="EQ54" s="710"/>
      <c r="ER54" s="901"/>
      <c r="ES54" s="710"/>
      <c r="ET54" s="710"/>
      <c r="EU54" s="901"/>
      <c r="EV54" s="901"/>
      <c r="EW54" s="901"/>
      <c r="EX54" s="901"/>
      <c r="EY54" s="710" t="s">
        <v>279</v>
      </c>
      <c r="EZ54" s="945"/>
      <c r="FA54" s="710" t="s">
        <v>278</v>
      </c>
      <c r="FB54" s="710" t="s">
        <v>2824</v>
      </c>
      <c r="FC54" s="945" t="s">
        <v>2827</v>
      </c>
      <c r="FD54" s="710"/>
      <c r="FE54" s="710"/>
      <c r="FF54" s="710" t="s">
        <v>2830</v>
      </c>
      <c r="FG54" s="710"/>
      <c r="FH54" s="710"/>
      <c r="FI54" s="710"/>
      <c r="FJ54" s="710"/>
      <c r="FK54" s="710" t="s">
        <v>2835</v>
      </c>
      <c r="FL54" s="710" t="s">
        <v>2838</v>
      </c>
      <c r="FM54" s="945" t="s">
        <v>2841</v>
      </c>
      <c r="FN54" s="710" t="s">
        <v>2835</v>
      </c>
      <c r="FO54" s="710" t="s">
        <v>2838</v>
      </c>
      <c r="FP54" s="945" t="s">
        <v>2841</v>
      </c>
    </row>
    <row r="55" spans="2:172" ht="74.5" customHeight="1">
      <c r="B55" s="850" t="s">
        <v>5313</v>
      </c>
      <c r="C55" s="863"/>
      <c r="D55" s="850" t="s">
        <v>4934</v>
      </c>
      <c r="E55" s="850" t="s">
        <v>5314</v>
      </c>
      <c r="F55" s="863"/>
      <c r="H55" s="850" t="s">
        <v>4934</v>
      </c>
      <c r="I55" s="850" t="s">
        <v>5525</v>
      </c>
      <c r="J55" s="850" t="s">
        <v>5409</v>
      </c>
      <c r="K55" s="710" t="s">
        <v>215</v>
      </c>
      <c r="L55" s="710" t="s">
        <v>2793</v>
      </c>
      <c r="M55" s="710" t="s">
        <v>2796</v>
      </c>
      <c r="N55" s="710" t="s">
        <v>2796</v>
      </c>
      <c r="O55" s="895">
        <v>2019</v>
      </c>
      <c r="P55" s="947">
        <v>43497</v>
      </c>
      <c r="Q55" s="947">
        <v>43805</v>
      </c>
      <c r="R55" s="712">
        <f t="shared" si="20"/>
        <v>308</v>
      </c>
      <c r="S55" s="947"/>
      <c r="T55" s="947"/>
      <c r="U55" s="947"/>
      <c r="V55" s="947"/>
      <c r="W55" s="947"/>
      <c r="X55" s="947"/>
      <c r="Y55" s="947"/>
      <c r="Z55" s="947"/>
      <c r="AA55" s="947"/>
      <c r="AB55" s="710" t="s">
        <v>2799</v>
      </c>
      <c r="AC55" s="710" t="s">
        <v>2802</v>
      </c>
      <c r="AD55" s="710" t="s">
        <v>2805</v>
      </c>
      <c r="AE55" s="710" t="s">
        <v>2807</v>
      </c>
      <c r="AF55" s="710" t="s">
        <v>2809</v>
      </c>
      <c r="AG55" s="710" t="s">
        <v>2811</v>
      </c>
      <c r="AH55" s="898">
        <v>3.7</v>
      </c>
      <c r="AI55" s="868">
        <f t="shared" si="1"/>
        <v>3.7</v>
      </c>
      <c r="AJ55" s="867">
        <f t="shared" si="2"/>
        <v>0</v>
      </c>
      <c r="AK55" s="898"/>
      <c r="AL55" s="898"/>
      <c r="AM55" s="898"/>
      <c r="AN55" s="869">
        <f t="shared" si="3"/>
        <v>0</v>
      </c>
      <c r="AO55" s="869">
        <f t="shared" si="4"/>
        <v>0</v>
      </c>
      <c r="AP55" s="898"/>
      <c r="AQ55" s="899"/>
      <c r="AR55" s="899">
        <v>2.0000000000000001E-4</v>
      </c>
      <c r="AS55" s="869">
        <f t="shared" si="5"/>
        <v>0</v>
      </c>
      <c r="AT55" s="869">
        <f t="shared" si="6"/>
        <v>0</v>
      </c>
      <c r="AU55" s="942">
        <v>3.2</v>
      </c>
      <c r="AV55" s="899">
        <v>0.86499999999999999</v>
      </c>
      <c r="AW55" s="869">
        <f t="shared" si="7"/>
        <v>0.86486486486486491</v>
      </c>
      <c r="AX55" s="869">
        <f t="shared" si="8"/>
        <v>1.3513513513507824E-4</v>
      </c>
      <c r="AY55" s="898">
        <v>0.5</v>
      </c>
      <c r="AZ55" s="899">
        <v>0.13500000000000001</v>
      </c>
      <c r="BA55" s="869">
        <f t="shared" si="9"/>
        <v>0.13513513513513511</v>
      </c>
      <c r="BB55" s="869">
        <f t="shared" si="10"/>
        <v>-1.35135135135106E-4</v>
      </c>
      <c r="BC55" s="898">
        <v>0</v>
      </c>
      <c r="BD55" s="899">
        <v>0</v>
      </c>
      <c r="BE55" s="869">
        <f t="shared" si="11"/>
        <v>0</v>
      </c>
      <c r="BF55" s="869">
        <f t="shared" si="12"/>
        <v>0</v>
      </c>
      <c r="BG55" s="899"/>
      <c r="BH55" s="899"/>
      <c r="BI55" s="899"/>
      <c r="BJ55" s="899"/>
      <c r="BK55" s="899"/>
      <c r="BL55" s="714">
        <f t="shared" si="13"/>
        <v>0</v>
      </c>
      <c r="BM55" s="869">
        <f t="shared" si="14"/>
        <v>0</v>
      </c>
      <c r="BN55" s="898">
        <v>0</v>
      </c>
      <c r="BO55" s="899">
        <v>0</v>
      </c>
      <c r="BP55" s="869">
        <f t="shared" si="15"/>
        <v>0</v>
      </c>
      <c r="BQ55" s="869">
        <f t="shared" si="16"/>
        <v>0</v>
      </c>
      <c r="BR55" s="899"/>
      <c r="BS55" s="899"/>
      <c r="BT55" s="898">
        <v>5</v>
      </c>
      <c r="BU55" s="899">
        <v>4.0000000000000002E-4</v>
      </c>
      <c r="BV55" s="901">
        <v>12</v>
      </c>
      <c r="BW55" s="901">
        <v>12</v>
      </c>
      <c r="BX55" s="901">
        <v>6</v>
      </c>
      <c r="BY55" s="901"/>
      <c r="BZ55" s="901">
        <v>2</v>
      </c>
      <c r="CA55" s="901"/>
      <c r="CB55" s="901"/>
      <c r="CC55" s="901"/>
      <c r="CD55" s="901"/>
      <c r="CE55" s="901"/>
      <c r="CF55" s="901"/>
      <c r="CG55" s="901">
        <v>1</v>
      </c>
      <c r="CH55" s="901"/>
      <c r="CI55" s="901"/>
      <c r="CJ55" s="901"/>
      <c r="CK55" s="901"/>
      <c r="CL55" s="901"/>
      <c r="CM55" s="901"/>
      <c r="CN55" s="901"/>
      <c r="CO55" s="901"/>
      <c r="CP55" s="901"/>
      <c r="CQ55" s="901"/>
      <c r="CR55" s="901">
        <v>1</v>
      </c>
      <c r="CS55" s="902">
        <f t="shared" si="22"/>
        <v>4</v>
      </c>
      <c r="CT55" s="871">
        <f t="shared" si="17"/>
        <v>4</v>
      </c>
      <c r="CU55" s="871">
        <f t="shared" si="18"/>
        <v>0</v>
      </c>
      <c r="CV55" s="942">
        <v>8</v>
      </c>
      <c r="CW55" s="710" t="s">
        <v>2815</v>
      </c>
      <c r="CX55" s="710" t="s">
        <v>410</v>
      </c>
      <c r="CY55" s="710"/>
      <c r="CZ55" s="710"/>
      <c r="DA55" s="710">
        <v>2.2999999999999998</v>
      </c>
      <c r="DB55" s="899" t="s">
        <v>2818</v>
      </c>
      <c r="DC55" s="710" t="s">
        <v>279</v>
      </c>
      <c r="DD55" s="710"/>
      <c r="DE55" s="710"/>
      <c r="DF55" s="901"/>
      <c r="DG55" s="901"/>
      <c r="DH55" s="901">
        <v>20</v>
      </c>
      <c r="DI55" s="710" t="s">
        <v>279</v>
      </c>
      <c r="DJ55" s="710"/>
      <c r="DK55" s="710"/>
      <c r="DL55" s="710" t="s">
        <v>278</v>
      </c>
      <c r="DM55" s="710" t="s">
        <v>2820</v>
      </c>
      <c r="DN55" s="901">
        <v>400</v>
      </c>
      <c r="DO55" s="710" t="s">
        <v>279</v>
      </c>
      <c r="DP55" s="710"/>
      <c r="DQ55" s="710"/>
      <c r="DR55" s="710" t="s">
        <v>279</v>
      </c>
      <c r="DS55" s="710"/>
      <c r="DT55" s="710"/>
      <c r="DU55" s="710" t="s">
        <v>279</v>
      </c>
      <c r="DV55" s="710"/>
      <c r="DW55" s="710"/>
      <c r="DX55" s="710" t="s">
        <v>279</v>
      </c>
      <c r="DY55" s="710"/>
      <c r="DZ55" s="710"/>
      <c r="EA55" s="710" t="s">
        <v>279</v>
      </c>
      <c r="EB55" s="710"/>
      <c r="EC55" s="710"/>
      <c r="ED55" s="710" t="s">
        <v>278</v>
      </c>
      <c r="EE55" s="710" t="s">
        <v>2820</v>
      </c>
      <c r="EF55" s="901">
        <v>400</v>
      </c>
      <c r="EG55" s="710" t="s">
        <v>279</v>
      </c>
      <c r="EH55" s="710"/>
      <c r="EI55" s="710"/>
      <c r="EJ55" s="710" t="s">
        <v>279</v>
      </c>
      <c r="EK55" s="710"/>
      <c r="EL55" s="710"/>
      <c r="EM55" s="710" t="s">
        <v>279</v>
      </c>
      <c r="EN55" s="710"/>
      <c r="EO55" s="710"/>
      <c r="EP55" s="710" t="s">
        <v>279</v>
      </c>
      <c r="EQ55" s="710"/>
      <c r="ER55" s="710"/>
      <c r="ES55" s="710" t="s">
        <v>279</v>
      </c>
      <c r="ET55" s="710"/>
      <c r="EU55" s="710"/>
      <c r="EV55" s="710"/>
      <c r="EW55" s="710"/>
      <c r="EX55" s="710"/>
      <c r="EY55" s="710" t="s">
        <v>279</v>
      </c>
      <c r="EZ55" s="710"/>
      <c r="FA55" s="710" t="s">
        <v>278</v>
      </c>
      <c r="FB55" s="710" t="s">
        <v>2825</v>
      </c>
      <c r="FC55" s="710" t="s">
        <v>2828</v>
      </c>
      <c r="FD55" s="710" t="s">
        <v>2829</v>
      </c>
      <c r="FE55" s="710" t="s">
        <v>410</v>
      </c>
      <c r="FF55" s="710" t="s">
        <v>2831</v>
      </c>
      <c r="FG55" s="710" t="s">
        <v>2833</v>
      </c>
      <c r="FH55" s="710" t="s">
        <v>2834</v>
      </c>
      <c r="FI55" s="710">
        <v>2</v>
      </c>
      <c r="FJ55" s="710">
        <v>200</v>
      </c>
      <c r="FK55" s="710" t="s">
        <v>2836</v>
      </c>
      <c r="FL55" s="710" t="s">
        <v>2839</v>
      </c>
      <c r="FM55" s="948" t="s">
        <v>2842</v>
      </c>
      <c r="FN55" s="710" t="s">
        <v>2844</v>
      </c>
      <c r="FO55" s="710" t="s">
        <v>2846</v>
      </c>
      <c r="FP55" s="710" t="s">
        <v>2848</v>
      </c>
    </row>
    <row r="56" spans="2:172" ht="70.5" customHeight="1">
      <c r="B56" s="850" t="s">
        <v>5313</v>
      </c>
      <c r="C56" s="863"/>
      <c r="D56" s="850" t="s">
        <v>4934</v>
      </c>
      <c r="E56" s="850" t="s">
        <v>5314</v>
      </c>
      <c r="F56" s="863"/>
      <c r="H56" s="850" t="s">
        <v>4934</v>
      </c>
      <c r="I56" s="850" t="s">
        <v>5525</v>
      </c>
      <c r="J56" s="850" t="s">
        <v>5409</v>
      </c>
      <c r="K56" s="710" t="s">
        <v>215</v>
      </c>
      <c r="L56" s="710" t="s">
        <v>2794</v>
      </c>
      <c r="M56" s="710" t="s">
        <v>2797</v>
      </c>
      <c r="N56" s="710"/>
      <c r="O56" s="895">
        <v>2018</v>
      </c>
      <c r="P56" s="896">
        <v>43466</v>
      </c>
      <c r="Q56" s="896">
        <v>43830</v>
      </c>
      <c r="R56" s="712">
        <f t="shared" si="20"/>
        <v>364</v>
      </c>
      <c r="S56" s="896"/>
      <c r="T56" s="896"/>
      <c r="U56" s="896"/>
      <c r="V56" s="896"/>
      <c r="W56" s="896"/>
      <c r="X56" s="896"/>
      <c r="Y56" s="896"/>
      <c r="Z56" s="896"/>
      <c r="AA56" s="896"/>
      <c r="AB56" s="710" t="s">
        <v>2800</v>
      </c>
      <c r="AC56" s="861" t="s">
        <v>2803</v>
      </c>
      <c r="AD56" s="710" t="s">
        <v>2806</v>
      </c>
      <c r="AE56" s="710" t="s">
        <v>2808</v>
      </c>
      <c r="AF56" s="710" t="s">
        <v>2419</v>
      </c>
      <c r="AG56" s="710" t="s">
        <v>2812</v>
      </c>
      <c r="AH56" s="898">
        <f>2.074+6.407</f>
        <v>8.4809999999999999</v>
      </c>
      <c r="AI56" s="868">
        <f t="shared" si="1"/>
        <v>8.4809999999999999</v>
      </c>
      <c r="AJ56" s="867">
        <f t="shared" si="2"/>
        <v>0</v>
      </c>
      <c r="AK56" s="898"/>
      <c r="AL56" s="898"/>
      <c r="AM56" s="898"/>
      <c r="AN56" s="869">
        <f t="shared" si="3"/>
        <v>0</v>
      </c>
      <c r="AO56" s="869">
        <f t="shared" si="4"/>
        <v>0</v>
      </c>
      <c r="AP56" s="898"/>
      <c r="AQ56" s="899"/>
      <c r="AR56" s="899">
        <v>1.5E-3</v>
      </c>
      <c r="AS56" s="869">
        <f t="shared" si="5"/>
        <v>0</v>
      </c>
      <c r="AT56" s="869">
        <f t="shared" si="6"/>
        <v>0</v>
      </c>
      <c r="AU56" s="942">
        <v>4.5410000000000004</v>
      </c>
      <c r="AV56" s="899">
        <v>0.53539999999999999</v>
      </c>
      <c r="AW56" s="869">
        <f t="shared" si="7"/>
        <v>0.53543214243603354</v>
      </c>
      <c r="AX56" s="869">
        <f t="shared" si="8"/>
        <v>-3.2142436033555377E-5</v>
      </c>
      <c r="AY56" s="898">
        <v>2.94</v>
      </c>
      <c r="AZ56" s="899">
        <v>0.34670000000000001</v>
      </c>
      <c r="BA56" s="869">
        <f t="shared" si="9"/>
        <v>0.34665723381676689</v>
      </c>
      <c r="BB56" s="869">
        <f t="shared" si="10"/>
        <v>4.2766183233122756E-5</v>
      </c>
      <c r="BC56" s="898">
        <v>1</v>
      </c>
      <c r="BD56" s="899">
        <v>0.1179</v>
      </c>
      <c r="BE56" s="869">
        <f t="shared" si="11"/>
        <v>0.11791062374719963</v>
      </c>
      <c r="BF56" s="869">
        <f t="shared" si="12"/>
        <v>-1.062374719962289E-5</v>
      </c>
      <c r="BG56" s="899"/>
      <c r="BH56" s="899"/>
      <c r="BI56" s="899"/>
      <c r="BJ56" s="899"/>
      <c r="BK56" s="899"/>
      <c r="BL56" s="714">
        <f t="shared" si="13"/>
        <v>0</v>
      </c>
      <c r="BM56" s="869">
        <f t="shared" si="14"/>
        <v>0</v>
      </c>
      <c r="BN56" s="898"/>
      <c r="BO56" s="899"/>
      <c r="BP56" s="869">
        <f t="shared" si="15"/>
        <v>0</v>
      </c>
      <c r="BQ56" s="869">
        <f t="shared" si="16"/>
        <v>0</v>
      </c>
      <c r="BR56" s="899"/>
      <c r="BS56" s="899"/>
      <c r="BT56" s="898">
        <f>10.661+7.75</f>
        <v>18.411000000000001</v>
      </c>
      <c r="BU56" s="899" t="s">
        <v>2813</v>
      </c>
      <c r="BV56" s="901">
        <v>7</v>
      </c>
      <c r="BW56" s="901">
        <v>7</v>
      </c>
      <c r="BX56" s="901">
        <v>7</v>
      </c>
      <c r="BY56" s="901">
        <v>2</v>
      </c>
      <c r="BZ56" s="901"/>
      <c r="CA56" s="901"/>
      <c r="CB56" s="901"/>
      <c r="CC56" s="901"/>
      <c r="CD56" s="901"/>
      <c r="CE56" s="901"/>
      <c r="CF56" s="901"/>
      <c r="CG56" s="901">
        <v>1</v>
      </c>
      <c r="CH56" s="901"/>
      <c r="CI56" s="901"/>
      <c r="CJ56" s="901"/>
      <c r="CK56" s="901"/>
      <c r="CL56" s="901"/>
      <c r="CM56" s="901"/>
      <c r="CN56" s="901"/>
      <c r="CO56" s="901"/>
      <c r="CP56" s="901"/>
      <c r="CQ56" s="901"/>
      <c r="CR56" s="901">
        <v>4</v>
      </c>
      <c r="CS56" s="902">
        <f t="shared" si="22"/>
        <v>7</v>
      </c>
      <c r="CT56" s="871">
        <f t="shared" si="17"/>
        <v>7</v>
      </c>
      <c r="CU56" s="871">
        <f t="shared" si="18"/>
        <v>0</v>
      </c>
      <c r="CV56" s="942">
        <v>11.11</v>
      </c>
      <c r="CW56" s="710" t="s">
        <v>2816</v>
      </c>
      <c r="CX56" s="710"/>
      <c r="CY56" s="710"/>
      <c r="CZ56" s="710"/>
      <c r="DA56" s="710">
        <v>17.7</v>
      </c>
      <c r="DB56" s="940" t="s">
        <v>2817</v>
      </c>
      <c r="DC56" s="710" t="s">
        <v>279</v>
      </c>
      <c r="DD56" s="710"/>
      <c r="DE56" s="710"/>
      <c r="DF56" s="901"/>
      <c r="DG56" s="901"/>
      <c r="DH56" s="901">
        <v>10</v>
      </c>
      <c r="DI56" s="710" t="s">
        <v>279</v>
      </c>
      <c r="DJ56" s="710"/>
      <c r="DK56" s="901"/>
      <c r="DL56" s="710" t="s">
        <v>278</v>
      </c>
      <c r="DM56" s="710" t="s">
        <v>2821</v>
      </c>
      <c r="DN56" s="901">
        <v>599</v>
      </c>
      <c r="DO56" s="710" t="s">
        <v>279</v>
      </c>
      <c r="DP56" s="710"/>
      <c r="DQ56" s="901"/>
      <c r="DR56" s="710" t="s">
        <v>279</v>
      </c>
      <c r="DS56" s="710"/>
      <c r="DT56" s="901"/>
      <c r="DU56" s="710" t="s">
        <v>279</v>
      </c>
      <c r="DV56" s="710"/>
      <c r="DW56" s="901"/>
      <c r="DX56" s="710" t="s">
        <v>278</v>
      </c>
      <c r="DY56" s="710" t="s">
        <v>2822</v>
      </c>
      <c r="DZ56" s="901"/>
      <c r="EA56" s="710"/>
      <c r="EB56" s="710" t="s">
        <v>279</v>
      </c>
      <c r="EC56" s="901"/>
      <c r="ED56" s="710" t="s">
        <v>278</v>
      </c>
      <c r="EE56" s="710" t="s">
        <v>2823</v>
      </c>
      <c r="EF56" s="901"/>
      <c r="EG56" s="710" t="s">
        <v>279</v>
      </c>
      <c r="EH56" s="710"/>
      <c r="EI56" s="901"/>
      <c r="EJ56" s="710" t="s">
        <v>279</v>
      </c>
      <c r="EK56" s="710"/>
      <c r="EL56" s="901"/>
      <c r="EM56" s="710" t="s">
        <v>279</v>
      </c>
      <c r="EN56" s="710"/>
      <c r="EO56" s="901"/>
      <c r="EP56" s="710" t="s">
        <v>279</v>
      </c>
      <c r="EQ56" s="710"/>
      <c r="ER56" s="901"/>
      <c r="ES56" s="710" t="s">
        <v>279</v>
      </c>
      <c r="ET56" s="710"/>
      <c r="EU56" s="901"/>
      <c r="EV56" s="901"/>
      <c r="EW56" s="901"/>
      <c r="EX56" s="901"/>
      <c r="EY56" s="710" t="s">
        <v>279</v>
      </c>
      <c r="EZ56" s="710"/>
      <c r="FA56" s="710" t="s">
        <v>278</v>
      </c>
      <c r="FB56" s="710" t="s">
        <v>2826</v>
      </c>
      <c r="FC56" s="710" t="s">
        <v>279</v>
      </c>
      <c r="FD56" s="710" t="s">
        <v>279</v>
      </c>
      <c r="FE56" s="710" t="s">
        <v>279</v>
      </c>
      <c r="FF56" s="710" t="s">
        <v>2832</v>
      </c>
      <c r="FG56" s="710" t="s">
        <v>279</v>
      </c>
      <c r="FH56" s="710" t="s">
        <v>279</v>
      </c>
      <c r="FI56" s="710"/>
      <c r="FJ56" s="710"/>
      <c r="FK56" s="710" t="s">
        <v>2837</v>
      </c>
      <c r="FL56" s="710" t="s">
        <v>2840</v>
      </c>
      <c r="FM56" s="940" t="s">
        <v>2843</v>
      </c>
      <c r="FN56" s="710" t="s">
        <v>2845</v>
      </c>
      <c r="FO56" s="710" t="s">
        <v>2847</v>
      </c>
      <c r="FP56" s="940" t="s">
        <v>2843</v>
      </c>
    </row>
    <row r="57" spans="2:172" ht="61" customHeight="1">
      <c r="B57" s="863"/>
      <c r="C57" s="863"/>
      <c r="D57" s="863"/>
      <c r="E57" s="863"/>
      <c r="F57" s="863"/>
      <c r="I57" s="850" t="s">
        <v>5522</v>
      </c>
      <c r="J57" s="850" t="s">
        <v>5410</v>
      </c>
      <c r="K57" s="710" t="s">
        <v>216</v>
      </c>
      <c r="L57" s="710"/>
      <c r="M57" s="710"/>
      <c r="N57" s="710"/>
      <c r="O57" s="895"/>
      <c r="P57" s="896"/>
      <c r="Q57" s="896"/>
      <c r="R57" s="712">
        <f t="shared" si="20"/>
        <v>0</v>
      </c>
      <c r="S57" s="710"/>
      <c r="T57" s="710"/>
      <c r="U57" s="710"/>
      <c r="V57" s="710"/>
      <c r="W57" s="710"/>
      <c r="X57" s="710"/>
      <c r="Y57" s="710"/>
      <c r="Z57" s="710"/>
      <c r="AA57" s="710"/>
      <c r="AB57" s="710"/>
      <c r="AC57" s="710"/>
      <c r="AD57" s="710"/>
      <c r="AE57" s="710"/>
      <c r="AF57" s="710"/>
      <c r="AG57" s="710"/>
      <c r="AH57" s="898"/>
      <c r="AI57" s="868">
        <f t="shared" si="1"/>
        <v>0</v>
      </c>
      <c r="AJ57" s="867">
        <f t="shared" si="2"/>
        <v>0</v>
      </c>
      <c r="AK57" s="898"/>
      <c r="AL57" s="899"/>
      <c r="AM57" s="899"/>
      <c r="AN57" s="869" t="e">
        <f t="shared" si="3"/>
        <v>#DIV/0!</v>
      </c>
      <c r="AO57" s="869" t="e">
        <f t="shared" si="4"/>
        <v>#DIV/0!</v>
      </c>
      <c r="AP57" s="899"/>
      <c r="AQ57" s="899"/>
      <c r="AR57" s="899"/>
      <c r="AS57" s="869" t="e">
        <f t="shared" si="5"/>
        <v>#DIV/0!</v>
      </c>
      <c r="AT57" s="869" t="e">
        <f t="shared" si="6"/>
        <v>#DIV/0!</v>
      </c>
      <c r="AU57" s="898"/>
      <c r="AV57" s="899"/>
      <c r="AW57" s="869" t="e">
        <f t="shared" si="7"/>
        <v>#DIV/0!</v>
      </c>
      <c r="AX57" s="869" t="e">
        <f t="shared" si="8"/>
        <v>#DIV/0!</v>
      </c>
      <c r="AY57" s="898"/>
      <c r="AZ57" s="899"/>
      <c r="BA57" s="869" t="e">
        <f t="shared" si="9"/>
        <v>#DIV/0!</v>
      </c>
      <c r="BB57" s="869" t="e">
        <f t="shared" si="10"/>
        <v>#DIV/0!</v>
      </c>
      <c r="BC57" s="898"/>
      <c r="BD57" s="899"/>
      <c r="BE57" s="869" t="e">
        <f t="shared" si="11"/>
        <v>#DIV/0!</v>
      </c>
      <c r="BF57" s="869" t="e">
        <f t="shared" si="12"/>
        <v>#DIV/0!</v>
      </c>
      <c r="BG57" s="898"/>
      <c r="BH57" s="899"/>
      <c r="BI57" s="710"/>
      <c r="BJ57" s="710"/>
      <c r="BK57" s="710"/>
      <c r="BL57" s="714" t="e">
        <f t="shared" si="13"/>
        <v>#DIV/0!</v>
      </c>
      <c r="BM57" s="869" t="e">
        <f t="shared" si="14"/>
        <v>#DIV/0!</v>
      </c>
      <c r="BN57" s="898"/>
      <c r="BO57" s="899"/>
      <c r="BP57" s="869" t="e">
        <f t="shared" si="15"/>
        <v>#DIV/0!</v>
      </c>
      <c r="BQ57" s="869" t="e">
        <f t="shared" si="16"/>
        <v>#DIV/0!</v>
      </c>
      <c r="BR57" s="898"/>
      <c r="BS57" s="899"/>
      <c r="BT57" s="899"/>
      <c r="BU57" s="899"/>
      <c r="BV57" s="901"/>
      <c r="BW57" s="901"/>
      <c r="BX57" s="901"/>
      <c r="BY57" s="901"/>
      <c r="BZ57" s="901"/>
      <c r="CA57" s="901"/>
      <c r="CB57" s="901"/>
      <c r="CC57" s="901"/>
      <c r="CD57" s="901"/>
      <c r="CE57" s="901"/>
      <c r="CF57" s="901"/>
      <c r="CG57" s="901"/>
      <c r="CH57" s="901"/>
      <c r="CI57" s="901"/>
      <c r="CJ57" s="901"/>
      <c r="CK57" s="901"/>
      <c r="CL57" s="901"/>
      <c r="CM57" s="901"/>
      <c r="CN57" s="901"/>
      <c r="CO57" s="901"/>
      <c r="CP57" s="901"/>
      <c r="CQ57" s="901"/>
      <c r="CR57" s="901"/>
      <c r="CS57" s="902"/>
      <c r="CT57" s="871">
        <f t="shared" si="17"/>
        <v>0</v>
      </c>
      <c r="CU57" s="871">
        <f t="shared" si="18"/>
        <v>0</v>
      </c>
      <c r="CV57" s="942"/>
      <c r="CW57" s="710"/>
      <c r="CX57" s="710"/>
      <c r="CY57" s="899"/>
      <c r="CZ57" s="710"/>
      <c r="DA57" s="710"/>
      <c r="DB57" s="710"/>
      <c r="DC57" s="710"/>
      <c r="DD57" s="710"/>
      <c r="DE57" s="901"/>
      <c r="DF57" s="901"/>
      <c r="DG57" s="710"/>
      <c r="DH57" s="710"/>
      <c r="DI57" s="901"/>
      <c r="DJ57" s="710"/>
      <c r="DK57" s="710"/>
      <c r="DL57" s="901"/>
      <c r="DM57" s="710"/>
      <c r="DN57" s="710"/>
      <c r="DO57" s="901"/>
      <c r="DP57" s="710"/>
      <c r="DQ57" s="710"/>
      <c r="DR57" s="901"/>
      <c r="DS57" s="710"/>
      <c r="DT57" s="710"/>
      <c r="DU57" s="901"/>
      <c r="DV57" s="710"/>
      <c r="DW57" s="710"/>
      <c r="DX57" s="901"/>
      <c r="DY57" s="710"/>
      <c r="DZ57" s="710"/>
      <c r="EA57" s="901"/>
      <c r="EB57" s="710"/>
      <c r="EC57" s="710"/>
      <c r="ED57" s="901"/>
      <c r="EE57" s="710"/>
      <c r="EF57" s="710"/>
      <c r="EG57" s="901"/>
      <c r="EH57" s="710"/>
      <c r="EI57" s="710"/>
      <c r="EJ57" s="901"/>
      <c r="EK57" s="710"/>
      <c r="EL57" s="710"/>
      <c r="EM57" s="901"/>
      <c r="EN57" s="710"/>
      <c r="EO57" s="710"/>
      <c r="EP57" s="901"/>
      <c r="EQ57" s="710"/>
      <c r="ER57" s="710"/>
      <c r="ES57" s="901"/>
      <c r="ET57" s="710"/>
      <c r="EU57" s="710"/>
      <c r="EV57" s="860"/>
      <c r="EW57" s="710"/>
      <c r="EX57" s="710"/>
      <c r="EY57" s="710"/>
      <c r="EZ57" s="710"/>
      <c r="FA57" s="710"/>
      <c r="FB57" s="710"/>
      <c r="FC57" s="710"/>
      <c r="FD57" s="710"/>
      <c r="FE57" s="710"/>
      <c r="FF57" s="710"/>
      <c r="FG57" s="710"/>
      <c r="FH57" s="710"/>
      <c r="FI57" s="710"/>
      <c r="FJ57" s="949"/>
      <c r="FK57" s="949"/>
      <c r="FL57" s="949"/>
      <c r="FM57" s="949"/>
      <c r="FN57" s="949"/>
      <c r="FO57" s="949"/>
      <c r="FP57" s="949"/>
    </row>
    <row r="58" spans="2:172" ht="85.5" customHeight="1">
      <c r="B58" s="863"/>
      <c r="C58" s="863"/>
      <c r="D58" s="863"/>
      <c r="E58" s="863"/>
      <c r="F58" s="863"/>
      <c r="I58" s="850" t="s">
        <v>5521</v>
      </c>
      <c r="J58" s="850" t="s">
        <v>5411</v>
      </c>
      <c r="K58" s="710" t="s">
        <v>217</v>
      </c>
      <c r="L58" s="710"/>
      <c r="M58" s="710"/>
      <c r="N58" s="710"/>
      <c r="O58" s="895"/>
      <c r="P58" s="896"/>
      <c r="Q58" s="896"/>
      <c r="R58" s="712">
        <f t="shared" si="20"/>
        <v>0</v>
      </c>
      <c r="S58" s="710"/>
      <c r="T58" s="710"/>
      <c r="U58" s="710"/>
      <c r="V58" s="710"/>
      <c r="W58" s="710"/>
      <c r="X58" s="710"/>
      <c r="Y58" s="710"/>
      <c r="Z58" s="710"/>
      <c r="AA58" s="710"/>
      <c r="AB58" s="710"/>
      <c r="AC58" s="710"/>
      <c r="AD58" s="710"/>
      <c r="AE58" s="710"/>
      <c r="AF58" s="710"/>
      <c r="AG58" s="710"/>
      <c r="AH58" s="898"/>
      <c r="AI58" s="868">
        <f t="shared" si="1"/>
        <v>0</v>
      </c>
      <c r="AJ58" s="867">
        <f t="shared" si="2"/>
        <v>0</v>
      </c>
      <c r="AK58" s="898"/>
      <c r="AL58" s="899"/>
      <c r="AM58" s="899"/>
      <c r="AN58" s="869" t="e">
        <f t="shared" si="3"/>
        <v>#DIV/0!</v>
      </c>
      <c r="AO58" s="869" t="e">
        <f t="shared" si="4"/>
        <v>#DIV/0!</v>
      </c>
      <c r="AP58" s="899"/>
      <c r="AQ58" s="899"/>
      <c r="AR58" s="899"/>
      <c r="AS58" s="869" t="e">
        <f t="shared" si="5"/>
        <v>#DIV/0!</v>
      </c>
      <c r="AT58" s="869" t="e">
        <f t="shared" si="6"/>
        <v>#DIV/0!</v>
      </c>
      <c r="AU58" s="898"/>
      <c r="AV58" s="899"/>
      <c r="AW58" s="869" t="e">
        <f t="shared" si="7"/>
        <v>#DIV/0!</v>
      </c>
      <c r="AX58" s="869" t="e">
        <f t="shared" si="8"/>
        <v>#DIV/0!</v>
      </c>
      <c r="AY58" s="898"/>
      <c r="AZ58" s="899"/>
      <c r="BA58" s="869" t="e">
        <f t="shared" si="9"/>
        <v>#DIV/0!</v>
      </c>
      <c r="BB58" s="869" t="e">
        <f t="shared" si="10"/>
        <v>#DIV/0!</v>
      </c>
      <c r="BC58" s="898"/>
      <c r="BD58" s="899"/>
      <c r="BE58" s="869" t="e">
        <f t="shared" si="11"/>
        <v>#DIV/0!</v>
      </c>
      <c r="BF58" s="869" t="e">
        <f t="shared" si="12"/>
        <v>#DIV/0!</v>
      </c>
      <c r="BG58" s="898"/>
      <c r="BH58" s="899"/>
      <c r="BI58" s="710"/>
      <c r="BJ58" s="710"/>
      <c r="BK58" s="710"/>
      <c r="BL58" s="714" t="e">
        <f t="shared" si="13"/>
        <v>#DIV/0!</v>
      </c>
      <c r="BM58" s="869" t="e">
        <f t="shared" si="14"/>
        <v>#DIV/0!</v>
      </c>
      <c r="BN58" s="898"/>
      <c r="BO58" s="899"/>
      <c r="BP58" s="869" t="e">
        <f t="shared" si="15"/>
        <v>#DIV/0!</v>
      </c>
      <c r="BQ58" s="869" t="e">
        <f t="shared" si="16"/>
        <v>#DIV/0!</v>
      </c>
      <c r="BR58" s="898"/>
      <c r="BS58" s="899"/>
      <c r="BT58" s="899"/>
      <c r="BU58" s="899"/>
      <c r="BV58" s="901"/>
      <c r="BW58" s="901"/>
      <c r="BX58" s="901"/>
      <c r="BY58" s="901"/>
      <c r="BZ58" s="901"/>
      <c r="CA58" s="901"/>
      <c r="CB58" s="901"/>
      <c r="CC58" s="901"/>
      <c r="CD58" s="901"/>
      <c r="CE58" s="901"/>
      <c r="CF58" s="901"/>
      <c r="CG58" s="901"/>
      <c r="CH58" s="901"/>
      <c r="CI58" s="901"/>
      <c r="CJ58" s="901"/>
      <c r="CK58" s="901"/>
      <c r="CL58" s="901"/>
      <c r="CM58" s="901"/>
      <c r="CN58" s="901"/>
      <c r="CO58" s="901"/>
      <c r="CP58" s="901"/>
      <c r="CQ58" s="901"/>
      <c r="CR58" s="901"/>
      <c r="CS58" s="902"/>
      <c r="CT58" s="871">
        <f t="shared" si="17"/>
        <v>0</v>
      </c>
      <c r="CU58" s="871">
        <f t="shared" si="18"/>
        <v>0</v>
      </c>
      <c r="CV58" s="942"/>
      <c r="CW58" s="710"/>
      <c r="CX58" s="710"/>
      <c r="CY58" s="899"/>
      <c r="CZ58" s="710"/>
      <c r="DA58" s="710"/>
      <c r="DB58" s="710"/>
      <c r="DC58" s="710"/>
      <c r="DD58" s="710"/>
      <c r="DE58" s="901"/>
      <c r="DF58" s="901"/>
      <c r="DG58" s="710"/>
      <c r="DH58" s="710"/>
      <c r="DI58" s="901"/>
      <c r="DJ58" s="710"/>
      <c r="DK58" s="710"/>
      <c r="DL58" s="901"/>
      <c r="DM58" s="710"/>
      <c r="DN58" s="710"/>
      <c r="DO58" s="901"/>
      <c r="DP58" s="710"/>
      <c r="DQ58" s="710"/>
      <c r="DR58" s="901"/>
      <c r="DS58" s="710"/>
      <c r="DT58" s="710"/>
      <c r="DU58" s="901"/>
      <c r="DV58" s="710"/>
      <c r="DW58" s="710"/>
      <c r="DX58" s="901"/>
      <c r="DY58" s="710"/>
      <c r="DZ58" s="710"/>
      <c r="EA58" s="901"/>
      <c r="EB58" s="710"/>
      <c r="EC58" s="710"/>
      <c r="ED58" s="901"/>
      <c r="EE58" s="710"/>
      <c r="EF58" s="710"/>
      <c r="EG58" s="901"/>
      <c r="EH58" s="710"/>
      <c r="EI58" s="710"/>
      <c r="EJ58" s="901"/>
      <c r="EK58" s="710"/>
      <c r="EL58" s="710"/>
      <c r="EM58" s="901"/>
      <c r="EN58" s="710"/>
      <c r="EO58" s="710"/>
      <c r="EP58" s="901"/>
      <c r="EQ58" s="710"/>
      <c r="ER58" s="710"/>
      <c r="ES58" s="901"/>
      <c r="ET58" s="710"/>
      <c r="EU58" s="710"/>
      <c r="EV58" s="860"/>
      <c r="EW58" s="710"/>
      <c r="EX58" s="710"/>
      <c r="EY58" s="710"/>
      <c r="EZ58" s="710"/>
      <c r="FA58" s="710"/>
      <c r="FB58" s="710"/>
      <c r="FC58" s="710"/>
      <c r="FD58" s="710"/>
      <c r="FE58" s="710"/>
      <c r="FF58" s="710"/>
      <c r="FG58" s="710"/>
      <c r="FH58" s="710"/>
      <c r="FI58" s="710"/>
      <c r="FJ58" s="949"/>
      <c r="FK58" s="949"/>
      <c r="FL58" s="949"/>
      <c r="FM58" s="949"/>
      <c r="FN58" s="949"/>
      <c r="FO58" s="949"/>
      <c r="FP58" s="949"/>
    </row>
    <row r="59" spans="2:172" ht="94.5" customHeight="1">
      <c r="B59" s="850" t="s">
        <v>5315</v>
      </c>
      <c r="C59" s="850" t="s">
        <v>5321</v>
      </c>
      <c r="D59" s="850" t="s">
        <v>4933</v>
      </c>
      <c r="E59" s="850" t="s">
        <v>5314</v>
      </c>
      <c r="F59" s="879">
        <v>1</v>
      </c>
      <c r="G59" s="850" t="s">
        <v>4933</v>
      </c>
      <c r="I59" s="850" t="s">
        <v>5524</v>
      </c>
      <c r="J59" s="850" t="s">
        <v>5412</v>
      </c>
      <c r="K59" s="710" t="s">
        <v>218</v>
      </c>
      <c r="L59" s="710"/>
      <c r="M59" s="708" t="s">
        <v>2409</v>
      </c>
      <c r="N59" s="708" t="s">
        <v>2410</v>
      </c>
      <c r="O59" s="950">
        <v>2018</v>
      </c>
      <c r="P59" s="951">
        <v>43531</v>
      </c>
      <c r="Q59" s="951">
        <v>43830</v>
      </c>
      <c r="R59" s="712">
        <f t="shared" si="20"/>
        <v>299</v>
      </c>
      <c r="S59" s="708" t="s">
        <v>2411</v>
      </c>
      <c r="T59" s="708" t="s">
        <v>2412</v>
      </c>
      <c r="U59" s="708" t="s">
        <v>2413</v>
      </c>
      <c r="V59" s="708" t="s">
        <v>2414</v>
      </c>
      <c r="W59" s="952" t="s">
        <v>2415</v>
      </c>
      <c r="X59" s="708" t="s">
        <v>1031</v>
      </c>
      <c r="Y59" s="708" t="s">
        <v>410</v>
      </c>
      <c r="Z59" s="708" t="s">
        <v>2416</v>
      </c>
      <c r="AA59" s="953" t="s">
        <v>2417</v>
      </c>
      <c r="AB59" s="953"/>
      <c r="AC59" s="953"/>
      <c r="AD59" s="708" t="s">
        <v>2418</v>
      </c>
      <c r="AE59" s="708" t="s">
        <v>2418</v>
      </c>
      <c r="AF59" s="708" t="s">
        <v>2419</v>
      </c>
      <c r="AG59" s="708" t="s">
        <v>2420</v>
      </c>
      <c r="AH59" s="941">
        <v>21.4</v>
      </c>
      <c r="AI59" s="868">
        <f t="shared" si="1"/>
        <v>21.4</v>
      </c>
      <c r="AJ59" s="867">
        <f t="shared" si="2"/>
        <v>0</v>
      </c>
      <c r="AK59" s="941">
        <v>17.899999999999999</v>
      </c>
      <c r="AL59" s="954">
        <v>0.83650000000000002</v>
      </c>
      <c r="AM59" s="954">
        <f>AK59/55104.4</f>
        <v>3.2483794397543571E-4</v>
      </c>
      <c r="AN59" s="869">
        <f t="shared" si="3"/>
        <v>0.83644859813084116</v>
      </c>
      <c r="AO59" s="869">
        <f t="shared" si="4"/>
        <v>5.1401869158862468E-5</v>
      </c>
      <c r="AP59" s="954"/>
      <c r="AQ59" s="954"/>
      <c r="AR59" s="954"/>
      <c r="AS59" s="869">
        <f t="shared" si="5"/>
        <v>0</v>
      </c>
      <c r="AT59" s="869">
        <f t="shared" si="6"/>
        <v>0</v>
      </c>
      <c r="AU59" s="941">
        <v>0.7</v>
      </c>
      <c r="AV59" s="954">
        <v>3.3000000000000002E-2</v>
      </c>
      <c r="AW59" s="869">
        <f t="shared" si="7"/>
        <v>3.2710280373831772E-2</v>
      </c>
      <c r="AX59" s="869">
        <f t="shared" si="8"/>
        <v>2.8971962616822916E-4</v>
      </c>
      <c r="AY59" s="941">
        <v>2.5</v>
      </c>
      <c r="AZ59" s="954">
        <v>0.1168</v>
      </c>
      <c r="BA59" s="869">
        <f t="shared" si="9"/>
        <v>0.11682242990654207</v>
      </c>
      <c r="BB59" s="869">
        <f t="shared" si="10"/>
        <v>-2.2429906542068001E-5</v>
      </c>
      <c r="BC59" s="941">
        <v>0.3</v>
      </c>
      <c r="BD59" s="954">
        <v>1.4E-2</v>
      </c>
      <c r="BE59" s="869">
        <f t="shared" si="11"/>
        <v>1.4018691588785047E-2</v>
      </c>
      <c r="BF59" s="869">
        <f t="shared" si="12"/>
        <v>-1.8691588785046259E-5</v>
      </c>
      <c r="BG59" s="941"/>
      <c r="BH59" s="954"/>
      <c r="BI59" s="708" t="s">
        <v>410</v>
      </c>
      <c r="BJ59" s="708" t="s">
        <v>410</v>
      </c>
      <c r="BK59" s="708" t="s">
        <v>410</v>
      </c>
      <c r="BL59" s="714">
        <f t="shared" si="13"/>
        <v>0</v>
      </c>
      <c r="BM59" s="869">
        <f t="shared" si="14"/>
        <v>0</v>
      </c>
      <c r="BN59" s="941"/>
      <c r="BO59" s="954" t="s">
        <v>410</v>
      </c>
      <c r="BP59" s="869">
        <f t="shared" si="15"/>
        <v>0</v>
      </c>
      <c r="BQ59" s="869" t="e">
        <f t="shared" si="16"/>
        <v>#VALUE!</v>
      </c>
      <c r="BR59" s="941">
        <v>30</v>
      </c>
      <c r="BS59" s="954">
        <f>BR59/61026.8</f>
        <v>4.91587302627698E-4</v>
      </c>
      <c r="BT59" s="954"/>
      <c r="BU59" s="954"/>
      <c r="BV59" s="955"/>
      <c r="BW59" s="955">
        <v>72</v>
      </c>
      <c r="BX59" s="955">
        <v>72</v>
      </c>
      <c r="BY59" s="955">
        <v>10</v>
      </c>
      <c r="BZ59" s="955">
        <v>7</v>
      </c>
      <c r="CA59" s="955">
        <v>6</v>
      </c>
      <c r="CB59" s="955">
        <v>4</v>
      </c>
      <c r="CC59" s="955"/>
      <c r="CD59" s="955"/>
      <c r="CE59" s="955"/>
      <c r="CF59" s="955">
        <v>6</v>
      </c>
      <c r="CG59" s="955">
        <v>5</v>
      </c>
      <c r="CH59" s="955"/>
      <c r="CI59" s="955">
        <v>5</v>
      </c>
      <c r="CJ59" s="955">
        <v>18</v>
      </c>
      <c r="CK59" s="955">
        <v>4</v>
      </c>
      <c r="CL59" s="955"/>
      <c r="CM59" s="955">
        <v>7</v>
      </c>
      <c r="CN59" s="955"/>
      <c r="CO59" s="955"/>
      <c r="CP59" s="955"/>
      <c r="CQ59" s="955"/>
      <c r="CR59" s="955"/>
      <c r="CS59" s="938">
        <f>SUM(BY59:CR59)</f>
        <v>72</v>
      </c>
      <c r="CT59" s="871">
        <f t="shared" si="17"/>
        <v>72</v>
      </c>
      <c r="CU59" s="871">
        <f t="shared" si="18"/>
        <v>0</v>
      </c>
      <c r="CV59" s="956">
        <v>26.888000000000002</v>
      </c>
      <c r="CW59" s="708" t="s">
        <v>2421</v>
      </c>
      <c r="CX59" s="708" t="s">
        <v>410</v>
      </c>
      <c r="CY59" s="708">
        <v>4.3499999999999996</v>
      </c>
      <c r="CZ59" s="957" t="s">
        <v>2422</v>
      </c>
      <c r="DA59" s="957"/>
      <c r="DB59" s="957"/>
      <c r="DC59" s="708" t="s">
        <v>279</v>
      </c>
      <c r="DD59" s="708" t="s">
        <v>410</v>
      </c>
      <c r="DE59" s="708" t="s">
        <v>410</v>
      </c>
      <c r="DF59" s="955" t="s">
        <v>410</v>
      </c>
      <c r="DG59" s="955" t="s">
        <v>410</v>
      </c>
      <c r="DH59" s="955">
        <v>1</v>
      </c>
      <c r="DI59" s="708" t="s">
        <v>279</v>
      </c>
      <c r="DJ59" s="708" t="s">
        <v>410</v>
      </c>
      <c r="DK59" s="955" t="s">
        <v>410</v>
      </c>
      <c r="DL59" s="708" t="s">
        <v>278</v>
      </c>
      <c r="DM59" s="708" t="s">
        <v>2423</v>
      </c>
      <c r="DN59" s="955" t="s">
        <v>1984</v>
      </c>
      <c r="DO59" s="708" t="s">
        <v>279</v>
      </c>
      <c r="DP59" s="708" t="s">
        <v>410</v>
      </c>
      <c r="DQ59" s="955" t="s">
        <v>410</v>
      </c>
      <c r="DR59" s="708" t="s">
        <v>279</v>
      </c>
      <c r="DS59" s="708" t="s">
        <v>410</v>
      </c>
      <c r="DT59" s="955" t="s">
        <v>410</v>
      </c>
      <c r="DU59" s="708" t="s">
        <v>279</v>
      </c>
      <c r="DV59" s="708" t="s">
        <v>410</v>
      </c>
      <c r="DW59" s="955" t="s">
        <v>410</v>
      </c>
      <c r="DX59" s="708" t="s">
        <v>410</v>
      </c>
      <c r="DY59" s="708" t="s">
        <v>410</v>
      </c>
      <c r="DZ59" s="955" t="s">
        <v>410</v>
      </c>
      <c r="EA59" s="708" t="s">
        <v>279</v>
      </c>
      <c r="EB59" s="708"/>
      <c r="EC59" s="955"/>
      <c r="ED59" s="708" t="s">
        <v>278</v>
      </c>
      <c r="EE59" s="708" t="s">
        <v>2423</v>
      </c>
      <c r="EF59" s="955" t="s">
        <v>1984</v>
      </c>
      <c r="EG59" s="708" t="s">
        <v>279</v>
      </c>
      <c r="EH59" s="708" t="s">
        <v>410</v>
      </c>
      <c r="EI59" s="955" t="s">
        <v>410</v>
      </c>
      <c r="EJ59" s="708" t="s">
        <v>279</v>
      </c>
      <c r="EK59" s="708" t="s">
        <v>410</v>
      </c>
      <c r="EL59" s="955" t="s">
        <v>410</v>
      </c>
      <c r="EM59" s="708" t="s">
        <v>279</v>
      </c>
      <c r="EN59" s="708" t="s">
        <v>410</v>
      </c>
      <c r="EO59" s="955" t="s">
        <v>410</v>
      </c>
      <c r="EP59" s="708" t="s">
        <v>279</v>
      </c>
      <c r="EQ59" s="708" t="s">
        <v>410</v>
      </c>
      <c r="ER59" s="955" t="s">
        <v>410</v>
      </c>
      <c r="ES59" s="708"/>
      <c r="ET59" s="708"/>
      <c r="EU59" s="955"/>
      <c r="EV59" s="958">
        <v>1</v>
      </c>
      <c r="EW59" s="708" t="s">
        <v>410</v>
      </c>
      <c r="EX59" s="959">
        <v>38</v>
      </c>
      <c r="EY59" s="708" t="s">
        <v>279</v>
      </c>
      <c r="EZ59" s="708" t="s">
        <v>410</v>
      </c>
      <c r="FA59" s="708" t="s">
        <v>278</v>
      </c>
      <c r="FB59" s="708" t="s">
        <v>2424</v>
      </c>
      <c r="FC59" s="952" t="s">
        <v>2425</v>
      </c>
      <c r="FD59" s="708" t="s">
        <v>2426</v>
      </c>
      <c r="FE59" s="952" t="s">
        <v>2427</v>
      </c>
      <c r="FF59" s="708" t="s">
        <v>2428</v>
      </c>
      <c r="FG59" s="708" t="s">
        <v>2429</v>
      </c>
      <c r="FH59" s="708" t="s">
        <v>2430</v>
      </c>
      <c r="FI59" s="708">
        <v>11</v>
      </c>
      <c r="FJ59" s="708">
        <v>520</v>
      </c>
      <c r="FK59" s="708" t="s">
        <v>2431</v>
      </c>
      <c r="FL59" s="708" t="s">
        <v>2432</v>
      </c>
      <c r="FM59" s="952" t="s">
        <v>2433</v>
      </c>
      <c r="FN59" s="708" t="s">
        <v>2434</v>
      </c>
      <c r="FO59" s="708" t="s">
        <v>2435</v>
      </c>
      <c r="FP59" s="861" t="s">
        <v>2436</v>
      </c>
    </row>
    <row r="60" spans="2:172" ht="107" customHeight="1">
      <c r="B60" s="850" t="s">
        <v>5313</v>
      </c>
      <c r="C60" s="863"/>
      <c r="D60" s="850" t="s">
        <v>4933</v>
      </c>
      <c r="E60" s="850" t="s">
        <v>5314</v>
      </c>
      <c r="F60" s="879">
        <v>1</v>
      </c>
      <c r="G60" s="850" t="s">
        <v>4933</v>
      </c>
      <c r="I60" s="850" t="s">
        <v>5524</v>
      </c>
      <c r="J60" s="850" t="s">
        <v>5412</v>
      </c>
      <c r="K60" s="710" t="s">
        <v>218</v>
      </c>
      <c r="L60" s="710"/>
      <c r="M60" s="708" t="s">
        <v>2437</v>
      </c>
      <c r="N60" s="708" t="s">
        <v>1317</v>
      </c>
      <c r="O60" s="950">
        <v>2014</v>
      </c>
      <c r="P60" s="951">
        <v>43495</v>
      </c>
      <c r="Q60" s="951">
        <v>43830</v>
      </c>
      <c r="R60" s="712">
        <f t="shared" si="20"/>
        <v>335</v>
      </c>
      <c r="S60" s="708" t="s">
        <v>2438</v>
      </c>
      <c r="T60" s="708" t="s">
        <v>2439</v>
      </c>
      <c r="U60" s="708" t="s">
        <v>2440</v>
      </c>
      <c r="V60" s="708" t="s">
        <v>2441</v>
      </c>
      <c r="W60" s="952" t="s">
        <v>2442</v>
      </c>
      <c r="X60" s="708" t="s">
        <v>1031</v>
      </c>
      <c r="Y60" s="708" t="s">
        <v>410</v>
      </c>
      <c r="Z60" s="708" t="s">
        <v>2443</v>
      </c>
      <c r="AA60" s="952" t="s">
        <v>2444</v>
      </c>
      <c r="AB60" s="952"/>
      <c r="AC60" s="952"/>
      <c r="AD60" s="708" t="s">
        <v>2418</v>
      </c>
      <c r="AE60" s="708" t="s">
        <v>2418</v>
      </c>
      <c r="AF60" s="708" t="s">
        <v>454</v>
      </c>
      <c r="AG60" s="708" t="s">
        <v>2420</v>
      </c>
      <c r="AH60" s="941">
        <v>99.2</v>
      </c>
      <c r="AI60" s="868">
        <f t="shared" si="1"/>
        <v>99.2</v>
      </c>
      <c r="AJ60" s="867">
        <f t="shared" si="2"/>
        <v>0</v>
      </c>
      <c r="AK60" s="941">
        <v>57.9</v>
      </c>
      <c r="AL60" s="954">
        <v>0.58340000000000003</v>
      </c>
      <c r="AM60" s="954">
        <f>AK60/55104.1</f>
        <v>1.0507385112904484E-3</v>
      </c>
      <c r="AN60" s="869">
        <f t="shared" si="3"/>
        <v>0.58366935483870963</v>
      </c>
      <c r="AO60" s="869">
        <f t="shared" si="4"/>
        <v>-2.693548387096012E-4</v>
      </c>
      <c r="AP60" s="954"/>
      <c r="AQ60" s="954"/>
      <c r="AR60" s="954"/>
      <c r="AS60" s="869">
        <f t="shared" si="5"/>
        <v>0</v>
      </c>
      <c r="AT60" s="869">
        <f t="shared" si="6"/>
        <v>0</v>
      </c>
      <c r="AU60" s="941">
        <v>29</v>
      </c>
      <c r="AV60" s="954">
        <v>0.2923</v>
      </c>
      <c r="AW60" s="869">
        <f t="shared" si="7"/>
        <v>0.29233870967741937</v>
      </c>
      <c r="AX60" s="869">
        <f t="shared" si="8"/>
        <v>-3.8709677419368482E-5</v>
      </c>
      <c r="AY60" s="941">
        <v>12.3</v>
      </c>
      <c r="AZ60" s="954">
        <v>0.124</v>
      </c>
      <c r="BA60" s="869">
        <f t="shared" si="9"/>
        <v>0.12399193548387097</v>
      </c>
      <c r="BB60" s="869">
        <f t="shared" si="10"/>
        <v>8.0645161290304745E-6</v>
      </c>
      <c r="BC60" s="941"/>
      <c r="BD60" s="954"/>
      <c r="BE60" s="869">
        <f t="shared" si="11"/>
        <v>0</v>
      </c>
      <c r="BF60" s="869">
        <f t="shared" si="12"/>
        <v>0</v>
      </c>
      <c r="BG60" s="941"/>
      <c r="BH60" s="954"/>
      <c r="BI60" s="708"/>
      <c r="BJ60" s="708"/>
      <c r="BK60" s="708"/>
      <c r="BL60" s="714">
        <f t="shared" si="13"/>
        <v>0</v>
      </c>
      <c r="BM60" s="869">
        <f t="shared" si="14"/>
        <v>0</v>
      </c>
      <c r="BN60" s="941"/>
      <c r="BO60" s="954"/>
      <c r="BP60" s="869">
        <f t="shared" si="15"/>
        <v>0</v>
      </c>
      <c r="BQ60" s="869">
        <f t="shared" si="16"/>
        <v>0</v>
      </c>
      <c r="BR60" s="941">
        <v>70</v>
      </c>
      <c r="BS60" s="954">
        <f>BR60/61026.8</f>
        <v>1.1470370394646287E-3</v>
      </c>
      <c r="BT60" s="954"/>
      <c r="BU60" s="954"/>
      <c r="BV60" s="955"/>
      <c r="BW60" s="955">
        <v>95</v>
      </c>
      <c r="BX60" s="955">
        <v>80</v>
      </c>
      <c r="BY60" s="955">
        <v>9</v>
      </c>
      <c r="BZ60" s="955">
        <v>5</v>
      </c>
      <c r="CA60" s="955">
        <v>9</v>
      </c>
      <c r="CB60" s="955"/>
      <c r="CC60" s="955"/>
      <c r="CD60" s="955"/>
      <c r="CE60" s="955">
        <v>7</v>
      </c>
      <c r="CF60" s="955">
        <v>9</v>
      </c>
      <c r="CG60" s="955">
        <v>17</v>
      </c>
      <c r="CH60" s="955"/>
      <c r="CI60" s="955">
        <v>7</v>
      </c>
      <c r="CJ60" s="955">
        <v>12</v>
      </c>
      <c r="CK60" s="955">
        <v>3</v>
      </c>
      <c r="CL60" s="955"/>
      <c r="CM60" s="955"/>
      <c r="CN60" s="955"/>
      <c r="CO60" s="955"/>
      <c r="CP60" s="955">
        <v>1</v>
      </c>
      <c r="CQ60" s="955"/>
      <c r="CR60" s="955"/>
      <c r="CS60" s="938">
        <f>SUM(BY60:CR60)</f>
        <v>79</v>
      </c>
      <c r="CT60" s="871">
        <f t="shared" si="17"/>
        <v>79</v>
      </c>
      <c r="CU60" s="871">
        <f t="shared" si="18"/>
        <v>0</v>
      </c>
      <c r="CV60" s="956">
        <v>405.5</v>
      </c>
      <c r="CW60" s="708" t="s">
        <v>2421</v>
      </c>
      <c r="CX60" s="708" t="s">
        <v>410</v>
      </c>
      <c r="CY60" s="708">
        <v>65.599999999999994</v>
      </c>
      <c r="CZ60" s="903" t="s">
        <v>2422</v>
      </c>
      <c r="DA60" s="957"/>
      <c r="DB60" s="957"/>
      <c r="DC60" s="708" t="s">
        <v>279</v>
      </c>
      <c r="DD60" s="708" t="s">
        <v>410</v>
      </c>
      <c r="DE60" s="708" t="s">
        <v>410</v>
      </c>
      <c r="DF60" s="955" t="s">
        <v>410</v>
      </c>
      <c r="DG60" s="955" t="s">
        <v>410</v>
      </c>
      <c r="DH60" s="955">
        <v>1</v>
      </c>
      <c r="DI60" s="708" t="s">
        <v>579</v>
      </c>
      <c r="DJ60" s="708" t="s">
        <v>2445</v>
      </c>
      <c r="DK60" s="955">
        <v>8526</v>
      </c>
      <c r="DL60" s="708" t="s">
        <v>278</v>
      </c>
      <c r="DM60" s="708" t="s">
        <v>2423</v>
      </c>
      <c r="DN60" s="955">
        <v>1054</v>
      </c>
      <c r="DO60" s="708" t="s">
        <v>279</v>
      </c>
      <c r="DP60" s="708" t="s">
        <v>410</v>
      </c>
      <c r="DQ60" s="955" t="s">
        <v>410</v>
      </c>
      <c r="DR60" s="708" t="s">
        <v>278</v>
      </c>
      <c r="DS60" s="708" t="s">
        <v>2446</v>
      </c>
      <c r="DT60" s="955">
        <v>1157</v>
      </c>
      <c r="DU60" s="708" t="s">
        <v>279</v>
      </c>
      <c r="DV60" s="708" t="s">
        <v>410</v>
      </c>
      <c r="DW60" s="955" t="s">
        <v>410</v>
      </c>
      <c r="DX60" s="708" t="s">
        <v>279</v>
      </c>
      <c r="DY60" s="708" t="s">
        <v>410</v>
      </c>
      <c r="DZ60" s="955" t="s">
        <v>410</v>
      </c>
      <c r="EA60" s="708" t="s">
        <v>279</v>
      </c>
      <c r="EB60" s="708"/>
      <c r="EC60" s="955"/>
      <c r="ED60" s="708" t="s">
        <v>278</v>
      </c>
      <c r="EE60" s="708" t="s">
        <v>2423</v>
      </c>
      <c r="EF60" s="955">
        <v>9790</v>
      </c>
      <c r="EG60" s="708" t="s">
        <v>279</v>
      </c>
      <c r="EH60" s="708" t="s">
        <v>410</v>
      </c>
      <c r="EI60" s="955" t="s">
        <v>410</v>
      </c>
      <c r="EJ60" s="708" t="s">
        <v>279</v>
      </c>
      <c r="EK60" s="708" t="s">
        <v>410</v>
      </c>
      <c r="EL60" s="955" t="s">
        <v>410</v>
      </c>
      <c r="EM60" s="708" t="s">
        <v>279</v>
      </c>
      <c r="EN60" s="708" t="s">
        <v>410</v>
      </c>
      <c r="EO60" s="955" t="s">
        <v>410</v>
      </c>
      <c r="EP60" s="708" t="s">
        <v>279</v>
      </c>
      <c r="EQ60" s="708" t="s">
        <v>410</v>
      </c>
      <c r="ER60" s="955" t="s">
        <v>410</v>
      </c>
      <c r="ES60" s="708"/>
      <c r="ET60" s="708"/>
      <c r="EU60" s="955"/>
      <c r="EV60" s="958">
        <v>1</v>
      </c>
      <c r="EW60" s="708" t="s">
        <v>410</v>
      </c>
      <c r="EX60" s="959">
        <v>75</v>
      </c>
      <c r="EY60" s="708" t="s">
        <v>279</v>
      </c>
      <c r="EZ60" s="708" t="s">
        <v>410</v>
      </c>
      <c r="FA60" s="708" t="s">
        <v>278</v>
      </c>
      <c r="FB60" s="708" t="s">
        <v>2424</v>
      </c>
      <c r="FC60" s="952" t="s">
        <v>2447</v>
      </c>
      <c r="FD60" s="708" t="s">
        <v>2448</v>
      </c>
      <c r="FE60" s="708" t="s">
        <v>279</v>
      </c>
      <c r="FF60" s="708" t="s">
        <v>2449</v>
      </c>
      <c r="FG60" s="708" t="s">
        <v>2450</v>
      </c>
      <c r="FH60" s="708" t="s">
        <v>2451</v>
      </c>
      <c r="FI60" s="708">
        <v>2</v>
      </c>
      <c r="FJ60" s="708">
        <v>200</v>
      </c>
      <c r="FK60" s="708" t="s">
        <v>2431</v>
      </c>
      <c r="FL60" s="708" t="s">
        <v>2432</v>
      </c>
      <c r="FM60" s="952" t="s">
        <v>2433</v>
      </c>
      <c r="FN60" s="708" t="s">
        <v>2434</v>
      </c>
      <c r="FO60" s="708" t="s">
        <v>2435</v>
      </c>
      <c r="FP60" s="861" t="s">
        <v>2436</v>
      </c>
    </row>
    <row r="61" spans="2:172" ht="93" customHeight="1">
      <c r="B61" s="850" t="s">
        <v>5313</v>
      </c>
      <c r="C61" s="863"/>
      <c r="D61" s="850" t="s">
        <v>4933</v>
      </c>
      <c r="E61" s="850" t="s">
        <v>5314</v>
      </c>
      <c r="F61" s="879">
        <v>1</v>
      </c>
      <c r="G61" s="850" t="s">
        <v>4933</v>
      </c>
      <c r="I61" s="850" t="s">
        <v>5518</v>
      </c>
      <c r="J61" s="850" t="s">
        <v>5413</v>
      </c>
      <c r="K61" s="710" t="s">
        <v>219</v>
      </c>
      <c r="L61" s="710"/>
      <c r="M61" s="710" t="s">
        <v>353</v>
      </c>
      <c r="N61" s="710" t="s">
        <v>354</v>
      </c>
      <c r="O61" s="895">
        <v>2019</v>
      </c>
      <c r="P61" s="896">
        <v>43516</v>
      </c>
      <c r="Q61" s="896">
        <v>43770</v>
      </c>
      <c r="R61" s="712">
        <f t="shared" si="20"/>
        <v>254</v>
      </c>
      <c r="S61" s="710" t="s">
        <v>355</v>
      </c>
      <c r="T61" s="710" t="s">
        <v>356</v>
      </c>
      <c r="U61" s="861" t="s">
        <v>357</v>
      </c>
      <c r="V61" s="710"/>
      <c r="W61" s="710"/>
      <c r="X61" s="710" t="s">
        <v>358</v>
      </c>
      <c r="Y61" s="861" t="s">
        <v>359</v>
      </c>
      <c r="Z61" s="710" t="s">
        <v>360</v>
      </c>
      <c r="AA61" s="710" t="s">
        <v>361</v>
      </c>
      <c r="AB61" s="710"/>
      <c r="AC61" s="710"/>
      <c r="AD61" s="710" t="s">
        <v>362</v>
      </c>
      <c r="AE61" s="710" t="s">
        <v>362</v>
      </c>
      <c r="AF61" s="710" t="s">
        <v>277</v>
      </c>
      <c r="AG61" s="710" t="s">
        <v>363</v>
      </c>
      <c r="AH61" s="898">
        <v>122.5</v>
      </c>
      <c r="AI61" s="868">
        <f t="shared" si="1"/>
        <v>122.49999999999999</v>
      </c>
      <c r="AJ61" s="867">
        <f t="shared" si="2"/>
        <v>0</v>
      </c>
      <c r="AK61" s="898">
        <v>87.6</v>
      </c>
      <c r="AL61" s="899">
        <v>0.71499999999999997</v>
      </c>
      <c r="AM61" s="927">
        <v>1E-3</v>
      </c>
      <c r="AN61" s="869">
        <f t="shared" si="3"/>
        <v>0.71510204081632645</v>
      </c>
      <c r="AO61" s="869">
        <f t="shared" si="4"/>
        <v>-1.0204081632647632E-4</v>
      </c>
      <c r="AP61" s="927"/>
      <c r="AQ61" s="927"/>
      <c r="AR61" s="927"/>
      <c r="AS61" s="869">
        <f t="shared" si="5"/>
        <v>0</v>
      </c>
      <c r="AT61" s="869">
        <f t="shared" si="6"/>
        <v>0</v>
      </c>
      <c r="AU61" s="898">
        <v>25.3</v>
      </c>
      <c r="AV61" s="899">
        <v>0.20599999999999999</v>
      </c>
      <c r="AW61" s="869">
        <f t="shared" si="7"/>
        <v>0.20653061224489797</v>
      </c>
      <c r="AX61" s="869">
        <f t="shared" si="8"/>
        <v>-5.3061224489797665E-4</v>
      </c>
      <c r="AY61" s="898">
        <v>4</v>
      </c>
      <c r="AZ61" s="899">
        <v>3.3000000000000002E-2</v>
      </c>
      <c r="BA61" s="869">
        <f t="shared" si="9"/>
        <v>3.2653061224489799E-2</v>
      </c>
      <c r="BB61" s="869">
        <f t="shared" si="10"/>
        <v>3.4693877551020269E-4</v>
      </c>
      <c r="BC61" s="898">
        <v>5.6</v>
      </c>
      <c r="BD61" s="899">
        <v>4.5999999999999999E-2</v>
      </c>
      <c r="BE61" s="869">
        <f t="shared" si="11"/>
        <v>4.5714285714285714E-2</v>
      </c>
      <c r="BF61" s="869">
        <f t="shared" si="12"/>
        <v>2.8571428571428498E-4</v>
      </c>
      <c r="BG61" s="898"/>
      <c r="BH61" s="899"/>
      <c r="BI61" s="710"/>
      <c r="BJ61" s="710"/>
      <c r="BK61" s="710"/>
      <c r="BL61" s="714">
        <f t="shared" si="13"/>
        <v>0</v>
      </c>
      <c r="BM61" s="869">
        <f t="shared" si="14"/>
        <v>0</v>
      </c>
      <c r="BN61" s="898"/>
      <c r="BO61" s="899"/>
      <c r="BP61" s="869">
        <f t="shared" si="15"/>
        <v>0</v>
      </c>
      <c r="BQ61" s="869">
        <f t="shared" si="16"/>
        <v>0</v>
      </c>
      <c r="BR61" s="898">
        <v>125</v>
      </c>
      <c r="BS61" s="927">
        <v>1E-3</v>
      </c>
      <c r="BT61" s="927"/>
      <c r="BU61" s="927"/>
      <c r="BV61" s="901">
        <v>255</v>
      </c>
      <c r="BW61" s="901">
        <v>111</v>
      </c>
      <c r="BX61" s="901">
        <v>107</v>
      </c>
      <c r="BY61" s="901"/>
      <c r="BZ61" s="901">
        <v>1</v>
      </c>
      <c r="CA61" s="901"/>
      <c r="CB61" s="901"/>
      <c r="CC61" s="901"/>
      <c r="CD61" s="901"/>
      <c r="CE61" s="901">
        <v>4</v>
      </c>
      <c r="CF61" s="901">
        <v>1</v>
      </c>
      <c r="CG61" s="901">
        <v>31</v>
      </c>
      <c r="CH61" s="901"/>
      <c r="CI61" s="901">
        <v>17</v>
      </c>
      <c r="CJ61" s="901">
        <v>18</v>
      </c>
      <c r="CK61" s="901">
        <v>27</v>
      </c>
      <c r="CL61" s="901"/>
      <c r="CM61" s="901"/>
      <c r="CN61" s="901"/>
      <c r="CO61" s="901"/>
      <c r="CP61" s="901"/>
      <c r="CQ61" s="901"/>
      <c r="CR61" s="901">
        <v>8</v>
      </c>
      <c r="CS61" s="902">
        <v>107</v>
      </c>
      <c r="CT61" s="871">
        <f t="shared" si="17"/>
        <v>107</v>
      </c>
      <c r="CU61" s="871">
        <f t="shared" si="18"/>
        <v>0</v>
      </c>
      <c r="CV61" s="942">
        <v>414.04</v>
      </c>
      <c r="CW61" s="710" t="s">
        <v>364</v>
      </c>
      <c r="CX61" s="710" t="s">
        <v>365</v>
      </c>
      <c r="CY61" s="710">
        <v>15.5</v>
      </c>
      <c r="CZ61" s="710" t="s">
        <v>366</v>
      </c>
      <c r="DA61" s="710"/>
      <c r="DB61" s="710"/>
      <c r="DC61" s="710" t="s">
        <v>279</v>
      </c>
      <c r="DD61" s="710" t="s">
        <v>279</v>
      </c>
      <c r="DE61" s="710" t="s">
        <v>279</v>
      </c>
      <c r="DF61" s="901"/>
      <c r="DG61" s="901" t="s">
        <v>279</v>
      </c>
      <c r="DH61" s="901">
        <v>7</v>
      </c>
      <c r="DI61" s="710" t="s">
        <v>279</v>
      </c>
      <c r="DJ61" s="710" t="s">
        <v>279</v>
      </c>
      <c r="DK61" s="901" t="s">
        <v>279</v>
      </c>
      <c r="DL61" s="710" t="s">
        <v>278</v>
      </c>
      <c r="DM61" s="710" t="s">
        <v>367</v>
      </c>
      <c r="DN61" s="901">
        <v>122985</v>
      </c>
      <c r="DO61" s="710" t="s">
        <v>279</v>
      </c>
      <c r="DP61" s="710" t="s">
        <v>279</v>
      </c>
      <c r="DQ61" s="901" t="s">
        <v>279</v>
      </c>
      <c r="DR61" s="710" t="s">
        <v>279</v>
      </c>
      <c r="DS61" s="710" t="s">
        <v>279</v>
      </c>
      <c r="DT61" s="901"/>
      <c r="DU61" s="710" t="s">
        <v>279</v>
      </c>
      <c r="DV61" s="710" t="s">
        <v>279</v>
      </c>
      <c r="DW61" s="901" t="s">
        <v>279</v>
      </c>
      <c r="DX61" s="710" t="s">
        <v>279</v>
      </c>
      <c r="DY61" s="710" t="s">
        <v>279</v>
      </c>
      <c r="DZ61" s="901" t="s">
        <v>279</v>
      </c>
      <c r="EA61" s="710" t="s">
        <v>279</v>
      </c>
      <c r="EB61" s="710" t="s">
        <v>279</v>
      </c>
      <c r="EC61" s="901" t="s">
        <v>279</v>
      </c>
      <c r="ED61" s="710" t="s">
        <v>278</v>
      </c>
      <c r="EE61" s="710" t="s">
        <v>367</v>
      </c>
      <c r="EF61" s="901">
        <v>122985</v>
      </c>
      <c r="EG61" s="710" t="s">
        <v>279</v>
      </c>
      <c r="EH61" s="710" t="s">
        <v>279</v>
      </c>
      <c r="EI61" s="901" t="s">
        <v>279</v>
      </c>
      <c r="EJ61" s="710" t="s">
        <v>279</v>
      </c>
      <c r="EK61" s="710" t="s">
        <v>279</v>
      </c>
      <c r="EL61" s="901" t="s">
        <v>279</v>
      </c>
      <c r="EM61" s="710" t="s">
        <v>278</v>
      </c>
      <c r="EN61" s="710" t="s">
        <v>368</v>
      </c>
      <c r="EO61" s="901">
        <v>8</v>
      </c>
      <c r="EP61" s="710" t="s">
        <v>279</v>
      </c>
      <c r="EQ61" s="710" t="s">
        <v>279</v>
      </c>
      <c r="ER61" s="901" t="s">
        <v>279</v>
      </c>
      <c r="ES61" s="710" t="s">
        <v>279</v>
      </c>
      <c r="ET61" s="710" t="s">
        <v>279</v>
      </c>
      <c r="EU61" s="901" t="s">
        <v>279</v>
      </c>
      <c r="EV61" s="904" t="s">
        <v>369</v>
      </c>
      <c r="EW61" s="710" t="s">
        <v>370</v>
      </c>
      <c r="EX61" s="860">
        <v>106</v>
      </c>
      <c r="EY61" s="710" t="s">
        <v>279</v>
      </c>
      <c r="EZ61" s="710" t="s">
        <v>279</v>
      </c>
      <c r="FA61" s="710" t="s">
        <v>279</v>
      </c>
      <c r="FB61" s="710" t="s">
        <v>279</v>
      </c>
      <c r="FC61" s="710" t="s">
        <v>371</v>
      </c>
      <c r="FD61" s="861" t="s">
        <v>372</v>
      </c>
      <c r="FE61" s="710" t="s">
        <v>373</v>
      </c>
      <c r="FF61" s="960" t="s">
        <v>374</v>
      </c>
      <c r="FG61" s="710" t="s">
        <v>375</v>
      </c>
      <c r="FH61" s="710" t="s">
        <v>376</v>
      </c>
      <c r="FI61" s="710">
        <v>17</v>
      </c>
      <c r="FJ61" s="710">
        <v>750</v>
      </c>
      <c r="FK61" s="710" t="s">
        <v>377</v>
      </c>
      <c r="FL61" s="710" t="s">
        <v>378</v>
      </c>
      <c r="FM61" s="861" t="s">
        <v>379</v>
      </c>
      <c r="FN61" s="710" t="s">
        <v>377</v>
      </c>
      <c r="FO61" s="710" t="s">
        <v>378</v>
      </c>
      <c r="FP61" s="861" t="s">
        <v>379</v>
      </c>
    </row>
    <row r="62" spans="2:172" ht="103" customHeight="1">
      <c r="B62" s="850" t="s">
        <v>5313</v>
      </c>
      <c r="C62" s="863"/>
      <c r="D62" s="850" t="s">
        <v>4933</v>
      </c>
      <c r="E62" s="850" t="s">
        <v>5314</v>
      </c>
      <c r="F62" s="850" t="s">
        <v>5874</v>
      </c>
      <c r="G62" s="850" t="s">
        <v>4933</v>
      </c>
      <c r="I62" s="850" t="s">
        <v>5520</v>
      </c>
      <c r="J62" s="850" t="s">
        <v>5414</v>
      </c>
      <c r="K62" s="710" t="s">
        <v>220</v>
      </c>
      <c r="L62" s="710"/>
      <c r="M62" s="710" t="s">
        <v>1918</v>
      </c>
      <c r="N62" s="710" t="s">
        <v>626</v>
      </c>
      <c r="O62" s="895">
        <v>2014</v>
      </c>
      <c r="P62" s="896">
        <v>43252</v>
      </c>
      <c r="Q62" s="896">
        <v>43830</v>
      </c>
      <c r="R62" s="712">
        <f t="shared" si="20"/>
        <v>578</v>
      </c>
      <c r="S62" s="710" t="s">
        <v>1919</v>
      </c>
      <c r="T62" s="710" t="s">
        <v>1920</v>
      </c>
      <c r="U62" s="940" t="s">
        <v>1921</v>
      </c>
      <c r="V62" s="710"/>
      <c r="W62" s="940"/>
      <c r="X62" s="710"/>
      <c r="Y62" s="710"/>
      <c r="Z62" s="710" t="s">
        <v>1922</v>
      </c>
      <c r="AA62" s="940" t="s">
        <v>1923</v>
      </c>
      <c r="AB62" s="940"/>
      <c r="AC62" s="940"/>
      <c r="AD62" s="710" t="s">
        <v>1924</v>
      </c>
      <c r="AE62" s="710" t="s">
        <v>1924</v>
      </c>
      <c r="AF62" s="710" t="s">
        <v>1925</v>
      </c>
      <c r="AG62" s="710" t="s">
        <v>1926</v>
      </c>
      <c r="AH62" s="898">
        <v>19.8</v>
      </c>
      <c r="AI62" s="868">
        <f t="shared" si="1"/>
        <v>19.8</v>
      </c>
      <c r="AJ62" s="867">
        <f t="shared" si="2"/>
        <v>0</v>
      </c>
      <c r="AK62" s="898">
        <v>12.6</v>
      </c>
      <c r="AL62" s="899">
        <v>0.63600000000000001</v>
      </c>
      <c r="AM62" s="899">
        <v>2.0000000000000001E-4</v>
      </c>
      <c r="AN62" s="869">
        <f t="shared" si="3"/>
        <v>0.63636363636363635</v>
      </c>
      <c r="AO62" s="869">
        <f t="shared" si="4"/>
        <v>-3.6363636363634377E-4</v>
      </c>
      <c r="AP62" s="899"/>
      <c r="AQ62" s="899"/>
      <c r="AR62" s="899"/>
      <c r="AS62" s="869">
        <f t="shared" si="5"/>
        <v>0</v>
      </c>
      <c r="AT62" s="869">
        <f t="shared" si="6"/>
        <v>0</v>
      </c>
      <c r="AU62" s="898">
        <v>7.2</v>
      </c>
      <c r="AV62" s="899">
        <v>0.36399999999999999</v>
      </c>
      <c r="AW62" s="869">
        <f t="shared" si="7"/>
        <v>0.36363636363636365</v>
      </c>
      <c r="AX62" s="869">
        <f t="shared" si="8"/>
        <v>3.6363636363634377E-4</v>
      </c>
      <c r="AY62" s="898"/>
      <c r="AZ62" s="899"/>
      <c r="BA62" s="869">
        <f t="shared" si="9"/>
        <v>0</v>
      </c>
      <c r="BB62" s="869">
        <f t="shared" si="10"/>
        <v>0</v>
      </c>
      <c r="BC62" s="898"/>
      <c r="BD62" s="899"/>
      <c r="BE62" s="869">
        <f t="shared" si="11"/>
        <v>0</v>
      </c>
      <c r="BF62" s="869">
        <f t="shared" si="12"/>
        <v>0</v>
      </c>
      <c r="BG62" s="898"/>
      <c r="BH62" s="899"/>
      <c r="BI62" s="710"/>
      <c r="BJ62" s="710"/>
      <c r="BK62" s="710"/>
      <c r="BL62" s="714">
        <f t="shared" si="13"/>
        <v>0</v>
      </c>
      <c r="BM62" s="869">
        <f t="shared" si="14"/>
        <v>0</v>
      </c>
      <c r="BN62" s="898"/>
      <c r="BO62" s="899"/>
      <c r="BP62" s="869">
        <f t="shared" si="15"/>
        <v>0</v>
      </c>
      <c r="BQ62" s="869">
        <f t="shared" si="16"/>
        <v>0</v>
      </c>
      <c r="BR62" s="898">
        <v>15</v>
      </c>
      <c r="BS62" s="899">
        <v>2.0000000000000001E-4</v>
      </c>
      <c r="BT62" s="899"/>
      <c r="BU62" s="899"/>
      <c r="BV62" s="901">
        <v>85</v>
      </c>
      <c r="BW62" s="901">
        <v>73</v>
      </c>
      <c r="BX62" s="901">
        <v>24</v>
      </c>
      <c r="BY62" s="901">
        <v>1</v>
      </c>
      <c r="BZ62" s="901">
        <v>13</v>
      </c>
      <c r="CA62" s="901"/>
      <c r="CB62" s="901"/>
      <c r="CC62" s="901"/>
      <c r="CD62" s="901">
        <v>1</v>
      </c>
      <c r="CE62" s="901"/>
      <c r="CF62" s="901"/>
      <c r="CG62" s="901">
        <v>5</v>
      </c>
      <c r="CH62" s="901"/>
      <c r="CI62" s="901"/>
      <c r="CJ62" s="901">
        <v>3</v>
      </c>
      <c r="CK62" s="901"/>
      <c r="CL62" s="901">
        <v>1</v>
      </c>
      <c r="CM62" s="901"/>
      <c r="CN62" s="901"/>
      <c r="CO62" s="901"/>
      <c r="CP62" s="901"/>
      <c r="CQ62" s="901"/>
      <c r="CR62" s="901"/>
      <c r="CS62" s="902">
        <f>SUM(BY62:CR62)</f>
        <v>24</v>
      </c>
      <c r="CT62" s="871">
        <f t="shared" si="17"/>
        <v>24</v>
      </c>
      <c r="CU62" s="871">
        <f t="shared" si="18"/>
        <v>0</v>
      </c>
      <c r="CV62" s="942" t="s">
        <v>5510</v>
      </c>
      <c r="CW62" s="710"/>
      <c r="CX62" s="710"/>
      <c r="CY62" s="710"/>
      <c r="CZ62" s="899"/>
      <c r="DA62" s="899"/>
      <c r="DB62" s="899"/>
      <c r="DC62" s="710" t="s">
        <v>279</v>
      </c>
      <c r="DD62" s="710"/>
      <c r="DE62" s="710"/>
      <c r="DF62" s="901"/>
      <c r="DG62" s="901"/>
      <c r="DH62" s="901">
        <v>4</v>
      </c>
      <c r="DI62" s="710" t="s">
        <v>279</v>
      </c>
      <c r="DJ62" s="710"/>
      <c r="DK62" s="901"/>
      <c r="DL62" s="710" t="s">
        <v>278</v>
      </c>
      <c r="DM62" s="710" t="s">
        <v>2055</v>
      </c>
      <c r="DN62" s="901">
        <v>150</v>
      </c>
      <c r="DO62" s="710" t="s">
        <v>279</v>
      </c>
      <c r="DP62" s="710"/>
      <c r="DQ62" s="901"/>
      <c r="DR62" s="710" t="s">
        <v>279</v>
      </c>
      <c r="DS62" s="710"/>
      <c r="DT62" s="901"/>
      <c r="DU62" s="710" t="s">
        <v>279</v>
      </c>
      <c r="DV62" s="710"/>
      <c r="DW62" s="901"/>
      <c r="DX62" s="710" t="s">
        <v>279</v>
      </c>
      <c r="DY62" s="710"/>
      <c r="DZ62" s="901"/>
      <c r="EA62" s="710" t="s">
        <v>279</v>
      </c>
      <c r="EB62" s="710"/>
      <c r="EC62" s="901"/>
      <c r="ED62" s="710" t="s">
        <v>279</v>
      </c>
      <c r="EE62" s="710"/>
      <c r="EF62" s="901"/>
      <c r="EG62" s="710" t="s">
        <v>279</v>
      </c>
      <c r="EH62" s="710"/>
      <c r="EI62" s="901"/>
      <c r="EJ62" s="710" t="s">
        <v>278</v>
      </c>
      <c r="EK62" s="710" t="s">
        <v>2056</v>
      </c>
      <c r="EL62" s="901">
        <v>150</v>
      </c>
      <c r="EM62" s="710" t="s">
        <v>279</v>
      </c>
      <c r="EN62" s="710"/>
      <c r="EO62" s="901"/>
      <c r="EP62" s="710" t="s">
        <v>279</v>
      </c>
      <c r="EQ62" s="710"/>
      <c r="ER62" s="901"/>
      <c r="ES62" s="710" t="s">
        <v>279</v>
      </c>
      <c r="ET62" s="710"/>
      <c r="EU62" s="901"/>
      <c r="EV62" s="710" t="s">
        <v>1927</v>
      </c>
      <c r="EW62" s="710"/>
      <c r="EX62" s="860">
        <v>10</v>
      </c>
      <c r="EY62" s="710" t="s">
        <v>278</v>
      </c>
      <c r="EZ62" s="710" t="s">
        <v>1928</v>
      </c>
      <c r="FA62" s="710" t="s">
        <v>279</v>
      </c>
      <c r="FB62" s="710"/>
      <c r="FC62" s="940" t="s">
        <v>1929</v>
      </c>
      <c r="FD62" s="961" t="s">
        <v>1930</v>
      </c>
      <c r="FE62" s="940" t="s">
        <v>1931</v>
      </c>
      <c r="FF62" s="710" t="s">
        <v>1932</v>
      </c>
      <c r="FG62" s="710"/>
      <c r="FH62" s="710" t="s">
        <v>2061</v>
      </c>
      <c r="FI62" s="710" t="s">
        <v>1933</v>
      </c>
      <c r="FJ62" s="710"/>
      <c r="FK62" s="710" t="s">
        <v>1934</v>
      </c>
      <c r="FL62" s="710">
        <v>78332208439</v>
      </c>
      <c r="FM62" s="710" t="s">
        <v>1935</v>
      </c>
      <c r="FN62" s="710"/>
      <c r="FO62" s="710"/>
      <c r="FP62" s="710"/>
    </row>
    <row r="63" spans="2:172" ht="120.5" customHeight="1">
      <c r="B63" s="850" t="s">
        <v>5315</v>
      </c>
      <c r="C63" s="850" t="s">
        <v>5335</v>
      </c>
      <c r="D63" s="850" t="s">
        <v>4933</v>
      </c>
      <c r="E63" s="850" t="s">
        <v>5314</v>
      </c>
      <c r="F63" s="879">
        <v>1</v>
      </c>
      <c r="G63" s="850" t="s">
        <v>4933</v>
      </c>
      <c r="I63" s="850" t="s">
        <v>5520</v>
      </c>
      <c r="J63" s="850" t="s">
        <v>5414</v>
      </c>
      <c r="K63" s="710" t="s">
        <v>220</v>
      </c>
      <c r="L63" s="710"/>
      <c r="M63" s="710" t="s">
        <v>1936</v>
      </c>
      <c r="N63" s="710" t="s">
        <v>1937</v>
      </c>
      <c r="O63" s="895">
        <v>2010</v>
      </c>
      <c r="P63" s="896">
        <v>42370</v>
      </c>
      <c r="Q63" s="896">
        <v>43830</v>
      </c>
      <c r="R63" s="712">
        <f t="shared" si="20"/>
        <v>1460</v>
      </c>
      <c r="S63" s="710" t="s">
        <v>1938</v>
      </c>
      <c r="T63" s="710" t="s">
        <v>1939</v>
      </c>
      <c r="U63" s="940" t="s">
        <v>1940</v>
      </c>
      <c r="V63" s="710" t="s">
        <v>1941</v>
      </c>
      <c r="W63" s="861" t="s">
        <v>1942</v>
      </c>
      <c r="X63" s="710"/>
      <c r="Y63" s="710"/>
      <c r="Z63" s="710" t="s">
        <v>1943</v>
      </c>
      <c r="AA63" s="861" t="s">
        <v>1944</v>
      </c>
      <c r="AB63" s="861"/>
      <c r="AC63" s="861"/>
      <c r="AD63" s="710" t="s">
        <v>1945</v>
      </c>
      <c r="AE63" s="710" t="s">
        <v>1945</v>
      </c>
      <c r="AF63" s="710" t="s">
        <v>1946</v>
      </c>
      <c r="AG63" s="710" t="s">
        <v>1947</v>
      </c>
      <c r="AH63" s="898">
        <v>28.3</v>
      </c>
      <c r="AI63" s="868">
        <f t="shared" si="1"/>
        <v>28.3</v>
      </c>
      <c r="AJ63" s="867">
        <f t="shared" si="2"/>
        <v>0</v>
      </c>
      <c r="AK63" s="898">
        <v>16.98</v>
      </c>
      <c r="AL63" s="899">
        <v>0.6</v>
      </c>
      <c r="AM63" s="899">
        <v>2.9999999999999997E-4</v>
      </c>
      <c r="AN63" s="869">
        <f t="shared" si="3"/>
        <v>0.6</v>
      </c>
      <c r="AO63" s="869">
        <f t="shared" si="4"/>
        <v>0</v>
      </c>
      <c r="AP63" s="899"/>
      <c r="AQ63" s="899"/>
      <c r="AR63" s="899"/>
      <c r="AS63" s="869">
        <f t="shared" si="5"/>
        <v>0</v>
      </c>
      <c r="AT63" s="869">
        <f t="shared" si="6"/>
        <v>0</v>
      </c>
      <c r="AU63" s="898"/>
      <c r="AV63" s="899"/>
      <c r="AW63" s="869">
        <f t="shared" si="7"/>
        <v>0</v>
      </c>
      <c r="AX63" s="869">
        <f t="shared" si="8"/>
        <v>0</v>
      </c>
      <c r="AY63" s="898">
        <v>11.32</v>
      </c>
      <c r="AZ63" s="899">
        <v>0.4</v>
      </c>
      <c r="BA63" s="869">
        <f t="shared" si="9"/>
        <v>0.4</v>
      </c>
      <c r="BB63" s="869">
        <f t="shared" si="10"/>
        <v>0</v>
      </c>
      <c r="BC63" s="898"/>
      <c r="BD63" s="899"/>
      <c r="BE63" s="869">
        <f t="shared" si="11"/>
        <v>0</v>
      </c>
      <c r="BF63" s="869">
        <f t="shared" si="12"/>
        <v>0</v>
      </c>
      <c r="BG63" s="898"/>
      <c r="BH63" s="899"/>
      <c r="BI63" s="710"/>
      <c r="BJ63" s="710"/>
      <c r="BK63" s="710"/>
      <c r="BL63" s="714">
        <f t="shared" si="13"/>
        <v>0</v>
      </c>
      <c r="BM63" s="869">
        <f t="shared" si="14"/>
        <v>0</v>
      </c>
      <c r="BN63" s="898"/>
      <c r="BO63" s="899"/>
      <c r="BP63" s="869">
        <f t="shared" si="15"/>
        <v>0</v>
      </c>
      <c r="BQ63" s="869">
        <f t="shared" si="16"/>
        <v>0</v>
      </c>
      <c r="BR63" s="898">
        <v>10</v>
      </c>
      <c r="BS63" s="899">
        <v>2.0000000000000001E-4</v>
      </c>
      <c r="BT63" s="899"/>
      <c r="BU63" s="899"/>
      <c r="BV63" s="901"/>
      <c r="BW63" s="901"/>
      <c r="BX63" s="901"/>
      <c r="BY63" s="901"/>
      <c r="BZ63" s="901"/>
      <c r="CA63" s="901"/>
      <c r="CB63" s="901"/>
      <c r="CC63" s="901"/>
      <c r="CD63" s="901"/>
      <c r="CE63" s="901"/>
      <c r="CF63" s="901"/>
      <c r="CG63" s="901"/>
      <c r="CH63" s="901"/>
      <c r="CI63" s="901"/>
      <c r="CJ63" s="901"/>
      <c r="CK63" s="901"/>
      <c r="CL63" s="901"/>
      <c r="CM63" s="901"/>
      <c r="CN63" s="901"/>
      <c r="CO63" s="901"/>
      <c r="CP63" s="901"/>
      <c r="CQ63" s="901"/>
      <c r="CR63" s="901"/>
      <c r="CS63" s="901"/>
      <c r="CT63" s="871">
        <f t="shared" si="17"/>
        <v>0</v>
      </c>
      <c r="CU63" s="871">
        <f t="shared" si="18"/>
        <v>0</v>
      </c>
      <c r="CV63" s="942" t="s">
        <v>5511</v>
      </c>
      <c r="CW63" s="710"/>
      <c r="CX63" s="710"/>
      <c r="CY63" s="710"/>
      <c r="CZ63" s="899"/>
      <c r="DA63" s="899"/>
      <c r="DB63" s="899"/>
      <c r="DC63" s="710"/>
      <c r="DD63" s="710"/>
      <c r="DE63" s="710"/>
      <c r="DF63" s="901"/>
      <c r="DG63" s="901"/>
      <c r="DH63" s="901">
        <v>1</v>
      </c>
      <c r="DI63" s="710"/>
      <c r="DJ63" s="710"/>
      <c r="DK63" s="901"/>
      <c r="DL63" s="710"/>
      <c r="DM63" s="710"/>
      <c r="DN63" s="901"/>
      <c r="DO63" s="710"/>
      <c r="DP63" s="710"/>
      <c r="DQ63" s="901"/>
      <c r="DR63" s="710"/>
      <c r="DS63" s="710"/>
      <c r="DT63" s="901"/>
      <c r="DU63" s="710"/>
      <c r="DV63" s="710"/>
      <c r="DW63" s="901"/>
      <c r="DX63" s="710" t="s">
        <v>278</v>
      </c>
      <c r="DY63" s="710" t="s">
        <v>1948</v>
      </c>
      <c r="DZ63" s="901" t="s">
        <v>1949</v>
      </c>
      <c r="EA63" s="710"/>
      <c r="EB63" s="710"/>
      <c r="EC63" s="901"/>
      <c r="ED63" s="710"/>
      <c r="EE63" s="710"/>
      <c r="EF63" s="901"/>
      <c r="EG63" s="710" t="s">
        <v>278</v>
      </c>
      <c r="EH63" s="710" t="s">
        <v>1948</v>
      </c>
      <c r="EI63" s="901"/>
      <c r="EJ63" s="710"/>
      <c r="EK63" s="710"/>
      <c r="EL63" s="901"/>
      <c r="EM63" s="710"/>
      <c r="EN63" s="710"/>
      <c r="EO63" s="901"/>
      <c r="EP63" s="710"/>
      <c r="EQ63" s="710"/>
      <c r="ER63" s="901"/>
      <c r="ES63" s="710"/>
      <c r="ET63" s="710"/>
      <c r="EU63" s="901"/>
      <c r="EV63" s="904">
        <v>1</v>
      </c>
      <c r="EW63" s="710"/>
      <c r="EX63" s="860">
        <v>144</v>
      </c>
      <c r="EY63" s="710" t="s">
        <v>279</v>
      </c>
      <c r="EZ63" s="710"/>
      <c r="FA63" s="710" t="s">
        <v>279</v>
      </c>
      <c r="FB63" s="710"/>
      <c r="FC63" s="940" t="s">
        <v>2057</v>
      </c>
      <c r="FD63" s="710" t="s">
        <v>279</v>
      </c>
      <c r="FE63" s="710" t="s">
        <v>279</v>
      </c>
      <c r="FF63" s="710" t="s">
        <v>2060</v>
      </c>
      <c r="FG63" s="710" t="s">
        <v>1950</v>
      </c>
      <c r="FH63" s="710"/>
      <c r="FI63" s="710"/>
      <c r="FJ63" s="710"/>
      <c r="FK63" s="710" t="s">
        <v>1951</v>
      </c>
      <c r="FL63" s="901">
        <v>78332208440</v>
      </c>
      <c r="FM63" s="861" t="s">
        <v>1952</v>
      </c>
      <c r="FN63" s="710"/>
      <c r="FO63" s="861"/>
      <c r="FP63" s="710"/>
    </row>
    <row r="64" spans="2:172" ht="107" customHeight="1">
      <c r="B64" s="850" t="s">
        <v>5313</v>
      </c>
      <c r="C64" s="863"/>
      <c r="D64" s="850" t="s">
        <v>4933</v>
      </c>
      <c r="E64" s="850" t="s">
        <v>5314</v>
      </c>
      <c r="F64" s="879">
        <v>1</v>
      </c>
      <c r="G64" s="850" t="s">
        <v>4933</v>
      </c>
      <c r="I64" s="850" t="s">
        <v>5520</v>
      </c>
      <c r="J64" s="850" t="s">
        <v>5414</v>
      </c>
      <c r="K64" s="710" t="s">
        <v>220</v>
      </c>
      <c r="L64" s="710"/>
      <c r="M64" s="710" t="s">
        <v>381</v>
      </c>
      <c r="N64" s="710" t="s">
        <v>842</v>
      </c>
      <c r="O64" s="895">
        <v>2010</v>
      </c>
      <c r="P64" s="951">
        <v>43318</v>
      </c>
      <c r="Q64" s="951">
        <v>44196</v>
      </c>
      <c r="R64" s="712">
        <f t="shared" si="20"/>
        <v>878</v>
      </c>
      <c r="S64" s="708" t="s">
        <v>1953</v>
      </c>
      <c r="T64" s="708" t="s">
        <v>1954</v>
      </c>
      <c r="U64" s="940" t="s">
        <v>1940</v>
      </c>
      <c r="V64" s="931"/>
      <c r="W64" s="962"/>
      <c r="X64" s="931"/>
      <c r="Y64" s="931"/>
      <c r="Z64" s="708" t="s">
        <v>1955</v>
      </c>
      <c r="AA64" s="953" t="s">
        <v>1956</v>
      </c>
      <c r="AB64" s="953"/>
      <c r="AC64" s="953"/>
      <c r="AD64" s="708" t="s">
        <v>1957</v>
      </c>
      <c r="AE64" s="708" t="s">
        <v>1957</v>
      </c>
      <c r="AF64" s="708" t="s">
        <v>1958</v>
      </c>
      <c r="AG64" s="708" t="s">
        <v>1926</v>
      </c>
      <c r="AH64" s="941">
        <v>373</v>
      </c>
      <c r="AI64" s="868">
        <f t="shared" si="1"/>
        <v>373</v>
      </c>
      <c r="AJ64" s="867">
        <f t="shared" si="2"/>
        <v>0</v>
      </c>
      <c r="AK64" s="941">
        <v>230</v>
      </c>
      <c r="AL64" s="954">
        <v>0.61699999999999999</v>
      </c>
      <c r="AM64" s="954">
        <v>3.8999999999999998E-3</v>
      </c>
      <c r="AN64" s="869">
        <f t="shared" si="3"/>
        <v>0.61662198391420908</v>
      </c>
      <c r="AO64" s="869">
        <f t="shared" si="4"/>
        <v>3.7801608579091095E-4</v>
      </c>
      <c r="AP64" s="954"/>
      <c r="AQ64" s="954"/>
      <c r="AR64" s="954"/>
      <c r="AS64" s="869">
        <f t="shared" si="5"/>
        <v>0</v>
      </c>
      <c r="AT64" s="869">
        <f t="shared" si="6"/>
        <v>0</v>
      </c>
      <c r="AU64" s="941">
        <v>67.900000000000006</v>
      </c>
      <c r="AV64" s="954">
        <v>0.182</v>
      </c>
      <c r="AW64" s="869">
        <f t="shared" si="7"/>
        <v>0.18203753351206436</v>
      </c>
      <c r="AX64" s="869">
        <f t="shared" si="8"/>
        <v>-3.753351206436939E-5</v>
      </c>
      <c r="AY64" s="941">
        <v>47.1</v>
      </c>
      <c r="AZ64" s="954">
        <v>0.126</v>
      </c>
      <c r="BA64" s="869">
        <f t="shared" si="9"/>
        <v>0.12627345844504023</v>
      </c>
      <c r="BB64" s="869">
        <f t="shared" si="10"/>
        <v>-2.7345844504023109E-4</v>
      </c>
      <c r="BC64" s="941">
        <v>28</v>
      </c>
      <c r="BD64" s="954">
        <v>7.4999999999999997E-2</v>
      </c>
      <c r="BE64" s="869">
        <f t="shared" si="11"/>
        <v>7.5067024128686322E-2</v>
      </c>
      <c r="BF64" s="869">
        <f t="shared" si="12"/>
        <v>-6.7024128686324347E-5</v>
      </c>
      <c r="BG64" s="941"/>
      <c r="BH64" s="954"/>
      <c r="BI64" s="708" t="s">
        <v>410</v>
      </c>
      <c r="BJ64" s="708" t="s">
        <v>410</v>
      </c>
      <c r="BK64" s="708" t="s">
        <v>410</v>
      </c>
      <c r="BL64" s="714">
        <f t="shared" si="13"/>
        <v>0</v>
      </c>
      <c r="BM64" s="869">
        <f t="shared" si="14"/>
        <v>0</v>
      </c>
      <c r="BN64" s="941"/>
      <c r="BO64" s="954"/>
      <c r="BP64" s="869">
        <f t="shared" si="15"/>
        <v>0</v>
      </c>
      <c r="BQ64" s="869">
        <f t="shared" si="16"/>
        <v>0</v>
      </c>
      <c r="BR64" s="941" t="s">
        <v>410</v>
      </c>
      <c r="BS64" s="954" t="s">
        <v>410</v>
      </c>
      <c r="BT64" s="954"/>
      <c r="BU64" s="954"/>
      <c r="BV64" s="955">
        <v>447</v>
      </c>
      <c r="BW64" s="955">
        <v>416</v>
      </c>
      <c r="BX64" s="955">
        <v>333</v>
      </c>
      <c r="BY64" s="955">
        <v>52</v>
      </c>
      <c r="BZ64" s="955">
        <v>105</v>
      </c>
      <c r="CA64" s="955">
        <v>17</v>
      </c>
      <c r="CB64" s="955">
        <v>8</v>
      </c>
      <c r="CC64" s="955"/>
      <c r="CD64" s="955">
        <v>13</v>
      </c>
      <c r="CE64" s="955">
        <v>10</v>
      </c>
      <c r="CF64" s="955">
        <v>26</v>
      </c>
      <c r="CG64" s="955">
        <v>17</v>
      </c>
      <c r="CH64" s="955"/>
      <c r="CI64" s="955"/>
      <c r="CJ64" s="955">
        <v>62</v>
      </c>
      <c r="CK64" s="955">
        <v>9</v>
      </c>
      <c r="CL64" s="955">
        <v>14</v>
      </c>
      <c r="CM64" s="955"/>
      <c r="CN64" s="955"/>
      <c r="CO64" s="955"/>
      <c r="CP64" s="955"/>
      <c r="CQ64" s="955"/>
      <c r="CR64" s="955"/>
      <c r="CS64" s="938">
        <v>333</v>
      </c>
      <c r="CT64" s="871">
        <f t="shared" si="17"/>
        <v>333</v>
      </c>
      <c r="CU64" s="871">
        <f t="shared" si="18"/>
        <v>0</v>
      </c>
      <c r="CV64" s="956">
        <v>594.85299999999995</v>
      </c>
      <c r="CW64" s="708" t="s">
        <v>1959</v>
      </c>
      <c r="CX64" s="931"/>
      <c r="CY64" s="954">
        <v>0.1273</v>
      </c>
      <c r="CZ64" s="963" t="s">
        <v>1960</v>
      </c>
      <c r="DA64" s="963"/>
      <c r="DB64" s="963"/>
      <c r="DC64" s="708" t="s">
        <v>279</v>
      </c>
      <c r="DD64" s="931"/>
      <c r="DE64" s="931"/>
      <c r="DF64" s="932"/>
      <c r="DG64" s="932"/>
      <c r="DH64" s="955">
        <v>3</v>
      </c>
      <c r="DI64" s="708" t="s">
        <v>279</v>
      </c>
      <c r="DJ64" s="931"/>
      <c r="DK64" s="932"/>
      <c r="DL64" s="708" t="s">
        <v>278</v>
      </c>
      <c r="DM64" s="708" t="s">
        <v>1961</v>
      </c>
      <c r="DN64" s="955">
        <v>162000</v>
      </c>
      <c r="DO64" s="708" t="s">
        <v>279</v>
      </c>
      <c r="DP64" s="708"/>
      <c r="DQ64" s="955"/>
      <c r="DR64" s="708" t="s">
        <v>278</v>
      </c>
      <c r="DS64" s="708" t="s">
        <v>1962</v>
      </c>
      <c r="DT64" s="955"/>
      <c r="DU64" s="708" t="s">
        <v>279</v>
      </c>
      <c r="DV64" s="708"/>
      <c r="DW64" s="955"/>
      <c r="DX64" s="708" t="s">
        <v>279</v>
      </c>
      <c r="DY64" s="708"/>
      <c r="DZ64" s="932"/>
      <c r="EA64" s="708" t="s">
        <v>279</v>
      </c>
      <c r="EB64" s="931"/>
      <c r="EC64" s="932"/>
      <c r="ED64" s="708" t="s">
        <v>279</v>
      </c>
      <c r="EE64" s="708"/>
      <c r="EF64" s="955"/>
      <c r="EG64" s="708" t="s">
        <v>279</v>
      </c>
      <c r="EH64" s="931"/>
      <c r="EI64" s="932"/>
      <c r="EJ64" s="708" t="s">
        <v>279</v>
      </c>
      <c r="EK64" s="931"/>
      <c r="EL64" s="932"/>
      <c r="EM64" s="708" t="s">
        <v>278</v>
      </c>
      <c r="EN64" s="708" t="s">
        <v>1963</v>
      </c>
      <c r="EO64" s="955">
        <v>18</v>
      </c>
      <c r="EP64" s="708" t="s">
        <v>278</v>
      </c>
      <c r="EQ64" s="708" t="s">
        <v>1964</v>
      </c>
      <c r="ER64" s="932"/>
      <c r="ES64" s="708" t="s">
        <v>279</v>
      </c>
      <c r="ET64" s="931"/>
      <c r="EU64" s="932"/>
      <c r="EV64" s="958">
        <v>1</v>
      </c>
      <c r="EW64" s="931"/>
      <c r="EX64" s="959">
        <v>223</v>
      </c>
      <c r="EY64" s="708" t="s">
        <v>278</v>
      </c>
      <c r="EZ64" s="708" t="s">
        <v>1965</v>
      </c>
      <c r="FA64" s="708" t="s">
        <v>278</v>
      </c>
      <c r="FB64" s="708" t="s">
        <v>1966</v>
      </c>
      <c r="FC64" s="940" t="s">
        <v>1967</v>
      </c>
      <c r="FD64" s="961" t="s">
        <v>1968</v>
      </c>
      <c r="FE64" s="953" t="s">
        <v>1969</v>
      </c>
      <c r="FF64" s="708" t="s">
        <v>1970</v>
      </c>
      <c r="FG64" s="708" t="s">
        <v>1971</v>
      </c>
      <c r="FH64" s="708" t="s">
        <v>1972</v>
      </c>
      <c r="FI64" s="708" t="s">
        <v>1973</v>
      </c>
      <c r="FJ64" s="931"/>
      <c r="FK64" s="708" t="s">
        <v>1974</v>
      </c>
      <c r="FL64" s="708" t="s">
        <v>1975</v>
      </c>
      <c r="FM64" s="708" t="s">
        <v>1976</v>
      </c>
      <c r="FN64" s="931"/>
      <c r="FO64" s="931"/>
      <c r="FP64" s="931"/>
    </row>
    <row r="65" spans="2:172" ht="103" customHeight="1">
      <c r="B65" s="850" t="s">
        <v>5313</v>
      </c>
      <c r="C65" s="863"/>
      <c r="D65" s="850" t="s">
        <v>4933</v>
      </c>
      <c r="E65" s="850" t="s">
        <v>5314</v>
      </c>
      <c r="F65" s="879">
        <v>1</v>
      </c>
      <c r="G65" s="850" t="s">
        <v>4933</v>
      </c>
      <c r="I65" s="850" t="s">
        <v>5524</v>
      </c>
      <c r="J65" s="850" t="s">
        <v>5415</v>
      </c>
      <c r="K65" s="710" t="s">
        <v>221</v>
      </c>
      <c r="L65" s="710"/>
      <c r="M65" s="710" t="s">
        <v>1220</v>
      </c>
      <c r="N65" s="710" t="s">
        <v>1221</v>
      </c>
      <c r="O65" s="710">
        <v>2017</v>
      </c>
      <c r="P65" s="939">
        <v>43174</v>
      </c>
      <c r="Q65" s="939">
        <v>43800</v>
      </c>
      <c r="R65" s="712">
        <f t="shared" si="20"/>
        <v>626</v>
      </c>
      <c r="S65" s="710" t="s">
        <v>1222</v>
      </c>
      <c r="T65" s="710" t="s">
        <v>1223</v>
      </c>
      <c r="U65" s="861" t="s">
        <v>1224</v>
      </c>
      <c r="V65" s="710" t="s">
        <v>279</v>
      </c>
      <c r="W65" s="710" t="s">
        <v>58</v>
      </c>
      <c r="X65" s="710" t="s">
        <v>279</v>
      </c>
      <c r="Y65" s="710" t="s">
        <v>58</v>
      </c>
      <c r="Z65" s="710" t="s">
        <v>1225</v>
      </c>
      <c r="AA65" s="964" t="s">
        <v>1224</v>
      </c>
      <c r="AB65" s="964"/>
      <c r="AC65" s="964"/>
      <c r="AD65" s="708" t="s">
        <v>1226</v>
      </c>
      <c r="AE65" s="710" t="s">
        <v>1227</v>
      </c>
      <c r="AF65" s="710" t="s">
        <v>277</v>
      </c>
      <c r="AG65" s="710" t="s">
        <v>1228</v>
      </c>
      <c r="AH65" s="965">
        <v>118.242</v>
      </c>
      <c r="AI65" s="868">
        <f t="shared" si="1"/>
        <v>118.24199999999999</v>
      </c>
      <c r="AJ65" s="867">
        <f t="shared" si="2"/>
        <v>0</v>
      </c>
      <c r="AK65" s="965">
        <v>90.042000000000002</v>
      </c>
      <c r="AL65" s="899">
        <v>0.76100000000000001</v>
      </c>
      <c r="AM65" s="899">
        <v>1.1000000000000001E-3</v>
      </c>
      <c r="AN65" s="869">
        <f t="shared" si="3"/>
        <v>0.76150606383518549</v>
      </c>
      <c r="AO65" s="869">
        <f t="shared" si="4"/>
        <v>-5.0606383518547737E-4</v>
      </c>
      <c r="AP65" s="899"/>
      <c r="AQ65" s="899"/>
      <c r="AR65" s="899"/>
      <c r="AS65" s="869">
        <f t="shared" si="5"/>
        <v>0</v>
      </c>
      <c r="AT65" s="869">
        <f t="shared" si="6"/>
        <v>0</v>
      </c>
      <c r="AU65" s="965">
        <v>19.797999999999998</v>
      </c>
      <c r="AV65" s="899">
        <v>0.16700000000000001</v>
      </c>
      <c r="AW65" s="869">
        <f t="shared" si="7"/>
        <v>0.167436274758546</v>
      </c>
      <c r="AX65" s="869">
        <f t="shared" si="8"/>
        <v>-4.3627475854599029E-4</v>
      </c>
      <c r="AY65" s="965">
        <v>1.466</v>
      </c>
      <c r="AZ65" s="899">
        <v>1.2E-2</v>
      </c>
      <c r="BA65" s="869">
        <f t="shared" si="9"/>
        <v>1.2398301787858798E-2</v>
      </c>
      <c r="BB65" s="869">
        <f t="shared" si="10"/>
        <v>-3.9830178785879751E-4</v>
      </c>
      <c r="BC65" s="965">
        <v>6.9359999999999999</v>
      </c>
      <c r="BD65" s="899">
        <v>5.8999999999999997E-2</v>
      </c>
      <c r="BE65" s="869">
        <f t="shared" si="11"/>
        <v>5.86593596184097E-2</v>
      </c>
      <c r="BF65" s="869">
        <f t="shared" si="12"/>
        <v>3.4064038159029725E-4</v>
      </c>
      <c r="BG65" s="965"/>
      <c r="BH65" s="899"/>
      <c r="BI65" s="710" t="s">
        <v>279</v>
      </c>
      <c r="BJ65" s="710" t="s">
        <v>279</v>
      </c>
      <c r="BK65" s="710" t="s">
        <v>279</v>
      </c>
      <c r="BL65" s="714">
        <f t="shared" si="13"/>
        <v>0</v>
      </c>
      <c r="BM65" s="869">
        <f t="shared" si="14"/>
        <v>0</v>
      </c>
      <c r="BN65" s="965"/>
      <c r="BO65" s="710"/>
      <c r="BP65" s="869">
        <f t="shared" si="15"/>
        <v>0</v>
      </c>
      <c r="BQ65" s="869">
        <f t="shared" si="16"/>
        <v>0</v>
      </c>
      <c r="BR65" s="965">
        <v>124.1</v>
      </c>
      <c r="BS65" s="899">
        <v>1.6000000000000001E-3</v>
      </c>
      <c r="BT65" s="899"/>
      <c r="BU65" s="899"/>
      <c r="BV65" s="710">
        <v>633</v>
      </c>
      <c r="BW65" s="710">
        <v>393</v>
      </c>
      <c r="BX65" s="710">
        <v>276</v>
      </c>
      <c r="BY65" s="710">
        <v>8</v>
      </c>
      <c r="BZ65" s="710">
        <v>46</v>
      </c>
      <c r="CA65" s="710">
        <v>25</v>
      </c>
      <c r="CB65" s="710">
        <v>2</v>
      </c>
      <c r="CC65" s="710">
        <v>0</v>
      </c>
      <c r="CD65" s="710">
        <v>11</v>
      </c>
      <c r="CE65" s="710">
        <v>28</v>
      </c>
      <c r="CF65" s="710">
        <v>22</v>
      </c>
      <c r="CG65" s="710">
        <v>33</v>
      </c>
      <c r="CH65" s="710">
        <v>0</v>
      </c>
      <c r="CI65" s="710">
        <v>23</v>
      </c>
      <c r="CJ65" s="710">
        <v>20</v>
      </c>
      <c r="CK65" s="710">
        <v>21</v>
      </c>
      <c r="CL65" s="710">
        <v>5</v>
      </c>
      <c r="CM65" s="710">
        <v>6</v>
      </c>
      <c r="CN65" s="710">
        <v>0</v>
      </c>
      <c r="CO65" s="710">
        <v>0</v>
      </c>
      <c r="CP65" s="710">
        <v>16</v>
      </c>
      <c r="CQ65" s="710">
        <v>0</v>
      </c>
      <c r="CR65" s="710">
        <v>10</v>
      </c>
      <c r="CS65" s="902">
        <f>SUM(BY65:CR65)</f>
        <v>276</v>
      </c>
      <c r="CT65" s="871">
        <f t="shared" si="17"/>
        <v>276</v>
      </c>
      <c r="CU65" s="871">
        <f t="shared" si="18"/>
        <v>0</v>
      </c>
      <c r="CV65" s="942">
        <v>518.58600000000001</v>
      </c>
      <c r="CW65" s="710" t="s">
        <v>1229</v>
      </c>
      <c r="CX65" s="710"/>
      <c r="CY65" s="710">
        <v>63.2</v>
      </c>
      <c r="CZ65" s="963" t="s">
        <v>1230</v>
      </c>
      <c r="DA65" s="963"/>
      <c r="DB65" s="963"/>
      <c r="DC65" s="710" t="s">
        <v>278</v>
      </c>
      <c r="DD65" s="710" t="s">
        <v>1231</v>
      </c>
      <c r="DE65" s="710" t="s">
        <v>1232</v>
      </c>
      <c r="DF65" s="901">
        <v>4</v>
      </c>
      <c r="DG65" s="901">
        <v>2</v>
      </c>
      <c r="DH65" s="901"/>
      <c r="DI65" s="710" t="s">
        <v>279</v>
      </c>
      <c r="DJ65" s="710"/>
      <c r="DK65" s="901"/>
      <c r="DL65" s="710" t="s">
        <v>278</v>
      </c>
      <c r="DM65" s="710"/>
      <c r="DN65" s="901">
        <v>30601</v>
      </c>
      <c r="DO65" s="710" t="s">
        <v>279</v>
      </c>
      <c r="DP65" s="710"/>
      <c r="DQ65" s="901"/>
      <c r="DR65" s="710" t="s">
        <v>279</v>
      </c>
      <c r="DS65" s="710"/>
      <c r="DT65" s="901"/>
      <c r="DU65" s="710" t="s">
        <v>279</v>
      </c>
      <c r="DV65" s="710"/>
      <c r="DW65" s="901"/>
      <c r="DX65" s="710" t="s">
        <v>279</v>
      </c>
      <c r="DY65" s="710"/>
      <c r="DZ65" s="901"/>
      <c r="EA65" s="710" t="s">
        <v>279</v>
      </c>
      <c r="EB65" s="710"/>
      <c r="EC65" s="901"/>
      <c r="ED65" s="710" t="s">
        <v>278</v>
      </c>
      <c r="EE65" s="710" t="s">
        <v>1233</v>
      </c>
      <c r="EF65" s="901">
        <v>30601</v>
      </c>
      <c r="EG65" s="710" t="s">
        <v>279</v>
      </c>
      <c r="EH65" s="710"/>
      <c r="EI65" s="901"/>
      <c r="EJ65" s="710" t="s">
        <v>279</v>
      </c>
      <c r="EK65" s="710"/>
      <c r="EL65" s="901"/>
      <c r="EM65" s="710" t="s">
        <v>278</v>
      </c>
      <c r="EN65" s="710" t="s">
        <v>1234</v>
      </c>
      <c r="EO65" s="901">
        <v>16</v>
      </c>
      <c r="EP65" s="710" t="s">
        <v>279</v>
      </c>
      <c r="EQ65" s="710"/>
      <c r="ER65" s="901"/>
      <c r="ES65" s="710" t="s">
        <v>278</v>
      </c>
      <c r="ET65" s="710" t="s">
        <v>1235</v>
      </c>
      <c r="EU65" s="901">
        <v>209</v>
      </c>
      <c r="EV65" s="904">
        <v>1</v>
      </c>
      <c r="EW65" s="710"/>
      <c r="EX65" s="860" t="s">
        <v>1236</v>
      </c>
      <c r="EY65" s="710" t="s">
        <v>279</v>
      </c>
      <c r="EZ65" s="710"/>
      <c r="FA65" s="710" t="s">
        <v>278</v>
      </c>
      <c r="FB65" s="710" t="s">
        <v>1237</v>
      </c>
      <c r="FC65" s="710" t="s">
        <v>1238</v>
      </c>
      <c r="FD65" s="710" t="s">
        <v>1239</v>
      </c>
      <c r="FE65" s="861" t="s">
        <v>1240</v>
      </c>
      <c r="FF65" s="710" t="s">
        <v>1241</v>
      </c>
      <c r="FG65" s="710" t="s">
        <v>1242</v>
      </c>
      <c r="FH65" s="710"/>
      <c r="FI65" s="710" t="s">
        <v>1243</v>
      </c>
      <c r="FJ65" s="710" t="s">
        <v>1244</v>
      </c>
      <c r="FK65" s="710" t="s">
        <v>1245</v>
      </c>
      <c r="FL65" s="710" t="s">
        <v>1246</v>
      </c>
      <c r="FM65" s="948" t="s">
        <v>1247</v>
      </c>
      <c r="FN65" s="710"/>
      <c r="FO65" s="710"/>
      <c r="FP65" s="710"/>
    </row>
    <row r="66" spans="2:172" ht="102" customHeight="1">
      <c r="B66" s="850" t="s">
        <v>5315</v>
      </c>
      <c r="C66" s="850" t="s">
        <v>5316</v>
      </c>
      <c r="D66" s="850" t="s">
        <v>5317</v>
      </c>
      <c r="E66" s="850" t="s">
        <v>5318</v>
      </c>
      <c r="F66" s="879">
        <v>1</v>
      </c>
      <c r="G66" s="850" t="s">
        <v>4933</v>
      </c>
      <c r="I66" s="850" t="s">
        <v>5525</v>
      </c>
      <c r="J66" s="850" t="s">
        <v>5416</v>
      </c>
      <c r="K66" s="710" t="s">
        <v>222</v>
      </c>
      <c r="L66" s="710"/>
      <c r="M66" s="710" t="s">
        <v>2182</v>
      </c>
      <c r="N66" s="710" t="s">
        <v>2183</v>
      </c>
      <c r="O66" s="895">
        <v>2017</v>
      </c>
      <c r="P66" s="896">
        <v>43480</v>
      </c>
      <c r="Q66" s="896">
        <v>43830</v>
      </c>
      <c r="R66" s="712">
        <f t="shared" si="20"/>
        <v>350</v>
      </c>
      <c r="S66" s="710" t="s">
        <v>2184</v>
      </c>
      <c r="T66" s="710" t="s">
        <v>2184</v>
      </c>
      <c r="U66" s="966" t="s">
        <v>2185</v>
      </c>
      <c r="V66" s="710"/>
      <c r="W66" s="710"/>
      <c r="X66" s="710"/>
      <c r="Y66" s="710"/>
      <c r="Z66" s="710"/>
      <c r="AA66" s="710"/>
      <c r="AB66" s="710"/>
      <c r="AC66" s="710"/>
      <c r="AD66" s="710" t="s">
        <v>2186</v>
      </c>
      <c r="AE66" s="710" t="s">
        <v>2186</v>
      </c>
      <c r="AF66" s="710" t="s">
        <v>277</v>
      </c>
      <c r="AG66" s="710" t="s">
        <v>2187</v>
      </c>
      <c r="AH66" s="898">
        <v>303.83300000000003</v>
      </c>
      <c r="AI66" s="868">
        <f t="shared" si="1"/>
        <v>303.83300000000003</v>
      </c>
      <c r="AJ66" s="867">
        <f t="shared" si="2"/>
        <v>0</v>
      </c>
      <c r="AK66" s="898">
        <v>2.2130000000000001</v>
      </c>
      <c r="AL66" s="899">
        <v>7.3000000000000001E-3</v>
      </c>
      <c r="AM66" s="899">
        <v>1E-4</v>
      </c>
      <c r="AN66" s="869">
        <f t="shared" si="3"/>
        <v>7.2836064548617166E-3</v>
      </c>
      <c r="AO66" s="869">
        <f t="shared" si="4"/>
        <v>1.6393545138283436E-5</v>
      </c>
      <c r="AP66" s="899"/>
      <c r="AQ66" s="899"/>
      <c r="AR66" s="899"/>
      <c r="AS66" s="869">
        <f t="shared" si="5"/>
        <v>0</v>
      </c>
      <c r="AT66" s="869">
        <f t="shared" si="6"/>
        <v>0</v>
      </c>
      <c r="AU66" s="898">
        <v>79.302000000000007</v>
      </c>
      <c r="AV66" s="899">
        <v>0.26100000000000001</v>
      </c>
      <c r="AW66" s="869">
        <f t="shared" si="7"/>
        <v>0.26100522326409575</v>
      </c>
      <c r="AX66" s="869">
        <f t="shared" si="8"/>
        <v>-5.223264095743918E-6</v>
      </c>
      <c r="AY66" s="898">
        <v>3.1909999999999998</v>
      </c>
      <c r="AZ66" s="899">
        <v>1.0500000000000001E-2</v>
      </c>
      <c r="BA66" s="869">
        <f t="shared" si="9"/>
        <v>1.0502479980778913E-2</v>
      </c>
      <c r="BB66" s="869">
        <f t="shared" si="10"/>
        <v>-2.4799807789126216E-6</v>
      </c>
      <c r="BC66" s="898"/>
      <c r="BD66" s="899"/>
      <c r="BE66" s="869">
        <f t="shared" si="11"/>
        <v>0</v>
      </c>
      <c r="BF66" s="869">
        <f t="shared" si="12"/>
        <v>0</v>
      </c>
      <c r="BG66" s="898">
        <v>219.12700000000001</v>
      </c>
      <c r="BH66" s="899">
        <v>0.72119999999999995</v>
      </c>
      <c r="BI66" s="710" t="s">
        <v>2188</v>
      </c>
      <c r="BJ66" s="710" t="s">
        <v>2189</v>
      </c>
      <c r="BK66" s="710" t="s">
        <v>2186</v>
      </c>
      <c r="BL66" s="714">
        <f t="shared" si="13"/>
        <v>0.72120869030026358</v>
      </c>
      <c r="BM66" s="869">
        <f t="shared" si="14"/>
        <v>-8.6903002636251614E-6</v>
      </c>
      <c r="BN66" s="898"/>
      <c r="BO66" s="899"/>
      <c r="BP66" s="869">
        <f t="shared" si="15"/>
        <v>0</v>
      </c>
      <c r="BQ66" s="869">
        <f t="shared" si="16"/>
        <v>0</v>
      </c>
      <c r="BR66" s="898">
        <v>2.0350000000000001</v>
      </c>
      <c r="BS66" s="899">
        <v>1E-4</v>
      </c>
      <c r="BT66" s="899"/>
      <c r="BU66" s="899"/>
      <c r="BV66" s="901">
        <v>140</v>
      </c>
      <c r="BW66" s="901">
        <v>140</v>
      </c>
      <c r="BX66" s="901">
        <v>140</v>
      </c>
      <c r="BY66" s="901"/>
      <c r="BZ66" s="901"/>
      <c r="CA66" s="901"/>
      <c r="CB66" s="901"/>
      <c r="CC66" s="901"/>
      <c r="CD66" s="901"/>
      <c r="CE66" s="901"/>
      <c r="CF66" s="901"/>
      <c r="CG66" s="901"/>
      <c r="CH66" s="901">
        <v>107</v>
      </c>
      <c r="CI66" s="901"/>
      <c r="CJ66" s="901">
        <v>33</v>
      </c>
      <c r="CK66" s="901"/>
      <c r="CL66" s="901"/>
      <c r="CM66" s="901"/>
      <c r="CN66" s="901"/>
      <c r="CO66" s="901"/>
      <c r="CP66" s="901"/>
      <c r="CQ66" s="901"/>
      <c r="CR66" s="901"/>
      <c r="CS66" s="902">
        <f>SUM(BY66:CR66)</f>
        <v>140</v>
      </c>
      <c r="CT66" s="871">
        <f t="shared" si="17"/>
        <v>140</v>
      </c>
      <c r="CU66" s="871">
        <f t="shared" si="18"/>
        <v>0</v>
      </c>
      <c r="CV66" s="942">
        <v>8.1280000000000001</v>
      </c>
      <c r="CW66" s="710"/>
      <c r="CX66" s="710"/>
      <c r="CY66" s="710"/>
      <c r="CZ66" s="899">
        <v>1.2800000000000001E-2</v>
      </c>
      <c r="DA66" s="899"/>
      <c r="DB66" s="899"/>
      <c r="DC66" s="710" t="s">
        <v>279</v>
      </c>
      <c r="DD66" s="710"/>
      <c r="DE66" s="710"/>
      <c r="DF66" s="901"/>
      <c r="DG66" s="901"/>
      <c r="DH66" s="901">
        <v>3</v>
      </c>
      <c r="DI66" s="710" t="s">
        <v>278</v>
      </c>
      <c r="DJ66" s="710"/>
      <c r="DK66" s="901">
        <v>10162</v>
      </c>
      <c r="DL66" s="710" t="s">
        <v>278</v>
      </c>
      <c r="DM66" s="710" t="s">
        <v>2190</v>
      </c>
      <c r="DN66" s="901">
        <v>28331</v>
      </c>
      <c r="DO66" s="710" t="s">
        <v>278</v>
      </c>
      <c r="DP66" s="710" t="s">
        <v>2191</v>
      </c>
      <c r="DQ66" s="901">
        <v>2932</v>
      </c>
      <c r="DR66" s="710" t="s">
        <v>279</v>
      </c>
      <c r="DS66" s="710"/>
      <c r="DT66" s="901"/>
      <c r="DU66" s="710" t="s">
        <v>279</v>
      </c>
      <c r="DV66" s="710"/>
      <c r="DW66" s="901"/>
      <c r="DX66" s="710" t="s">
        <v>279</v>
      </c>
      <c r="DY66" s="710"/>
      <c r="DZ66" s="901"/>
      <c r="EA66" s="710" t="s">
        <v>279</v>
      </c>
      <c r="EB66" s="710"/>
      <c r="EC66" s="901"/>
      <c r="ED66" s="710" t="s">
        <v>279</v>
      </c>
      <c r="EE66" s="710"/>
      <c r="EF66" s="901"/>
      <c r="EG66" s="710" t="s">
        <v>279</v>
      </c>
      <c r="EH66" s="710"/>
      <c r="EI66" s="901"/>
      <c r="EJ66" s="710" t="s">
        <v>279</v>
      </c>
      <c r="EK66" s="710"/>
      <c r="EL66" s="901"/>
      <c r="EM66" s="710" t="s">
        <v>279</v>
      </c>
      <c r="EN66" s="710"/>
      <c r="EO66" s="901"/>
      <c r="EP66" s="710" t="s">
        <v>278</v>
      </c>
      <c r="EQ66" s="710"/>
      <c r="ER66" s="901">
        <v>24</v>
      </c>
      <c r="ES66" s="710" t="s">
        <v>279</v>
      </c>
      <c r="ET66" s="710"/>
      <c r="EU66" s="901"/>
      <c r="EV66" s="710">
        <v>100</v>
      </c>
      <c r="EW66" s="710"/>
      <c r="EX66" s="860">
        <v>48</v>
      </c>
      <c r="EY66" s="710" t="s">
        <v>279</v>
      </c>
      <c r="EZ66" s="710"/>
      <c r="FA66" s="710" t="s">
        <v>279</v>
      </c>
      <c r="FB66" s="710"/>
      <c r="FC66" s="861" t="s">
        <v>2192</v>
      </c>
      <c r="FD66" s="710"/>
      <c r="FE66" s="710"/>
      <c r="FF66" s="710"/>
      <c r="FG66" s="710"/>
      <c r="FH66" s="710"/>
      <c r="FI66" s="710"/>
      <c r="FJ66" s="710"/>
      <c r="FK66" s="710" t="s">
        <v>2193</v>
      </c>
      <c r="FL66" s="710" t="s">
        <v>2194</v>
      </c>
      <c r="FM66" s="861" t="s">
        <v>2195</v>
      </c>
      <c r="FN66" s="710" t="s">
        <v>2196</v>
      </c>
      <c r="FO66" s="710" t="s">
        <v>2197</v>
      </c>
      <c r="FP66" s="861" t="s">
        <v>2198</v>
      </c>
    </row>
    <row r="67" spans="2:172" ht="87" customHeight="1">
      <c r="B67" s="850" t="s">
        <v>5315</v>
      </c>
      <c r="C67" s="850" t="s">
        <v>5336</v>
      </c>
      <c r="D67" s="850" t="s">
        <v>4933</v>
      </c>
      <c r="E67" s="850" t="s">
        <v>5323</v>
      </c>
      <c r="F67" s="879">
        <v>1</v>
      </c>
      <c r="G67" s="850" t="s">
        <v>4933</v>
      </c>
      <c r="I67" s="850" t="s">
        <v>5525</v>
      </c>
      <c r="J67" s="850" t="s">
        <v>5416</v>
      </c>
      <c r="K67" s="710" t="s">
        <v>222</v>
      </c>
      <c r="L67" s="710"/>
      <c r="M67" s="710" t="s">
        <v>2199</v>
      </c>
      <c r="N67" s="710" t="s">
        <v>2200</v>
      </c>
      <c r="O67" s="895">
        <v>2017</v>
      </c>
      <c r="P67" s="896">
        <v>43800</v>
      </c>
      <c r="Q67" s="896">
        <v>43814</v>
      </c>
      <c r="R67" s="712">
        <f t="shared" si="20"/>
        <v>14</v>
      </c>
      <c r="S67" s="710" t="s">
        <v>2201</v>
      </c>
      <c r="T67" s="710" t="s">
        <v>2202</v>
      </c>
      <c r="U67" s="710" t="s">
        <v>2203</v>
      </c>
      <c r="V67" s="710"/>
      <c r="W67" s="710"/>
      <c r="X67" s="710"/>
      <c r="Y67" s="710"/>
      <c r="Z67" s="710"/>
      <c r="AA67" s="710"/>
      <c r="AB67" s="710"/>
      <c r="AC67" s="710"/>
      <c r="AD67" s="710" t="s">
        <v>2204</v>
      </c>
      <c r="AE67" s="710" t="s">
        <v>2204</v>
      </c>
      <c r="AF67" s="710" t="s">
        <v>2205</v>
      </c>
      <c r="AG67" s="710" t="s">
        <v>2187</v>
      </c>
      <c r="AH67" s="898">
        <v>78</v>
      </c>
      <c r="AI67" s="868">
        <f t="shared" si="1"/>
        <v>78</v>
      </c>
      <c r="AJ67" s="867">
        <f t="shared" si="2"/>
        <v>0</v>
      </c>
      <c r="AK67" s="898">
        <v>30.5</v>
      </c>
      <c r="AL67" s="899">
        <v>0.39100000000000001</v>
      </c>
      <c r="AM67" s="899">
        <v>2.3E-3</v>
      </c>
      <c r="AN67" s="869">
        <f t="shared" si="3"/>
        <v>0.39102564102564102</v>
      </c>
      <c r="AO67" s="869">
        <f t="shared" si="4"/>
        <v>-2.5641025641010007E-5</v>
      </c>
      <c r="AP67" s="899"/>
      <c r="AQ67" s="899"/>
      <c r="AR67" s="899"/>
      <c r="AS67" s="869">
        <f t="shared" si="5"/>
        <v>0</v>
      </c>
      <c r="AT67" s="869">
        <f t="shared" si="6"/>
        <v>0</v>
      </c>
      <c r="AU67" s="898">
        <v>47.5</v>
      </c>
      <c r="AV67" s="899">
        <v>0.60899999999999999</v>
      </c>
      <c r="AW67" s="869">
        <f t="shared" si="7"/>
        <v>0.60897435897435892</v>
      </c>
      <c r="AX67" s="869">
        <f t="shared" si="8"/>
        <v>2.5641025641065518E-5</v>
      </c>
      <c r="AY67" s="898"/>
      <c r="AZ67" s="899"/>
      <c r="BA67" s="869">
        <f t="shared" si="9"/>
        <v>0</v>
      </c>
      <c r="BB67" s="869">
        <f t="shared" si="10"/>
        <v>0</v>
      </c>
      <c r="BC67" s="898"/>
      <c r="BD67" s="899"/>
      <c r="BE67" s="869">
        <f t="shared" si="11"/>
        <v>0</v>
      </c>
      <c r="BF67" s="869">
        <f t="shared" si="12"/>
        <v>0</v>
      </c>
      <c r="BG67" s="898"/>
      <c r="BH67" s="899"/>
      <c r="BI67" s="710"/>
      <c r="BJ67" s="710"/>
      <c r="BK67" s="710"/>
      <c r="BL67" s="714">
        <f t="shared" si="13"/>
        <v>0</v>
      </c>
      <c r="BM67" s="869">
        <f t="shared" si="14"/>
        <v>0</v>
      </c>
      <c r="BN67" s="898"/>
      <c r="BO67" s="899"/>
      <c r="BP67" s="869">
        <f t="shared" si="15"/>
        <v>0</v>
      </c>
      <c r="BQ67" s="869">
        <f t="shared" si="16"/>
        <v>0</v>
      </c>
      <c r="BR67" s="898">
        <v>60.384</v>
      </c>
      <c r="BS67" s="899"/>
      <c r="BT67" s="899"/>
      <c r="BU67" s="899"/>
      <c r="BV67" s="901">
        <v>86</v>
      </c>
      <c r="BW67" s="901">
        <v>86</v>
      </c>
      <c r="BX67" s="901">
        <v>25</v>
      </c>
      <c r="BY67" s="901"/>
      <c r="BZ67" s="901">
        <v>25</v>
      </c>
      <c r="CA67" s="901"/>
      <c r="CB67" s="901"/>
      <c r="CC67" s="901"/>
      <c r="CD67" s="901"/>
      <c r="CE67" s="901"/>
      <c r="CF67" s="901"/>
      <c r="CG67" s="901"/>
      <c r="CH67" s="901"/>
      <c r="CI67" s="901"/>
      <c r="CJ67" s="901"/>
      <c r="CK67" s="901"/>
      <c r="CL67" s="901"/>
      <c r="CM67" s="901"/>
      <c r="CN67" s="901"/>
      <c r="CO67" s="901"/>
      <c r="CP67" s="901"/>
      <c r="CQ67" s="901"/>
      <c r="CR67" s="901"/>
      <c r="CS67" s="902">
        <f>SUM(BY67:CR67)</f>
        <v>25</v>
      </c>
      <c r="CT67" s="871">
        <f t="shared" si="17"/>
        <v>25</v>
      </c>
      <c r="CU67" s="871">
        <f t="shared" si="18"/>
        <v>0</v>
      </c>
      <c r="CV67" s="942" t="s">
        <v>5512</v>
      </c>
      <c r="CW67" s="710"/>
      <c r="CX67" s="710"/>
      <c r="CY67" s="710"/>
      <c r="CZ67" s="899"/>
      <c r="DA67" s="899"/>
      <c r="DB67" s="899"/>
      <c r="DC67" s="710" t="s">
        <v>279</v>
      </c>
      <c r="DD67" s="710"/>
      <c r="DE67" s="710"/>
      <c r="DF67" s="901"/>
      <c r="DG67" s="901"/>
      <c r="DH67" s="901">
        <v>2</v>
      </c>
      <c r="DI67" s="710" t="s">
        <v>278</v>
      </c>
      <c r="DJ67" s="710" t="s">
        <v>2206</v>
      </c>
      <c r="DK67" s="901">
        <v>652</v>
      </c>
      <c r="DL67" s="710" t="s">
        <v>278</v>
      </c>
      <c r="DM67" s="710" t="s">
        <v>2190</v>
      </c>
      <c r="DN67" s="901">
        <v>1100</v>
      </c>
      <c r="DO67" s="710" t="s">
        <v>279</v>
      </c>
      <c r="DP67" s="710"/>
      <c r="DQ67" s="901"/>
      <c r="DR67" s="710" t="s">
        <v>278</v>
      </c>
      <c r="DS67" s="710" t="s">
        <v>2206</v>
      </c>
      <c r="DT67" s="901">
        <v>2</v>
      </c>
      <c r="DU67" s="710" t="s">
        <v>279</v>
      </c>
      <c r="DV67" s="710"/>
      <c r="DW67" s="901"/>
      <c r="DX67" s="710" t="s">
        <v>279</v>
      </c>
      <c r="DY67" s="710"/>
      <c r="DZ67" s="901"/>
      <c r="EA67" s="710" t="s">
        <v>279</v>
      </c>
      <c r="EB67" s="710"/>
      <c r="EC67" s="901"/>
      <c r="ED67" s="710" t="s">
        <v>279</v>
      </c>
      <c r="EE67" s="710"/>
      <c r="EF67" s="901"/>
      <c r="EG67" s="710" t="s">
        <v>279</v>
      </c>
      <c r="EH67" s="710"/>
      <c r="EI67" s="901"/>
      <c r="EJ67" s="710" t="s">
        <v>279</v>
      </c>
      <c r="EK67" s="710"/>
      <c r="EL67" s="901"/>
      <c r="EM67" s="710" t="s">
        <v>278</v>
      </c>
      <c r="EN67" s="710"/>
      <c r="EO67" s="901">
        <v>24</v>
      </c>
      <c r="EP67" s="710" t="s">
        <v>278</v>
      </c>
      <c r="EQ67" s="710"/>
      <c r="ER67" s="901">
        <v>24</v>
      </c>
      <c r="ES67" s="710" t="s">
        <v>279</v>
      </c>
      <c r="ET67" s="710"/>
      <c r="EU67" s="901"/>
      <c r="EV67" s="904">
        <v>1</v>
      </c>
      <c r="EW67" s="710"/>
      <c r="EX67" s="860">
        <v>69</v>
      </c>
      <c r="EY67" s="710" t="s">
        <v>279</v>
      </c>
      <c r="EZ67" s="710"/>
      <c r="FA67" s="710" t="s">
        <v>278</v>
      </c>
      <c r="FB67" s="710" t="s">
        <v>2207</v>
      </c>
      <c r="FC67" s="945" t="s">
        <v>2208</v>
      </c>
      <c r="FD67" s="710"/>
      <c r="FE67" s="710"/>
      <c r="FF67" s="710" t="s">
        <v>2209</v>
      </c>
      <c r="FG67" s="710"/>
      <c r="FH67" s="710"/>
      <c r="FI67" s="710"/>
      <c r="FJ67" s="710"/>
      <c r="FK67" s="710" t="s">
        <v>2210</v>
      </c>
      <c r="FL67" s="710" t="s">
        <v>2211</v>
      </c>
      <c r="FM67" s="945" t="s">
        <v>2212</v>
      </c>
      <c r="FN67" s="710" t="s">
        <v>2196</v>
      </c>
      <c r="FO67" s="710" t="s">
        <v>2197</v>
      </c>
      <c r="FP67" s="945" t="s">
        <v>2198</v>
      </c>
    </row>
    <row r="68" spans="2:172" ht="99.5" customHeight="1">
      <c r="B68" s="850" t="s">
        <v>5315</v>
      </c>
      <c r="C68" s="863"/>
      <c r="D68" s="850" t="s">
        <v>4933</v>
      </c>
      <c r="E68" s="863"/>
      <c r="F68" s="879">
        <v>1</v>
      </c>
      <c r="G68" s="850" t="s">
        <v>4933</v>
      </c>
      <c r="I68" s="850" t="s">
        <v>5525</v>
      </c>
      <c r="J68" s="850" t="s">
        <v>5416</v>
      </c>
      <c r="K68" s="710" t="s">
        <v>222</v>
      </c>
      <c r="L68" s="710"/>
      <c r="M68" s="710" t="s">
        <v>2213</v>
      </c>
      <c r="N68" s="710" t="s">
        <v>2214</v>
      </c>
      <c r="O68" s="895">
        <v>2015</v>
      </c>
      <c r="P68" s="896">
        <v>43466</v>
      </c>
      <c r="Q68" s="896">
        <v>43814</v>
      </c>
      <c r="R68" s="712">
        <f t="shared" si="20"/>
        <v>348</v>
      </c>
      <c r="S68" s="710" t="s">
        <v>2215</v>
      </c>
      <c r="T68" s="710" t="s">
        <v>2216</v>
      </c>
      <c r="U68" s="953" t="s">
        <v>2217</v>
      </c>
      <c r="V68" s="710"/>
      <c r="W68" s="710"/>
      <c r="X68" s="710"/>
      <c r="Y68" s="710"/>
      <c r="Z68" s="710"/>
      <c r="AA68" s="710"/>
      <c r="AB68" s="710"/>
      <c r="AC68" s="710"/>
      <c r="AD68" s="710" t="s">
        <v>2218</v>
      </c>
      <c r="AE68" s="710" t="s">
        <v>2218</v>
      </c>
      <c r="AF68" s="710" t="s">
        <v>277</v>
      </c>
      <c r="AG68" s="710" t="s">
        <v>2187</v>
      </c>
      <c r="AH68" s="898">
        <v>123.2</v>
      </c>
      <c r="AI68" s="868">
        <f t="shared" si="1"/>
        <v>123.19999999999999</v>
      </c>
      <c r="AJ68" s="867">
        <f t="shared" si="2"/>
        <v>0</v>
      </c>
      <c r="AK68" s="898">
        <v>60</v>
      </c>
      <c r="AL68" s="899">
        <v>0.48699999999999999</v>
      </c>
      <c r="AM68" s="899">
        <v>1.8E-3</v>
      </c>
      <c r="AN68" s="869">
        <f t="shared" si="3"/>
        <v>0.48701298701298701</v>
      </c>
      <c r="AO68" s="869">
        <f t="shared" si="4"/>
        <v>-1.2987012987020208E-5</v>
      </c>
      <c r="AP68" s="899"/>
      <c r="AQ68" s="899"/>
      <c r="AR68" s="899"/>
      <c r="AS68" s="869">
        <f t="shared" si="5"/>
        <v>0</v>
      </c>
      <c r="AT68" s="869">
        <f t="shared" si="6"/>
        <v>0</v>
      </c>
      <c r="AU68" s="898">
        <v>36.299999999999997</v>
      </c>
      <c r="AV68" s="899">
        <v>0.29499999999999998</v>
      </c>
      <c r="AW68" s="869">
        <f t="shared" si="7"/>
        <v>0.2946428571428571</v>
      </c>
      <c r="AX68" s="869">
        <f t="shared" si="8"/>
        <v>3.5714285714288918E-4</v>
      </c>
      <c r="AY68" s="898">
        <v>9</v>
      </c>
      <c r="AZ68" s="899">
        <v>7.2999999999999995E-2</v>
      </c>
      <c r="BA68" s="869">
        <f t="shared" si="9"/>
        <v>7.3051948051948049E-2</v>
      </c>
      <c r="BB68" s="869">
        <f t="shared" si="10"/>
        <v>-5.1948051948053076E-5</v>
      </c>
      <c r="BC68" s="898">
        <v>17.899999999999999</v>
      </c>
      <c r="BD68" s="899">
        <v>0.14499999999999999</v>
      </c>
      <c r="BE68" s="869">
        <f t="shared" si="11"/>
        <v>0.14529220779220778</v>
      </c>
      <c r="BF68" s="869">
        <f t="shared" si="12"/>
        <v>-2.9220779220778814E-4</v>
      </c>
      <c r="BG68" s="898"/>
      <c r="BH68" s="899"/>
      <c r="BI68" s="710"/>
      <c r="BJ68" s="710"/>
      <c r="BK68" s="710"/>
      <c r="BL68" s="714">
        <f t="shared" si="13"/>
        <v>0</v>
      </c>
      <c r="BM68" s="869">
        <f t="shared" si="14"/>
        <v>0</v>
      </c>
      <c r="BN68" s="898"/>
      <c r="BO68" s="899"/>
      <c r="BP68" s="869">
        <f t="shared" si="15"/>
        <v>0</v>
      </c>
      <c r="BQ68" s="869">
        <f t="shared" si="16"/>
        <v>0</v>
      </c>
      <c r="BR68" s="898">
        <v>80</v>
      </c>
      <c r="BS68" s="899">
        <v>2.0999999999999999E-3</v>
      </c>
      <c r="BT68" s="899"/>
      <c r="BU68" s="899"/>
      <c r="BV68" s="901">
        <v>336</v>
      </c>
      <c r="BW68" s="901">
        <v>302</v>
      </c>
      <c r="BX68" s="955">
        <v>155</v>
      </c>
      <c r="BY68" s="901">
        <v>25</v>
      </c>
      <c r="BZ68" s="901">
        <v>8</v>
      </c>
      <c r="CA68" s="901">
        <v>22</v>
      </c>
      <c r="CB68" s="901"/>
      <c r="CC68" s="901"/>
      <c r="CD68" s="901">
        <v>5</v>
      </c>
      <c r="CE68" s="901">
        <v>21</v>
      </c>
      <c r="CF68" s="901">
        <v>14</v>
      </c>
      <c r="CG68" s="901">
        <v>11</v>
      </c>
      <c r="CH68" s="901">
        <v>15</v>
      </c>
      <c r="CI68" s="901">
        <v>23</v>
      </c>
      <c r="CJ68" s="901">
        <v>11</v>
      </c>
      <c r="CK68" s="901"/>
      <c r="CL68" s="901"/>
      <c r="CM68" s="901"/>
      <c r="CN68" s="901"/>
      <c r="CO68" s="901"/>
      <c r="CP68" s="901"/>
      <c r="CQ68" s="901"/>
      <c r="CR68" s="901"/>
      <c r="CS68" s="938">
        <f>SUM(BY68:CR68)</f>
        <v>155</v>
      </c>
      <c r="CT68" s="871">
        <f t="shared" si="17"/>
        <v>155</v>
      </c>
      <c r="CU68" s="871">
        <f t="shared" si="18"/>
        <v>0</v>
      </c>
      <c r="CV68" s="942">
        <v>350.3</v>
      </c>
      <c r="CW68" s="710" t="s">
        <v>2219</v>
      </c>
      <c r="CX68" s="710"/>
      <c r="CY68" s="710">
        <v>55</v>
      </c>
      <c r="CZ68" s="899"/>
      <c r="DA68" s="899"/>
      <c r="DB68" s="899"/>
      <c r="DC68" s="710" t="s">
        <v>279</v>
      </c>
      <c r="DD68" s="710"/>
      <c r="DE68" s="710"/>
      <c r="DF68" s="901"/>
      <c r="DG68" s="901"/>
      <c r="DH68" s="901">
        <v>1</v>
      </c>
      <c r="DI68" s="710" t="s">
        <v>278</v>
      </c>
      <c r="DJ68" s="710" t="s">
        <v>2220</v>
      </c>
      <c r="DK68" s="901">
        <v>1507</v>
      </c>
      <c r="DL68" s="710" t="s">
        <v>278</v>
      </c>
      <c r="DM68" s="710" t="s">
        <v>2221</v>
      </c>
      <c r="DN68" s="901">
        <v>11200</v>
      </c>
      <c r="DO68" s="710" t="s">
        <v>279</v>
      </c>
      <c r="DP68" s="710"/>
      <c r="DQ68" s="901"/>
      <c r="DR68" s="710" t="s">
        <v>278</v>
      </c>
      <c r="DS68" s="710" t="s">
        <v>2222</v>
      </c>
      <c r="DT68" s="901">
        <v>151</v>
      </c>
      <c r="DU68" s="710" t="s">
        <v>279</v>
      </c>
      <c r="DV68" s="710"/>
      <c r="DW68" s="901"/>
      <c r="DX68" s="710" t="s">
        <v>279</v>
      </c>
      <c r="DY68" s="710"/>
      <c r="DZ68" s="901"/>
      <c r="EA68" s="710" t="s">
        <v>278</v>
      </c>
      <c r="EB68" s="931"/>
      <c r="EC68" s="901">
        <v>350</v>
      </c>
      <c r="ED68" s="710" t="s">
        <v>278</v>
      </c>
      <c r="EE68" s="710" t="s">
        <v>2223</v>
      </c>
      <c r="EF68" s="901">
        <v>11200</v>
      </c>
      <c r="EG68" s="710" t="s">
        <v>279</v>
      </c>
      <c r="EH68" s="710"/>
      <c r="EI68" s="901"/>
      <c r="EJ68" s="710" t="s">
        <v>279</v>
      </c>
      <c r="EK68" s="710"/>
      <c r="EL68" s="901"/>
      <c r="EM68" s="710" t="s">
        <v>278</v>
      </c>
      <c r="EN68" s="710" t="s">
        <v>1685</v>
      </c>
      <c r="EO68" s="901">
        <v>24</v>
      </c>
      <c r="EP68" s="710" t="s">
        <v>279</v>
      </c>
      <c r="EQ68" s="710"/>
      <c r="ER68" s="901"/>
      <c r="ES68" s="710" t="s">
        <v>279</v>
      </c>
      <c r="ET68" s="710"/>
      <c r="EU68" s="901"/>
      <c r="EV68" s="710">
        <v>100</v>
      </c>
      <c r="EW68" s="710"/>
      <c r="EX68" s="860">
        <v>29</v>
      </c>
      <c r="EY68" s="710" t="s">
        <v>279</v>
      </c>
      <c r="EZ68" s="710"/>
      <c r="FA68" s="710" t="s">
        <v>278</v>
      </c>
      <c r="FB68" s="710" t="s">
        <v>2224</v>
      </c>
      <c r="FC68" s="861" t="s">
        <v>2225</v>
      </c>
      <c r="FD68" s="710"/>
      <c r="FE68" s="710"/>
      <c r="FF68" s="710"/>
      <c r="FG68" s="710"/>
      <c r="FH68" s="710"/>
      <c r="FI68" s="710"/>
      <c r="FJ68" s="710"/>
      <c r="FK68" s="710" t="s">
        <v>2226</v>
      </c>
      <c r="FL68" s="710" t="s">
        <v>2227</v>
      </c>
      <c r="FM68" s="861" t="s">
        <v>2228</v>
      </c>
      <c r="FN68" s="710" t="s">
        <v>2196</v>
      </c>
      <c r="FO68" s="710" t="s">
        <v>2197</v>
      </c>
      <c r="FP68" s="861" t="s">
        <v>2198</v>
      </c>
    </row>
    <row r="69" spans="2:172" ht="56.5" customHeight="1">
      <c r="B69" s="863"/>
      <c r="C69" s="863"/>
      <c r="D69" s="863"/>
      <c r="E69" s="863"/>
      <c r="F69" s="863"/>
      <c r="I69" s="850" t="s">
        <v>5523</v>
      </c>
      <c r="J69" s="850" t="s">
        <v>5417</v>
      </c>
      <c r="K69" s="710" t="s">
        <v>223</v>
      </c>
      <c r="L69" s="710"/>
      <c r="M69" s="710"/>
      <c r="N69" s="710"/>
      <c r="O69" s="895"/>
      <c r="P69" s="896"/>
      <c r="Q69" s="896"/>
      <c r="R69" s="712">
        <f t="shared" si="20"/>
        <v>0</v>
      </c>
      <c r="S69" s="710"/>
      <c r="T69" s="710"/>
      <c r="U69" s="710"/>
      <c r="V69" s="710"/>
      <c r="W69" s="710"/>
      <c r="X69" s="710"/>
      <c r="Y69" s="710"/>
      <c r="Z69" s="710"/>
      <c r="AA69" s="710"/>
      <c r="AB69" s="710"/>
      <c r="AC69" s="710"/>
      <c r="AD69" s="710"/>
      <c r="AE69" s="710"/>
      <c r="AF69" s="710"/>
      <c r="AG69" s="710"/>
      <c r="AH69" s="898"/>
      <c r="AI69" s="868">
        <f t="shared" si="1"/>
        <v>0</v>
      </c>
      <c r="AJ69" s="867">
        <f t="shared" si="2"/>
        <v>0</v>
      </c>
      <c r="AK69" s="898"/>
      <c r="AL69" s="899"/>
      <c r="AM69" s="899"/>
      <c r="AN69" s="869" t="e">
        <f t="shared" si="3"/>
        <v>#DIV/0!</v>
      </c>
      <c r="AO69" s="869" t="e">
        <f t="shared" si="4"/>
        <v>#DIV/0!</v>
      </c>
      <c r="AP69" s="899"/>
      <c r="AQ69" s="899"/>
      <c r="AR69" s="899"/>
      <c r="AS69" s="869" t="e">
        <f t="shared" si="5"/>
        <v>#DIV/0!</v>
      </c>
      <c r="AT69" s="869" t="e">
        <f t="shared" si="6"/>
        <v>#DIV/0!</v>
      </c>
      <c r="AU69" s="898"/>
      <c r="AV69" s="899"/>
      <c r="AW69" s="869" t="e">
        <f t="shared" si="7"/>
        <v>#DIV/0!</v>
      </c>
      <c r="AX69" s="869" t="e">
        <f t="shared" si="8"/>
        <v>#DIV/0!</v>
      </c>
      <c r="AY69" s="898"/>
      <c r="AZ69" s="899"/>
      <c r="BA69" s="869" t="e">
        <f t="shared" si="9"/>
        <v>#DIV/0!</v>
      </c>
      <c r="BB69" s="869" t="e">
        <f t="shared" si="10"/>
        <v>#DIV/0!</v>
      </c>
      <c r="BC69" s="898"/>
      <c r="BD69" s="899"/>
      <c r="BE69" s="869" t="e">
        <f t="shared" si="11"/>
        <v>#DIV/0!</v>
      </c>
      <c r="BF69" s="869" t="e">
        <f t="shared" si="12"/>
        <v>#DIV/0!</v>
      </c>
      <c r="BG69" s="898"/>
      <c r="BH69" s="899"/>
      <c r="BI69" s="710"/>
      <c r="BJ69" s="710"/>
      <c r="BK69" s="710"/>
      <c r="BL69" s="714" t="e">
        <f t="shared" si="13"/>
        <v>#DIV/0!</v>
      </c>
      <c r="BM69" s="869" t="e">
        <f t="shared" si="14"/>
        <v>#DIV/0!</v>
      </c>
      <c r="BN69" s="898"/>
      <c r="BO69" s="899"/>
      <c r="BP69" s="869" t="e">
        <f t="shared" si="15"/>
        <v>#DIV/0!</v>
      </c>
      <c r="BQ69" s="869" t="e">
        <f t="shared" si="16"/>
        <v>#DIV/0!</v>
      </c>
      <c r="BR69" s="898"/>
      <c r="BS69" s="899"/>
      <c r="BT69" s="899"/>
      <c r="BU69" s="899"/>
      <c r="BV69" s="901"/>
      <c r="BW69" s="901"/>
      <c r="BX69" s="901"/>
      <c r="BY69" s="901"/>
      <c r="BZ69" s="901"/>
      <c r="CA69" s="901"/>
      <c r="CB69" s="901"/>
      <c r="CC69" s="901"/>
      <c r="CD69" s="901"/>
      <c r="CE69" s="901"/>
      <c r="CF69" s="901"/>
      <c r="CG69" s="901"/>
      <c r="CH69" s="901"/>
      <c r="CI69" s="901"/>
      <c r="CJ69" s="901"/>
      <c r="CK69" s="901"/>
      <c r="CL69" s="901"/>
      <c r="CM69" s="901"/>
      <c r="CN69" s="901"/>
      <c r="CO69" s="901"/>
      <c r="CP69" s="901"/>
      <c r="CQ69" s="901"/>
      <c r="CR69" s="901"/>
      <c r="CS69" s="902"/>
      <c r="CT69" s="871">
        <f t="shared" si="17"/>
        <v>0</v>
      </c>
      <c r="CU69" s="871">
        <f t="shared" si="18"/>
        <v>0</v>
      </c>
      <c r="CV69" s="942"/>
      <c r="CW69" s="710"/>
      <c r="CX69" s="710"/>
      <c r="CY69" s="899"/>
      <c r="CZ69" s="710"/>
      <c r="DA69" s="710"/>
      <c r="DB69" s="710"/>
      <c r="DC69" s="710"/>
      <c r="DD69" s="710"/>
      <c r="DE69" s="901"/>
      <c r="DF69" s="901"/>
      <c r="DG69" s="710"/>
      <c r="DH69" s="710"/>
      <c r="DI69" s="901"/>
      <c r="DJ69" s="710"/>
      <c r="DK69" s="710"/>
      <c r="DL69" s="901"/>
      <c r="DM69" s="710"/>
      <c r="DN69" s="710"/>
      <c r="DO69" s="901"/>
      <c r="DP69" s="710"/>
      <c r="DQ69" s="710"/>
      <c r="DR69" s="901"/>
      <c r="DS69" s="710"/>
      <c r="DT69" s="710"/>
      <c r="DU69" s="901"/>
      <c r="DV69" s="710"/>
      <c r="DW69" s="710"/>
      <c r="DX69" s="901"/>
      <c r="DY69" s="710"/>
      <c r="DZ69" s="710"/>
      <c r="EA69" s="901"/>
      <c r="EB69" s="710"/>
      <c r="EC69" s="710"/>
      <c r="ED69" s="901"/>
      <c r="EE69" s="710"/>
      <c r="EF69" s="710"/>
      <c r="EG69" s="901"/>
      <c r="EH69" s="710"/>
      <c r="EI69" s="710"/>
      <c r="EJ69" s="901"/>
      <c r="EK69" s="710"/>
      <c r="EL69" s="710"/>
      <c r="EM69" s="901"/>
      <c r="EN69" s="710"/>
      <c r="EO69" s="710"/>
      <c r="EP69" s="901"/>
      <c r="EQ69" s="710"/>
      <c r="ER69" s="710"/>
      <c r="ES69" s="901"/>
      <c r="ET69" s="710"/>
      <c r="EU69" s="710"/>
      <c r="EV69" s="860"/>
      <c r="EW69" s="710"/>
      <c r="EX69" s="710"/>
      <c r="EY69" s="710"/>
      <c r="EZ69" s="710"/>
      <c r="FA69" s="710"/>
      <c r="FB69" s="710"/>
      <c r="FC69" s="710"/>
      <c r="FD69" s="710"/>
      <c r="FE69" s="710"/>
      <c r="FF69" s="710"/>
      <c r="FG69" s="710"/>
      <c r="FH69" s="710"/>
      <c r="FI69" s="710"/>
      <c r="FJ69" s="949"/>
      <c r="FK69" s="949"/>
      <c r="FL69" s="949"/>
      <c r="FM69" s="949"/>
      <c r="FN69" s="949"/>
      <c r="FO69" s="949"/>
      <c r="FP69" s="949"/>
    </row>
    <row r="70" spans="2:172" ht="138" customHeight="1">
      <c r="B70" s="850" t="s">
        <v>5315</v>
      </c>
      <c r="C70" s="850" t="s">
        <v>5330</v>
      </c>
      <c r="D70" s="850" t="s">
        <v>4934</v>
      </c>
      <c r="E70" s="850" t="s">
        <v>5314</v>
      </c>
      <c r="F70" s="863"/>
      <c r="H70" s="850" t="s">
        <v>4934</v>
      </c>
      <c r="I70" s="850" t="s">
        <v>5523</v>
      </c>
      <c r="J70" s="850" t="s">
        <v>5417</v>
      </c>
      <c r="K70" s="710" t="s">
        <v>223</v>
      </c>
      <c r="L70" s="710" t="s">
        <v>2857</v>
      </c>
      <c r="M70" s="710" t="s">
        <v>2858</v>
      </c>
      <c r="N70" s="710" t="s">
        <v>2859</v>
      </c>
      <c r="O70" s="895">
        <v>2019</v>
      </c>
      <c r="P70" s="896">
        <v>43466</v>
      </c>
      <c r="Q70" s="896">
        <v>43830</v>
      </c>
      <c r="R70" s="712">
        <f t="shared" si="20"/>
        <v>364</v>
      </c>
      <c r="S70" s="896"/>
      <c r="T70" s="896"/>
      <c r="U70" s="896"/>
      <c r="V70" s="896"/>
      <c r="W70" s="896"/>
      <c r="X70" s="896"/>
      <c r="Y70" s="896"/>
      <c r="Z70" s="896"/>
      <c r="AA70" s="896"/>
      <c r="AB70" s="710" t="s">
        <v>2860</v>
      </c>
      <c r="AC70" s="861" t="s">
        <v>2861</v>
      </c>
      <c r="AD70" s="710" t="s">
        <v>2862</v>
      </c>
      <c r="AE70" s="710" t="s">
        <v>2863</v>
      </c>
      <c r="AF70" s="710" t="s">
        <v>277</v>
      </c>
      <c r="AG70" s="710" t="s">
        <v>2863</v>
      </c>
      <c r="AH70" s="898">
        <v>71.393000000000001</v>
      </c>
      <c r="AI70" s="868">
        <f t="shared" si="1"/>
        <v>71.393000000000001</v>
      </c>
      <c r="AJ70" s="867">
        <f t="shared" si="2"/>
        <v>0</v>
      </c>
      <c r="AK70" s="898"/>
      <c r="AL70" s="898"/>
      <c r="AM70" s="898"/>
      <c r="AN70" s="869">
        <f t="shared" si="3"/>
        <v>0</v>
      </c>
      <c r="AO70" s="869">
        <f t="shared" si="4"/>
        <v>0</v>
      </c>
      <c r="AP70" s="898"/>
      <c r="AQ70" s="899"/>
      <c r="AR70" s="899">
        <v>1.2999999999999999E-3</v>
      </c>
      <c r="AS70" s="869">
        <f t="shared" si="5"/>
        <v>0</v>
      </c>
      <c r="AT70" s="869">
        <f t="shared" si="6"/>
        <v>0</v>
      </c>
      <c r="AU70" s="942">
        <v>11.882999999999999</v>
      </c>
      <c r="AV70" s="899">
        <v>0.16639999999999999</v>
      </c>
      <c r="AW70" s="869">
        <f t="shared" si="7"/>
        <v>0.16644488955499837</v>
      </c>
      <c r="AX70" s="869">
        <f t="shared" si="8"/>
        <v>-4.4889554998372994E-5</v>
      </c>
      <c r="AY70" s="898">
        <v>21.074000000000002</v>
      </c>
      <c r="AZ70" s="899">
        <v>0.29520000000000002</v>
      </c>
      <c r="BA70" s="869">
        <f t="shared" si="9"/>
        <v>0.29518300113456503</v>
      </c>
      <c r="BB70" s="869">
        <f t="shared" si="10"/>
        <v>1.6998865434991739E-5</v>
      </c>
      <c r="BC70" s="898">
        <v>38.436</v>
      </c>
      <c r="BD70" s="899">
        <v>0.53839999999999999</v>
      </c>
      <c r="BE70" s="869">
        <f t="shared" si="11"/>
        <v>0.53837210931043655</v>
      </c>
      <c r="BF70" s="869">
        <f t="shared" si="12"/>
        <v>2.7890689563436766E-5</v>
      </c>
      <c r="BG70" s="899"/>
      <c r="BH70" s="899"/>
      <c r="BI70" s="899"/>
      <c r="BJ70" s="899"/>
      <c r="BK70" s="899"/>
      <c r="BL70" s="714">
        <f t="shared" si="13"/>
        <v>0</v>
      </c>
      <c r="BM70" s="869">
        <f t="shared" si="14"/>
        <v>0</v>
      </c>
      <c r="BN70" s="898"/>
      <c r="BO70" s="899"/>
      <c r="BP70" s="869">
        <f t="shared" si="15"/>
        <v>0</v>
      </c>
      <c r="BQ70" s="869">
        <f t="shared" si="16"/>
        <v>0</v>
      </c>
      <c r="BR70" s="899"/>
      <c r="BS70" s="899"/>
      <c r="BT70" s="898">
        <v>1451.4690000000001</v>
      </c>
      <c r="BU70" s="899">
        <v>0.14069999999999999</v>
      </c>
      <c r="BV70" s="901">
        <v>140</v>
      </c>
      <c r="BW70" s="901">
        <v>140</v>
      </c>
      <c r="BX70" s="901">
        <v>140</v>
      </c>
      <c r="BY70" s="901"/>
      <c r="BZ70" s="901">
        <v>136</v>
      </c>
      <c r="CA70" s="901" t="s">
        <v>410</v>
      </c>
      <c r="CB70" s="901" t="s">
        <v>410</v>
      </c>
      <c r="CC70" s="901" t="s">
        <v>410</v>
      </c>
      <c r="CD70" s="901" t="s">
        <v>410</v>
      </c>
      <c r="CE70" s="901" t="s">
        <v>410</v>
      </c>
      <c r="CF70" s="901" t="s">
        <v>410</v>
      </c>
      <c r="CG70" s="901" t="s">
        <v>410</v>
      </c>
      <c r="CH70" s="901" t="s">
        <v>410</v>
      </c>
      <c r="CI70" s="901" t="s">
        <v>410</v>
      </c>
      <c r="CJ70" s="901">
        <v>4</v>
      </c>
      <c r="CK70" s="901" t="s">
        <v>410</v>
      </c>
      <c r="CL70" s="901" t="s">
        <v>410</v>
      </c>
      <c r="CM70" s="901" t="s">
        <v>410</v>
      </c>
      <c r="CN70" s="901" t="s">
        <v>410</v>
      </c>
      <c r="CO70" s="901" t="s">
        <v>410</v>
      </c>
      <c r="CP70" s="901" t="s">
        <v>410</v>
      </c>
      <c r="CQ70" s="901" t="s">
        <v>410</v>
      </c>
      <c r="CR70" s="901" t="s">
        <v>410</v>
      </c>
      <c r="CS70" s="902">
        <f t="shared" ref="CS70:CS78" si="23">SUM(BY70:CR70)</f>
        <v>140</v>
      </c>
      <c r="CT70" s="871">
        <f t="shared" si="17"/>
        <v>140</v>
      </c>
      <c r="CU70" s="871">
        <f t="shared" si="18"/>
        <v>0</v>
      </c>
      <c r="CV70" s="942">
        <v>141.49600000000001</v>
      </c>
      <c r="CW70" s="710" t="s">
        <v>2864</v>
      </c>
      <c r="CX70" s="710" t="s">
        <v>410</v>
      </c>
      <c r="CY70" s="710"/>
      <c r="CZ70" s="710"/>
      <c r="DA70" s="710">
        <v>41.8</v>
      </c>
      <c r="DB70" s="899" t="s">
        <v>410</v>
      </c>
      <c r="DC70" s="710" t="s">
        <v>279</v>
      </c>
      <c r="DD70" s="710" t="s">
        <v>410</v>
      </c>
      <c r="DE70" s="710" t="s">
        <v>410</v>
      </c>
      <c r="DF70" s="901" t="s">
        <v>410</v>
      </c>
      <c r="DG70" s="901" t="s">
        <v>410</v>
      </c>
      <c r="DH70" s="901">
        <v>6</v>
      </c>
      <c r="DI70" s="710" t="s">
        <v>279</v>
      </c>
      <c r="DJ70" s="710" t="s">
        <v>410</v>
      </c>
      <c r="DK70" s="901" t="s">
        <v>410</v>
      </c>
      <c r="DL70" s="710" t="s">
        <v>278</v>
      </c>
      <c r="DM70" s="710" t="s">
        <v>2865</v>
      </c>
      <c r="DN70" s="901">
        <v>2498</v>
      </c>
      <c r="DO70" s="710" t="s">
        <v>279</v>
      </c>
      <c r="DP70" s="710" t="s">
        <v>410</v>
      </c>
      <c r="DQ70" s="901" t="s">
        <v>410</v>
      </c>
      <c r="DR70" s="710" t="s">
        <v>279</v>
      </c>
      <c r="DS70" s="710" t="s">
        <v>410</v>
      </c>
      <c r="DT70" s="901" t="s">
        <v>410</v>
      </c>
      <c r="DU70" s="710" t="s">
        <v>279</v>
      </c>
      <c r="DV70" s="710" t="s">
        <v>410</v>
      </c>
      <c r="DW70" s="901" t="s">
        <v>410</v>
      </c>
      <c r="DX70" s="710" t="s">
        <v>279</v>
      </c>
      <c r="DY70" s="710" t="s">
        <v>410</v>
      </c>
      <c r="DZ70" s="901" t="s">
        <v>410</v>
      </c>
      <c r="EA70" s="710" t="s">
        <v>279</v>
      </c>
      <c r="EB70" s="710" t="s">
        <v>410</v>
      </c>
      <c r="EC70" s="901" t="s">
        <v>410</v>
      </c>
      <c r="ED70" s="710" t="s">
        <v>278</v>
      </c>
      <c r="EE70" s="710" t="s">
        <v>2673</v>
      </c>
      <c r="EF70" s="901">
        <v>2680</v>
      </c>
      <c r="EG70" s="710" t="s">
        <v>279</v>
      </c>
      <c r="EH70" s="710" t="s">
        <v>410</v>
      </c>
      <c r="EI70" s="901" t="s">
        <v>410</v>
      </c>
      <c r="EJ70" s="710" t="s">
        <v>279</v>
      </c>
      <c r="EK70" s="710" t="s">
        <v>410</v>
      </c>
      <c r="EL70" s="901" t="s">
        <v>410</v>
      </c>
      <c r="EM70" s="710" t="s">
        <v>279</v>
      </c>
      <c r="EN70" s="710" t="s">
        <v>410</v>
      </c>
      <c r="EO70" s="901" t="s">
        <v>410</v>
      </c>
      <c r="EP70" s="710" t="s">
        <v>279</v>
      </c>
      <c r="EQ70" s="710" t="s">
        <v>410</v>
      </c>
      <c r="ER70" s="901" t="s">
        <v>410</v>
      </c>
      <c r="ES70" s="710" t="s">
        <v>279</v>
      </c>
      <c r="ET70" s="710" t="s">
        <v>410</v>
      </c>
      <c r="EU70" s="901" t="s">
        <v>410</v>
      </c>
      <c r="EV70" s="901"/>
      <c r="EW70" s="901"/>
      <c r="EX70" s="901"/>
      <c r="EY70" s="710" t="s">
        <v>279</v>
      </c>
      <c r="EZ70" s="710" t="s">
        <v>410</v>
      </c>
      <c r="FA70" s="710" t="s">
        <v>278</v>
      </c>
      <c r="FB70" s="710" t="s">
        <v>2866</v>
      </c>
      <c r="FC70" s="710" t="s">
        <v>2867</v>
      </c>
      <c r="FD70" s="710" t="s">
        <v>410</v>
      </c>
      <c r="FE70" s="710"/>
      <c r="FF70" s="710" t="s">
        <v>2868</v>
      </c>
      <c r="FG70" s="710" t="s">
        <v>2869</v>
      </c>
      <c r="FH70" s="710" t="s">
        <v>2870</v>
      </c>
      <c r="FI70" s="710">
        <v>1</v>
      </c>
      <c r="FJ70" s="710">
        <v>100</v>
      </c>
      <c r="FK70" s="710" t="s">
        <v>2871</v>
      </c>
      <c r="FL70" s="710" t="s">
        <v>2872</v>
      </c>
      <c r="FM70" s="710" t="s">
        <v>2873</v>
      </c>
      <c r="FN70" s="710"/>
      <c r="FO70" s="710"/>
      <c r="FP70" s="710"/>
    </row>
    <row r="71" spans="2:172" ht="114.5" customHeight="1">
      <c r="B71" s="850" t="s">
        <v>5313</v>
      </c>
      <c r="C71" s="863"/>
      <c r="D71" s="850" t="s">
        <v>4933</v>
      </c>
      <c r="E71" s="850" t="s">
        <v>5314</v>
      </c>
      <c r="F71" s="850" t="s">
        <v>5337</v>
      </c>
      <c r="G71" s="850" t="s">
        <v>4933</v>
      </c>
      <c r="I71" s="850" t="s">
        <v>5518</v>
      </c>
      <c r="J71" s="850" t="s">
        <v>5418</v>
      </c>
      <c r="K71" s="710" t="s">
        <v>224</v>
      </c>
      <c r="L71" s="710"/>
      <c r="M71" s="710" t="s">
        <v>495</v>
      </c>
      <c r="N71" s="710"/>
      <c r="O71" s="895">
        <v>2017</v>
      </c>
      <c r="P71" s="896">
        <v>43361</v>
      </c>
      <c r="Q71" s="896">
        <v>43824</v>
      </c>
      <c r="R71" s="712">
        <f t="shared" si="20"/>
        <v>463</v>
      </c>
      <c r="S71" s="710" t="s">
        <v>496</v>
      </c>
      <c r="T71" s="710" t="s">
        <v>497</v>
      </c>
      <c r="U71" s="945" t="s">
        <v>498</v>
      </c>
      <c r="V71" s="710"/>
      <c r="W71" s="710"/>
      <c r="X71" s="710"/>
      <c r="Y71" s="710"/>
      <c r="Z71" s="710"/>
      <c r="AA71" s="710"/>
      <c r="AB71" s="710"/>
      <c r="AC71" s="710"/>
      <c r="AD71" s="710" t="s">
        <v>499</v>
      </c>
      <c r="AE71" s="710" t="s">
        <v>499</v>
      </c>
      <c r="AF71" s="710" t="s">
        <v>454</v>
      </c>
      <c r="AG71" s="710" t="s">
        <v>500</v>
      </c>
      <c r="AH71" s="898">
        <v>120.3</v>
      </c>
      <c r="AI71" s="868">
        <f t="shared" si="1"/>
        <v>120.3</v>
      </c>
      <c r="AJ71" s="867">
        <f t="shared" si="2"/>
        <v>0</v>
      </c>
      <c r="AK71" s="898">
        <v>98.6</v>
      </c>
      <c r="AL71" s="899">
        <v>0.82</v>
      </c>
      <c r="AM71" s="899">
        <v>4.0000000000000002E-4</v>
      </c>
      <c r="AN71" s="869">
        <f t="shared" si="3"/>
        <v>0.81961762261014126</v>
      </c>
      <c r="AO71" s="869">
        <f t="shared" si="4"/>
        <v>3.8237738985869019E-4</v>
      </c>
      <c r="AP71" s="899"/>
      <c r="AQ71" s="899"/>
      <c r="AR71" s="899"/>
      <c r="AS71" s="869">
        <f t="shared" si="5"/>
        <v>0</v>
      </c>
      <c r="AT71" s="869">
        <f t="shared" si="6"/>
        <v>0</v>
      </c>
      <c r="AU71" s="898">
        <v>8.8000000000000007</v>
      </c>
      <c r="AV71" s="899">
        <v>7.2999999999999995E-2</v>
      </c>
      <c r="AW71" s="869">
        <f t="shared" si="7"/>
        <v>7.3150457190357454E-2</v>
      </c>
      <c r="AX71" s="869">
        <f t="shared" si="8"/>
        <v>-1.5045719035745864E-4</v>
      </c>
      <c r="AY71" s="898">
        <v>5.5</v>
      </c>
      <c r="AZ71" s="899">
        <v>4.5999999999999999E-2</v>
      </c>
      <c r="BA71" s="869">
        <f t="shared" si="9"/>
        <v>4.5719035743973402E-2</v>
      </c>
      <c r="BB71" s="869">
        <f t="shared" si="10"/>
        <v>2.8096425602659736E-4</v>
      </c>
      <c r="BC71" s="898">
        <v>7.4</v>
      </c>
      <c r="BD71" s="899">
        <v>6.0999999999999999E-2</v>
      </c>
      <c r="BE71" s="869">
        <f t="shared" si="11"/>
        <v>6.1512884455527848E-2</v>
      </c>
      <c r="BF71" s="869">
        <f t="shared" si="12"/>
        <v>-5.1288445552784973E-4</v>
      </c>
      <c r="BG71" s="898"/>
      <c r="BH71" s="899"/>
      <c r="BI71" s="710"/>
      <c r="BJ71" s="710"/>
      <c r="BK71" s="710"/>
      <c r="BL71" s="714">
        <f t="shared" si="13"/>
        <v>0</v>
      </c>
      <c r="BM71" s="869">
        <f t="shared" si="14"/>
        <v>0</v>
      </c>
      <c r="BN71" s="898"/>
      <c r="BO71" s="899"/>
      <c r="BP71" s="869">
        <f t="shared" si="15"/>
        <v>0</v>
      </c>
      <c r="BQ71" s="869">
        <f t="shared" si="16"/>
        <v>0</v>
      </c>
      <c r="BR71" s="898">
        <v>140</v>
      </c>
      <c r="BS71" s="899">
        <v>5.0000000000000001E-4</v>
      </c>
      <c r="BT71" s="899"/>
      <c r="BU71" s="899"/>
      <c r="BV71" s="901">
        <v>408</v>
      </c>
      <c r="BW71" s="901">
        <v>114</v>
      </c>
      <c r="BX71" s="901">
        <v>114</v>
      </c>
      <c r="BY71" s="901">
        <v>12</v>
      </c>
      <c r="BZ71" s="901"/>
      <c r="CA71" s="901">
        <v>32</v>
      </c>
      <c r="CB71" s="901"/>
      <c r="CC71" s="901"/>
      <c r="CD71" s="901"/>
      <c r="CE71" s="901"/>
      <c r="CF71" s="901">
        <v>15</v>
      </c>
      <c r="CG71" s="901">
        <v>12</v>
      </c>
      <c r="CH71" s="901"/>
      <c r="CI71" s="901">
        <v>10</v>
      </c>
      <c r="CJ71" s="901">
        <v>14</v>
      </c>
      <c r="CK71" s="901">
        <v>16</v>
      </c>
      <c r="CL71" s="901"/>
      <c r="CM71" s="901"/>
      <c r="CN71" s="901"/>
      <c r="CO71" s="901"/>
      <c r="CP71" s="901"/>
      <c r="CQ71" s="901"/>
      <c r="CR71" s="901"/>
      <c r="CS71" s="902">
        <f t="shared" si="23"/>
        <v>111</v>
      </c>
      <c r="CT71" s="871">
        <f t="shared" si="17"/>
        <v>111</v>
      </c>
      <c r="CU71" s="871">
        <f t="shared" si="18"/>
        <v>0</v>
      </c>
      <c r="CV71" s="942">
        <v>182.38200000000001</v>
      </c>
      <c r="CW71" s="710" t="s">
        <v>501</v>
      </c>
      <c r="CX71" s="710"/>
      <c r="CY71" s="899">
        <v>6.4000000000000001E-2</v>
      </c>
      <c r="CZ71" s="943" t="s">
        <v>502</v>
      </c>
      <c r="DA71" s="943"/>
      <c r="DB71" s="943"/>
      <c r="DC71" s="710" t="s">
        <v>278</v>
      </c>
      <c r="DD71" s="710" t="s">
        <v>503</v>
      </c>
      <c r="DE71" s="710" t="s">
        <v>504</v>
      </c>
      <c r="DF71" s="901">
        <v>8</v>
      </c>
      <c r="DG71" s="901"/>
      <c r="DH71" s="901"/>
      <c r="DI71" s="710" t="s">
        <v>278</v>
      </c>
      <c r="DJ71" s="710" t="s">
        <v>505</v>
      </c>
      <c r="DK71" s="901">
        <v>28081</v>
      </c>
      <c r="DL71" s="710" t="s">
        <v>278</v>
      </c>
      <c r="DM71" s="710" t="s">
        <v>506</v>
      </c>
      <c r="DN71" s="901">
        <v>15876</v>
      </c>
      <c r="DO71" s="710" t="s">
        <v>279</v>
      </c>
      <c r="DP71" s="710"/>
      <c r="DQ71" s="901"/>
      <c r="DR71" s="710" t="s">
        <v>278</v>
      </c>
      <c r="DS71" s="710" t="s">
        <v>507</v>
      </c>
      <c r="DT71" s="901">
        <v>1362</v>
      </c>
      <c r="DU71" s="710" t="s">
        <v>279</v>
      </c>
      <c r="DV71" s="710"/>
      <c r="DW71" s="901"/>
      <c r="DX71" s="710" t="s">
        <v>278</v>
      </c>
      <c r="DY71" s="710" t="s">
        <v>508</v>
      </c>
      <c r="DZ71" s="901">
        <v>3098</v>
      </c>
      <c r="EA71" s="710" t="s">
        <v>279</v>
      </c>
      <c r="EB71" s="710"/>
      <c r="EC71" s="901"/>
      <c r="ED71" s="710" t="s">
        <v>278</v>
      </c>
      <c r="EE71" s="710" t="s">
        <v>509</v>
      </c>
      <c r="EF71" s="901">
        <v>15876</v>
      </c>
      <c r="EG71" s="710" t="s">
        <v>279</v>
      </c>
      <c r="EH71" s="710"/>
      <c r="EI71" s="901"/>
      <c r="EJ71" s="710" t="s">
        <v>279</v>
      </c>
      <c r="EK71" s="710"/>
      <c r="EL71" s="901"/>
      <c r="EM71" s="710" t="s">
        <v>278</v>
      </c>
      <c r="EN71" s="710" t="s">
        <v>510</v>
      </c>
      <c r="EO71" s="901">
        <v>14</v>
      </c>
      <c r="EP71" s="710" t="s">
        <v>278</v>
      </c>
      <c r="EQ71" s="710" t="s">
        <v>511</v>
      </c>
      <c r="ER71" s="901"/>
      <c r="ES71" s="710" t="s">
        <v>279</v>
      </c>
      <c r="ET71" s="710"/>
      <c r="EU71" s="901"/>
      <c r="EV71" s="710" t="s">
        <v>512</v>
      </c>
      <c r="EW71" s="710" t="s">
        <v>513</v>
      </c>
      <c r="EX71" s="860">
        <v>114</v>
      </c>
      <c r="EY71" s="710" t="s">
        <v>278</v>
      </c>
      <c r="EZ71" s="710" t="s">
        <v>514</v>
      </c>
      <c r="FA71" s="710" t="s">
        <v>278</v>
      </c>
      <c r="FB71" s="710" t="s">
        <v>515</v>
      </c>
      <c r="FC71" s="945" t="s">
        <v>516</v>
      </c>
      <c r="FD71" s="710" t="s">
        <v>517</v>
      </c>
      <c r="FE71" s="945" t="s">
        <v>518</v>
      </c>
      <c r="FF71" s="945" t="s">
        <v>519</v>
      </c>
      <c r="FG71" s="945" t="s">
        <v>520</v>
      </c>
      <c r="FH71" s="945" t="s">
        <v>521</v>
      </c>
      <c r="FI71" s="710">
        <v>19</v>
      </c>
      <c r="FJ71" s="710">
        <v>646</v>
      </c>
      <c r="FK71" s="710" t="s">
        <v>522</v>
      </c>
      <c r="FL71" s="710" t="s">
        <v>523</v>
      </c>
      <c r="FM71" s="945" t="s">
        <v>524</v>
      </c>
      <c r="FN71" s="710"/>
      <c r="FO71" s="710"/>
      <c r="FP71" s="710"/>
    </row>
    <row r="72" spans="2:172" ht="98" customHeight="1">
      <c r="B72" s="850" t="s">
        <v>5313</v>
      </c>
      <c r="C72" s="863"/>
      <c r="D72" s="850" t="s">
        <v>4934</v>
      </c>
      <c r="E72" s="850" t="s">
        <v>5314</v>
      </c>
      <c r="F72" s="863"/>
      <c r="H72" s="850" t="s">
        <v>4934</v>
      </c>
      <c r="I72" s="850" t="s">
        <v>5518</v>
      </c>
      <c r="J72" s="850" t="s">
        <v>5418</v>
      </c>
      <c r="K72" s="710" t="s">
        <v>224</v>
      </c>
      <c r="L72" s="710" t="s">
        <v>2874</v>
      </c>
      <c r="M72" s="710" t="s">
        <v>2875</v>
      </c>
      <c r="N72" s="710" t="s">
        <v>526</v>
      </c>
      <c r="O72" s="895">
        <v>2018</v>
      </c>
      <c r="P72" s="896">
        <v>43245</v>
      </c>
      <c r="Q72" s="896">
        <v>43830</v>
      </c>
      <c r="R72" s="712">
        <f t="shared" si="20"/>
        <v>585</v>
      </c>
      <c r="S72" s="896"/>
      <c r="T72" s="896"/>
      <c r="U72" s="896"/>
      <c r="V72" s="896"/>
      <c r="W72" s="896"/>
      <c r="X72" s="896"/>
      <c r="Y72" s="896"/>
      <c r="Z72" s="896"/>
      <c r="AA72" s="896"/>
      <c r="AB72" s="710" t="s">
        <v>2876</v>
      </c>
      <c r="AC72" s="710" t="s">
        <v>2877</v>
      </c>
      <c r="AD72" s="710" t="s">
        <v>2878</v>
      </c>
      <c r="AE72" s="710" t="s">
        <v>2879</v>
      </c>
      <c r="AF72" s="710" t="s">
        <v>2880</v>
      </c>
      <c r="AG72" s="710" t="s">
        <v>2881</v>
      </c>
      <c r="AH72" s="967">
        <v>33.99</v>
      </c>
      <c r="AI72" s="868">
        <f t="shared" ref="AI72:AI136" si="24">AK72+AU72+AY72+BC72+BG72+AP72+BN72</f>
        <v>33.99</v>
      </c>
      <c r="AJ72" s="867">
        <f t="shared" si="2"/>
        <v>0</v>
      </c>
      <c r="AK72" s="967"/>
      <c r="AL72" s="967"/>
      <c r="AM72" s="967"/>
      <c r="AN72" s="869">
        <f t="shared" si="3"/>
        <v>0</v>
      </c>
      <c r="AO72" s="869">
        <f t="shared" si="4"/>
        <v>0</v>
      </c>
      <c r="AP72" s="967"/>
      <c r="AQ72" s="899"/>
      <c r="AR72" s="968">
        <v>9.0000000000000002E-6</v>
      </c>
      <c r="AS72" s="869">
        <f t="shared" si="5"/>
        <v>0</v>
      </c>
      <c r="AT72" s="869">
        <f t="shared" si="6"/>
        <v>0</v>
      </c>
      <c r="AU72" s="942">
        <v>32.520000000000003</v>
      </c>
      <c r="AV72" s="968">
        <v>0.95669999999999999</v>
      </c>
      <c r="AW72" s="869">
        <f t="shared" si="7"/>
        <v>0.95675198587819954</v>
      </c>
      <c r="AX72" s="869">
        <f t="shared" si="8"/>
        <v>-5.1985878199545255E-5</v>
      </c>
      <c r="AY72" s="967">
        <v>0.56000000000000005</v>
      </c>
      <c r="AZ72" s="899">
        <v>1.6500000000000001E-2</v>
      </c>
      <c r="BA72" s="869">
        <f t="shared" si="9"/>
        <v>1.6475433951162109E-2</v>
      </c>
      <c r="BB72" s="869">
        <f t="shared" si="10"/>
        <v>2.4566048837892235E-5</v>
      </c>
      <c r="BC72" s="967">
        <v>0.91</v>
      </c>
      <c r="BD72" s="899">
        <v>2.6800000000000001E-2</v>
      </c>
      <c r="BE72" s="869">
        <f t="shared" si="11"/>
        <v>2.6772580170638421E-2</v>
      </c>
      <c r="BF72" s="869">
        <f t="shared" si="12"/>
        <v>2.7419829361580161E-5</v>
      </c>
      <c r="BG72" s="899"/>
      <c r="BH72" s="899"/>
      <c r="BI72" s="899"/>
      <c r="BJ72" s="899"/>
      <c r="BK72" s="899"/>
      <c r="BL72" s="714">
        <f t="shared" si="13"/>
        <v>0</v>
      </c>
      <c r="BM72" s="869">
        <f t="shared" si="14"/>
        <v>0</v>
      </c>
      <c r="BN72" s="898"/>
      <c r="BO72" s="899"/>
      <c r="BP72" s="869">
        <f t="shared" si="15"/>
        <v>0</v>
      </c>
      <c r="BQ72" s="869">
        <f t="shared" si="16"/>
        <v>0</v>
      </c>
      <c r="BR72" s="899"/>
      <c r="BS72" s="899"/>
      <c r="BT72" s="898">
        <v>27.25</v>
      </c>
      <c r="BU72" s="968">
        <v>7.9999999999999996E-6</v>
      </c>
      <c r="BV72" s="901">
        <v>75</v>
      </c>
      <c r="BW72" s="901">
        <v>55</v>
      </c>
      <c r="BX72" s="901">
        <v>9</v>
      </c>
      <c r="BY72" s="901"/>
      <c r="BZ72" s="901"/>
      <c r="CA72" s="901"/>
      <c r="CB72" s="901"/>
      <c r="CC72" s="901"/>
      <c r="CD72" s="901"/>
      <c r="CE72" s="901"/>
      <c r="CF72" s="901"/>
      <c r="CG72" s="901">
        <v>1</v>
      </c>
      <c r="CH72" s="901"/>
      <c r="CI72" s="901">
        <v>3</v>
      </c>
      <c r="CJ72" s="901">
        <v>4</v>
      </c>
      <c r="CK72" s="901"/>
      <c r="CL72" s="901"/>
      <c r="CM72" s="901">
        <v>1</v>
      </c>
      <c r="CN72" s="901"/>
      <c r="CO72" s="901"/>
      <c r="CP72" s="901"/>
      <c r="CQ72" s="901"/>
      <c r="CR72" s="901"/>
      <c r="CS72" s="902">
        <f t="shared" si="23"/>
        <v>9</v>
      </c>
      <c r="CT72" s="871">
        <f t="shared" si="17"/>
        <v>9</v>
      </c>
      <c r="CU72" s="871">
        <f t="shared" si="18"/>
        <v>0</v>
      </c>
      <c r="CV72" s="872"/>
      <c r="CW72" s="969" t="s">
        <v>5514</v>
      </c>
      <c r="CX72" s="969"/>
      <c r="CY72" s="898"/>
      <c r="CZ72" s="898"/>
      <c r="DA72" s="948"/>
      <c r="DB72" s="948"/>
      <c r="DC72" s="710" t="s">
        <v>279</v>
      </c>
      <c r="DD72" s="710"/>
      <c r="DE72" s="710"/>
      <c r="DF72" s="901"/>
      <c r="DG72" s="901"/>
      <c r="DH72" s="901">
        <v>5</v>
      </c>
      <c r="DI72" s="710" t="s">
        <v>279</v>
      </c>
      <c r="DJ72" s="710"/>
      <c r="DK72" s="901"/>
      <c r="DL72" s="710" t="s">
        <v>278</v>
      </c>
      <c r="DM72" s="710" t="s">
        <v>2882</v>
      </c>
      <c r="DN72" s="901" t="s">
        <v>390</v>
      </c>
      <c r="DO72" s="710" t="s">
        <v>279</v>
      </c>
      <c r="DP72" s="710"/>
      <c r="DQ72" s="901"/>
      <c r="DR72" s="710" t="s">
        <v>279</v>
      </c>
      <c r="DS72" s="710"/>
      <c r="DT72" s="901"/>
      <c r="DU72" s="710" t="s">
        <v>279</v>
      </c>
      <c r="DV72" s="710"/>
      <c r="DW72" s="901"/>
      <c r="DX72" s="710" t="s">
        <v>278</v>
      </c>
      <c r="DY72" s="710" t="s">
        <v>2883</v>
      </c>
      <c r="DZ72" s="901" t="s">
        <v>390</v>
      </c>
      <c r="EA72" s="710" t="s">
        <v>279</v>
      </c>
      <c r="EB72" s="710"/>
      <c r="EC72" s="901"/>
      <c r="ED72" s="710" t="s">
        <v>279</v>
      </c>
      <c r="EE72" s="710"/>
      <c r="EF72" s="901"/>
      <c r="EG72" s="710" t="s">
        <v>279</v>
      </c>
      <c r="EH72" s="710"/>
      <c r="EI72" s="901"/>
      <c r="EJ72" s="710" t="s">
        <v>279</v>
      </c>
      <c r="EK72" s="710"/>
      <c r="EL72" s="901"/>
      <c r="EM72" s="710" t="s">
        <v>279</v>
      </c>
      <c r="EN72" s="710"/>
      <c r="EO72" s="901"/>
      <c r="EP72" s="710" t="s">
        <v>279</v>
      </c>
      <c r="EQ72" s="710"/>
      <c r="ER72" s="901"/>
      <c r="ES72" s="718" t="s">
        <v>2884</v>
      </c>
      <c r="ET72" s="718"/>
      <c r="EU72" s="718"/>
      <c r="EV72" s="710"/>
      <c r="EW72" s="710"/>
      <c r="EX72" s="710"/>
      <c r="EY72" s="710" t="s">
        <v>279</v>
      </c>
      <c r="EZ72" s="710"/>
      <c r="FA72" s="710" t="s">
        <v>278</v>
      </c>
      <c r="FB72" s="710" t="s">
        <v>2885</v>
      </c>
      <c r="FC72" s="970" t="s">
        <v>2886</v>
      </c>
      <c r="FD72" s="710" t="s">
        <v>2887</v>
      </c>
      <c r="FE72" s="710"/>
      <c r="FF72" s="710" t="s">
        <v>2888</v>
      </c>
      <c r="FG72" s="710" t="s">
        <v>2889</v>
      </c>
      <c r="FH72" s="971" t="s">
        <v>2890</v>
      </c>
      <c r="FI72" s="971"/>
      <c r="FJ72" s="971"/>
      <c r="FK72" s="710" t="s">
        <v>2891</v>
      </c>
      <c r="FL72" s="710" t="s">
        <v>2892</v>
      </c>
      <c r="FM72" s="710" t="s">
        <v>2893</v>
      </c>
      <c r="FN72" s="710"/>
      <c r="FO72" s="948"/>
      <c r="FP72" s="948"/>
    </row>
    <row r="73" spans="2:172" ht="109" customHeight="1">
      <c r="B73" s="850" t="s">
        <v>5315</v>
      </c>
      <c r="C73" s="850" t="s">
        <v>5316</v>
      </c>
      <c r="D73" s="850" t="s">
        <v>5317</v>
      </c>
      <c r="E73" s="850" t="s">
        <v>5318</v>
      </c>
      <c r="F73" s="850" t="s">
        <v>5319</v>
      </c>
      <c r="G73" s="850" t="s">
        <v>4933</v>
      </c>
      <c r="I73" s="850" t="s">
        <v>5519</v>
      </c>
      <c r="J73" s="850" t="s">
        <v>5419</v>
      </c>
      <c r="K73" s="710" t="s">
        <v>225</v>
      </c>
      <c r="L73" s="710"/>
      <c r="M73" s="710" t="s">
        <v>1877</v>
      </c>
      <c r="N73" s="710" t="s">
        <v>1878</v>
      </c>
      <c r="O73" s="895">
        <v>2017</v>
      </c>
      <c r="P73" s="896">
        <v>43101</v>
      </c>
      <c r="Q73" s="896">
        <v>43830</v>
      </c>
      <c r="R73" s="712">
        <f t="shared" si="20"/>
        <v>729</v>
      </c>
      <c r="S73" s="710" t="s">
        <v>1879</v>
      </c>
      <c r="T73" s="710" t="s">
        <v>1880</v>
      </c>
      <c r="U73" s="710" t="s">
        <v>1881</v>
      </c>
      <c r="V73" s="710"/>
      <c r="W73" s="710"/>
      <c r="X73" s="710" t="s">
        <v>1882</v>
      </c>
      <c r="Y73" s="710" t="s">
        <v>1881</v>
      </c>
      <c r="Z73" s="710"/>
      <c r="AA73" s="710"/>
      <c r="AB73" s="710"/>
      <c r="AC73" s="710"/>
      <c r="AD73" s="710" t="s">
        <v>1883</v>
      </c>
      <c r="AE73" s="710" t="s">
        <v>1883</v>
      </c>
      <c r="AF73" s="710" t="s">
        <v>454</v>
      </c>
      <c r="AG73" s="710" t="s">
        <v>1884</v>
      </c>
      <c r="AH73" s="898">
        <f>AK73+AU73+BG73</f>
        <v>283.19009499999999</v>
      </c>
      <c r="AI73" s="868">
        <f t="shared" si="24"/>
        <v>283.19009499999999</v>
      </c>
      <c r="AJ73" s="867">
        <f t="shared" ref="AJ73:AJ137" si="25">AI73-AH73</f>
        <v>0</v>
      </c>
      <c r="AK73" s="898">
        <v>5.1020950000000003</v>
      </c>
      <c r="AL73" s="899">
        <f>AK73/AH73</f>
        <v>1.8016502307398853E-2</v>
      </c>
      <c r="AM73" s="899">
        <v>1E-4</v>
      </c>
      <c r="AN73" s="869">
        <f t="shared" ref="AN73:AN137" si="26">AK73/AH73</f>
        <v>1.8016502307398853E-2</v>
      </c>
      <c r="AO73" s="869">
        <f t="shared" ref="AO73:AO137" si="27">AL73-AN73</f>
        <v>0</v>
      </c>
      <c r="AP73" s="899"/>
      <c r="AQ73" s="899"/>
      <c r="AR73" s="899"/>
      <c r="AS73" s="869">
        <f t="shared" ref="AS73:AS137" si="28">AP73/AH73</f>
        <v>0</v>
      </c>
      <c r="AT73" s="869">
        <f t="shared" ref="AT73:AT137" si="29">AQ73-AS73</f>
        <v>0</v>
      </c>
      <c r="AU73" s="898">
        <v>28.085999999999999</v>
      </c>
      <c r="AV73" s="899">
        <f>AU73/AH73</f>
        <v>9.9177197564060279E-2</v>
      </c>
      <c r="AW73" s="869">
        <f t="shared" ref="AW73:AW137" si="30">AU73/AH73</f>
        <v>9.9177197564060279E-2</v>
      </c>
      <c r="AX73" s="869">
        <f t="shared" ref="AX73:AX137" si="31">AV73-AW73</f>
        <v>0</v>
      </c>
      <c r="AY73" s="972">
        <v>0</v>
      </c>
      <c r="AZ73" s="899">
        <v>0</v>
      </c>
      <c r="BA73" s="869">
        <f t="shared" ref="BA73:BA137" si="32">AY73/AH73</f>
        <v>0</v>
      </c>
      <c r="BB73" s="869">
        <f t="shared" ref="BB73:BB137" si="33">AZ73-BA73</f>
        <v>0</v>
      </c>
      <c r="BC73" s="972">
        <v>0</v>
      </c>
      <c r="BD73" s="899">
        <v>0</v>
      </c>
      <c r="BE73" s="869">
        <f t="shared" ref="BE73:BE137" si="34">BC73/AH73</f>
        <v>0</v>
      </c>
      <c r="BF73" s="869">
        <f t="shared" ref="BF73:BF137" si="35">BD73-BE73</f>
        <v>0</v>
      </c>
      <c r="BG73" s="898">
        <v>250.00200000000001</v>
      </c>
      <c r="BH73" s="899">
        <f>BG73/AH73</f>
        <v>0.882806300128541</v>
      </c>
      <c r="BI73" s="710" t="s">
        <v>1885</v>
      </c>
      <c r="BJ73" s="710" t="s">
        <v>457</v>
      </c>
      <c r="BK73" s="710" t="s">
        <v>1886</v>
      </c>
      <c r="BL73" s="714">
        <f t="shared" ref="BL73:BL137" si="36">BG73/AH73</f>
        <v>0.882806300128541</v>
      </c>
      <c r="BM73" s="869">
        <f t="shared" ref="BM73:BM137" si="37">BH73-BL73</f>
        <v>0</v>
      </c>
      <c r="BN73" s="898"/>
      <c r="BO73" s="899"/>
      <c r="BP73" s="869">
        <f t="shared" ref="BP73:BP137" si="38">BN73/AH73</f>
        <v>0</v>
      </c>
      <c r="BQ73" s="869">
        <f t="shared" ref="BQ73:BQ137" si="39">BO73-BP73</f>
        <v>0</v>
      </c>
      <c r="BR73" s="898">
        <v>4.6773999999999996</v>
      </c>
      <c r="BS73" s="899">
        <v>9.0000000000000006E-5</v>
      </c>
      <c r="BT73" s="899"/>
      <c r="BU73" s="899"/>
      <c r="BV73" s="901">
        <v>120</v>
      </c>
      <c r="BW73" s="901">
        <v>120</v>
      </c>
      <c r="BX73" s="901">
        <v>120</v>
      </c>
      <c r="BY73" s="901"/>
      <c r="BZ73" s="901"/>
      <c r="CA73" s="901"/>
      <c r="CB73" s="901"/>
      <c r="CC73" s="901"/>
      <c r="CD73" s="901"/>
      <c r="CE73" s="901"/>
      <c r="CF73" s="901"/>
      <c r="CG73" s="901"/>
      <c r="CH73" s="901"/>
      <c r="CI73" s="901"/>
      <c r="CJ73" s="901">
        <v>101</v>
      </c>
      <c r="CK73" s="901"/>
      <c r="CL73" s="901"/>
      <c r="CM73" s="901"/>
      <c r="CN73" s="901"/>
      <c r="CO73" s="901"/>
      <c r="CP73" s="901"/>
      <c r="CQ73" s="901"/>
      <c r="CR73" s="901">
        <v>19</v>
      </c>
      <c r="CS73" s="902">
        <f t="shared" si="23"/>
        <v>120</v>
      </c>
      <c r="CT73" s="871">
        <f t="shared" ref="CT73:CT137" si="40">SUM(BY73:CR73)</f>
        <v>120</v>
      </c>
      <c r="CU73" s="871">
        <f t="shared" ref="CU73:CU137" si="41">CS73-CT73</f>
        <v>0</v>
      </c>
      <c r="CV73" s="942">
        <v>845.5</v>
      </c>
      <c r="CW73" s="710" t="s">
        <v>1887</v>
      </c>
      <c r="CX73" s="710"/>
      <c r="CY73" s="899">
        <v>1</v>
      </c>
      <c r="CZ73" s="899"/>
      <c r="DA73" s="899"/>
      <c r="DB73" s="899"/>
      <c r="DC73" s="710" t="s">
        <v>279</v>
      </c>
      <c r="DD73" s="710"/>
      <c r="DE73" s="710"/>
      <c r="DF73" s="901"/>
      <c r="DG73" s="901"/>
      <c r="DH73" s="901"/>
      <c r="DI73" s="710" t="s">
        <v>278</v>
      </c>
      <c r="DJ73" s="710"/>
      <c r="DK73" s="901">
        <v>40</v>
      </c>
      <c r="DL73" s="710"/>
      <c r="DM73" s="710"/>
      <c r="DN73" s="901"/>
      <c r="DO73" s="710"/>
      <c r="DP73" s="710"/>
      <c r="DQ73" s="901"/>
      <c r="DR73" s="710"/>
      <c r="DS73" s="710"/>
      <c r="DT73" s="901"/>
      <c r="DU73" s="710"/>
      <c r="DV73" s="710"/>
      <c r="DW73" s="901"/>
      <c r="DX73" s="710"/>
      <c r="DY73" s="710"/>
      <c r="DZ73" s="901"/>
      <c r="EA73" s="710" t="s">
        <v>278</v>
      </c>
      <c r="EB73" s="861" t="s">
        <v>1888</v>
      </c>
      <c r="EC73" s="901">
        <v>57000</v>
      </c>
      <c r="ED73" s="710" t="s">
        <v>278</v>
      </c>
      <c r="EE73" s="861" t="s">
        <v>1888</v>
      </c>
      <c r="EF73" s="901">
        <v>5000</v>
      </c>
      <c r="EG73" s="710"/>
      <c r="EH73" s="710"/>
      <c r="EI73" s="901"/>
      <c r="EJ73" s="710"/>
      <c r="EK73" s="710"/>
      <c r="EL73" s="901"/>
      <c r="EM73" s="710" t="s">
        <v>278</v>
      </c>
      <c r="EN73" s="861" t="s">
        <v>1888</v>
      </c>
      <c r="EO73" s="901"/>
      <c r="EP73" s="710"/>
      <c r="EQ73" s="710"/>
      <c r="ER73" s="901"/>
      <c r="ES73" s="710"/>
      <c r="ET73" s="710"/>
      <c r="EU73" s="901"/>
      <c r="EV73" s="710"/>
      <c r="EW73" s="710" t="s">
        <v>1889</v>
      </c>
      <c r="EX73" s="860">
        <v>36</v>
      </c>
      <c r="EY73" s="710" t="s">
        <v>279</v>
      </c>
      <c r="EZ73" s="710"/>
      <c r="FA73" s="710" t="s">
        <v>279</v>
      </c>
      <c r="FB73" s="710"/>
      <c r="FC73" s="710" t="s">
        <v>1890</v>
      </c>
      <c r="FD73" s="710" t="s">
        <v>1891</v>
      </c>
      <c r="FE73" s="710"/>
      <c r="FF73" s="710"/>
      <c r="FG73" s="710" t="s">
        <v>1892</v>
      </c>
      <c r="FH73" s="710"/>
      <c r="FI73" s="710"/>
      <c r="FJ73" s="710"/>
      <c r="FK73" s="710" t="s">
        <v>1893</v>
      </c>
      <c r="FL73" s="710" t="s">
        <v>1894</v>
      </c>
      <c r="FM73" s="861" t="s">
        <v>1895</v>
      </c>
      <c r="FN73" s="710"/>
      <c r="FO73" s="710"/>
      <c r="FP73" s="710"/>
    </row>
    <row r="74" spans="2:172" ht="98" customHeight="1">
      <c r="B74" s="850" t="s">
        <v>5315</v>
      </c>
      <c r="C74" s="850" t="s">
        <v>5320</v>
      </c>
      <c r="D74" s="850" t="s">
        <v>5317</v>
      </c>
      <c r="E74" s="850" t="s">
        <v>5318</v>
      </c>
      <c r="F74" s="850" t="s">
        <v>694</v>
      </c>
      <c r="G74" s="850" t="s">
        <v>4933</v>
      </c>
      <c r="I74" s="850" t="s">
        <v>5519</v>
      </c>
      <c r="J74" s="850" t="s">
        <v>5419</v>
      </c>
      <c r="K74" s="710" t="s">
        <v>225</v>
      </c>
      <c r="L74" s="710"/>
      <c r="M74" s="710" t="s">
        <v>759</v>
      </c>
      <c r="N74" s="710" t="s">
        <v>1183</v>
      </c>
      <c r="O74" s="895">
        <v>2016</v>
      </c>
      <c r="P74" s="896">
        <v>43578</v>
      </c>
      <c r="Q74" s="896">
        <v>43830</v>
      </c>
      <c r="R74" s="712">
        <f t="shared" si="20"/>
        <v>252</v>
      </c>
      <c r="S74" s="710" t="s">
        <v>1896</v>
      </c>
      <c r="T74" s="710" t="s">
        <v>1897</v>
      </c>
      <c r="U74" s="710" t="s">
        <v>1898</v>
      </c>
      <c r="V74" s="710"/>
      <c r="W74" s="710"/>
      <c r="X74" s="710"/>
      <c r="Y74" s="710"/>
      <c r="Z74" s="710"/>
      <c r="AA74" s="710"/>
      <c r="AB74" s="710"/>
      <c r="AC74" s="710"/>
      <c r="AD74" s="710" t="s">
        <v>1899</v>
      </c>
      <c r="AE74" s="710" t="s">
        <v>1899</v>
      </c>
      <c r="AF74" s="710" t="s">
        <v>454</v>
      </c>
      <c r="AG74" s="710" t="s">
        <v>1900</v>
      </c>
      <c r="AH74" s="898">
        <f>AK74+AU74+AY74+BC74+BG74</f>
        <v>12.1974</v>
      </c>
      <c r="AI74" s="868">
        <f t="shared" si="24"/>
        <v>12.1974</v>
      </c>
      <c r="AJ74" s="867">
        <f t="shared" si="25"/>
        <v>0</v>
      </c>
      <c r="AK74" s="898">
        <v>5</v>
      </c>
      <c r="AL74" s="899">
        <f>AK74/AH74</f>
        <v>0.40992342630396644</v>
      </c>
      <c r="AM74" s="899">
        <v>1.0450000000000001E-4</v>
      </c>
      <c r="AN74" s="869">
        <f t="shared" si="26"/>
        <v>0.40992342630396644</v>
      </c>
      <c r="AO74" s="869">
        <f t="shared" si="27"/>
        <v>0</v>
      </c>
      <c r="AP74" s="899"/>
      <c r="AQ74" s="899"/>
      <c r="AR74" s="899"/>
      <c r="AS74" s="869">
        <f t="shared" si="28"/>
        <v>0</v>
      </c>
      <c r="AT74" s="869">
        <f t="shared" si="29"/>
        <v>0</v>
      </c>
      <c r="AU74" s="898">
        <v>0.66700000000000004</v>
      </c>
      <c r="AV74" s="899">
        <f>AU74/AH74</f>
        <v>5.4683785068949123E-2</v>
      </c>
      <c r="AW74" s="869">
        <f t="shared" si="30"/>
        <v>5.4683785068949123E-2</v>
      </c>
      <c r="AX74" s="869">
        <f t="shared" si="31"/>
        <v>0</v>
      </c>
      <c r="AY74" s="898">
        <v>3.5070000000000001</v>
      </c>
      <c r="AZ74" s="899">
        <f>AY74/AH74</f>
        <v>0.28752029120960204</v>
      </c>
      <c r="BA74" s="869">
        <f t="shared" si="32"/>
        <v>0.28752029120960204</v>
      </c>
      <c r="BB74" s="869">
        <f t="shared" si="33"/>
        <v>0</v>
      </c>
      <c r="BC74" s="898">
        <v>1.8520000000000001</v>
      </c>
      <c r="BD74" s="899">
        <f>BC74/AH74</f>
        <v>0.15183563710298917</v>
      </c>
      <c r="BE74" s="869">
        <f t="shared" si="34"/>
        <v>0.15183563710298917</v>
      </c>
      <c r="BF74" s="869">
        <f t="shared" si="35"/>
        <v>0</v>
      </c>
      <c r="BG74" s="898">
        <v>1.1714</v>
      </c>
      <c r="BH74" s="899">
        <f>BG74/AH74</f>
        <v>9.6036860314493253E-2</v>
      </c>
      <c r="BI74" s="708" t="s">
        <v>1901</v>
      </c>
      <c r="BJ74" s="710" t="s">
        <v>769</v>
      </c>
      <c r="BK74" s="710" t="s">
        <v>1899</v>
      </c>
      <c r="BL74" s="714">
        <f t="shared" si="36"/>
        <v>9.6036860314493253E-2</v>
      </c>
      <c r="BM74" s="869">
        <f t="shared" si="37"/>
        <v>0</v>
      </c>
      <c r="BN74" s="898"/>
      <c r="BO74" s="899"/>
      <c r="BP74" s="869">
        <f t="shared" si="38"/>
        <v>0</v>
      </c>
      <c r="BQ74" s="869">
        <f t="shared" si="39"/>
        <v>0</v>
      </c>
      <c r="BR74" s="898">
        <v>0</v>
      </c>
      <c r="BS74" s="899">
        <v>0</v>
      </c>
      <c r="BT74" s="899"/>
      <c r="BU74" s="899"/>
      <c r="BV74" s="901">
        <v>21</v>
      </c>
      <c r="BW74" s="901">
        <v>21</v>
      </c>
      <c r="BX74" s="901">
        <v>17</v>
      </c>
      <c r="BY74" s="901"/>
      <c r="BZ74" s="901"/>
      <c r="CA74" s="901"/>
      <c r="CB74" s="901"/>
      <c r="CC74" s="901"/>
      <c r="CD74" s="901"/>
      <c r="CE74" s="901"/>
      <c r="CF74" s="901"/>
      <c r="CG74" s="901"/>
      <c r="CH74" s="901"/>
      <c r="CI74" s="901">
        <v>17</v>
      </c>
      <c r="CJ74" s="901"/>
      <c r="CK74" s="901"/>
      <c r="CL74" s="901"/>
      <c r="CM74" s="901"/>
      <c r="CN74" s="901"/>
      <c r="CO74" s="901"/>
      <c r="CP74" s="901"/>
      <c r="CQ74" s="901"/>
      <c r="CR74" s="901"/>
      <c r="CS74" s="902">
        <f t="shared" si="23"/>
        <v>17</v>
      </c>
      <c r="CT74" s="871">
        <f t="shared" si="40"/>
        <v>17</v>
      </c>
      <c r="CU74" s="871">
        <f t="shared" si="41"/>
        <v>0</v>
      </c>
      <c r="CV74" s="942">
        <v>8.6750000000000007</v>
      </c>
      <c r="CW74" s="710" t="s">
        <v>5515</v>
      </c>
      <c r="CX74" s="710"/>
      <c r="CY74" s="710">
        <v>1.0489999999999999</v>
      </c>
      <c r="CZ74" s="899"/>
      <c r="DA74" s="899"/>
      <c r="DB74" s="899"/>
      <c r="DC74" s="710" t="s">
        <v>279</v>
      </c>
      <c r="DD74" s="710"/>
      <c r="DE74" s="710"/>
      <c r="DF74" s="901"/>
      <c r="DG74" s="901"/>
      <c r="DH74" s="901"/>
      <c r="DI74" s="710" t="s">
        <v>279</v>
      </c>
      <c r="DJ74" s="710"/>
      <c r="DK74" s="901"/>
      <c r="DL74" s="710" t="s">
        <v>279</v>
      </c>
      <c r="DM74" s="710"/>
      <c r="DN74" s="901"/>
      <c r="DO74" s="710" t="s">
        <v>279</v>
      </c>
      <c r="DP74" s="710"/>
      <c r="DQ74" s="901"/>
      <c r="DR74" s="710" t="s">
        <v>279</v>
      </c>
      <c r="DS74" s="710"/>
      <c r="DT74" s="901"/>
      <c r="DU74" s="710" t="s">
        <v>279</v>
      </c>
      <c r="DV74" s="710"/>
      <c r="DW74" s="901"/>
      <c r="DX74" s="710" t="s">
        <v>278</v>
      </c>
      <c r="DY74" s="710" t="s">
        <v>1902</v>
      </c>
      <c r="DZ74" s="901">
        <v>858</v>
      </c>
      <c r="EA74" s="710" t="s">
        <v>279</v>
      </c>
      <c r="EB74" s="710"/>
      <c r="EC74" s="901"/>
      <c r="ED74" s="710" t="s">
        <v>279</v>
      </c>
      <c r="EE74" s="710"/>
      <c r="EF74" s="901"/>
      <c r="EG74" s="710" t="s">
        <v>279</v>
      </c>
      <c r="EH74" s="710"/>
      <c r="EI74" s="901"/>
      <c r="EJ74" s="710" t="s">
        <v>279</v>
      </c>
      <c r="EK74" s="710"/>
      <c r="EL74" s="901"/>
      <c r="EM74" s="710" t="s">
        <v>279</v>
      </c>
      <c r="EN74" s="710"/>
      <c r="EO74" s="901"/>
      <c r="EP74" s="710" t="s">
        <v>279</v>
      </c>
      <c r="EQ74" s="710"/>
      <c r="ER74" s="901"/>
      <c r="ES74" s="710" t="s">
        <v>279</v>
      </c>
      <c r="ET74" s="710"/>
      <c r="EU74" s="901"/>
      <c r="EV74" s="710">
        <v>100</v>
      </c>
      <c r="EW74" s="710"/>
      <c r="EX74" s="860">
        <v>13</v>
      </c>
      <c r="EY74" s="710" t="s">
        <v>279</v>
      </c>
      <c r="EZ74" s="710"/>
      <c r="FA74" s="710"/>
      <c r="FB74" s="710"/>
      <c r="FC74" s="861" t="s">
        <v>1903</v>
      </c>
      <c r="FD74" s="710"/>
      <c r="FE74" s="710"/>
      <c r="FF74" s="710"/>
      <c r="FG74" s="710"/>
      <c r="FH74" s="710"/>
      <c r="FI74" s="710"/>
      <c r="FJ74" s="710"/>
      <c r="FK74" s="710" t="s">
        <v>1904</v>
      </c>
      <c r="FL74" s="710" t="s">
        <v>1905</v>
      </c>
      <c r="FM74" s="710" t="s">
        <v>1906</v>
      </c>
      <c r="FN74" s="710"/>
      <c r="FO74" s="710"/>
      <c r="FP74" s="710"/>
    </row>
    <row r="75" spans="2:172" ht="78" customHeight="1">
      <c r="B75" s="850" t="s">
        <v>5315</v>
      </c>
      <c r="C75" s="850" t="s">
        <v>5338</v>
      </c>
      <c r="D75" s="850" t="s">
        <v>4933</v>
      </c>
      <c r="E75" s="850" t="s">
        <v>5323</v>
      </c>
      <c r="F75" s="850" t="s">
        <v>5339</v>
      </c>
      <c r="G75" s="850" t="s">
        <v>4933</v>
      </c>
      <c r="I75" s="850" t="s">
        <v>5519</v>
      </c>
      <c r="J75" s="850" t="s">
        <v>5419</v>
      </c>
      <c r="K75" s="710" t="s">
        <v>225</v>
      </c>
      <c r="L75" s="710"/>
      <c r="M75" s="710" t="s">
        <v>1907</v>
      </c>
      <c r="N75" s="710"/>
      <c r="O75" s="895">
        <v>2016</v>
      </c>
      <c r="P75" s="896">
        <v>43556</v>
      </c>
      <c r="Q75" s="896">
        <v>43798</v>
      </c>
      <c r="R75" s="712">
        <f t="shared" si="20"/>
        <v>242</v>
      </c>
      <c r="S75" s="710" t="s">
        <v>1908</v>
      </c>
      <c r="T75" s="710" t="s">
        <v>1909</v>
      </c>
      <c r="U75" s="861" t="s">
        <v>1910</v>
      </c>
      <c r="V75" s="710"/>
      <c r="W75" s="710"/>
      <c r="X75" s="710"/>
      <c r="Y75" s="710"/>
      <c r="Z75" s="710"/>
      <c r="AA75" s="710"/>
      <c r="AB75" s="710"/>
      <c r="AC75" s="710"/>
      <c r="AD75" s="710" t="s">
        <v>1911</v>
      </c>
      <c r="AE75" s="710" t="s">
        <v>1911</v>
      </c>
      <c r="AF75" s="710" t="s">
        <v>454</v>
      </c>
      <c r="AG75" s="710" t="s">
        <v>1912</v>
      </c>
      <c r="AH75" s="898">
        <v>1.2952999999999999</v>
      </c>
      <c r="AI75" s="868">
        <f t="shared" si="24"/>
        <v>1.2952900000000001</v>
      </c>
      <c r="AJ75" s="867">
        <f t="shared" si="25"/>
        <v>-9.9999999998434674E-6</v>
      </c>
      <c r="AK75" s="898">
        <v>1.294</v>
      </c>
      <c r="AL75" s="927">
        <v>0.999</v>
      </c>
      <c r="AM75" s="899">
        <v>2.6999999999999999E-5</v>
      </c>
      <c r="AN75" s="869">
        <f t="shared" si="26"/>
        <v>0.99899637149695064</v>
      </c>
      <c r="AO75" s="869">
        <f t="shared" si="27"/>
        <v>3.6285030493576897E-6</v>
      </c>
      <c r="AP75" s="899"/>
      <c r="AQ75" s="899"/>
      <c r="AR75" s="899"/>
      <c r="AS75" s="869">
        <f t="shared" si="28"/>
        <v>0</v>
      </c>
      <c r="AT75" s="869">
        <f t="shared" si="29"/>
        <v>0</v>
      </c>
      <c r="AU75" s="898">
        <v>1.2899999999999999E-3</v>
      </c>
      <c r="AV75" s="899">
        <v>1E-3</v>
      </c>
      <c r="AW75" s="869">
        <f t="shared" si="30"/>
        <v>9.9590828379525985E-4</v>
      </c>
      <c r="AX75" s="869">
        <f t="shared" si="31"/>
        <v>4.0917162047401662E-6</v>
      </c>
      <c r="AY75" s="898"/>
      <c r="AZ75" s="899"/>
      <c r="BA75" s="869">
        <f t="shared" si="32"/>
        <v>0</v>
      </c>
      <c r="BB75" s="869">
        <f t="shared" si="33"/>
        <v>0</v>
      </c>
      <c r="BC75" s="898"/>
      <c r="BD75" s="899"/>
      <c r="BE75" s="869">
        <f t="shared" si="34"/>
        <v>0</v>
      </c>
      <c r="BF75" s="869">
        <f t="shared" si="35"/>
        <v>0</v>
      </c>
      <c r="BG75" s="898"/>
      <c r="BH75" s="899"/>
      <c r="BI75" s="710"/>
      <c r="BJ75" s="710"/>
      <c r="BK75" s="710"/>
      <c r="BL75" s="714">
        <f t="shared" si="36"/>
        <v>0</v>
      </c>
      <c r="BM75" s="869">
        <f t="shared" si="37"/>
        <v>0</v>
      </c>
      <c r="BN75" s="898"/>
      <c r="BO75" s="899"/>
      <c r="BP75" s="869">
        <f t="shared" si="38"/>
        <v>0</v>
      </c>
      <c r="BQ75" s="869">
        <f t="shared" si="39"/>
        <v>0</v>
      </c>
      <c r="BR75" s="898">
        <v>0</v>
      </c>
      <c r="BS75" s="899">
        <v>0</v>
      </c>
      <c r="BT75" s="899"/>
      <c r="BU75" s="899"/>
      <c r="BV75" s="901">
        <v>17</v>
      </c>
      <c r="BW75" s="901">
        <v>13</v>
      </c>
      <c r="BX75" s="901">
        <v>3</v>
      </c>
      <c r="BY75" s="901"/>
      <c r="BZ75" s="901"/>
      <c r="CA75" s="901"/>
      <c r="CB75" s="901"/>
      <c r="CC75" s="901"/>
      <c r="CD75" s="901"/>
      <c r="CE75" s="901"/>
      <c r="CF75" s="901"/>
      <c r="CG75" s="901">
        <v>1</v>
      </c>
      <c r="CH75" s="901"/>
      <c r="CI75" s="901"/>
      <c r="CJ75" s="901"/>
      <c r="CK75" s="901"/>
      <c r="CL75" s="901"/>
      <c r="CM75" s="901"/>
      <c r="CN75" s="901"/>
      <c r="CO75" s="901"/>
      <c r="CP75" s="901"/>
      <c r="CQ75" s="901"/>
      <c r="CR75" s="901"/>
      <c r="CS75" s="902">
        <f t="shared" si="23"/>
        <v>1</v>
      </c>
      <c r="CT75" s="871">
        <f t="shared" si="40"/>
        <v>1</v>
      </c>
      <c r="CU75" s="871">
        <f t="shared" si="41"/>
        <v>0</v>
      </c>
      <c r="CV75" s="942"/>
      <c r="CW75" s="710"/>
      <c r="CX75" s="710"/>
      <c r="CY75" s="710"/>
      <c r="CZ75" s="899"/>
      <c r="DA75" s="899"/>
      <c r="DB75" s="899"/>
      <c r="DC75" s="710" t="s">
        <v>279</v>
      </c>
      <c r="DD75" s="710"/>
      <c r="DE75" s="710"/>
      <c r="DF75" s="901"/>
      <c r="DG75" s="901"/>
      <c r="DH75" s="901"/>
      <c r="DI75" s="710"/>
      <c r="DJ75" s="710"/>
      <c r="DK75" s="901"/>
      <c r="DL75" s="710"/>
      <c r="DM75" s="710"/>
      <c r="DN75" s="901"/>
      <c r="DO75" s="710"/>
      <c r="DP75" s="710"/>
      <c r="DQ75" s="901"/>
      <c r="DR75" s="710"/>
      <c r="DS75" s="710"/>
      <c r="DT75" s="901"/>
      <c r="DU75" s="710"/>
      <c r="DV75" s="710"/>
      <c r="DW75" s="901"/>
      <c r="DX75" s="710" t="s">
        <v>278</v>
      </c>
      <c r="DY75" s="710" t="s">
        <v>1685</v>
      </c>
      <c r="DZ75" s="901">
        <v>4</v>
      </c>
      <c r="EA75" s="710"/>
      <c r="EB75" s="710"/>
      <c r="EC75" s="901"/>
      <c r="ED75" s="710"/>
      <c r="EE75" s="710"/>
      <c r="EF75" s="901"/>
      <c r="EG75" s="710"/>
      <c r="EH75" s="710"/>
      <c r="EI75" s="901"/>
      <c r="EJ75" s="710"/>
      <c r="EK75" s="710"/>
      <c r="EL75" s="901"/>
      <c r="EM75" s="710"/>
      <c r="EN75" s="710"/>
      <c r="EO75" s="901"/>
      <c r="EP75" s="710"/>
      <c r="EQ75" s="710"/>
      <c r="ER75" s="901"/>
      <c r="ES75" s="710" t="s">
        <v>278</v>
      </c>
      <c r="ET75" s="710" t="s">
        <v>1685</v>
      </c>
      <c r="EU75" s="901">
        <v>4</v>
      </c>
      <c r="EV75" s="710" t="s">
        <v>1913</v>
      </c>
      <c r="EW75" s="710" t="s">
        <v>1914</v>
      </c>
      <c r="EX75" s="860">
        <v>17</v>
      </c>
      <c r="EY75" s="710" t="s">
        <v>279</v>
      </c>
      <c r="EZ75" s="710"/>
      <c r="FA75" s="710" t="s">
        <v>279</v>
      </c>
      <c r="FB75" s="710"/>
      <c r="FC75" s="861" t="s">
        <v>1915</v>
      </c>
      <c r="FD75" s="710"/>
      <c r="FE75" s="710"/>
      <c r="FF75" s="710"/>
      <c r="FG75" s="710"/>
      <c r="FH75" s="710"/>
      <c r="FI75" s="710"/>
      <c r="FJ75" s="710"/>
      <c r="FK75" s="710" t="s">
        <v>1916</v>
      </c>
      <c r="FL75" s="710">
        <v>413551</v>
      </c>
      <c r="FM75" s="861" t="s">
        <v>1917</v>
      </c>
      <c r="FN75" s="710"/>
      <c r="FO75" s="710"/>
      <c r="FP75" s="710"/>
    </row>
    <row r="76" spans="2:172" ht="113" customHeight="1">
      <c r="B76" s="850" t="s">
        <v>5315</v>
      </c>
      <c r="C76" s="850" t="s">
        <v>5320</v>
      </c>
      <c r="D76" s="850" t="s">
        <v>5317</v>
      </c>
      <c r="E76" s="850" t="s">
        <v>5318</v>
      </c>
      <c r="F76" s="850" t="s">
        <v>694</v>
      </c>
      <c r="G76" s="850" t="s">
        <v>4933</v>
      </c>
      <c r="I76" s="850" t="s">
        <v>5525</v>
      </c>
      <c r="J76" s="850" t="s">
        <v>5420</v>
      </c>
      <c r="K76" s="710" t="s">
        <v>226</v>
      </c>
      <c r="L76" s="710"/>
      <c r="M76" s="714" t="s">
        <v>759</v>
      </c>
      <c r="N76" s="714" t="s">
        <v>759</v>
      </c>
      <c r="O76" s="852">
        <v>2016</v>
      </c>
      <c r="P76" s="973">
        <v>43636</v>
      </c>
      <c r="Q76" s="973">
        <v>43830</v>
      </c>
      <c r="R76" s="712">
        <f t="shared" si="20"/>
        <v>194</v>
      </c>
      <c r="S76" s="710" t="s">
        <v>760</v>
      </c>
      <c r="T76" s="710" t="s">
        <v>761</v>
      </c>
      <c r="U76" s="974" t="s">
        <v>762</v>
      </c>
      <c r="V76" s="714"/>
      <c r="W76" s="714"/>
      <c r="X76" s="714"/>
      <c r="Y76" s="714"/>
      <c r="Z76" s="710" t="s">
        <v>763</v>
      </c>
      <c r="AA76" s="975" t="s">
        <v>764</v>
      </c>
      <c r="AB76" s="975"/>
      <c r="AC76" s="975"/>
      <c r="AD76" s="714" t="s">
        <v>765</v>
      </c>
      <c r="AE76" s="714" t="s">
        <v>765</v>
      </c>
      <c r="AF76" s="714" t="s">
        <v>766</v>
      </c>
      <c r="AG76" s="714" t="s">
        <v>767</v>
      </c>
      <c r="AH76" s="867">
        <v>2.4250050000000001</v>
      </c>
      <c r="AI76" s="868">
        <f t="shared" si="24"/>
        <v>2.4239000000000002</v>
      </c>
      <c r="AJ76" s="875">
        <f t="shared" si="25"/>
        <v>-1.1049999999999116E-3</v>
      </c>
      <c r="AK76" s="867">
        <v>1.0125</v>
      </c>
      <c r="AL76" s="869">
        <v>0.41770000000000002</v>
      </c>
      <c r="AM76" s="869">
        <v>3.6999999999999998E-5</v>
      </c>
      <c r="AN76" s="869">
        <f t="shared" si="26"/>
        <v>0.4175249123197684</v>
      </c>
      <c r="AO76" s="869">
        <f t="shared" si="27"/>
        <v>1.7508768023161148E-4</v>
      </c>
      <c r="AP76" s="869"/>
      <c r="AQ76" s="869"/>
      <c r="AR76" s="869"/>
      <c r="AS76" s="869">
        <f t="shared" si="28"/>
        <v>0</v>
      </c>
      <c r="AT76" s="869">
        <f t="shared" si="29"/>
        <v>0</v>
      </c>
      <c r="AU76" s="867">
        <v>0.24199999999999999</v>
      </c>
      <c r="AV76" s="869">
        <v>0.1</v>
      </c>
      <c r="AW76" s="869">
        <f t="shared" si="30"/>
        <v>9.9793608672971795E-2</v>
      </c>
      <c r="AX76" s="869">
        <f t="shared" si="31"/>
        <v>2.0639132702821028E-4</v>
      </c>
      <c r="AY76" s="867">
        <v>0.36049999999999999</v>
      </c>
      <c r="AZ76" s="869">
        <v>0.1489</v>
      </c>
      <c r="BA76" s="869">
        <f t="shared" si="32"/>
        <v>0.14865948730002618</v>
      </c>
      <c r="BB76" s="869">
        <f t="shared" si="33"/>
        <v>2.4051269997382718E-4</v>
      </c>
      <c r="BC76" s="867">
        <v>0.3669</v>
      </c>
      <c r="BD76" s="869">
        <v>0.15129999999999999</v>
      </c>
      <c r="BE76" s="869">
        <f t="shared" si="34"/>
        <v>0.15129865711617088</v>
      </c>
      <c r="BF76" s="869">
        <f t="shared" si="35"/>
        <v>1.342883829108521E-6</v>
      </c>
      <c r="BG76" s="867">
        <v>0.442</v>
      </c>
      <c r="BH76" s="869">
        <v>0.18229999999999999</v>
      </c>
      <c r="BI76" s="710" t="s">
        <v>768</v>
      </c>
      <c r="BJ76" s="714" t="s">
        <v>769</v>
      </c>
      <c r="BK76" s="714" t="s">
        <v>765</v>
      </c>
      <c r="BL76" s="714">
        <f t="shared" si="36"/>
        <v>0.18226766542749395</v>
      </c>
      <c r="BM76" s="869">
        <f t="shared" si="37"/>
        <v>3.2334572506037551E-5</v>
      </c>
      <c r="BN76" s="867"/>
      <c r="BO76" s="869"/>
      <c r="BP76" s="869">
        <f t="shared" si="38"/>
        <v>0</v>
      </c>
      <c r="BQ76" s="869">
        <f t="shared" si="39"/>
        <v>0</v>
      </c>
      <c r="BR76" s="867"/>
      <c r="BS76" s="869"/>
      <c r="BT76" s="869"/>
      <c r="BU76" s="869"/>
      <c r="BV76" s="870">
        <v>4</v>
      </c>
      <c r="BW76" s="870">
        <v>4</v>
      </c>
      <c r="BX76" s="870">
        <v>4</v>
      </c>
      <c r="BY76" s="870"/>
      <c r="BZ76" s="870"/>
      <c r="CA76" s="870"/>
      <c r="CB76" s="870"/>
      <c r="CC76" s="870"/>
      <c r="CD76" s="870"/>
      <c r="CE76" s="870"/>
      <c r="CF76" s="870"/>
      <c r="CG76" s="870"/>
      <c r="CH76" s="870"/>
      <c r="CI76" s="870">
        <v>4</v>
      </c>
      <c r="CJ76" s="870"/>
      <c r="CK76" s="870"/>
      <c r="CL76" s="870"/>
      <c r="CM76" s="870"/>
      <c r="CN76" s="870"/>
      <c r="CO76" s="870"/>
      <c r="CP76" s="870"/>
      <c r="CQ76" s="870"/>
      <c r="CR76" s="870"/>
      <c r="CS76" s="871">
        <f t="shared" si="23"/>
        <v>4</v>
      </c>
      <c r="CT76" s="871">
        <f t="shared" si="40"/>
        <v>4</v>
      </c>
      <c r="CU76" s="871">
        <f t="shared" si="41"/>
        <v>0</v>
      </c>
      <c r="CV76" s="872">
        <v>2.431</v>
      </c>
      <c r="CW76" s="714" t="s">
        <v>770</v>
      </c>
      <c r="CX76" s="714"/>
      <c r="CY76" s="869">
        <v>2.2000000000000001E-3</v>
      </c>
      <c r="CZ76" s="975" t="s">
        <v>771</v>
      </c>
      <c r="DA76" s="975"/>
      <c r="DB76" s="975"/>
      <c r="DC76" s="714" t="s">
        <v>279</v>
      </c>
      <c r="DD76" s="714"/>
      <c r="DE76" s="714"/>
      <c r="DF76" s="870"/>
      <c r="DG76" s="870"/>
      <c r="DH76" s="870">
        <v>1</v>
      </c>
      <c r="DI76" s="714" t="s">
        <v>279</v>
      </c>
      <c r="DJ76" s="714"/>
      <c r="DK76" s="870"/>
      <c r="DL76" s="714" t="s">
        <v>278</v>
      </c>
      <c r="DM76" s="714" t="s">
        <v>772</v>
      </c>
      <c r="DN76" s="870">
        <v>483</v>
      </c>
      <c r="DO76" s="714" t="s">
        <v>279</v>
      </c>
      <c r="DP76" s="714"/>
      <c r="DQ76" s="870"/>
      <c r="DR76" s="714" t="s">
        <v>279</v>
      </c>
      <c r="DS76" s="714"/>
      <c r="DT76" s="870"/>
      <c r="DU76" s="714" t="s">
        <v>279</v>
      </c>
      <c r="DV76" s="714"/>
      <c r="DW76" s="870"/>
      <c r="DX76" s="714" t="s">
        <v>279</v>
      </c>
      <c r="DY76" s="714"/>
      <c r="DZ76" s="870"/>
      <c r="EA76" s="714" t="s">
        <v>279</v>
      </c>
      <c r="EB76" s="714"/>
      <c r="EC76" s="870"/>
      <c r="ED76" s="714" t="s">
        <v>279</v>
      </c>
      <c r="EE76" s="714"/>
      <c r="EF76" s="870"/>
      <c r="EG76" s="714" t="s">
        <v>279</v>
      </c>
      <c r="EH76" s="714"/>
      <c r="EI76" s="870"/>
      <c r="EJ76" s="714" t="s">
        <v>279</v>
      </c>
      <c r="EK76" s="714"/>
      <c r="EL76" s="870"/>
      <c r="EM76" s="714" t="s">
        <v>278</v>
      </c>
      <c r="EN76" s="714" t="s">
        <v>773</v>
      </c>
      <c r="EO76" s="870">
        <v>8</v>
      </c>
      <c r="EP76" s="714" t="s">
        <v>279</v>
      </c>
      <c r="EQ76" s="714"/>
      <c r="ER76" s="870"/>
      <c r="ES76" s="714" t="s">
        <v>279</v>
      </c>
      <c r="ET76" s="714"/>
      <c r="EU76" s="870"/>
      <c r="EV76" s="714"/>
      <c r="EW76" s="714" t="s">
        <v>774</v>
      </c>
      <c r="EX76" s="714">
        <v>4</v>
      </c>
      <c r="EY76" s="714" t="s">
        <v>279</v>
      </c>
      <c r="EZ76" s="714"/>
      <c r="FA76" s="714" t="s">
        <v>278</v>
      </c>
      <c r="FB76" s="714" t="s">
        <v>700</v>
      </c>
      <c r="FC76" s="975" t="s">
        <v>775</v>
      </c>
      <c r="FD76" s="714"/>
      <c r="FE76" s="714"/>
      <c r="FF76" s="714" t="s">
        <v>776</v>
      </c>
      <c r="FG76" s="714"/>
      <c r="FH76" s="714"/>
      <c r="FI76" s="714"/>
      <c r="FJ76" s="714"/>
      <c r="FK76" s="710" t="s">
        <v>777</v>
      </c>
      <c r="FL76" s="714" t="s">
        <v>778</v>
      </c>
      <c r="FM76" s="714" t="s">
        <v>779</v>
      </c>
      <c r="FN76" s="714"/>
      <c r="FO76" s="714"/>
      <c r="FP76" s="714"/>
    </row>
    <row r="77" spans="2:172" ht="100.5" customHeight="1">
      <c r="B77" s="850" t="s">
        <v>5313</v>
      </c>
      <c r="C77" s="863"/>
      <c r="D77" s="850" t="s">
        <v>4933</v>
      </c>
      <c r="E77" s="850" t="s">
        <v>5314</v>
      </c>
      <c r="F77" s="879">
        <v>1</v>
      </c>
      <c r="G77" s="850" t="s">
        <v>4933</v>
      </c>
      <c r="I77" s="850" t="s">
        <v>5525</v>
      </c>
      <c r="J77" s="850" t="s">
        <v>5420</v>
      </c>
      <c r="K77" s="710" t="s">
        <v>226</v>
      </c>
      <c r="L77" s="710"/>
      <c r="M77" s="710" t="s">
        <v>780</v>
      </c>
      <c r="N77" s="710" t="s">
        <v>780</v>
      </c>
      <c r="O77" s="895">
        <v>2017</v>
      </c>
      <c r="P77" s="896">
        <v>43132</v>
      </c>
      <c r="Q77" s="896">
        <v>43830</v>
      </c>
      <c r="R77" s="712">
        <f t="shared" si="20"/>
        <v>698</v>
      </c>
      <c r="S77" s="710" t="s">
        <v>279</v>
      </c>
      <c r="T77" s="710" t="s">
        <v>279</v>
      </c>
      <c r="U77" s="710" t="s">
        <v>279</v>
      </c>
      <c r="V77" s="972" t="s">
        <v>781</v>
      </c>
      <c r="W77" s="945" t="s">
        <v>782</v>
      </c>
      <c r="X77" s="710"/>
      <c r="Y77" s="710"/>
      <c r="Z77" s="710" t="s">
        <v>783</v>
      </c>
      <c r="AA77" s="945" t="s">
        <v>784</v>
      </c>
      <c r="AB77" s="945"/>
      <c r="AC77" s="945"/>
      <c r="AD77" s="710" t="s">
        <v>785</v>
      </c>
      <c r="AE77" s="710" t="s">
        <v>786</v>
      </c>
      <c r="AF77" s="710" t="s">
        <v>454</v>
      </c>
      <c r="AG77" s="710" t="s">
        <v>787</v>
      </c>
      <c r="AH77" s="898">
        <v>191.14599999999999</v>
      </c>
      <c r="AI77" s="868">
        <f t="shared" si="24"/>
        <v>191.14600000000002</v>
      </c>
      <c r="AJ77" s="867">
        <f t="shared" si="25"/>
        <v>0</v>
      </c>
      <c r="AK77" s="898">
        <v>104.55200000000001</v>
      </c>
      <c r="AL77" s="899">
        <v>0.54700000000000004</v>
      </c>
      <c r="AM77" s="899">
        <v>1.6000000000000001E-3</v>
      </c>
      <c r="AN77" s="869">
        <f t="shared" si="26"/>
        <v>0.5469745639458844</v>
      </c>
      <c r="AO77" s="869">
        <f t="shared" si="27"/>
        <v>2.5436054115646201E-5</v>
      </c>
      <c r="AP77" s="899"/>
      <c r="AQ77" s="899"/>
      <c r="AR77" s="899"/>
      <c r="AS77" s="869">
        <f t="shared" si="28"/>
        <v>0</v>
      </c>
      <c r="AT77" s="869">
        <f t="shared" si="29"/>
        <v>0</v>
      </c>
      <c r="AU77" s="898">
        <v>74.641000000000005</v>
      </c>
      <c r="AV77" s="899">
        <v>0.39050000000000001</v>
      </c>
      <c r="AW77" s="869">
        <f t="shared" si="30"/>
        <v>0.39049208458455847</v>
      </c>
      <c r="AX77" s="869">
        <f t="shared" si="31"/>
        <v>7.9154154415395084E-6</v>
      </c>
      <c r="AY77" s="898">
        <v>9.3239999999999998</v>
      </c>
      <c r="AZ77" s="899">
        <v>4.8800000000000003E-2</v>
      </c>
      <c r="BA77" s="869">
        <f t="shared" si="32"/>
        <v>4.8779467004279452E-2</v>
      </c>
      <c r="BB77" s="869">
        <f t="shared" si="33"/>
        <v>2.0532995720551339E-5</v>
      </c>
      <c r="BC77" s="898">
        <v>2.629</v>
      </c>
      <c r="BD77" s="899">
        <v>1.38E-2</v>
      </c>
      <c r="BE77" s="869">
        <f t="shared" si="34"/>
        <v>1.3753884465277852E-2</v>
      </c>
      <c r="BF77" s="869">
        <f t="shared" si="35"/>
        <v>4.6115534722147855E-5</v>
      </c>
      <c r="BG77" s="898"/>
      <c r="BH77" s="899"/>
      <c r="BI77" s="710"/>
      <c r="BJ77" s="710"/>
      <c r="BK77" s="710"/>
      <c r="BL77" s="714">
        <f t="shared" si="36"/>
        <v>0</v>
      </c>
      <c r="BM77" s="869">
        <f t="shared" si="37"/>
        <v>0</v>
      </c>
      <c r="BN77" s="898"/>
      <c r="BO77" s="899"/>
      <c r="BP77" s="869">
        <f t="shared" si="38"/>
        <v>0</v>
      </c>
      <c r="BQ77" s="869">
        <f t="shared" si="39"/>
        <v>0</v>
      </c>
      <c r="BR77" s="898">
        <v>181.44</v>
      </c>
      <c r="BS77" s="899">
        <v>2.8E-3</v>
      </c>
      <c r="BT77" s="899"/>
      <c r="BU77" s="899"/>
      <c r="BV77" s="901">
        <v>105</v>
      </c>
      <c r="BW77" s="901">
        <v>105</v>
      </c>
      <c r="BX77" s="901">
        <v>98</v>
      </c>
      <c r="BY77" s="901">
        <v>5</v>
      </c>
      <c r="BZ77" s="901">
        <v>38</v>
      </c>
      <c r="CA77" s="901">
        <v>2</v>
      </c>
      <c r="CB77" s="901"/>
      <c r="CC77" s="901"/>
      <c r="CD77" s="901"/>
      <c r="CE77" s="901">
        <v>13</v>
      </c>
      <c r="CF77" s="901">
        <v>21</v>
      </c>
      <c r="CG77" s="901">
        <v>5</v>
      </c>
      <c r="CH77" s="901"/>
      <c r="CI77" s="901">
        <v>6</v>
      </c>
      <c r="CJ77" s="901">
        <v>6</v>
      </c>
      <c r="CK77" s="901"/>
      <c r="CL77" s="901"/>
      <c r="CM77" s="901"/>
      <c r="CN77" s="901"/>
      <c r="CO77" s="901"/>
      <c r="CP77" s="901"/>
      <c r="CQ77" s="901"/>
      <c r="CR77" s="901">
        <v>1</v>
      </c>
      <c r="CS77" s="902">
        <f t="shared" si="23"/>
        <v>97</v>
      </c>
      <c r="CT77" s="871">
        <f t="shared" si="40"/>
        <v>97</v>
      </c>
      <c r="CU77" s="871">
        <f t="shared" si="41"/>
        <v>0</v>
      </c>
      <c r="CV77" s="942">
        <v>170</v>
      </c>
      <c r="CW77" s="972" t="s">
        <v>788</v>
      </c>
      <c r="CX77" s="710"/>
      <c r="CY77" s="899" t="s">
        <v>789</v>
      </c>
      <c r="CZ77" s="943" t="s">
        <v>790</v>
      </c>
      <c r="DA77" s="943"/>
      <c r="DB77" s="943"/>
      <c r="DC77" s="710" t="s">
        <v>279</v>
      </c>
      <c r="DD77" s="710"/>
      <c r="DE77" s="710"/>
      <c r="DF77" s="901"/>
      <c r="DG77" s="901"/>
      <c r="DH77" s="901">
        <v>8</v>
      </c>
      <c r="DI77" s="710" t="s">
        <v>279</v>
      </c>
      <c r="DJ77" s="710"/>
      <c r="DK77" s="901"/>
      <c r="DL77" s="710" t="s">
        <v>278</v>
      </c>
      <c r="DM77" s="710" t="s">
        <v>791</v>
      </c>
      <c r="DN77" s="901">
        <v>8800</v>
      </c>
      <c r="DO77" s="710" t="s">
        <v>279</v>
      </c>
      <c r="DP77" s="710"/>
      <c r="DQ77" s="901"/>
      <c r="DR77" s="710" t="s">
        <v>279</v>
      </c>
      <c r="DS77" s="710"/>
      <c r="DT77" s="901"/>
      <c r="DU77" s="710" t="s">
        <v>279</v>
      </c>
      <c r="DV77" s="710"/>
      <c r="DW77" s="901"/>
      <c r="DX77" s="710" t="s">
        <v>279</v>
      </c>
      <c r="DY77" s="710"/>
      <c r="DZ77" s="901"/>
      <c r="EA77" s="710" t="s">
        <v>279</v>
      </c>
      <c r="EB77" s="710"/>
      <c r="EC77" s="901"/>
      <c r="ED77" s="710" t="s">
        <v>279</v>
      </c>
      <c r="EE77" s="710"/>
      <c r="EF77" s="901"/>
      <c r="EG77" s="710" t="s">
        <v>279</v>
      </c>
      <c r="EH77" s="710"/>
      <c r="EI77" s="901"/>
      <c r="EJ77" s="710" t="s">
        <v>279</v>
      </c>
      <c r="EK77" s="710"/>
      <c r="EL77" s="901"/>
      <c r="EM77" s="710" t="s">
        <v>279</v>
      </c>
      <c r="EN77" s="710"/>
      <c r="EO77" s="901"/>
      <c r="EP77" s="710" t="s">
        <v>279</v>
      </c>
      <c r="EQ77" s="710"/>
      <c r="ER77" s="901"/>
      <c r="ES77" s="710" t="s">
        <v>278</v>
      </c>
      <c r="ET77" s="710" t="s">
        <v>792</v>
      </c>
      <c r="EU77" s="901">
        <v>16</v>
      </c>
      <c r="EV77" s="904">
        <v>1</v>
      </c>
      <c r="EW77" s="710"/>
      <c r="EX77" s="949">
        <v>49</v>
      </c>
      <c r="EY77" s="710" t="s">
        <v>279</v>
      </c>
      <c r="EZ77" s="710"/>
      <c r="FA77" s="710" t="s">
        <v>279</v>
      </c>
      <c r="FB77" s="710"/>
      <c r="FC77" s="945" t="s">
        <v>775</v>
      </c>
      <c r="FD77" s="945" t="s">
        <v>793</v>
      </c>
      <c r="FE77" s="710" t="s">
        <v>279</v>
      </c>
      <c r="FF77" s="710" t="s">
        <v>794</v>
      </c>
      <c r="FG77" s="710" t="s">
        <v>279</v>
      </c>
      <c r="FH77" s="710" t="s">
        <v>795</v>
      </c>
      <c r="FI77" s="710">
        <v>3</v>
      </c>
      <c r="FJ77" s="710">
        <v>250</v>
      </c>
      <c r="FK77" s="710" t="s">
        <v>796</v>
      </c>
      <c r="FL77" s="710" t="s">
        <v>797</v>
      </c>
      <c r="FM77" s="945" t="s">
        <v>798</v>
      </c>
      <c r="FN77" s="710" t="s">
        <v>799</v>
      </c>
      <c r="FO77" s="710" t="s">
        <v>800</v>
      </c>
      <c r="FP77" s="945" t="s">
        <v>801</v>
      </c>
    </row>
    <row r="78" spans="2:172" ht="97" customHeight="1">
      <c r="B78" s="850" t="s">
        <v>5315</v>
      </c>
      <c r="C78" s="850" t="s">
        <v>5316</v>
      </c>
      <c r="D78" s="850" t="s">
        <v>5317</v>
      </c>
      <c r="E78" s="850" t="s">
        <v>5318</v>
      </c>
      <c r="F78" s="850" t="s">
        <v>5319</v>
      </c>
      <c r="G78" s="850" t="s">
        <v>4933</v>
      </c>
      <c r="I78" s="850" t="s">
        <v>5525</v>
      </c>
      <c r="J78" s="850" t="s">
        <v>5420</v>
      </c>
      <c r="K78" s="710" t="s">
        <v>226</v>
      </c>
      <c r="L78" s="710"/>
      <c r="M78" s="710" t="s">
        <v>802</v>
      </c>
      <c r="N78" s="710" t="s">
        <v>802</v>
      </c>
      <c r="O78" s="895">
        <v>2018</v>
      </c>
      <c r="P78" s="896">
        <v>43466</v>
      </c>
      <c r="Q78" s="896">
        <v>43830</v>
      </c>
      <c r="R78" s="712">
        <f t="shared" si="20"/>
        <v>364</v>
      </c>
      <c r="S78" s="710" t="s">
        <v>803</v>
      </c>
      <c r="T78" s="710" t="s">
        <v>804</v>
      </c>
      <c r="U78" s="945" t="s">
        <v>805</v>
      </c>
      <c r="V78" s="710"/>
      <c r="W78" s="710"/>
      <c r="X78" s="710"/>
      <c r="Y78" s="710"/>
      <c r="Z78" s="710"/>
      <c r="AA78" s="710"/>
      <c r="AB78" s="710"/>
      <c r="AC78" s="710"/>
      <c r="AD78" s="710" t="s">
        <v>806</v>
      </c>
      <c r="AE78" s="710" t="s">
        <v>806</v>
      </c>
      <c r="AF78" s="710" t="s">
        <v>454</v>
      </c>
      <c r="AG78" s="710" t="s">
        <v>807</v>
      </c>
      <c r="AH78" s="898">
        <v>373.36799999999999</v>
      </c>
      <c r="AI78" s="868">
        <f t="shared" si="24"/>
        <v>373.36799999999999</v>
      </c>
      <c r="AJ78" s="867">
        <f t="shared" si="25"/>
        <v>0</v>
      </c>
      <c r="AK78" s="898">
        <v>6.875</v>
      </c>
      <c r="AL78" s="899">
        <v>1.84E-2</v>
      </c>
      <c r="AM78" s="899">
        <v>1E-4</v>
      </c>
      <c r="AN78" s="869">
        <f t="shared" si="26"/>
        <v>1.8413468749330419E-2</v>
      </c>
      <c r="AO78" s="869">
        <f t="shared" si="27"/>
        <v>-1.3468749330419749E-5</v>
      </c>
      <c r="AP78" s="899"/>
      <c r="AQ78" s="899"/>
      <c r="AR78" s="899"/>
      <c r="AS78" s="869">
        <f t="shared" si="28"/>
        <v>0</v>
      </c>
      <c r="AT78" s="869">
        <f t="shared" si="29"/>
        <v>0</v>
      </c>
      <c r="AU78" s="898">
        <v>27.318999999999999</v>
      </c>
      <c r="AV78" s="899">
        <v>7.3200000000000001E-2</v>
      </c>
      <c r="AW78" s="869">
        <f t="shared" si="30"/>
        <v>7.3169098583702935E-2</v>
      </c>
      <c r="AX78" s="869">
        <f t="shared" si="31"/>
        <v>3.0901416297066109E-5</v>
      </c>
      <c r="AY78" s="898">
        <v>2.2599999999999998</v>
      </c>
      <c r="AZ78" s="899">
        <v>6.0000000000000001E-3</v>
      </c>
      <c r="BA78" s="869">
        <f t="shared" si="32"/>
        <v>6.0530093634162535E-3</v>
      </c>
      <c r="BB78" s="869">
        <f t="shared" si="33"/>
        <v>-5.3009363416253383E-5</v>
      </c>
      <c r="BC78" s="898"/>
      <c r="BD78" s="899"/>
      <c r="BE78" s="869">
        <f t="shared" si="34"/>
        <v>0</v>
      </c>
      <c r="BF78" s="869">
        <f t="shared" si="35"/>
        <v>0</v>
      </c>
      <c r="BG78" s="898">
        <v>336.91399999999999</v>
      </c>
      <c r="BH78" s="899">
        <v>0.90239999999999998</v>
      </c>
      <c r="BI78" s="710" t="s">
        <v>808</v>
      </c>
      <c r="BJ78" s="710" t="s">
        <v>809</v>
      </c>
      <c r="BK78" s="710" t="s">
        <v>806</v>
      </c>
      <c r="BL78" s="714">
        <f t="shared" si="36"/>
        <v>0.90236442330355038</v>
      </c>
      <c r="BM78" s="869">
        <f t="shared" si="37"/>
        <v>3.5576696449601819E-5</v>
      </c>
      <c r="BN78" s="898"/>
      <c r="BO78" s="899"/>
      <c r="BP78" s="869">
        <f t="shared" si="38"/>
        <v>0</v>
      </c>
      <c r="BQ78" s="869">
        <f t="shared" si="39"/>
        <v>0</v>
      </c>
      <c r="BR78" s="898">
        <v>316.92399999999998</v>
      </c>
      <c r="BS78" s="899">
        <v>5.0000000000000001E-3</v>
      </c>
      <c r="BT78" s="899"/>
      <c r="BU78" s="899"/>
      <c r="BV78" s="901">
        <v>192</v>
      </c>
      <c r="BW78" s="901">
        <v>192</v>
      </c>
      <c r="BX78" s="901">
        <v>192</v>
      </c>
      <c r="BY78" s="901"/>
      <c r="BZ78" s="901"/>
      <c r="CA78" s="901"/>
      <c r="CB78" s="901"/>
      <c r="CC78" s="901"/>
      <c r="CD78" s="901"/>
      <c r="CE78" s="901"/>
      <c r="CF78" s="901"/>
      <c r="CG78" s="901"/>
      <c r="CH78" s="901">
        <v>192</v>
      </c>
      <c r="CI78" s="901"/>
      <c r="CJ78" s="901"/>
      <c r="CK78" s="901"/>
      <c r="CL78" s="901"/>
      <c r="CM78" s="901"/>
      <c r="CN78" s="901"/>
      <c r="CO78" s="901"/>
      <c r="CP78" s="901"/>
      <c r="CQ78" s="901"/>
      <c r="CR78" s="901"/>
      <c r="CS78" s="902">
        <f t="shared" si="23"/>
        <v>192</v>
      </c>
      <c r="CT78" s="871">
        <f t="shared" si="40"/>
        <v>192</v>
      </c>
      <c r="CU78" s="871">
        <f t="shared" si="41"/>
        <v>0</v>
      </c>
      <c r="CV78" s="976"/>
      <c r="CW78" s="898" t="s">
        <v>810</v>
      </c>
      <c r="CX78" s="710"/>
      <c r="CY78" s="710"/>
      <c r="CZ78" s="899"/>
      <c r="DA78" s="899"/>
      <c r="DB78" s="899"/>
      <c r="DC78" s="710" t="s">
        <v>279</v>
      </c>
      <c r="DD78" s="710"/>
      <c r="DE78" s="710"/>
      <c r="DF78" s="901"/>
      <c r="DG78" s="901"/>
      <c r="DH78" s="901">
        <v>4</v>
      </c>
      <c r="DI78" s="710" t="s">
        <v>279</v>
      </c>
      <c r="DJ78" s="710"/>
      <c r="DK78" s="901"/>
      <c r="DL78" s="710" t="s">
        <v>279</v>
      </c>
      <c r="DM78" s="710"/>
      <c r="DN78" s="901"/>
      <c r="DO78" s="710"/>
      <c r="DP78" s="710" t="s">
        <v>811</v>
      </c>
      <c r="DQ78" s="898"/>
      <c r="DR78" s="710" t="s">
        <v>279</v>
      </c>
      <c r="DS78" s="710"/>
      <c r="DT78" s="901"/>
      <c r="DU78" s="710" t="s">
        <v>279</v>
      </c>
      <c r="DV78" s="710"/>
      <c r="DW78" s="901"/>
      <c r="DX78" s="710" t="s">
        <v>279</v>
      </c>
      <c r="DY78" s="710"/>
      <c r="DZ78" s="901"/>
      <c r="EA78" s="710" t="s">
        <v>279</v>
      </c>
      <c r="EB78" s="710"/>
      <c r="EC78" s="901"/>
      <c r="ED78" s="710" t="s">
        <v>279</v>
      </c>
      <c r="EE78" s="710"/>
      <c r="EF78" s="901"/>
      <c r="EG78" s="710" t="s">
        <v>279</v>
      </c>
      <c r="EH78" s="710"/>
      <c r="EI78" s="901"/>
      <c r="EJ78" s="710" t="s">
        <v>279</v>
      </c>
      <c r="EK78" s="710"/>
      <c r="EL78" s="901"/>
      <c r="EM78" s="710" t="s">
        <v>279</v>
      </c>
      <c r="EN78" s="710"/>
      <c r="EO78" s="901"/>
      <c r="EP78" s="710" t="s">
        <v>279</v>
      </c>
      <c r="EQ78" s="710"/>
      <c r="ER78" s="901"/>
      <c r="ES78" s="710" t="s">
        <v>278</v>
      </c>
      <c r="ET78" s="710" t="s">
        <v>818</v>
      </c>
      <c r="EU78" s="901"/>
      <c r="EV78" s="710"/>
      <c r="EW78" s="710" t="s">
        <v>812</v>
      </c>
      <c r="EX78" s="860">
        <v>76</v>
      </c>
      <c r="EY78" s="710" t="s">
        <v>279</v>
      </c>
      <c r="EZ78" s="710"/>
      <c r="FA78" s="710" t="s">
        <v>279</v>
      </c>
      <c r="FB78" s="710"/>
      <c r="FC78" s="710" t="s">
        <v>775</v>
      </c>
      <c r="FD78" s="710"/>
      <c r="FE78" s="710"/>
      <c r="FF78" s="710" t="s">
        <v>813</v>
      </c>
      <c r="FG78" s="710"/>
      <c r="FH78" s="710" t="s">
        <v>814</v>
      </c>
      <c r="FI78" s="710"/>
      <c r="FJ78" s="710"/>
      <c r="FK78" s="710" t="s">
        <v>815</v>
      </c>
      <c r="FL78" s="710" t="s">
        <v>816</v>
      </c>
      <c r="FM78" s="945" t="s">
        <v>817</v>
      </c>
      <c r="FN78" s="710"/>
      <c r="FO78" s="710"/>
      <c r="FP78" s="710"/>
    </row>
    <row r="79" spans="2:172" ht="65" customHeight="1">
      <c r="B79" s="863"/>
      <c r="C79" s="863"/>
      <c r="D79" s="863"/>
      <c r="E79" s="863"/>
      <c r="F79" s="863"/>
      <c r="I79" s="850" t="s">
        <v>5523</v>
      </c>
      <c r="J79" s="850" t="s">
        <v>5421</v>
      </c>
      <c r="K79" s="710" t="s">
        <v>227</v>
      </c>
      <c r="L79" s="710"/>
      <c r="M79" s="710"/>
      <c r="N79" s="710"/>
      <c r="O79" s="895"/>
      <c r="P79" s="896"/>
      <c r="Q79" s="896"/>
      <c r="R79" s="712">
        <f t="shared" si="20"/>
        <v>0</v>
      </c>
      <c r="S79" s="710"/>
      <c r="T79" s="710"/>
      <c r="U79" s="710"/>
      <c r="V79" s="710"/>
      <c r="W79" s="710"/>
      <c r="X79" s="710"/>
      <c r="Y79" s="710"/>
      <c r="Z79" s="710"/>
      <c r="AA79" s="710"/>
      <c r="AB79" s="710"/>
      <c r="AC79" s="710"/>
      <c r="AD79" s="710"/>
      <c r="AE79" s="710"/>
      <c r="AF79" s="710"/>
      <c r="AG79" s="710"/>
      <c r="AH79" s="898"/>
      <c r="AI79" s="868">
        <f t="shared" si="24"/>
        <v>0</v>
      </c>
      <c r="AJ79" s="867">
        <f t="shared" si="25"/>
        <v>0</v>
      </c>
      <c r="AK79" s="898"/>
      <c r="AL79" s="899"/>
      <c r="AM79" s="899"/>
      <c r="AN79" s="869" t="e">
        <f t="shared" si="26"/>
        <v>#DIV/0!</v>
      </c>
      <c r="AO79" s="869" t="e">
        <f t="shared" si="27"/>
        <v>#DIV/0!</v>
      </c>
      <c r="AP79" s="899"/>
      <c r="AQ79" s="899"/>
      <c r="AR79" s="899"/>
      <c r="AS79" s="869" t="e">
        <f t="shared" si="28"/>
        <v>#DIV/0!</v>
      </c>
      <c r="AT79" s="869" t="e">
        <f t="shared" si="29"/>
        <v>#DIV/0!</v>
      </c>
      <c r="AU79" s="898"/>
      <c r="AV79" s="899"/>
      <c r="AW79" s="869" t="e">
        <f t="shared" si="30"/>
        <v>#DIV/0!</v>
      </c>
      <c r="AX79" s="869" t="e">
        <f t="shared" si="31"/>
        <v>#DIV/0!</v>
      </c>
      <c r="AY79" s="898"/>
      <c r="AZ79" s="899"/>
      <c r="BA79" s="869" t="e">
        <f t="shared" si="32"/>
        <v>#DIV/0!</v>
      </c>
      <c r="BB79" s="869" t="e">
        <f t="shared" si="33"/>
        <v>#DIV/0!</v>
      </c>
      <c r="BC79" s="898"/>
      <c r="BD79" s="899"/>
      <c r="BE79" s="869" t="e">
        <f t="shared" si="34"/>
        <v>#DIV/0!</v>
      </c>
      <c r="BF79" s="869" t="e">
        <f t="shared" si="35"/>
        <v>#DIV/0!</v>
      </c>
      <c r="BG79" s="898"/>
      <c r="BH79" s="899"/>
      <c r="BI79" s="710"/>
      <c r="BJ79" s="710"/>
      <c r="BK79" s="710"/>
      <c r="BL79" s="714" t="e">
        <f t="shared" si="36"/>
        <v>#DIV/0!</v>
      </c>
      <c r="BM79" s="869" t="e">
        <f t="shared" si="37"/>
        <v>#DIV/0!</v>
      </c>
      <c r="BN79" s="898"/>
      <c r="BO79" s="899"/>
      <c r="BP79" s="869" t="e">
        <f t="shared" si="38"/>
        <v>#DIV/0!</v>
      </c>
      <c r="BQ79" s="869" t="e">
        <f t="shared" si="39"/>
        <v>#DIV/0!</v>
      </c>
      <c r="BR79" s="898"/>
      <c r="BS79" s="899"/>
      <c r="BT79" s="899"/>
      <c r="BU79" s="899"/>
      <c r="BV79" s="901"/>
      <c r="BW79" s="901"/>
      <c r="BX79" s="901"/>
      <c r="BY79" s="901"/>
      <c r="BZ79" s="901"/>
      <c r="CA79" s="901"/>
      <c r="CB79" s="901"/>
      <c r="CC79" s="901"/>
      <c r="CD79" s="901"/>
      <c r="CE79" s="901"/>
      <c r="CF79" s="901"/>
      <c r="CG79" s="901"/>
      <c r="CH79" s="901"/>
      <c r="CI79" s="901"/>
      <c r="CJ79" s="901"/>
      <c r="CK79" s="901"/>
      <c r="CL79" s="901"/>
      <c r="CM79" s="901"/>
      <c r="CN79" s="901"/>
      <c r="CO79" s="901"/>
      <c r="CP79" s="901"/>
      <c r="CQ79" s="901"/>
      <c r="CR79" s="901"/>
      <c r="CS79" s="902"/>
      <c r="CT79" s="871">
        <f t="shared" si="40"/>
        <v>0</v>
      </c>
      <c r="CU79" s="871">
        <f t="shared" si="41"/>
        <v>0</v>
      </c>
      <c r="CV79" s="942"/>
      <c r="CW79" s="710"/>
      <c r="CX79" s="710"/>
      <c r="CY79" s="899"/>
      <c r="CZ79" s="710"/>
      <c r="DA79" s="710"/>
      <c r="DB79" s="710"/>
      <c r="DC79" s="710"/>
      <c r="DD79" s="710"/>
      <c r="DE79" s="901"/>
      <c r="DF79" s="901"/>
      <c r="DG79" s="710"/>
      <c r="DH79" s="710"/>
      <c r="DI79" s="901"/>
      <c r="DJ79" s="710"/>
      <c r="DK79" s="710"/>
      <c r="DL79" s="901"/>
      <c r="DM79" s="710"/>
      <c r="DN79" s="710"/>
      <c r="DO79" s="901"/>
      <c r="DP79" s="710"/>
      <c r="DQ79" s="710"/>
      <c r="DR79" s="901"/>
      <c r="DS79" s="710"/>
      <c r="DT79" s="710"/>
      <c r="DU79" s="901"/>
      <c r="DV79" s="710"/>
      <c r="DW79" s="710"/>
      <c r="DX79" s="901"/>
      <c r="DY79" s="710"/>
      <c r="DZ79" s="710"/>
      <c r="EA79" s="901"/>
      <c r="EB79" s="710"/>
      <c r="EC79" s="710"/>
      <c r="ED79" s="901"/>
      <c r="EE79" s="710"/>
      <c r="EF79" s="710"/>
      <c r="EG79" s="901"/>
      <c r="EH79" s="710"/>
      <c r="EI79" s="710"/>
      <c r="EJ79" s="901"/>
      <c r="EK79" s="710"/>
      <c r="EL79" s="710"/>
      <c r="EM79" s="901"/>
      <c r="EN79" s="710"/>
      <c r="EO79" s="710"/>
      <c r="EP79" s="901"/>
      <c r="EQ79" s="710"/>
      <c r="ER79" s="710"/>
      <c r="ES79" s="901"/>
      <c r="ET79" s="710"/>
      <c r="EU79" s="710"/>
      <c r="EV79" s="860"/>
      <c r="EW79" s="710"/>
      <c r="EX79" s="710"/>
      <c r="EY79" s="710"/>
      <c r="EZ79" s="710"/>
      <c r="FA79" s="710"/>
      <c r="FB79" s="710"/>
      <c r="FC79" s="710"/>
      <c r="FD79" s="710"/>
      <c r="FE79" s="710"/>
      <c r="FF79" s="710"/>
      <c r="FG79" s="710"/>
      <c r="FH79" s="710"/>
      <c r="FI79" s="710"/>
      <c r="FJ79" s="949"/>
      <c r="FK79" s="949"/>
      <c r="FL79" s="949"/>
      <c r="FM79" s="949"/>
      <c r="FN79" s="949"/>
      <c r="FO79" s="949"/>
      <c r="FP79" s="949"/>
    </row>
    <row r="80" spans="2:172" ht="99.5" customHeight="1">
      <c r="B80" s="850" t="s">
        <v>5315</v>
      </c>
      <c r="C80" s="850" t="s">
        <v>5340</v>
      </c>
      <c r="D80" s="850" t="s">
        <v>4933</v>
      </c>
      <c r="E80" s="850" t="s">
        <v>5314</v>
      </c>
      <c r="F80" s="879">
        <v>1</v>
      </c>
      <c r="G80" s="850" t="s">
        <v>4933</v>
      </c>
      <c r="I80" s="850" t="s">
        <v>5524</v>
      </c>
      <c r="J80" s="850" t="s">
        <v>5422</v>
      </c>
      <c r="K80" s="710" t="s">
        <v>228</v>
      </c>
      <c r="L80" s="710"/>
      <c r="M80" s="710" t="s">
        <v>1152</v>
      </c>
      <c r="N80" s="710" t="s">
        <v>1153</v>
      </c>
      <c r="O80" s="895">
        <v>2015</v>
      </c>
      <c r="P80" s="896">
        <v>43474</v>
      </c>
      <c r="Q80" s="896">
        <v>43830</v>
      </c>
      <c r="R80" s="712">
        <f t="shared" si="20"/>
        <v>356</v>
      </c>
      <c r="S80" s="710" t="s">
        <v>1154</v>
      </c>
      <c r="T80" s="710" t="s">
        <v>1155</v>
      </c>
      <c r="U80" s="861" t="s">
        <v>1156</v>
      </c>
      <c r="V80" s="710" t="s">
        <v>410</v>
      </c>
      <c r="W80" s="710" t="s">
        <v>410</v>
      </c>
      <c r="X80" s="710" t="s">
        <v>410</v>
      </c>
      <c r="Y80" s="710" t="s">
        <v>410</v>
      </c>
      <c r="Z80" s="710" t="s">
        <v>1157</v>
      </c>
      <c r="AA80" s="861" t="s">
        <v>1158</v>
      </c>
      <c r="AB80" s="861"/>
      <c r="AC80" s="861"/>
      <c r="AD80" s="710" t="s">
        <v>1159</v>
      </c>
      <c r="AE80" s="710" t="s">
        <v>1159</v>
      </c>
      <c r="AF80" s="710" t="s">
        <v>277</v>
      </c>
      <c r="AG80" s="710" t="s">
        <v>1160</v>
      </c>
      <c r="AH80" s="898">
        <v>311.11599999999999</v>
      </c>
      <c r="AI80" s="868">
        <f t="shared" si="24"/>
        <v>311.11600000000004</v>
      </c>
      <c r="AJ80" s="867">
        <f t="shared" si="25"/>
        <v>0</v>
      </c>
      <c r="AK80" s="898">
        <v>239.82599999999999</v>
      </c>
      <c r="AL80" s="899">
        <v>0.77100000000000002</v>
      </c>
      <c r="AM80" s="899">
        <v>1.6999999999999999E-3</v>
      </c>
      <c r="AN80" s="869">
        <f t="shared" si="26"/>
        <v>0.77085717224443617</v>
      </c>
      <c r="AO80" s="869">
        <f t="shared" si="27"/>
        <v>1.4282775556384575E-4</v>
      </c>
      <c r="AP80" s="899"/>
      <c r="AQ80" s="899"/>
      <c r="AR80" s="899"/>
      <c r="AS80" s="869">
        <f t="shared" si="28"/>
        <v>0</v>
      </c>
      <c r="AT80" s="869">
        <f t="shared" si="29"/>
        <v>0</v>
      </c>
      <c r="AU80" s="898">
        <v>70.730999999999995</v>
      </c>
      <c r="AV80" s="899">
        <v>0.2273</v>
      </c>
      <c r="AW80" s="869">
        <f t="shared" si="30"/>
        <v>0.22734607027603851</v>
      </c>
      <c r="AX80" s="869">
        <f t="shared" si="31"/>
        <v>-4.6070276038506774E-5</v>
      </c>
      <c r="AY80" s="898">
        <v>5.8999999999999997E-2</v>
      </c>
      <c r="AZ80" s="899">
        <v>1.8000000000000001E-4</v>
      </c>
      <c r="BA80" s="869">
        <f t="shared" si="32"/>
        <v>1.8963987708764578E-4</v>
      </c>
      <c r="BB80" s="869">
        <f t="shared" si="33"/>
        <v>-9.6398770876457646E-6</v>
      </c>
      <c r="BC80" s="898">
        <v>0.5</v>
      </c>
      <c r="BD80" s="899">
        <v>1.6000000000000001E-3</v>
      </c>
      <c r="BE80" s="869">
        <f t="shared" si="34"/>
        <v>1.6071176024376761E-3</v>
      </c>
      <c r="BF80" s="869">
        <f t="shared" si="35"/>
        <v>-7.1176024376759777E-6</v>
      </c>
      <c r="BG80" s="898"/>
      <c r="BH80" s="899"/>
      <c r="BI80" s="710" t="s">
        <v>410</v>
      </c>
      <c r="BJ80" s="710" t="s">
        <v>410</v>
      </c>
      <c r="BK80" s="710" t="s">
        <v>410</v>
      </c>
      <c r="BL80" s="714">
        <f t="shared" si="36"/>
        <v>0</v>
      </c>
      <c r="BM80" s="869">
        <f t="shared" si="37"/>
        <v>0</v>
      </c>
      <c r="BN80" s="898"/>
      <c r="BO80" s="899"/>
      <c r="BP80" s="869">
        <f t="shared" si="38"/>
        <v>0</v>
      </c>
      <c r="BQ80" s="869">
        <f t="shared" si="39"/>
        <v>0</v>
      </c>
      <c r="BR80" s="898">
        <v>249.91499999999999</v>
      </c>
      <c r="BS80" s="899">
        <v>1.6000000000000001E-3</v>
      </c>
      <c r="BT80" s="899"/>
      <c r="BU80" s="899"/>
      <c r="BV80" s="901"/>
      <c r="BW80" s="901">
        <v>250</v>
      </c>
      <c r="BX80" s="901">
        <v>250</v>
      </c>
      <c r="BY80" s="901">
        <v>4</v>
      </c>
      <c r="BZ80" s="901">
        <v>157</v>
      </c>
      <c r="CA80" s="901">
        <v>23</v>
      </c>
      <c r="CB80" s="901">
        <v>6</v>
      </c>
      <c r="CC80" s="901">
        <v>3</v>
      </c>
      <c r="CD80" s="901">
        <v>0</v>
      </c>
      <c r="CE80" s="901">
        <v>0</v>
      </c>
      <c r="CF80" s="901">
        <v>0</v>
      </c>
      <c r="CG80" s="901">
        <v>11</v>
      </c>
      <c r="CH80" s="901">
        <v>10</v>
      </c>
      <c r="CI80" s="901">
        <v>18</v>
      </c>
      <c r="CJ80" s="901">
        <v>3</v>
      </c>
      <c r="CK80" s="901">
        <v>0</v>
      </c>
      <c r="CL80" s="901">
        <v>10</v>
      </c>
      <c r="CM80" s="901">
        <v>0</v>
      </c>
      <c r="CN80" s="901">
        <v>0</v>
      </c>
      <c r="CO80" s="901">
        <v>0</v>
      </c>
      <c r="CP80" s="901">
        <v>0</v>
      </c>
      <c r="CQ80" s="901">
        <v>1</v>
      </c>
      <c r="CR80" s="901">
        <v>0</v>
      </c>
      <c r="CS80" s="902">
        <f>SUM(BY80:CR80)</f>
        <v>246</v>
      </c>
      <c r="CT80" s="871">
        <f t="shared" si="40"/>
        <v>246</v>
      </c>
      <c r="CU80" s="871">
        <f t="shared" si="41"/>
        <v>0</v>
      </c>
      <c r="CV80" s="942">
        <v>696.37199999999996</v>
      </c>
      <c r="CW80" s="710" t="s">
        <v>1161</v>
      </c>
      <c r="CX80" s="861" t="s">
        <v>1162</v>
      </c>
      <c r="CY80" s="899">
        <v>0.377</v>
      </c>
      <c r="CZ80" s="963" t="s">
        <v>1163</v>
      </c>
      <c r="DA80" s="963"/>
      <c r="DB80" s="963"/>
      <c r="DC80" s="710" t="s">
        <v>279</v>
      </c>
      <c r="DD80" s="710" t="s">
        <v>410</v>
      </c>
      <c r="DE80" s="710" t="s">
        <v>410</v>
      </c>
      <c r="DF80" s="901" t="s">
        <v>410</v>
      </c>
      <c r="DG80" s="901" t="s">
        <v>410</v>
      </c>
      <c r="DH80" s="901" t="s">
        <v>1164</v>
      </c>
      <c r="DI80" s="710" t="s">
        <v>279</v>
      </c>
      <c r="DJ80" s="710" t="s">
        <v>410</v>
      </c>
      <c r="DK80" s="901" t="s">
        <v>410</v>
      </c>
      <c r="DL80" s="710" t="s">
        <v>278</v>
      </c>
      <c r="DM80" s="710" t="s">
        <v>1165</v>
      </c>
      <c r="DN80" s="901">
        <v>5000</v>
      </c>
      <c r="DO80" s="710" t="s">
        <v>279</v>
      </c>
      <c r="DP80" s="710" t="s">
        <v>410</v>
      </c>
      <c r="DQ80" s="901" t="s">
        <v>410</v>
      </c>
      <c r="DR80" s="710" t="s">
        <v>279</v>
      </c>
      <c r="DS80" s="710" t="s">
        <v>410</v>
      </c>
      <c r="DT80" s="901" t="s">
        <v>410</v>
      </c>
      <c r="DU80" s="710" t="s">
        <v>279</v>
      </c>
      <c r="DV80" s="710" t="s">
        <v>410</v>
      </c>
      <c r="DW80" s="901" t="s">
        <v>410</v>
      </c>
      <c r="DX80" s="710" t="s">
        <v>279</v>
      </c>
      <c r="DY80" s="710" t="s">
        <v>410</v>
      </c>
      <c r="DZ80" s="901" t="s">
        <v>410</v>
      </c>
      <c r="EA80" s="710" t="s">
        <v>279</v>
      </c>
      <c r="EB80" s="710" t="s">
        <v>410</v>
      </c>
      <c r="EC80" s="901" t="s">
        <v>410</v>
      </c>
      <c r="ED80" s="710" t="s">
        <v>1166</v>
      </c>
      <c r="EE80" s="710" t="s">
        <v>1167</v>
      </c>
      <c r="EF80" s="901">
        <v>5000</v>
      </c>
      <c r="EG80" s="710" t="s">
        <v>279</v>
      </c>
      <c r="EH80" s="710" t="s">
        <v>410</v>
      </c>
      <c r="EI80" s="901" t="s">
        <v>410</v>
      </c>
      <c r="EJ80" s="710" t="s">
        <v>1166</v>
      </c>
      <c r="EK80" s="710" t="s">
        <v>1167</v>
      </c>
      <c r="EL80" s="901">
        <v>5000</v>
      </c>
      <c r="EM80" s="710" t="s">
        <v>1168</v>
      </c>
      <c r="EN80" s="710" t="s">
        <v>1169</v>
      </c>
      <c r="EO80" s="901">
        <v>950</v>
      </c>
      <c r="EP80" s="710" t="s">
        <v>279</v>
      </c>
      <c r="EQ80" s="710" t="s">
        <v>410</v>
      </c>
      <c r="ER80" s="901" t="s">
        <v>410</v>
      </c>
      <c r="ES80" s="710" t="s">
        <v>279</v>
      </c>
      <c r="ET80" s="710" t="s">
        <v>410</v>
      </c>
      <c r="EU80" s="901" t="s">
        <v>410</v>
      </c>
      <c r="EV80" s="904">
        <v>1</v>
      </c>
      <c r="EW80" s="710" t="s">
        <v>410</v>
      </c>
      <c r="EX80" s="860">
        <v>190</v>
      </c>
      <c r="EY80" s="710" t="s">
        <v>279</v>
      </c>
      <c r="EZ80" s="710" t="s">
        <v>410</v>
      </c>
      <c r="FA80" s="710" t="s">
        <v>278</v>
      </c>
      <c r="FB80" s="710" t="s">
        <v>1170</v>
      </c>
      <c r="FC80" s="861" t="s">
        <v>1162</v>
      </c>
      <c r="FD80" s="710" t="s">
        <v>1171</v>
      </c>
      <c r="FE80" s="710"/>
      <c r="FF80" s="710" t="s">
        <v>410</v>
      </c>
      <c r="FG80" s="710" t="s">
        <v>1172</v>
      </c>
      <c r="FH80" s="710" t="s">
        <v>1173</v>
      </c>
      <c r="FI80" s="710">
        <v>4</v>
      </c>
      <c r="FJ80" s="710" t="s">
        <v>1174</v>
      </c>
      <c r="FK80" s="710" t="s">
        <v>1175</v>
      </c>
      <c r="FL80" s="710" t="s">
        <v>1176</v>
      </c>
      <c r="FM80" s="861" t="s">
        <v>1177</v>
      </c>
      <c r="FN80" s="710" t="s">
        <v>1178</v>
      </c>
      <c r="FO80" s="710" t="s">
        <v>1179</v>
      </c>
      <c r="FP80" s="861" t="s">
        <v>1180</v>
      </c>
    </row>
    <row r="81" spans="2:191" ht="93" customHeight="1">
      <c r="B81" s="850" t="s">
        <v>5315</v>
      </c>
      <c r="C81" s="850" t="s">
        <v>5326</v>
      </c>
      <c r="D81" s="850" t="s">
        <v>4933</v>
      </c>
      <c r="E81" s="850" t="s">
        <v>5314</v>
      </c>
      <c r="F81" s="850" t="s">
        <v>694</v>
      </c>
      <c r="G81" s="850" t="s">
        <v>4933</v>
      </c>
      <c r="I81" s="850" t="s">
        <v>5524</v>
      </c>
      <c r="J81" s="850" t="s">
        <v>5422</v>
      </c>
      <c r="K81" s="710" t="s">
        <v>228</v>
      </c>
      <c r="L81" s="710"/>
      <c r="M81" s="710" t="s">
        <v>1181</v>
      </c>
      <c r="N81" s="710" t="s">
        <v>1153</v>
      </c>
      <c r="O81" s="895">
        <v>2013</v>
      </c>
      <c r="P81" s="896">
        <v>43474</v>
      </c>
      <c r="Q81" s="896">
        <v>43830</v>
      </c>
      <c r="R81" s="712">
        <f t="shared" si="20"/>
        <v>356</v>
      </c>
      <c r="S81" s="710" t="s">
        <v>1154</v>
      </c>
      <c r="T81" s="710" t="s">
        <v>1182</v>
      </c>
      <c r="U81" s="940" t="s">
        <v>1156</v>
      </c>
      <c r="V81" s="710" t="s">
        <v>1183</v>
      </c>
      <c r="W81" s="710" t="s">
        <v>1183</v>
      </c>
      <c r="X81" s="710" t="s">
        <v>1183</v>
      </c>
      <c r="Y81" s="710" t="s">
        <v>1183</v>
      </c>
      <c r="Z81" s="710" t="s">
        <v>1184</v>
      </c>
      <c r="AA81" s="710" t="s">
        <v>1185</v>
      </c>
      <c r="AB81" s="710"/>
      <c r="AC81" s="710"/>
      <c r="AD81" s="710" t="s">
        <v>1159</v>
      </c>
      <c r="AE81" s="710" t="s">
        <v>1159</v>
      </c>
      <c r="AF81" s="710" t="s">
        <v>277</v>
      </c>
      <c r="AG81" s="710" t="s">
        <v>1186</v>
      </c>
      <c r="AH81" s="898">
        <v>235.43100000000001</v>
      </c>
      <c r="AI81" s="868">
        <f t="shared" si="24"/>
        <v>235.43100000000001</v>
      </c>
      <c r="AJ81" s="867">
        <f t="shared" si="25"/>
        <v>0</v>
      </c>
      <c r="AK81" s="898">
        <v>201.571</v>
      </c>
      <c r="AL81" s="899">
        <v>0.85599999999999998</v>
      </c>
      <c r="AM81" s="899">
        <v>1.4E-3</v>
      </c>
      <c r="AN81" s="869">
        <f t="shared" si="26"/>
        <v>0.8561786680598561</v>
      </c>
      <c r="AO81" s="869">
        <f t="shared" si="27"/>
        <v>-1.78668059856113E-4</v>
      </c>
      <c r="AP81" s="899"/>
      <c r="AQ81" s="899"/>
      <c r="AR81" s="899"/>
      <c r="AS81" s="869">
        <f t="shared" si="28"/>
        <v>0</v>
      </c>
      <c r="AT81" s="869">
        <f t="shared" si="29"/>
        <v>0</v>
      </c>
      <c r="AU81" s="898">
        <v>33.340000000000003</v>
      </c>
      <c r="AV81" s="899">
        <v>0.1416</v>
      </c>
      <c r="AW81" s="869">
        <f t="shared" si="30"/>
        <v>0.14161261686014162</v>
      </c>
      <c r="AX81" s="869">
        <f t="shared" si="31"/>
        <v>-1.261686014161767E-5</v>
      </c>
      <c r="AY81" s="898">
        <v>0.15</v>
      </c>
      <c r="AZ81" s="899">
        <v>5.9999999999999995E-4</v>
      </c>
      <c r="BA81" s="869">
        <f t="shared" si="32"/>
        <v>6.3712935000063704E-4</v>
      </c>
      <c r="BB81" s="869">
        <f t="shared" si="33"/>
        <v>-3.7129350000637091E-5</v>
      </c>
      <c r="BC81" s="898">
        <v>0.37</v>
      </c>
      <c r="BD81" s="899">
        <v>1.6000000000000001E-3</v>
      </c>
      <c r="BE81" s="869">
        <f t="shared" si="34"/>
        <v>1.5715857300015715E-3</v>
      </c>
      <c r="BF81" s="869">
        <f t="shared" si="35"/>
        <v>2.8414269998428606E-5</v>
      </c>
      <c r="BG81" s="898"/>
      <c r="BH81" s="899"/>
      <c r="BI81" s="710" t="s">
        <v>1183</v>
      </c>
      <c r="BJ81" s="710" t="s">
        <v>1183</v>
      </c>
      <c r="BK81" s="710" t="s">
        <v>1183</v>
      </c>
      <c r="BL81" s="714">
        <f t="shared" si="36"/>
        <v>0</v>
      </c>
      <c r="BM81" s="869">
        <f t="shared" si="37"/>
        <v>0</v>
      </c>
      <c r="BN81" s="898"/>
      <c r="BO81" s="899"/>
      <c r="BP81" s="869">
        <f t="shared" si="38"/>
        <v>0</v>
      </c>
      <c r="BQ81" s="869">
        <f t="shared" si="39"/>
        <v>0</v>
      </c>
      <c r="BR81" s="898">
        <v>208.727</v>
      </c>
      <c r="BS81" s="899">
        <v>1.4E-3</v>
      </c>
      <c r="BT81" s="899"/>
      <c r="BU81" s="899"/>
      <c r="BV81" s="901"/>
      <c r="BW81" s="901">
        <v>327</v>
      </c>
      <c r="BX81" s="901">
        <v>327</v>
      </c>
      <c r="BY81" s="901">
        <v>23</v>
      </c>
      <c r="BZ81" s="901">
        <v>109</v>
      </c>
      <c r="CA81" s="901">
        <v>59</v>
      </c>
      <c r="CB81" s="901">
        <v>19</v>
      </c>
      <c r="CC81" s="901">
        <v>1</v>
      </c>
      <c r="CD81" s="901">
        <v>1</v>
      </c>
      <c r="CE81" s="901">
        <v>0</v>
      </c>
      <c r="CF81" s="901">
        <v>2</v>
      </c>
      <c r="CG81" s="901">
        <v>6</v>
      </c>
      <c r="CH81" s="901">
        <v>49</v>
      </c>
      <c r="CI81" s="901">
        <v>37</v>
      </c>
      <c r="CJ81" s="901">
        <v>1</v>
      </c>
      <c r="CK81" s="901">
        <v>2</v>
      </c>
      <c r="CL81" s="901">
        <v>32</v>
      </c>
      <c r="CM81" s="901">
        <v>0</v>
      </c>
      <c r="CN81" s="901">
        <v>3</v>
      </c>
      <c r="CO81" s="901">
        <v>6</v>
      </c>
      <c r="CP81" s="901">
        <v>3</v>
      </c>
      <c r="CQ81" s="901">
        <v>0</v>
      </c>
      <c r="CR81" s="901">
        <v>0</v>
      </c>
      <c r="CS81" s="902">
        <f>SUM(BY81:CR81)</f>
        <v>353</v>
      </c>
      <c r="CT81" s="871">
        <f t="shared" si="40"/>
        <v>353</v>
      </c>
      <c r="CU81" s="871">
        <f t="shared" si="41"/>
        <v>0</v>
      </c>
      <c r="CV81" s="942">
        <v>141.55000000000001</v>
      </c>
      <c r="CW81" s="710" t="s">
        <v>1187</v>
      </c>
      <c r="CX81" s="710" t="s">
        <v>1183</v>
      </c>
      <c r="CY81" s="899">
        <v>7.6999999999999999E-2</v>
      </c>
      <c r="CZ81" s="963" t="s">
        <v>1163</v>
      </c>
      <c r="DA81" s="963"/>
      <c r="DB81" s="963"/>
      <c r="DC81" s="710" t="s">
        <v>279</v>
      </c>
      <c r="DD81" s="710" t="s">
        <v>1183</v>
      </c>
      <c r="DE81" s="710" t="s">
        <v>1183</v>
      </c>
      <c r="DF81" s="901" t="s">
        <v>1183</v>
      </c>
      <c r="DG81" s="901" t="s">
        <v>1183</v>
      </c>
      <c r="DH81" s="901" t="s">
        <v>1164</v>
      </c>
      <c r="DI81" s="710" t="s">
        <v>279</v>
      </c>
      <c r="DJ81" s="710" t="s">
        <v>410</v>
      </c>
      <c r="DK81" s="901" t="s">
        <v>410</v>
      </c>
      <c r="DL81" s="901" t="s">
        <v>1166</v>
      </c>
      <c r="DM81" s="710" t="s">
        <v>1188</v>
      </c>
      <c r="DN81" s="901">
        <v>7500</v>
      </c>
      <c r="DO81" s="710" t="s">
        <v>279</v>
      </c>
      <c r="DP81" s="710" t="s">
        <v>410</v>
      </c>
      <c r="DQ81" s="901" t="s">
        <v>410</v>
      </c>
      <c r="DR81" s="710" t="s">
        <v>279</v>
      </c>
      <c r="DS81" s="710" t="s">
        <v>410</v>
      </c>
      <c r="DT81" s="901" t="s">
        <v>410</v>
      </c>
      <c r="DU81" s="710" t="s">
        <v>279</v>
      </c>
      <c r="DV81" s="710" t="s">
        <v>410</v>
      </c>
      <c r="DW81" s="901" t="s">
        <v>410</v>
      </c>
      <c r="DX81" s="710" t="s">
        <v>279</v>
      </c>
      <c r="DY81" s="710" t="s">
        <v>410</v>
      </c>
      <c r="DZ81" s="901" t="s">
        <v>410</v>
      </c>
      <c r="EA81" s="710" t="s">
        <v>279</v>
      </c>
      <c r="EB81" s="710" t="s">
        <v>410</v>
      </c>
      <c r="EC81" s="901" t="s">
        <v>410</v>
      </c>
      <c r="ED81" s="710" t="s">
        <v>1166</v>
      </c>
      <c r="EE81" s="710" t="s">
        <v>1167</v>
      </c>
      <c r="EF81" s="901">
        <v>7500</v>
      </c>
      <c r="EG81" s="710" t="s">
        <v>279</v>
      </c>
      <c r="EH81" s="710" t="s">
        <v>410</v>
      </c>
      <c r="EI81" s="901" t="s">
        <v>410</v>
      </c>
      <c r="EJ81" s="710" t="s">
        <v>1166</v>
      </c>
      <c r="EK81" s="710" t="s">
        <v>1189</v>
      </c>
      <c r="EL81" s="901">
        <v>7500</v>
      </c>
      <c r="EM81" s="901" t="s">
        <v>1168</v>
      </c>
      <c r="EN81" s="901" t="s">
        <v>1190</v>
      </c>
      <c r="EO81" s="901">
        <v>815</v>
      </c>
      <c r="EP81" s="710" t="s">
        <v>279</v>
      </c>
      <c r="EQ81" s="710" t="s">
        <v>410</v>
      </c>
      <c r="ER81" s="901" t="s">
        <v>410</v>
      </c>
      <c r="ES81" s="710" t="s">
        <v>279</v>
      </c>
      <c r="ET81" s="710" t="s">
        <v>410</v>
      </c>
      <c r="EU81" s="901" t="s">
        <v>410</v>
      </c>
      <c r="EV81" s="710" t="s">
        <v>1191</v>
      </c>
      <c r="EW81" s="710" t="s">
        <v>1192</v>
      </c>
      <c r="EX81" s="860">
        <v>163</v>
      </c>
      <c r="EY81" s="710" t="s">
        <v>279</v>
      </c>
      <c r="EZ81" s="710" t="s">
        <v>1183</v>
      </c>
      <c r="FA81" s="710" t="s">
        <v>278</v>
      </c>
      <c r="FB81" s="710" t="s">
        <v>1193</v>
      </c>
      <c r="FC81" s="861" t="s">
        <v>1194</v>
      </c>
      <c r="FD81" s="708" t="s">
        <v>1195</v>
      </c>
      <c r="FE81" s="710"/>
      <c r="FF81" s="710" t="s">
        <v>1183</v>
      </c>
      <c r="FG81" s="708" t="s">
        <v>1172</v>
      </c>
      <c r="FH81" s="710" t="s">
        <v>1173</v>
      </c>
      <c r="FI81" s="710">
        <v>4</v>
      </c>
      <c r="FJ81" s="708" t="s">
        <v>1174</v>
      </c>
      <c r="FK81" s="710" t="s">
        <v>1196</v>
      </c>
      <c r="FL81" s="710" t="s">
        <v>1176</v>
      </c>
      <c r="FM81" s="861" t="s">
        <v>1177</v>
      </c>
      <c r="FN81" s="710" t="s">
        <v>1178</v>
      </c>
      <c r="FO81" s="710" t="s">
        <v>1179</v>
      </c>
      <c r="FP81" s="710" t="s">
        <v>1180</v>
      </c>
    </row>
    <row r="82" spans="2:191" ht="93" customHeight="1">
      <c r="B82" s="850" t="s">
        <v>5313</v>
      </c>
      <c r="D82" s="850" t="s">
        <v>4934</v>
      </c>
      <c r="E82" s="850" t="s">
        <v>5314</v>
      </c>
      <c r="H82" s="850" t="s">
        <v>4934</v>
      </c>
      <c r="I82" s="850" t="s">
        <v>5524</v>
      </c>
      <c r="J82" s="850" t="s">
        <v>5422</v>
      </c>
      <c r="K82" s="710" t="s">
        <v>228</v>
      </c>
      <c r="L82" s="710" t="s">
        <v>5362</v>
      </c>
      <c r="M82" s="710" t="s">
        <v>5363</v>
      </c>
      <c r="N82" s="710" t="s">
        <v>5364</v>
      </c>
      <c r="O82" s="895">
        <v>2013</v>
      </c>
      <c r="P82" s="896">
        <v>43160</v>
      </c>
      <c r="Q82" s="896">
        <v>43770</v>
      </c>
      <c r="R82" s="712">
        <f t="shared" si="20"/>
        <v>610</v>
      </c>
      <c r="S82" s="896"/>
      <c r="T82" s="896"/>
      <c r="U82" s="896"/>
      <c r="V82" s="896"/>
      <c r="W82" s="896"/>
      <c r="X82" s="896"/>
      <c r="Y82" s="896"/>
      <c r="Z82" s="896"/>
      <c r="AA82" s="896"/>
      <c r="AB82" s="977" t="s">
        <v>5365</v>
      </c>
      <c r="AC82" s="978" t="s">
        <v>5366</v>
      </c>
      <c r="AD82" s="710" t="s">
        <v>5367</v>
      </c>
      <c r="AE82" s="710" t="s">
        <v>5368</v>
      </c>
      <c r="AF82" s="710" t="s">
        <v>5369</v>
      </c>
      <c r="AG82" s="710" t="s">
        <v>5370</v>
      </c>
      <c r="AH82" s="898">
        <v>10.6</v>
      </c>
      <c r="AI82" s="868">
        <f t="shared" si="24"/>
        <v>10.6</v>
      </c>
      <c r="AJ82" s="867">
        <f t="shared" si="25"/>
        <v>0</v>
      </c>
      <c r="AK82" s="898"/>
      <c r="AL82" s="898"/>
      <c r="AM82" s="898"/>
      <c r="AN82" s="869">
        <f t="shared" si="26"/>
        <v>0</v>
      </c>
      <c r="AO82" s="869">
        <f t="shared" si="27"/>
        <v>0</v>
      </c>
      <c r="AP82" s="898"/>
      <c r="AQ82" s="899"/>
      <c r="AR82" s="899">
        <v>4.0000000000000001E-3</v>
      </c>
      <c r="AS82" s="869">
        <f t="shared" si="28"/>
        <v>0</v>
      </c>
      <c r="AT82" s="869">
        <f t="shared" si="29"/>
        <v>0</v>
      </c>
      <c r="AU82" s="942">
        <v>10.6</v>
      </c>
      <c r="AV82" s="899">
        <v>1</v>
      </c>
      <c r="AW82" s="869">
        <f t="shared" si="30"/>
        <v>1</v>
      </c>
      <c r="AX82" s="869">
        <f t="shared" si="31"/>
        <v>0</v>
      </c>
      <c r="AY82" s="898">
        <v>0</v>
      </c>
      <c r="AZ82" s="899">
        <v>0</v>
      </c>
      <c r="BA82" s="869">
        <f t="shared" si="32"/>
        <v>0</v>
      </c>
      <c r="BB82" s="869">
        <f t="shared" si="33"/>
        <v>0</v>
      </c>
      <c r="BC82" s="898">
        <v>0</v>
      </c>
      <c r="BD82" s="899">
        <v>0</v>
      </c>
      <c r="BE82" s="869">
        <f t="shared" si="34"/>
        <v>0</v>
      </c>
      <c r="BF82" s="869">
        <f t="shared" si="35"/>
        <v>0</v>
      </c>
      <c r="BG82" s="899"/>
      <c r="BH82" s="899"/>
      <c r="BI82" s="899"/>
      <c r="BJ82" s="899"/>
      <c r="BK82" s="899"/>
      <c r="BL82" s="714">
        <f t="shared" si="36"/>
        <v>0</v>
      </c>
      <c r="BM82" s="869">
        <f t="shared" si="37"/>
        <v>0</v>
      </c>
      <c r="BN82" s="898">
        <v>0</v>
      </c>
      <c r="BO82" s="899">
        <v>0</v>
      </c>
      <c r="BP82" s="869">
        <f t="shared" si="38"/>
        <v>0</v>
      </c>
      <c r="BQ82" s="869">
        <f t="shared" si="39"/>
        <v>0</v>
      </c>
      <c r="BR82" s="899"/>
      <c r="BS82" s="899"/>
      <c r="BT82" s="898">
        <v>11.2</v>
      </c>
      <c r="BU82" s="899">
        <v>4.0000000000000001E-3</v>
      </c>
      <c r="BV82" s="901">
        <v>17</v>
      </c>
      <c r="BW82" s="901">
        <v>8</v>
      </c>
      <c r="BX82" s="901">
        <v>8</v>
      </c>
      <c r="BY82" s="901">
        <v>0</v>
      </c>
      <c r="BZ82" s="901">
        <v>0</v>
      </c>
      <c r="CA82" s="901">
        <v>0</v>
      </c>
      <c r="CB82" s="901">
        <v>0</v>
      </c>
      <c r="CC82" s="901">
        <v>0</v>
      </c>
      <c r="CD82" s="901">
        <v>1</v>
      </c>
      <c r="CE82" s="901">
        <v>4</v>
      </c>
      <c r="CF82" s="901">
        <v>0</v>
      </c>
      <c r="CG82" s="901">
        <v>0</v>
      </c>
      <c r="CH82" s="901">
        <v>0</v>
      </c>
      <c r="CI82" s="901">
        <v>0</v>
      </c>
      <c r="CJ82" s="901">
        <v>2</v>
      </c>
      <c r="CK82" s="901">
        <v>0</v>
      </c>
      <c r="CL82" s="901">
        <v>0</v>
      </c>
      <c r="CM82" s="901">
        <v>0</v>
      </c>
      <c r="CN82" s="901">
        <v>0</v>
      </c>
      <c r="CO82" s="901">
        <v>0</v>
      </c>
      <c r="CP82" s="901">
        <v>0</v>
      </c>
      <c r="CQ82" s="901">
        <v>0</v>
      </c>
      <c r="CR82" s="901">
        <v>1</v>
      </c>
      <c r="CS82" s="902">
        <v>8</v>
      </c>
      <c r="CT82" s="871">
        <f t="shared" si="40"/>
        <v>8</v>
      </c>
      <c r="CU82" s="871">
        <f t="shared" si="41"/>
        <v>0</v>
      </c>
      <c r="CV82" s="942">
        <v>5000</v>
      </c>
      <c r="CW82" s="710" t="s">
        <v>5371</v>
      </c>
      <c r="CX82" s="710"/>
      <c r="CY82" s="710"/>
      <c r="CZ82" s="710"/>
      <c r="DA82" s="899">
        <v>7.2999999999999995E-2</v>
      </c>
      <c r="DB82" s="899"/>
      <c r="DC82" s="710" t="s">
        <v>279</v>
      </c>
      <c r="DD82" s="710"/>
      <c r="DE82" s="710"/>
      <c r="DF82" s="901"/>
      <c r="DG82" s="901"/>
      <c r="DH82" s="901"/>
      <c r="DI82" s="710" t="s">
        <v>279</v>
      </c>
      <c r="DJ82" s="710"/>
      <c r="DK82" s="901"/>
      <c r="DL82" s="710" t="s">
        <v>278</v>
      </c>
      <c r="DM82" s="710" t="s">
        <v>5372</v>
      </c>
      <c r="DN82" s="901">
        <v>15</v>
      </c>
      <c r="DO82" s="710" t="s">
        <v>279</v>
      </c>
      <c r="DP82" s="710"/>
      <c r="DQ82" s="901"/>
      <c r="DR82" s="710" t="s">
        <v>279</v>
      </c>
      <c r="DS82" s="710"/>
      <c r="DT82" s="901"/>
      <c r="DU82" s="710" t="s">
        <v>279</v>
      </c>
      <c r="DV82" s="710"/>
      <c r="DW82" s="901"/>
      <c r="DX82" s="710" t="s">
        <v>278</v>
      </c>
      <c r="DY82" s="710" t="s">
        <v>5373</v>
      </c>
      <c r="DZ82" s="901">
        <v>15</v>
      </c>
      <c r="EA82" s="710" t="s">
        <v>278</v>
      </c>
      <c r="EB82" s="710" t="s">
        <v>5374</v>
      </c>
      <c r="EC82" s="901">
        <v>2500</v>
      </c>
      <c r="ED82" s="710" t="s">
        <v>278</v>
      </c>
      <c r="EE82" s="710" t="s">
        <v>3005</v>
      </c>
      <c r="EF82" s="901">
        <v>15</v>
      </c>
      <c r="EG82" s="710" t="s">
        <v>279</v>
      </c>
      <c r="EH82" s="710"/>
      <c r="EI82" s="901"/>
      <c r="EJ82" s="710" t="s">
        <v>278</v>
      </c>
      <c r="EK82" s="710" t="s">
        <v>5372</v>
      </c>
      <c r="EL82" s="901">
        <v>15</v>
      </c>
      <c r="EM82" s="710" t="s">
        <v>278</v>
      </c>
      <c r="EN82" s="710" t="s">
        <v>5375</v>
      </c>
      <c r="EO82" s="901">
        <v>11</v>
      </c>
      <c r="EP82" s="710" t="s">
        <v>279</v>
      </c>
      <c r="EQ82" s="710"/>
      <c r="ER82" s="901"/>
      <c r="ES82" s="710" t="s">
        <v>278</v>
      </c>
      <c r="ET82" s="710" t="s">
        <v>5376</v>
      </c>
      <c r="EU82" s="901">
        <v>92</v>
      </c>
      <c r="EV82" s="901"/>
      <c r="EW82" s="901"/>
      <c r="EX82" s="901"/>
      <c r="EY82" s="710" t="s">
        <v>278</v>
      </c>
      <c r="EZ82" s="710" t="s">
        <v>5377</v>
      </c>
      <c r="FA82" s="710" t="s">
        <v>279</v>
      </c>
      <c r="FB82" s="710"/>
      <c r="FC82" s="710" t="s">
        <v>5366</v>
      </c>
      <c r="FD82" s="710" t="s">
        <v>5378</v>
      </c>
      <c r="FE82" s="979" t="s">
        <v>5378</v>
      </c>
      <c r="FF82" s="710" t="s">
        <v>5379</v>
      </c>
      <c r="FG82" s="710" t="s">
        <v>5380</v>
      </c>
      <c r="FH82" s="710" t="s">
        <v>5381</v>
      </c>
      <c r="FI82" s="710"/>
      <c r="FJ82" s="710"/>
      <c r="FK82" s="710" t="s">
        <v>5382</v>
      </c>
      <c r="FL82" s="710" t="s">
        <v>5383</v>
      </c>
      <c r="FM82" s="979" t="s">
        <v>5384</v>
      </c>
      <c r="FN82" s="949"/>
      <c r="FO82" s="949"/>
      <c r="FP82" s="949"/>
      <c r="FQ82" s="860"/>
      <c r="FR82" s="710"/>
      <c r="FS82" s="710"/>
      <c r="FT82" s="710"/>
      <c r="FU82" s="710"/>
      <c r="FV82" s="861"/>
      <c r="FW82" s="708"/>
      <c r="FX82" s="710"/>
      <c r="FY82" s="710"/>
      <c r="FZ82" s="708"/>
      <c r="GA82" s="710"/>
      <c r="GB82" s="710"/>
      <c r="GC82" s="708"/>
      <c r="GD82" s="710"/>
      <c r="GE82" s="710"/>
      <c r="GF82" s="861"/>
      <c r="GG82" s="710"/>
      <c r="GH82" s="710"/>
      <c r="GI82" s="710"/>
    </row>
    <row r="83" spans="2:191" ht="119.5" customHeight="1">
      <c r="B83" s="850" t="s">
        <v>5315</v>
      </c>
      <c r="C83" s="850" t="s">
        <v>5321</v>
      </c>
      <c r="D83" s="850" t="s">
        <v>4933</v>
      </c>
      <c r="E83" s="850" t="s">
        <v>5341</v>
      </c>
      <c r="F83" s="850" t="s">
        <v>5342</v>
      </c>
      <c r="G83" s="850" t="s">
        <v>4933</v>
      </c>
      <c r="I83" s="850" t="s">
        <v>5525</v>
      </c>
      <c r="J83" s="850" t="s">
        <v>5423</v>
      </c>
      <c r="K83" s="710" t="s">
        <v>229</v>
      </c>
      <c r="L83" s="710"/>
      <c r="M83" s="710" t="s">
        <v>2032</v>
      </c>
      <c r="N83" s="710" t="s">
        <v>2033</v>
      </c>
      <c r="O83" s="895">
        <v>2018</v>
      </c>
      <c r="P83" s="896">
        <v>43466</v>
      </c>
      <c r="Q83" s="896">
        <v>43830</v>
      </c>
      <c r="R83" s="712">
        <f t="shared" si="20"/>
        <v>364</v>
      </c>
      <c r="S83" s="710" t="s">
        <v>2034</v>
      </c>
      <c r="T83" s="710" t="s">
        <v>2035</v>
      </c>
      <c r="U83" s="861" t="s">
        <v>2036</v>
      </c>
      <c r="V83" s="710" t="s">
        <v>2037</v>
      </c>
      <c r="W83" s="710" t="s">
        <v>410</v>
      </c>
      <c r="X83" s="710" t="s">
        <v>410</v>
      </c>
      <c r="Y83" s="710" t="s">
        <v>410</v>
      </c>
      <c r="Z83" s="710" t="s">
        <v>2038</v>
      </c>
      <c r="AA83" s="861" t="s">
        <v>2039</v>
      </c>
      <c r="AB83" s="861"/>
      <c r="AC83" s="861"/>
      <c r="AD83" s="710" t="s">
        <v>2040</v>
      </c>
      <c r="AE83" s="710" t="s">
        <v>2041</v>
      </c>
      <c r="AF83" s="710" t="s">
        <v>277</v>
      </c>
      <c r="AG83" s="710" t="s">
        <v>2042</v>
      </c>
      <c r="AH83" s="967">
        <v>78.652000000000001</v>
      </c>
      <c r="AI83" s="868">
        <f t="shared" si="24"/>
        <v>78.62</v>
      </c>
      <c r="AJ83" s="875">
        <f t="shared" si="25"/>
        <v>-3.1999999999996476E-2</v>
      </c>
      <c r="AK83" s="898">
        <v>70</v>
      </c>
      <c r="AL83" s="899">
        <v>0.89</v>
      </c>
      <c r="AM83" s="899">
        <v>9.9099999999999991E-4</v>
      </c>
      <c r="AN83" s="869">
        <f t="shared" si="26"/>
        <v>0.88999644001423994</v>
      </c>
      <c r="AO83" s="869">
        <f t="shared" si="27"/>
        <v>3.5599857600709939E-6</v>
      </c>
      <c r="AP83" s="899"/>
      <c r="AQ83" s="899"/>
      <c r="AR83" s="899"/>
      <c r="AS83" s="869">
        <f t="shared" si="28"/>
        <v>0</v>
      </c>
      <c r="AT83" s="869">
        <f t="shared" si="29"/>
        <v>0</v>
      </c>
      <c r="AU83" s="898">
        <v>3.9</v>
      </c>
      <c r="AV83" s="899">
        <v>0.05</v>
      </c>
      <c r="AW83" s="869">
        <f t="shared" si="30"/>
        <v>4.9585515943650509E-2</v>
      </c>
      <c r="AX83" s="869">
        <f t="shared" si="31"/>
        <v>4.144840563494942E-4</v>
      </c>
      <c r="AY83" s="898">
        <v>4.72</v>
      </c>
      <c r="AZ83" s="899">
        <v>0.06</v>
      </c>
      <c r="BA83" s="869">
        <f t="shared" si="32"/>
        <v>6.0011188526674461E-2</v>
      </c>
      <c r="BB83" s="869">
        <f t="shared" si="33"/>
        <v>-1.1188526674463239E-5</v>
      </c>
      <c r="BC83" s="898"/>
      <c r="BD83" s="899"/>
      <c r="BE83" s="869">
        <f t="shared" si="34"/>
        <v>0</v>
      </c>
      <c r="BF83" s="869">
        <f t="shared" si="35"/>
        <v>0</v>
      </c>
      <c r="BG83" s="898"/>
      <c r="BH83" s="899"/>
      <c r="BI83" s="710"/>
      <c r="BJ83" s="710"/>
      <c r="BK83" s="710"/>
      <c r="BL83" s="714">
        <f t="shared" si="36"/>
        <v>0</v>
      </c>
      <c r="BM83" s="869">
        <f t="shared" si="37"/>
        <v>0</v>
      </c>
      <c r="BN83" s="898"/>
      <c r="BO83" s="899"/>
      <c r="BP83" s="869">
        <f t="shared" si="38"/>
        <v>0</v>
      </c>
      <c r="BQ83" s="869">
        <f t="shared" si="39"/>
        <v>0</v>
      </c>
      <c r="BR83" s="898">
        <v>70</v>
      </c>
      <c r="BS83" s="954">
        <v>1.01E-3</v>
      </c>
      <c r="BT83" s="954"/>
      <c r="BU83" s="954"/>
      <c r="BV83" s="955">
        <v>315</v>
      </c>
      <c r="BW83" s="955">
        <v>154</v>
      </c>
      <c r="BX83" s="955">
        <v>77</v>
      </c>
      <c r="BY83" s="901"/>
      <c r="BZ83" s="901"/>
      <c r="CA83" s="901" t="s">
        <v>410</v>
      </c>
      <c r="CB83" s="901" t="s">
        <v>410</v>
      </c>
      <c r="CC83" s="901" t="s">
        <v>410</v>
      </c>
      <c r="CD83" s="901" t="s">
        <v>410</v>
      </c>
      <c r="CE83" s="901" t="s">
        <v>410</v>
      </c>
      <c r="CF83" s="901" t="s">
        <v>410</v>
      </c>
      <c r="CG83" s="901" t="s">
        <v>410</v>
      </c>
      <c r="CH83" s="901">
        <v>22</v>
      </c>
      <c r="CI83" s="901" t="s">
        <v>410</v>
      </c>
      <c r="CJ83" s="901">
        <v>55</v>
      </c>
      <c r="CK83" s="901" t="s">
        <v>410</v>
      </c>
      <c r="CL83" s="901" t="s">
        <v>410</v>
      </c>
      <c r="CM83" s="901" t="s">
        <v>410</v>
      </c>
      <c r="CN83" s="901" t="s">
        <v>410</v>
      </c>
      <c r="CO83" s="901" t="s">
        <v>410</v>
      </c>
      <c r="CP83" s="901" t="s">
        <v>410</v>
      </c>
      <c r="CQ83" s="901" t="s">
        <v>410</v>
      </c>
      <c r="CR83" s="901" t="s">
        <v>410</v>
      </c>
      <c r="CS83" s="902">
        <f>SUM(BY83:CR83)</f>
        <v>77</v>
      </c>
      <c r="CT83" s="871">
        <f t="shared" si="40"/>
        <v>77</v>
      </c>
      <c r="CU83" s="871">
        <f t="shared" si="41"/>
        <v>0</v>
      </c>
      <c r="CV83" s="942">
        <v>727.84699999999998</v>
      </c>
      <c r="CW83" s="710" t="s">
        <v>2043</v>
      </c>
      <c r="CX83" s="710" t="s">
        <v>410</v>
      </c>
      <c r="CY83" s="899">
        <v>0.63619999999999999</v>
      </c>
      <c r="CZ83" s="710" t="s">
        <v>279</v>
      </c>
      <c r="DA83" s="710"/>
      <c r="DB83" s="710"/>
      <c r="DC83" s="710" t="s">
        <v>410</v>
      </c>
      <c r="DD83" s="710" t="s">
        <v>410</v>
      </c>
      <c r="DE83" s="901" t="s">
        <v>410</v>
      </c>
      <c r="DF83" s="955">
        <v>5</v>
      </c>
      <c r="DG83" s="710" t="s">
        <v>279</v>
      </c>
      <c r="DH83" s="901" t="s">
        <v>410</v>
      </c>
      <c r="DI83" s="710" t="s">
        <v>278</v>
      </c>
      <c r="DJ83" s="710" t="s">
        <v>1041</v>
      </c>
      <c r="DK83" s="901">
        <v>14100</v>
      </c>
      <c r="DL83" s="710" t="s">
        <v>279</v>
      </c>
      <c r="DM83" s="710" t="s">
        <v>410</v>
      </c>
      <c r="DN83" s="901" t="s">
        <v>410</v>
      </c>
      <c r="DO83" s="710" t="s">
        <v>279</v>
      </c>
      <c r="DP83" s="710"/>
      <c r="DQ83" s="901"/>
      <c r="DR83" s="710" t="s">
        <v>279</v>
      </c>
      <c r="DS83" s="710"/>
      <c r="DT83" s="901"/>
      <c r="DU83" s="708" t="s">
        <v>278</v>
      </c>
      <c r="DV83" s="708" t="s">
        <v>2044</v>
      </c>
      <c r="DW83" s="955">
        <v>14100</v>
      </c>
      <c r="DX83" s="708" t="s">
        <v>279</v>
      </c>
      <c r="DY83" s="710"/>
      <c r="DZ83" s="901"/>
      <c r="EA83" s="710" t="s">
        <v>279</v>
      </c>
      <c r="EB83" s="710"/>
      <c r="EC83" s="901" t="s">
        <v>410</v>
      </c>
      <c r="ED83" s="710" t="s">
        <v>279</v>
      </c>
      <c r="EE83" s="710"/>
      <c r="EF83" s="901"/>
      <c r="EG83" s="710" t="s">
        <v>279</v>
      </c>
      <c r="EH83" s="710"/>
      <c r="EI83" s="901"/>
      <c r="EJ83" s="710" t="s">
        <v>278</v>
      </c>
      <c r="EK83" s="710" t="s">
        <v>2045</v>
      </c>
      <c r="EL83" s="955">
        <v>210</v>
      </c>
      <c r="EM83" s="710" t="s">
        <v>279</v>
      </c>
      <c r="EN83" s="710" t="s">
        <v>410</v>
      </c>
      <c r="EO83" s="901" t="s">
        <v>410</v>
      </c>
      <c r="EP83" s="710" t="s">
        <v>279</v>
      </c>
      <c r="EQ83" s="710" t="s">
        <v>410</v>
      </c>
      <c r="ER83" s="901" t="s">
        <v>410</v>
      </c>
      <c r="ES83" s="710" t="s">
        <v>2046</v>
      </c>
      <c r="ET83" s="710" t="s">
        <v>2047</v>
      </c>
      <c r="EU83" s="860">
        <v>42</v>
      </c>
      <c r="EV83" s="710" t="s">
        <v>279</v>
      </c>
      <c r="EW83" s="710"/>
      <c r="EX83" s="710" t="s">
        <v>279</v>
      </c>
      <c r="EY83" s="710" t="s">
        <v>410</v>
      </c>
      <c r="EZ83" s="861"/>
      <c r="FA83" s="861" t="s">
        <v>2048</v>
      </c>
      <c r="FB83" s="861" t="s">
        <v>2049</v>
      </c>
      <c r="FC83" s="861" t="s">
        <v>2050</v>
      </c>
      <c r="FD83" s="861"/>
      <c r="FE83" s="710"/>
      <c r="FF83" s="861"/>
      <c r="FG83" s="710" t="s">
        <v>2051</v>
      </c>
      <c r="FH83" s="710" t="s">
        <v>2052</v>
      </c>
      <c r="FI83" s="710" t="s">
        <v>2053</v>
      </c>
      <c r="FJ83" s="940" t="s">
        <v>2054</v>
      </c>
      <c r="FK83" s="949"/>
      <c r="FL83" s="949"/>
      <c r="FM83" s="949"/>
      <c r="FN83" s="949"/>
      <c r="FO83" s="949"/>
    </row>
    <row r="84" spans="2:191" ht="102.5" customHeight="1">
      <c r="B84" s="850" t="s">
        <v>5315</v>
      </c>
      <c r="C84" s="850" t="s">
        <v>5320</v>
      </c>
      <c r="D84" s="850" t="s">
        <v>5317</v>
      </c>
      <c r="E84" s="850" t="s">
        <v>5318</v>
      </c>
      <c r="F84" s="850" t="s">
        <v>694</v>
      </c>
      <c r="G84" s="850" t="s">
        <v>4933</v>
      </c>
      <c r="I84" s="850" t="s">
        <v>5525</v>
      </c>
      <c r="J84" s="850" t="s">
        <v>5423</v>
      </c>
      <c r="K84" s="710" t="s">
        <v>229</v>
      </c>
      <c r="L84" s="710"/>
      <c r="M84" s="710" t="s">
        <v>759</v>
      </c>
      <c r="N84" s="710" t="s">
        <v>759</v>
      </c>
      <c r="O84" s="895">
        <v>2015</v>
      </c>
      <c r="P84" s="896">
        <v>43516</v>
      </c>
      <c r="Q84" s="896">
        <v>43830</v>
      </c>
      <c r="R84" s="712">
        <f t="shared" si="20"/>
        <v>314</v>
      </c>
      <c r="S84" s="980" t="s">
        <v>4915</v>
      </c>
      <c r="T84" s="710" t="s">
        <v>2559</v>
      </c>
      <c r="U84" s="710" t="s">
        <v>2560</v>
      </c>
      <c r="V84" s="710" t="s">
        <v>1573</v>
      </c>
      <c r="W84" s="710" t="s">
        <v>1573</v>
      </c>
      <c r="X84" s="710" t="s">
        <v>1573</v>
      </c>
      <c r="Y84" s="710" t="s">
        <v>1573</v>
      </c>
      <c r="Z84" s="708" t="s">
        <v>2561</v>
      </c>
      <c r="AA84" s="710" t="s">
        <v>2562</v>
      </c>
      <c r="AB84" s="710"/>
      <c r="AC84" s="710"/>
      <c r="AD84" s="710" t="s">
        <v>2563</v>
      </c>
      <c r="AE84" s="710" t="s">
        <v>2563</v>
      </c>
      <c r="AF84" s="710" t="s">
        <v>277</v>
      </c>
      <c r="AG84" s="710" t="s">
        <v>1282</v>
      </c>
      <c r="AH84" s="898">
        <v>3.9089999999999998</v>
      </c>
      <c r="AI84" s="868">
        <f t="shared" si="24"/>
        <v>3.9092592600000002</v>
      </c>
      <c r="AJ84" s="867">
        <f t="shared" si="25"/>
        <v>2.5926000000042748E-4</v>
      </c>
      <c r="AK84" s="898">
        <v>0.65675556000000002</v>
      </c>
      <c r="AL84" s="899">
        <v>0.16801114351496549</v>
      </c>
      <c r="AM84" s="899"/>
      <c r="AN84" s="869">
        <f t="shared" si="26"/>
        <v>0.16801114351496549</v>
      </c>
      <c r="AO84" s="869">
        <f t="shared" si="27"/>
        <v>0</v>
      </c>
      <c r="AP84" s="899"/>
      <c r="AQ84" s="899"/>
      <c r="AR84" s="899"/>
      <c r="AS84" s="869">
        <f t="shared" si="28"/>
        <v>0</v>
      </c>
      <c r="AT84" s="869">
        <f t="shared" si="29"/>
        <v>0</v>
      </c>
      <c r="AU84" s="898">
        <v>0.62548146999999998</v>
      </c>
      <c r="AV84" s="899">
        <v>0.16001060885136864</v>
      </c>
      <c r="AW84" s="869">
        <f t="shared" si="30"/>
        <v>0.16001060885136864</v>
      </c>
      <c r="AX84" s="869">
        <f t="shared" si="31"/>
        <v>0</v>
      </c>
      <c r="AY84" s="898">
        <v>0</v>
      </c>
      <c r="AZ84" s="899">
        <v>0</v>
      </c>
      <c r="BA84" s="869">
        <f t="shared" si="32"/>
        <v>0</v>
      </c>
      <c r="BB84" s="869">
        <f t="shared" si="33"/>
        <v>0</v>
      </c>
      <c r="BC84" s="898">
        <v>0.51282262999999995</v>
      </c>
      <c r="BD84" s="899">
        <v>0.13119023535431057</v>
      </c>
      <c r="BE84" s="869">
        <f t="shared" si="34"/>
        <v>0.13119023535431057</v>
      </c>
      <c r="BF84" s="869">
        <f t="shared" si="35"/>
        <v>0</v>
      </c>
      <c r="BG84" s="898">
        <v>1.6888000000000001</v>
      </c>
      <c r="BH84" s="899">
        <v>0.43202865182911232</v>
      </c>
      <c r="BI84" s="710" t="s">
        <v>4916</v>
      </c>
      <c r="BJ84" s="710" t="s">
        <v>769</v>
      </c>
      <c r="BK84" s="710" t="s">
        <v>2563</v>
      </c>
      <c r="BL84" s="714">
        <f t="shared" si="36"/>
        <v>0.43202865182911232</v>
      </c>
      <c r="BM84" s="869">
        <f t="shared" si="37"/>
        <v>0</v>
      </c>
      <c r="BN84" s="898">
        <v>0.42539959999999999</v>
      </c>
      <c r="BO84" s="899">
        <v>0.10882568431823997</v>
      </c>
      <c r="BP84" s="869">
        <f t="shared" si="38"/>
        <v>0.10882568431823997</v>
      </c>
      <c r="BQ84" s="869">
        <f t="shared" si="39"/>
        <v>0</v>
      </c>
      <c r="BR84" s="898">
        <v>32.509244440000003</v>
      </c>
      <c r="BS84" s="899"/>
      <c r="BT84" s="899"/>
      <c r="BU84" s="899"/>
      <c r="BV84" s="901"/>
      <c r="BW84" s="901">
        <v>4</v>
      </c>
      <c r="BX84" s="901">
        <v>4</v>
      </c>
      <c r="BY84" s="901">
        <v>0</v>
      </c>
      <c r="BZ84" s="901">
        <v>0</v>
      </c>
      <c r="CA84" s="901">
        <v>0</v>
      </c>
      <c r="CB84" s="901">
        <v>0</v>
      </c>
      <c r="CC84" s="901">
        <v>0</v>
      </c>
      <c r="CD84" s="901">
        <v>0</v>
      </c>
      <c r="CE84" s="901">
        <v>0</v>
      </c>
      <c r="CF84" s="901">
        <v>0</v>
      </c>
      <c r="CG84" s="901">
        <v>2</v>
      </c>
      <c r="CH84" s="901">
        <v>0</v>
      </c>
      <c r="CI84" s="901">
        <v>1</v>
      </c>
      <c r="CJ84" s="901">
        <v>1</v>
      </c>
      <c r="CK84" s="901">
        <v>0</v>
      </c>
      <c r="CL84" s="901">
        <v>0</v>
      </c>
      <c r="CM84" s="901">
        <v>0</v>
      </c>
      <c r="CN84" s="901">
        <v>0</v>
      </c>
      <c r="CO84" s="901">
        <v>0</v>
      </c>
      <c r="CP84" s="901">
        <v>0</v>
      </c>
      <c r="CQ84" s="901">
        <v>0</v>
      </c>
      <c r="CR84" s="901">
        <v>0</v>
      </c>
      <c r="CS84" s="902">
        <v>4</v>
      </c>
      <c r="CT84" s="871">
        <f t="shared" si="40"/>
        <v>4</v>
      </c>
      <c r="CU84" s="871">
        <f t="shared" si="41"/>
        <v>0</v>
      </c>
      <c r="CV84" s="942">
        <v>4.8049999999999997</v>
      </c>
      <c r="CW84" s="710" t="s">
        <v>2564</v>
      </c>
      <c r="CX84" s="710" t="s">
        <v>279</v>
      </c>
      <c r="CY84" s="710">
        <v>0.42084040207994133</v>
      </c>
      <c r="CZ84" s="903" t="s">
        <v>2565</v>
      </c>
      <c r="DA84" s="903"/>
      <c r="DB84" s="903"/>
      <c r="DC84" s="710" t="s">
        <v>279</v>
      </c>
      <c r="DD84" s="710" t="s">
        <v>279</v>
      </c>
      <c r="DE84" s="710" t="s">
        <v>279</v>
      </c>
      <c r="DF84" s="901">
        <v>0</v>
      </c>
      <c r="DG84" s="901">
        <v>0</v>
      </c>
      <c r="DH84" s="901">
        <v>3</v>
      </c>
      <c r="DI84" s="710" t="s">
        <v>279</v>
      </c>
      <c r="DJ84" s="710" t="s">
        <v>410</v>
      </c>
      <c r="DK84" s="901">
        <v>0</v>
      </c>
      <c r="DL84" s="710" t="s">
        <v>279</v>
      </c>
      <c r="DM84" s="710" t="s">
        <v>410</v>
      </c>
      <c r="DN84" s="901">
        <v>0</v>
      </c>
      <c r="DO84" s="710" t="s">
        <v>279</v>
      </c>
      <c r="DP84" s="710" t="s">
        <v>410</v>
      </c>
      <c r="DQ84" s="901">
        <v>0</v>
      </c>
      <c r="DR84" s="710" t="s">
        <v>279</v>
      </c>
      <c r="DS84" s="710" t="s">
        <v>410</v>
      </c>
      <c r="DT84" s="901"/>
      <c r="DU84" s="710" t="s">
        <v>279</v>
      </c>
      <c r="DV84" s="710" t="s">
        <v>410</v>
      </c>
      <c r="DW84" s="901">
        <v>0</v>
      </c>
      <c r="DX84" s="710" t="s">
        <v>279</v>
      </c>
      <c r="DY84" s="710" t="s">
        <v>410</v>
      </c>
      <c r="DZ84" s="901">
        <v>0</v>
      </c>
      <c r="EA84" s="710" t="s">
        <v>279</v>
      </c>
      <c r="EB84" s="710" t="s">
        <v>410</v>
      </c>
      <c r="EC84" s="901">
        <v>0</v>
      </c>
      <c r="ED84" s="710" t="s">
        <v>2566</v>
      </c>
      <c r="EE84" s="710" t="s">
        <v>551</v>
      </c>
      <c r="EF84" s="901">
        <v>173</v>
      </c>
      <c r="EG84" s="710" t="s">
        <v>279</v>
      </c>
      <c r="EH84" s="710" t="s">
        <v>410</v>
      </c>
      <c r="EI84" s="901">
        <v>0</v>
      </c>
      <c r="EJ84" s="710" t="s">
        <v>279</v>
      </c>
      <c r="EK84" s="710" t="s">
        <v>410</v>
      </c>
      <c r="EL84" s="901">
        <v>0</v>
      </c>
      <c r="EM84" s="710" t="s">
        <v>2567</v>
      </c>
      <c r="EN84" s="710" t="s">
        <v>410</v>
      </c>
      <c r="EO84" s="901">
        <v>5</v>
      </c>
      <c r="EP84" s="710" t="s">
        <v>279</v>
      </c>
      <c r="EQ84" s="710" t="s">
        <v>410</v>
      </c>
      <c r="ER84" s="901">
        <v>0</v>
      </c>
      <c r="ES84" s="710" t="s">
        <v>279</v>
      </c>
      <c r="ET84" s="710" t="s">
        <v>410</v>
      </c>
      <c r="EU84" s="901">
        <v>0</v>
      </c>
      <c r="EV84" s="710" t="s">
        <v>2568</v>
      </c>
      <c r="EW84" s="710" t="s">
        <v>410</v>
      </c>
      <c r="EX84" s="860">
        <v>4</v>
      </c>
      <c r="EY84" s="710" t="s">
        <v>279</v>
      </c>
      <c r="EZ84" s="710" t="s">
        <v>410</v>
      </c>
      <c r="FA84" s="710" t="s">
        <v>278</v>
      </c>
      <c r="FB84" s="710" t="s">
        <v>2569</v>
      </c>
      <c r="FC84" s="710" t="s">
        <v>2570</v>
      </c>
      <c r="FD84" s="710" t="s">
        <v>279</v>
      </c>
      <c r="FE84" s="710" t="s">
        <v>279</v>
      </c>
      <c r="FF84" s="710" t="s">
        <v>279</v>
      </c>
      <c r="FG84" s="710" t="s">
        <v>279</v>
      </c>
      <c r="FH84" s="710" t="s">
        <v>279</v>
      </c>
      <c r="FI84" s="710" t="s">
        <v>279</v>
      </c>
      <c r="FJ84" s="710" t="s">
        <v>279</v>
      </c>
      <c r="FK84" s="710" t="s">
        <v>2571</v>
      </c>
      <c r="FL84" s="710" t="s">
        <v>2572</v>
      </c>
      <c r="FM84" s="897" t="s">
        <v>2573</v>
      </c>
      <c r="FN84" s="710"/>
      <c r="FO84" s="710"/>
      <c r="FP84" s="897"/>
    </row>
    <row r="85" spans="2:191" ht="82" customHeight="1">
      <c r="B85" s="863"/>
      <c r="C85" s="863"/>
      <c r="D85" s="863"/>
      <c r="E85" s="863"/>
      <c r="F85" s="863"/>
      <c r="I85" s="850" t="s">
        <v>5522</v>
      </c>
      <c r="J85" s="850" t="s">
        <v>5424</v>
      </c>
      <c r="K85" s="710" t="s">
        <v>230</v>
      </c>
      <c r="L85" s="710"/>
      <c r="M85" s="710"/>
      <c r="N85" s="710"/>
      <c r="O85" s="895"/>
      <c r="P85" s="896"/>
      <c r="Q85" s="896"/>
      <c r="R85" s="712">
        <f t="shared" si="20"/>
        <v>0</v>
      </c>
      <c r="S85" s="710"/>
      <c r="T85" s="710"/>
      <c r="U85" s="710"/>
      <c r="V85" s="710"/>
      <c r="W85" s="710"/>
      <c r="X85" s="710"/>
      <c r="Y85" s="710"/>
      <c r="Z85" s="710"/>
      <c r="AA85" s="710"/>
      <c r="AB85" s="710"/>
      <c r="AC85" s="710"/>
      <c r="AD85" s="710"/>
      <c r="AE85" s="710"/>
      <c r="AF85" s="710"/>
      <c r="AG85" s="710"/>
      <c r="AH85" s="898"/>
      <c r="AI85" s="868">
        <f t="shared" si="24"/>
        <v>0</v>
      </c>
      <c r="AJ85" s="867">
        <f t="shared" si="25"/>
        <v>0</v>
      </c>
      <c r="AK85" s="898"/>
      <c r="AL85" s="899"/>
      <c r="AM85" s="899"/>
      <c r="AN85" s="869" t="e">
        <f t="shared" si="26"/>
        <v>#DIV/0!</v>
      </c>
      <c r="AO85" s="869" t="e">
        <f t="shared" si="27"/>
        <v>#DIV/0!</v>
      </c>
      <c r="AP85" s="899"/>
      <c r="AQ85" s="899"/>
      <c r="AR85" s="899"/>
      <c r="AS85" s="869" t="e">
        <f t="shared" si="28"/>
        <v>#DIV/0!</v>
      </c>
      <c r="AT85" s="869" t="e">
        <f t="shared" si="29"/>
        <v>#DIV/0!</v>
      </c>
      <c r="AU85" s="898"/>
      <c r="AV85" s="899"/>
      <c r="AW85" s="869" t="e">
        <f t="shared" si="30"/>
        <v>#DIV/0!</v>
      </c>
      <c r="AX85" s="869" t="e">
        <f t="shared" si="31"/>
        <v>#DIV/0!</v>
      </c>
      <c r="AY85" s="898"/>
      <c r="AZ85" s="899"/>
      <c r="BA85" s="869" t="e">
        <f t="shared" si="32"/>
        <v>#DIV/0!</v>
      </c>
      <c r="BB85" s="869" t="e">
        <f t="shared" si="33"/>
        <v>#DIV/0!</v>
      </c>
      <c r="BC85" s="898"/>
      <c r="BD85" s="899"/>
      <c r="BE85" s="869" t="e">
        <f t="shared" si="34"/>
        <v>#DIV/0!</v>
      </c>
      <c r="BF85" s="869" t="e">
        <f t="shared" si="35"/>
        <v>#DIV/0!</v>
      </c>
      <c r="BG85" s="898"/>
      <c r="BH85" s="899"/>
      <c r="BI85" s="710"/>
      <c r="BJ85" s="710"/>
      <c r="BK85" s="710"/>
      <c r="BL85" s="714" t="e">
        <f t="shared" si="36"/>
        <v>#DIV/0!</v>
      </c>
      <c r="BM85" s="869" t="e">
        <f t="shared" si="37"/>
        <v>#DIV/0!</v>
      </c>
      <c r="BN85" s="898"/>
      <c r="BO85" s="899"/>
      <c r="BP85" s="869" t="e">
        <f t="shared" si="38"/>
        <v>#DIV/0!</v>
      </c>
      <c r="BQ85" s="869" t="e">
        <f t="shared" si="39"/>
        <v>#DIV/0!</v>
      </c>
      <c r="BR85" s="898"/>
      <c r="BS85" s="899"/>
      <c r="BT85" s="899"/>
      <c r="BU85" s="899"/>
      <c r="BV85" s="901"/>
      <c r="BW85" s="901"/>
      <c r="BX85" s="901"/>
      <c r="BY85" s="901"/>
      <c r="BZ85" s="901"/>
      <c r="CA85" s="901"/>
      <c r="CB85" s="901"/>
      <c r="CC85" s="901"/>
      <c r="CD85" s="901"/>
      <c r="CE85" s="901"/>
      <c r="CF85" s="901"/>
      <c r="CG85" s="901"/>
      <c r="CH85" s="901"/>
      <c r="CI85" s="901"/>
      <c r="CJ85" s="901"/>
      <c r="CK85" s="901"/>
      <c r="CL85" s="901"/>
      <c r="CM85" s="901"/>
      <c r="CN85" s="901"/>
      <c r="CO85" s="901"/>
      <c r="CP85" s="901"/>
      <c r="CQ85" s="901"/>
      <c r="CR85" s="901"/>
      <c r="CS85" s="902"/>
      <c r="CT85" s="871">
        <f t="shared" si="40"/>
        <v>0</v>
      </c>
      <c r="CU85" s="871">
        <f t="shared" si="41"/>
        <v>0</v>
      </c>
      <c r="CV85" s="942"/>
      <c r="CW85" s="710"/>
      <c r="CX85" s="710"/>
      <c r="CY85" s="899"/>
      <c r="CZ85" s="710"/>
      <c r="DA85" s="710"/>
      <c r="DB85" s="710"/>
      <c r="DC85" s="710"/>
      <c r="DD85" s="710"/>
      <c r="DE85" s="901"/>
      <c r="DF85" s="901"/>
      <c r="DG85" s="710"/>
      <c r="DH85" s="710"/>
      <c r="DI85" s="901"/>
      <c r="DJ85" s="710"/>
      <c r="DK85" s="710"/>
      <c r="DL85" s="901"/>
      <c r="DM85" s="710"/>
      <c r="DN85" s="710"/>
      <c r="DO85" s="901"/>
      <c r="DP85" s="710"/>
      <c r="DQ85" s="710"/>
      <c r="DR85" s="901"/>
      <c r="DS85" s="710"/>
      <c r="DT85" s="710"/>
      <c r="DU85" s="901"/>
      <c r="DV85" s="710"/>
      <c r="DW85" s="710"/>
      <c r="DX85" s="901"/>
      <c r="DY85" s="710"/>
      <c r="DZ85" s="710"/>
      <c r="EA85" s="901"/>
      <c r="EB85" s="710"/>
      <c r="EC85" s="710"/>
      <c r="ED85" s="901"/>
      <c r="EE85" s="710"/>
      <c r="EF85" s="710"/>
      <c r="EG85" s="901"/>
      <c r="EH85" s="710"/>
      <c r="EI85" s="710"/>
      <c r="EJ85" s="901"/>
      <c r="EK85" s="710"/>
      <c r="EL85" s="710"/>
      <c r="EM85" s="901"/>
      <c r="EN85" s="710"/>
      <c r="EO85" s="710"/>
      <c r="EP85" s="901"/>
      <c r="EQ85" s="710"/>
      <c r="ER85" s="710"/>
      <c r="ES85" s="901"/>
      <c r="ET85" s="710"/>
      <c r="EU85" s="710"/>
      <c r="EV85" s="860"/>
      <c r="EW85" s="710"/>
      <c r="EX85" s="710"/>
      <c r="EY85" s="710"/>
      <c r="EZ85" s="710"/>
      <c r="FA85" s="710"/>
      <c r="FB85" s="710"/>
      <c r="FC85" s="710"/>
      <c r="FD85" s="710"/>
      <c r="FE85" s="710"/>
      <c r="FF85" s="710"/>
      <c r="FG85" s="710"/>
      <c r="FH85" s="710"/>
      <c r="FI85" s="710"/>
      <c r="FJ85" s="949"/>
      <c r="FK85" s="949"/>
      <c r="FL85" s="949"/>
      <c r="FM85" s="949"/>
      <c r="FN85" s="949"/>
      <c r="FO85" s="949"/>
      <c r="FP85" s="949"/>
    </row>
    <row r="86" spans="2:191" ht="109.5" customHeight="1">
      <c r="B86" s="850" t="s">
        <v>5313</v>
      </c>
      <c r="C86" s="863"/>
      <c r="D86" s="850" t="s">
        <v>4933</v>
      </c>
      <c r="E86" s="850" t="s">
        <v>5314</v>
      </c>
      <c r="F86" s="850" t="s">
        <v>5342</v>
      </c>
      <c r="G86" s="850" t="s">
        <v>4933</v>
      </c>
      <c r="I86" s="850" t="s">
        <v>5520</v>
      </c>
      <c r="J86" s="850" t="s">
        <v>5425</v>
      </c>
      <c r="K86" s="710" t="s">
        <v>231</v>
      </c>
      <c r="L86" s="710"/>
      <c r="M86" s="710" t="s">
        <v>1404</v>
      </c>
      <c r="N86" s="710" t="s">
        <v>381</v>
      </c>
      <c r="O86" s="895">
        <v>2015</v>
      </c>
      <c r="P86" s="896">
        <v>43536</v>
      </c>
      <c r="Q86" s="896">
        <v>43809</v>
      </c>
      <c r="R86" s="712">
        <f t="shared" si="20"/>
        <v>273</v>
      </c>
      <c r="S86" s="710" t="s">
        <v>1405</v>
      </c>
      <c r="T86" s="710" t="s">
        <v>1406</v>
      </c>
      <c r="U86" s="964" t="s">
        <v>1407</v>
      </c>
      <c r="V86" s="710" t="s">
        <v>279</v>
      </c>
      <c r="W86" s="710" t="s">
        <v>279</v>
      </c>
      <c r="X86" s="710" t="s">
        <v>279</v>
      </c>
      <c r="Y86" s="710" t="s">
        <v>279</v>
      </c>
      <c r="Z86" s="710" t="s">
        <v>279</v>
      </c>
      <c r="AA86" s="710" t="s">
        <v>279</v>
      </c>
      <c r="AB86" s="710"/>
      <c r="AC86" s="710"/>
      <c r="AD86" s="710" t="s">
        <v>1408</v>
      </c>
      <c r="AE86" s="710" t="s">
        <v>1409</v>
      </c>
      <c r="AF86" s="710" t="s">
        <v>454</v>
      </c>
      <c r="AG86" s="710" t="s">
        <v>1410</v>
      </c>
      <c r="AH86" s="898">
        <v>32.349815</v>
      </c>
      <c r="AI86" s="868">
        <f t="shared" si="24"/>
        <v>32.349814000000002</v>
      </c>
      <c r="AJ86" s="867">
        <f t="shared" si="25"/>
        <v>-9.9999999747524271E-7</v>
      </c>
      <c r="AK86" s="898">
        <v>21.801919999999999</v>
      </c>
      <c r="AL86" s="899">
        <v>0.67390000000000005</v>
      </c>
      <c r="AM86" s="899">
        <v>6.9999999999999999E-4</v>
      </c>
      <c r="AN86" s="869">
        <f t="shared" si="26"/>
        <v>0.67394264851282759</v>
      </c>
      <c r="AO86" s="869">
        <f t="shared" si="27"/>
        <v>-4.2648512827536678E-5</v>
      </c>
      <c r="AP86" s="899"/>
      <c r="AQ86" s="899"/>
      <c r="AR86" s="899"/>
      <c r="AS86" s="869">
        <f t="shared" si="28"/>
        <v>0</v>
      </c>
      <c r="AT86" s="869">
        <f t="shared" si="29"/>
        <v>0</v>
      </c>
      <c r="AU86" s="898">
        <v>5.4236829999999996</v>
      </c>
      <c r="AV86" s="899">
        <v>0.16769999999999999</v>
      </c>
      <c r="AW86" s="869">
        <f t="shared" si="30"/>
        <v>0.16765731117782279</v>
      </c>
      <c r="AX86" s="869">
        <f t="shared" si="31"/>
        <v>4.2688822177200381E-5</v>
      </c>
      <c r="AY86" s="898">
        <v>5.1242109999999998</v>
      </c>
      <c r="AZ86" s="899">
        <v>0.15840000000000001</v>
      </c>
      <c r="BA86" s="869">
        <f t="shared" si="32"/>
        <v>0.15840000939727167</v>
      </c>
      <c r="BB86" s="869">
        <f t="shared" si="33"/>
        <v>-9.3972716552759294E-9</v>
      </c>
      <c r="BC86" s="949"/>
      <c r="BD86" s="949"/>
      <c r="BE86" s="869">
        <f t="shared" si="34"/>
        <v>0</v>
      </c>
      <c r="BF86" s="869">
        <f t="shared" si="35"/>
        <v>0</v>
      </c>
      <c r="BG86" s="898"/>
      <c r="BH86" s="899"/>
      <c r="BI86" s="710"/>
      <c r="BJ86" s="710"/>
      <c r="BK86" s="710"/>
      <c r="BL86" s="714">
        <f t="shared" si="36"/>
        <v>0</v>
      </c>
      <c r="BM86" s="869">
        <f t="shared" si="37"/>
        <v>0</v>
      </c>
      <c r="BN86" s="898"/>
      <c r="BO86" s="899"/>
      <c r="BP86" s="869">
        <f t="shared" si="38"/>
        <v>0</v>
      </c>
      <c r="BQ86" s="869">
        <f t="shared" si="39"/>
        <v>0</v>
      </c>
      <c r="BR86" s="898">
        <v>25</v>
      </c>
      <c r="BS86" s="899">
        <v>6.9999999999999999E-4</v>
      </c>
      <c r="BT86" s="899"/>
      <c r="BU86" s="899"/>
      <c r="BV86" s="901"/>
      <c r="BW86" s="901">
        <v>84</v>
      </c>
      <c r="BX86" s="901">
        <v>43</v>
      </c>
      <c r="BY86" s="901">
        <v>1</v>
      </c>
      <c r="BZ86" s="901">
        <v>6</v>
      </c>
      <c r="CA86" s="901">
        <v>7</v>
      </c>
      <c r="CB86" s="901">
        <v>0</v>
      </c>
      <c r="CC86" s="901">
        <v>0</v>
      </c>
      <c r="CD86" s="901">
        <v>15</v>
      </c>
      <c r="CE86" s="901">
        <v>0</v>
      </c>
      <c r="CF86" s="901">
        <v>0</v>
      </c>
      <c r="CG86" s="901">
        <v>1</v>
      </c>
      <c r="CH86" s="901">
        <v>0</v>
      </c>
      <c r="CI86" s="901">
        <v>0</v>
      </c>
      <c r="CJ86" s="901">
        <v>7</v>
      </c>
      <c r="CK86" s="901">
        <v>2</v>
      </c>
      <c r="CL86" s="901">
        <v>0</v>
      </c>
      <c r="CM86" s="901">
        <v>0</v>
      </c>
      <c r="CN86" s="901">
        <v>0</v>
      </c>
      <c r="CO86" s="901">
        <v>0</v>
      </c>
      <c r="CP86" s="901">
        <v>0</v>
      </c>
      <c r="CQ86" s="901">
        <v>0</v>
      </c>
      <c r="CR86" s="901">
        <v>3</v>
      </c>
      <c r="CS86" s="902">
        <f>SUM(BY86:CR86)</f>
        <v>42</v>
      </c>
      <c r="CT86" s="871">
        <f t="shared" si="40"/>
        <v>42</v>
      </c>
      <c r="CU86" s="871">
        <f t="shared" si="41"/>
        <v>0</v>
      </c>
      <c r="CV86" s="942">
        <v>460.995</v>
      </c>
      <c r="CW86" s="710" t="s">
        <v>1411</v>
      </c>
      <c r="CX86" s="710" t="s">
        <v>279</v>
      </c>
      <c r="CY86" s="899">
        <v>0.67800000000000005</v>
      </c>
      <c r="CZ86" s="981" t="s">
        <v>1412</v>
      </c>
      <c r="DA86" s="981"/>
      <c r="DB86" s="981"/>
      <c r="DC86" s="710" t="s">
        <v>279</v>
      </c>
      <c r="DD86" s="710" t="s">
        <v>279</v>
      </c>
      <c r="DE86" s="710" t="s">
        <v>279</v>
      </c>
      <c r="DF86" s="901" t="s">
        <v>279</v>
      </c>
      <c r="DG86" s="901" t="s">
        <v>279</v>
      </c>
      <c r="DH86" s="901" t="s">
        <v>1413</v>
      </c>
      <c r="DI86" s="710" t="s">
        <v>278</v>
      </c>
      <c r="DJ86" s="710" t="s">
        <v>1012</v>
      </c>
      <c r="DK86" s="901"/>
      <c r="DL86" s="710" t="s">
        <v>278</v>
      </c>
      <c r="DM86" s="710" t="s">
        <v>1414</v>
      </c>
      <c r="DN86" s="901">
        <v>26777</v>
      </c>
      <c r="DO86" s="710" t="s">
        <v>279</v>
      </c>
      <c r="DP86" s="710" t="s">
        <v>1012</v>
      </c>
      <c r="DQ86" s="710" t="s">
        <v>1012</v>
      </c>
      <c r="DR86" s="710" t="s">
        <v>278</v>
      </c>
      <c r="DS86" s="710" t="s">
        <v>1012</v>
      </c>
      <c r="DT86" s="901"/>
      <c r="DU86" s="710" t="s">
        <v>278</v>
      </c>
      <c r="DV86" s="710" t="s">
        <v>1415</v>
      </c>
      <c r="DW86" s="901" t="s">
        <v>1012</v>
      </c>
      <c r="DX86" s="710" t="s">
        <v>278</v>
      </c>
      <c r="DY86" s="710" t="s">
        <v>1416</v>
      </c>
      <c r="DZ86" s="901" t="s">
        <v>1012</v>
      </c>
      <c r="EA86" s="710" t="s">
        <v>278</v>
      </c>
      <c r="EB86" s="710" t="s">
        <v>1012</v>
      </c>
      <c r="EC86" s="901" t="s">
        <v>1012</v>
      </c>
      <c r="ED86" s="710" t="s">
        <v>278</v>
      </c>
      <c r="EE86" s="710" t="s">
        <v>1417</v>
      </c>
      <c r="EF86" s="901">
        <v>26777</v>
      </c>
      <c r="EG86" s="710" t="s">
        <v>279</v>
      </c>
      <c r="EH86" s="710" t="s">
        <v>279</v>
      </c>
      <c r="EI86" s="901" t="s">
        <v>279</v>
      </c>
      <c r="EJ86" s="710" t="s">
        <v>1012</v>
      </c>
      <c r="EK86" s="710" t="s">
        <v>1012</v>
      </c>
      <c r="EL86" s="901" t="s">
        <v>1012</v>
      </c>
      <c r="EM86" s="710" t="s">
        <v>278</v>
      </c>
      <c r="EN86" s="710" t="s">
        <v>1418</v>
      </c>
      <c r="EO86" s="901">
        <v>15</v>
      </c>
      <c r="EP86" s="710" t="s">
        <v>278</v>
      </c>
      <c r="EQ86" s="710" t="s">
        <v>1419</v>
      </c>
      <c r="ER86" s="901">
        <v>14</v>
      </c>
      <c r="ES86" s="710" t="s">
        <v>279</v>
      </c>
      <c r="ET86" s="710" t="s">
        <v>279</v>
      </c>
      <c r="EU86" s="901" t="s">
        <v>279</v>
      </c>
      <c r="EV86" s="710" t="s">
        <v>1420</v>
      </c>
      <c r="EW86" s="710" t="s">
        <v>1421</v>
      </c>
      <c r="EX86" s="901">
        <v>74</v>
      </c>
      <c r="EY86" s="710" t="s">
        <v>278</v>
      </c>
      <c r="EZ86" s="710" t="s">
        <v>1422</v>
      </c>
      <c r="FA86" s="710" t="s">
        <v>278</v>
      </c>
      <c r="FB86" s="710" t="s">
        <v>1423</v>
      </c>
      <c r="FC86" s="964" t="s">
        <v>1407</v>
      </c>
      <c r="FD86" s="964" t="s">
        <v>1424</v>
      </c>
      <c r="FE86" s="710" t="s">
        <v>279</v>
      </c>
      <c r="FF86" s="710" t="s">
        <v>1425</v>
      </c>
      <c r="FG86" s="710" t="s">
        <v>279</v>
      </c>
      <c r="FH86" s="710" t="s">
        <v>1426</v>
      </c>
      <c r="FI86" s="710">
        <v>9</v>
      </c>
      <c r="FJ86" s="710" t="s">
        <v>1012</v>
      </c>
      <c r="FK86" s="710" t="s">
        <v>1427</v>
      </c>
      <c r="FL86" s="710" t="s">
        <v>1428</v>
      </c>
      <c r="FM86" s="964" t="s">
        <v>1429</v>
      </c>
      <c r="FN86" s="710" t="s">
        <v>1430</v>
      </c>
      <c r="FO86" s="710" t="s">
        <v>1431</v>
      </c>
      <c r="FP86" s="964" t="s">
        <v>1432</v>
      </c>
    </row>
    <row r="87" spans="2:191" ht="60.5" customHeight="1">
      <c r="B87" s="863"/>
      <c r="C87" s="863"/>
      <c r="D87" s="863"/>
      <c r="E87" s="863"/>
      <c r="F87" s="863"/>
      <c r="I87" s="850" t="s">
        <v>5520</v>
      </c>
      <c r="J87" s="850" t="s">
        <v>5426</v>
      </c>
      <c r="K87" s="710" t="s">
        <v>232</v>
      </c>
      <c r="L87" s="710"/>
      <c r="M87" s="710"/>
      <c r="N87" s="710"/>
      <c r="O87" s="895"/>
      <c r="P87" s="896"/>
      <c r="Q87" s="896"/>
      <c r="R87" s="712">
        <f t="shared" si="20"/>
        <v>0</v>
      </c>
      <c r="S87" s="710"/>
      <c r="T87" s="710"/>
      <c r="U87" s="710"/>
      <c r="V87" s="710"/>
      <c r="W87" s="710"/>
      <c r="X87" s="710"/>
      <c r="Y87" s="710"/>
      <c r="Z87" s="710"/>
      <c r="AA87" s="710"/>
      <c r="AB87" s="710"/>
      <c r="AC87" s="710"/>
      <c r="AD87" s="710"/>
      <c r="AE87" s="710"/>
      <c r="AF87" s="710"/>
      <c r="AG87" s="710"/>
      <c r="AH87" s="898"/>
      <c r="AI87" s="868">
        <f t="shared" si="24"/>
        <v>0</v>
      </c>
      <c r="AJ87" s="867">
        <f t="shared" si="25"/>
        <v>0</v>
      </c>
      <c r="AK87" s="898"/>
      <c r="AL87" s="899"/>
      <c r="AM87" s="899"/>
      <c r="AN87" s="869" t="e">
        <f t="shared" si="26"/>
        <v>#DIV/0!</v>
      </c>
      <c r="AO87" s="869" t="e">
        <f t="shared" si="27"/>
        <v>#DIV/0!</v>
      </c>
      <c r="AP87" s="899"/>
      <c r="AQ87" s="899"/>
      <c r="AR87" s="899"/>
      <c r="AS87" s="869" t="e">
        <f t="shared" si="28"/>
        <v>#DIV/0!</v>
      </c>
      <c r="AT87" s="869" t="e">
        <f t="shared" si="29"/>
        <v>#DIV/0!</v>
      </c>
      <c r="AU87" s="898"/>
      <c r="AV87" s="899"/>
      <c r="AW87" s="869" t="e">
        <f t="shared" si="30"/>
        <v>#DIV/0!</v>
      </c>
      <c r="AX87" s="869" t="e">
        <f t="shared" si="31"/>
        <v>#DIV/0!</v>
      </c>
      <c r="AY87" s="898"/>
      <c r="AZ87" s="899"/>
      <c r="BA87" s="869" t="e">
        <f t="shared" si="32"/>
        <v>#DIV/0!</v>
      </c>
      <c r="BB87" s="869" t="e">
        <f t="shared" si="33"/>
        <v>#DIV/0!</v>
      </c>
      <c r="BC87" s="898"/>
      <c r="BD87" s="899"/>
      <c r="BE87" s="869" t="e">
        <f t="shared" si="34"/>
        <v>#DIV/0!</v>
      </c>
      <c r="BF87" s="869" t="e">
        <f t="shared" si="35"/>
        <v>#DIV/0!</v>
      </c>
      <c r="BG87" s="898"/>
      <c r="BH87" s="899"/>
      <c r="BI87" s="710"/>
      <c r="BJ87" s="710"/>
      <c r="BK87" s="710"/>
      <c r="BL87" s="714" t="e">
        <f t="shared" si="36"/>
        <v>#DIV/0!</v>
      </c>
      <c r="BM87" s="869" t="e">
        <f t="shared" si="37"/>
        <v>#DIV/0!</v>
      </c>
      <c r="BN87" s="898"/>
      <c r="BO87" s="899"/>
      <c r="BP87" s="869" t="e">
        <f t="shared" si="38"/>
        <v>#DIV/0!</v>
      </c>
      <c r="BQ87" s="869" t="e">
        <f t="shared" si="39"/>
        <v>#DIV/0!</v>
      </c>
      <c r="BR87" s="898"/>
      <c r="BS87" s="899"/>
      <c r="BT87" s="899"/>
      <c r="BU87" s="899"/>
      <c r="BV87" s="901"/>
      <c r="BW87" s="901"/>
      <c r="BX87" s="901"/>
      <c r="BY87" s="901"/>
      <c r="BZ87" s="901"/>
      <c r="CA87" s="901"/>
      <c r="CB87" s="901"/>
      <c r="CC87" s="901"/>
      <c r="CD87" s="901"/>
      <c r="CE87" s="901"/>
      <c r="CF87" s="901"/>
      <c r="CG87" s="901"/>
      <c r="CH87" s="901"/>
      <c r="CI87" s="901"/>
      <c r="CJ87" s="901"/>
      <c r="CK87" s="901"/>
      <c r="CL87" s="901"/>
      <c r="CM87" s="901"/>
      <c r="CN87" s="901"/>
      <c r="CO87" s="901"/>
      <c r="CP87" s="901"/>
      <c r="CQ87" s="901"/>
      <c r="CR87" s="901"/>
      <c r="CS87" s="902"/>
      <c r="CT87" s="871">
        <f t="shared" si="40"/>
        <v>0</v>
      </c>
      <c r="CU87" s="871">
        <f t="shared" si="41"/>
        <v>0</v>
      </c>
      <c r="CV87" s="942"/>
      <c r="CW87" s="710"/>
      <c r="CX87" s="710"/>
      <c r="CY87" s="899"/>
      <c r="CZ87" s="710"/>
      <c r="DA87" s="710"/>
      <c r="DB87" s="710"/>
      <c r="DC87" s="710"/>
      <c r="DD87" s="710"/>
      <c r="DE87" s="901"/>
      <c r="DF87" s="901"/>
      <c r="DG87" s="710"/>
      <c r="DH87" s="710"/>
      <c r="DI87" s="901"/>
      <c r="DJ87" s="710"/>
      <c r="DK87" s="710"/>
      <c r="DL87" s="901"/>
      <c r="DM87" s="710"/>
      <c r="DN87" s="710"/>
      <c r="DO87" s="901"/>
      <c r="DP87" s="710"/>
      <c r="DQ87" s="710"/>
      <c r="DR87" s="901"/>
      <c r="DS87" s="710"/>
      <c r="DT87" s="710"/>
      <c r="DU87" s="901"/>
      <c r="DV87" s="710"/>
      <c r="DW87" s="710"/>
      <c r="DX87" s="901"/>
      <c r="DY87" s="710"/>
      <c r="DZ87" s="710"/>
      <c r="EA87" s="901"/>
      <c r="EB87" s="710"/>
      <c r="EC87" s="710"/>
      <c r="ED87" s="901"/>
      <c r="EE87" s="710"/>
      <c r="EF87" s="710"/>
      <c r="EG87" s="901"/>
      <c r="EH87" s="710"/>
      <c r="EI87" s="710"/>
      <c r="EJ87" s="901"/>
      <c r="EK87" s="710"/>
      <c r="EL87" s="710"/>
      <c r="EM87" s="901"/>
      <c r="EN87" s="710"/>
      <c r="EO87" s="710"/>
      <c r="EP87" s="901"/>
      <c r="EQ87" s="710"/>
      <c r="ER87" s="710"/>
      <c r="ES87" s="901"/>
      <c r="ET87" s="710"/>
      <c r="EU87" s="710"/>
      <c r="EV87" s="860"/>
      <c r="EW87" s="710"/>
      <c r="EX87" s="710"/>
      <c r="EY87" s="710"/>
      <c r="EZ87" s="710"/>
      <c r="FA87" s="710"/>
      <c r="FB87" s="710"/>
      <c r="FC87" s="710"/>
      <c r="FD87" s="710"/>
      <c r="FE87" s="710"/>
      <c r="FF87" s="710"/>
      <c r="FG87" s="710"/>
      <c r="FH87" s="710"/>
      <c r="FI87" s="710"/>
      <c r="FJ87" s="949"/>
      <c r="FK87" s="949"/>
      <c r="FL87" s="949"/>
      <c r="FM87" s="949"/>
      <c r="FN87" s="949"/>
      <c r="FO87" s="949"/>
      <c r="FP87" s="949"/>
    </row>
    <row r="88" spans="2:191" ht="60" customHeight="1">
      <c r="B88" s="863"/>
      <c r="C88" s="863"/>
      <c r="D88" s="863"/>
      <c r="E88" s="863"/>
      <c r="F88" s="863"/>
      <c r="I88" s="850" t="s">
        <v>5525</v>
      </c>
      <c r="J88" s="850" t="s">
        <v>5427</v>
      </c>
      <c r="K88" s="710" t="s">
        <v>233</v>
      </c>
      <c r="L88" s="710"/>
      <c r="M88" s="710"/>
      <c r="N88" s="710"/>
      <c r="O88" s="895"/>
      <c r="P88" s="896"/>
      <c r="Q88" s="896"/>
      <c r="R88" s="712">
        <f t="shared" si="20"/>
        <v>0</v>
      </c>
      <c r="S88" s="710"/>
      <c r="T88" s="710"/>
      <c r="U88" s="710"/>
      <c r="V88" s="710"/>
      <c r="W88" s="710"/>
      <c r="X88" s="710"/>
      <c r="Y88" s="710"/>
      <c r="Z88" s="710"/>
      <c r="AA88" s="710"/>
      <c r="AB88" s="710"/>
      <c r="AC88" s="710"/>
      <c r="AD88" s="710"/>
      <c r="AE88" s="710"/>
      <c r="AF88" s="710"/>
      <c r="AG88" s="710"/>
      <c r="AH88" s="898"/>
      <c r="AI88" s="868">
        <f t="shared" si="24"/>
        <v>0</v>
      </c>
      <c r="AJ88" s="867">
        <f t="shared" si="25"/>
        <v>0</v>
      </c>
      <c r="AK88" s="898"/>
      <c r="AL88" s="899"/>
      <c r="AM88" s="899"/>
      <c r="AN88" s="869" t="e">
        <f t="shared" si="26"/>
        <v>#DIV/0!</v>
      </c>
      <c r="AO88" s="869" t="e">
        <f t="shared" si="27"/>
        <v>#DIV/0!</v>
      </c>
      <c r="AP88" s="899"/>
      <c r="AQ88" s="899"/>
      <c r="AR88" s="899"/>
      <c r="AS88" s="869" t="e">
        <f t="shared" si="28"/>
        <v>#DIV/0!</v>
      </c>
      <c r="AT88" s="869" t="e">
        <f t="shared" si="29"/>
        <v>#DIV/0!</v>
      </c>
      <c r="AU88" s="898"/>
      <c r="AV88" s="899"/>
      <c r="AW88" s="869" t="e">
        <f t="shared" si="30"/>
        <v>#DIV/0!</v>
      </c>
      <c r="AX88" s="869" t="e">
        <f t="shared" si="31"/>
        <v>#DIV/0!</v>
      </c>
      <c r="AY88" s="898"/>
      <c r="AZ88" s="899"/>
      <c r="BA88" s="869" t="e">
        <f t="shared" si="32"/>
        <v>#DIV/0!</v>
      </c>
      <c r="BB88" s="869" t="e">
        <f t="shared" si="33"/>
        <v>#DIV/0!</v>
      </c>
      <c r="BC88" s="898"/>
      <c r="BD88" s="899"/>
      <c r="BE88" s="869" t="e">
        <f t="shared" si="34"/>
        <v>#DIV/0!</v>
      </c>
      <c r="BF88" s="869" t="e">
        <f t="shared" si="35"/>
        <v>#DIV/0!</v>
      </c>
      <c r="BG88" s="898"/>
      <c r="BH88" s="899"/>
      <c r="BI88" s="710"/>
      <c r="BJ88" s="710"/>
      <c r="BK88" s="710"/>
      <c r="BL88" s="714" t="e">
        <f t="shared" si="36"/>
        <v>#DIV/0!</v>
      </c>
      <c r="BM88" s="869" t="e">
        <f t="shared" si="37"/>
        <v>#DIV/0!</v>
      </c>
      <c r="BN88" s="898"/>
      <c r="BO88" s="899"/>
      <c r="BP88" s="869" t="e">
        <f t="shared" si="38"/>
        <v>#DIV/0!</v>
      </c>
      <c r="BQ88" s="869" t="e">
        <f t="shared" si="39"/>
        <v>#DIV/0!</v>
      </c>
      <c r="BR88" s="898"/>
      <c r="BS88" s="899"/>
      <c r="BT88" s="899"/>
      <c r="BU88" s="899"/>
      <c r="BV88" s="901"/>
      <c r="BW88" s="901"/>
      <c r="BX88" s="901"/>
      <c r="BY88" s="901"/>
      <c r="BZ88" s="901"/>
      <c r="CA88" s="901"/>
      <c r="CB88" s="901"/>
      <c r="CC88" s="901"/>
      <c r="CD88" s="901"/>
      <c r="CE88" s="901"/>
      <c r="CF88" s="901"/>
      <c r="CG88" s="901"/>
      <c r="CH88" s="901"/>
      <c r="CI88" s="901"/>
      <c r="CJ88" s="901"/>
      <c r="CK88" s="901"/>
      <c r="CL88" s="901"/>
      <c r="CM88" s="901"/>
      <c r="CN88" s="901"/>
      <c r="CO88" s="901"/>
      <c r="CP88" s="901"/>
      <c r="CQ88" s="901"/>
      <c r="CR88" s="901"/>
      <c r="CS88" s="902"/>
      <c r="CT88" s="871">
        <f t="shared" si="40"/>
        <v>0</v>
      </c>
      <c r="CU88" s="871">
        <f t="shared" si="41"/>
        <v>0</v>
      </c>
      <c r="CV88" s="942"/>
      <c r="CW88" s="710"/>
      <c r="CX88" s="710"/>
      <c r="CY88" s="899"/>
      <c r="CZ88" s="710"/>
      <c r="DA88" s="710"/>
      <c r="DB88" s="710"/>
      <c r="DC88" s="710"/>
      <c r="DD88" s="710"/>
      <c r="DE88" s="901"/>
      <c r="DF88" s="901"/>
      <c r="DG88" s="710"/>
      <c r="DH88" s="710"/>
      <c r="DI88" s="901"/>
      <c r="DJ88" s="710"/>
      <c r="DK88" s="710"/>
      <c r="DL88" s="901"/>
      <c r="DM88" s="710"/>
      <c r="DN88" s="710"/>
      <c r="DO88" s="901"/>
      <c r="DP88" s="710"/>
      <c r="DQ88" s="710"/>
      <c r="DR88" s="901"/>
      <c r="DS88" s="710"/>
      <c r="DT88" s="710"/>
      <c r="DU88" s="901"/>
      <c r="DV88" s="710"/>
      <c r="DW88" s="710"/>
      <c r="DX88" s="901"/>
      <c r="DY88" s="710"/>
      <c r="DZ88" s="710"/>
      <c r="EA88" s="901"/>
      <c r="EB88" s="710"/>
      <c r="EC88" s="710"/>
      <c r="ED88" s="901"/>
      <c r="EE88" s="710"/>
      <c r="EF88" s="710"/>
      <c r="EG88" s="901"/>
      <c r="EH88" s="710"/>
      <c r="EI88" s="710"/>
      <c r="EJ88" s="901"/>
      <c r="EK88" s="710"/>
      <c r="EL88" s="710"/>
      <c r="EM88" s="901"/>
      <c r="EN88" s="710"/>
      <c r="EO88" s="710"/>
      <c r="EP88" s="901"/>
      <c r="EQ88" s="710"/>
      <c r="ER88" s="710"/>
      <c r="ES88" s="901"/>
      <c r="ET88" s="710"/>
      <c r="EU88" s="710"/>
      <c r="EV88" s="860"/>
      <c r="EW88" s="710"/>
      <c r="EX88" s="710"/>
      <c r="EY88" s="710"/>
      <c r="EZ88" s="710"/>
      <c r="FA88" s="710"/>
      <c r="FB88" s="710"/>
      <c r="FC88" s="710"/>
      <c r="FD88" s="710"/>
      <c r="FE88" s="710"/>
      <c r="FF88" s="710"/>
      <c r="FG88" s="710"/>
      <c r="FH88" s="710"/>
      <c r="FI88" s="710"/>
      <c r="FJ88" s="949"/>
      <c r="FK88" s="949"/>
      <c r="FL88" s="949"/>
      <c r="FM88" s="949"/>
      <c r="FN88" s="949"/>
      <c r="FO88" s="949"/>
      <c r="FP88" s="949"/>
    </row>
    <row r="89" spans="2:191" ht="71.5" customHeight="1">
      <c r="B89" s="863"/>
      <c r="C89" s="863"/>
      <c r="D89" s="863"/>
      <c r="E89" s="863"/>
      <c r="F89" s="863"/>
      <c r="I89" s="850" t="s">
        <v>5525</v>
      </c>
      <c r="J89" s="850" t="s">
        <v>5428</v>
      </c>
      <c r="K89" s="710" t="s">
        <v>234</v>
      </c>
      <c r="L89" s="710"/>
      <c r="M89" s="710"/>
      <c r="N89" s="710"/>
      <c r="O89" s="895"/>
      <c r="P89" s="896"/>
      <c r="Q89" s="896"/>
      <c r="R89" s="712">
        <f t="shared" si="20"/>
        <v>0</v>
      </c>
      <c r="S89" s="710"/>
      <c r="T89" s="710"/>
      <c r="U89" s="710"/>
      <c r="V89" s="710"/>
      <c r="W89" s="710"/>
      <c r="X89" s="710"/>
      <c r="Y89" s="710"/>
      <c r="Z89" s="710"/>
      <c r="AA89" s="710"/>
      <c r="AB89" s="710"/>
      <c r="AC89" s="710"/>
      <c r="AD89" s="710"/>
      <c r="AE89" s="710"/>
      <c r="AF89" s="710"/>
      <c r="AG89" s="710"/>
      <c r="AH89" s="898"/>
      <c r="AI89" s="868">
        <f t="shared" si="24"/>
        <v>0</v>
      </c>
      <c r="AJ89" s="867">
        <f t="shared" si="25"/>
        <v>0</v>
      </c>
      <c r="AK89" s="898"/>
      <c r="AL89" s="899"/>
      <c r="AM89" s="899"/>
      <c r="AN89" s="869" t="e">
        <f t="shared" si="26"/>
        <v>#DIV/0!</v>
      </c>
      <c r="AO89" s="869" t="e">
        <f t="shared" si="27"/>
        <v>#DIV/0!</v>
      </c>
      <c r="AP89" s="899"/>
      <c r="AQ89" s="899"/>
      <c r="AR89" s="899"/>
      <c r="AS89" s="869" t="e">
        <f t="shared" si="28"/>
        <v>#DIV/0!</v>
      </c>
      <c r="AT89" s="869" t="e">
        <f t="shared" si="29"/>
        <v>#DIV/0!</v>
      </c>
      <c r="AU89" s="898"/>
      <c r="AV89" s="899"/>
      <c r="AW89" s="869" t="e">
        <f t="shared" si="30"/>
        <v>#DIV/0!</v>
      </c>
      <c r="AX89" s="869" t="e">
        <f t="shared" si="31"/>
        <v>#DIV/0!</v>
      </c>
      <c r="AY89" s="898"/>
      <c r="AZ89" s="899"/>
      <c r="BA89" s="869" t="e">
        <f t="shared" si="32"/>
        <v>#DIV/0!</v>
      </c>
      <c r="BB89" s="869" t="e">
        <f t="shared" si="33"/>
        <v>#DIV/0!</v>
      </c>
      <c r="BC89" s="898"/>
      <c r="BD89" s="899"/>
      <c r="BE89" s="869" t="e">
        <f t="shared" si="34"/>
        <v>#DIV/0!</v>
      </c>
      <c r="BF89" s="869" t="e">
        <f t="shared" si="35"/>
        <v>#DIV/0!</v>
      </c>
      <c r="BG89" s="898"/>
      <c r="BH89" s="899"/>
      <c r="BI89" s="710"/>
      <c r="BJ89" s="710"/>
      <c r="BK89" s="710"/>
      <c r="BL89" s="714" t="e">
        <f t="shared" si="36"/>
        <v>#DIV/0!</v>
      </c>
      <c r="BM89" s="869" t="e">
        <f t="shared" si="37"/>
        <v>#DIV/0!</v>
      </c>
      <c r="BN89" s="898"/>
      <c r="BO89" s="899"/>
      <c r="BP89" s="869" t="e">
        <f t="shared" si="38"/>
        <v>#DIV/0!</v>
      </c>
      <c r="BQ89" s="869" t="e">
        <f t="shared" si="39"/>
        <v>#DIV/0!</v>
      </c>
      <c r="BR89" s="898"/>
      <c r="BS89" s="899"/>
      <c r="BT89" s="899"/>
      <c r="BU89" s="899"/>
      <c r="BV89" s="901"/>
      <c r="BW89" s="901"/>
      <c r="BX89" s="901"/>
      <c r="BY89" s="901"/>
      <c r="BZ89" s="901"/>
      <c r="CA89" s="901"/>
      <c r="CB89" s="901"/>
      <c r="CC89" s="901"/>
      <c r="CD89" s="901"/>
      <c r="CE89" s="901"/>
      <c r="CF89" s="901"/>
      <c r="CG89" s="901"/>
      <c r="CH89" s="901"/>
      <c r="CI89" s="901"/>
      <c r="CJ89" s="901"/>
      <c r="CK89" s="901"/>
      <c r="CL89" s="901"/>
      <c r="CM89" s="901"/>
      <c r="CN89" s="901"/>
      <c r="CO89" s="901"/>
      <c r="CP89" s="901"/>
      <c r="CQ89" s="901"/>
      <c r="CR89" s="901"/>
      <c r="CS89" s="902"/>
      <c r="CT89" s="871">
        <f t="shared" si="40"/>
        <v>0</v>
      </c>
      <c r="CU89" s="871">
        <f t="shared" si="41"/>
        <v>0</v>
      </c>
      <c r="CV89" s="942"/>
      <c r="CW89" s="710"/>
      <c r="CX89" s="710"/>
      <c r="CY89" s="899"/>
      <c r="CZ89" s="710"/>
      <c r="DA89" s="710"/>
      <c r="DB89" s="710"/>
      <c r="DC89" s="710"/>
      <c r="DD89" s="710"/>
      <c r="DE89" s="901"/>
      <c r="DF89" s="901"/>
      <c r="DG89" s="710"/>
      <c r="DH89" s="710"/>
      <c r="DI89" s="901"/>
      <c r="DJ89" s="710"/>
      <c r="DK89" s="710"/>
      <c r="DL89" s="901"/>
      <c r="DM89" s="710"/>
      <c r="DN89" s="710"/>
      <c r="DO89" s="901"/>
      <c r="DP89" s="710"/>
      <c r="DQ89" s="710"/>
      <c r="DR89" s="901"/>
      <c r="DS89" s="710"/>
      <c r="DT89" s="710"/>
      <c r="DU89" s="901"/>
      <c r="DV89" s="710"/>
      <c r="DW89" s="710"/>
      <c r="DX89" s="901"/>
      <c r="DY89" s="710"/>
      <c r="DZ89" s="710"/>
      <c r="EA89" s="901"/>
      <c r="EB89" s="710"/>
      <c r="EC89" s="710"/>
      <c r="ED89" s="901"/>
      <c r="EE89" s="710"/>
      <c r="EF89" s="710"/>
      <c r="EG89" s="901"/>
      <c r="EH89" s="710"/>
      <c r="EI89" s="710"/>
      <c r="EJ89" s="901"/>
      <c r="EK89" s="710"/>
      <c r="EL89" s="710"/>
      <c r="EM89" s="901"/>
      <c r="EN89" s="710"/>
      <c r="EO89" s="710"/>
      <c r="EP89" s="901"/>
      <c r="EQ89" s="710"/>
      <c r="ER89" s="710"/>
      <c r="ES89" s="901"/>
      <c r="ET89" s="710"/>
      <c r="EU89" s="710"/>
      <c r="EV89" s="860"/>
      <c r="EW89" s="710"/>
      <c r="EX89" s="710"/>
      <c r="EY89" s="710"/>
      <c r="EZ89" s="710"/>
      <c r="FA89" s="710"/>
      <c r="FB89" s="710"/>
      <c r="FC89" s="710"/>
      <c r="FD89" s="710"/>
      <c r="FE89" s="710"/>
      <c r="FF89" s="710"/>
      <c r="FG89" s="710"/>
      <c r="FH89" s="710"/>
      <c r="FI89" s="710"/>
      <c r="FJ89" s="949"/>
      <c r="FK89" s="949"/>
      <c r="FL89" s="949"/>
      <c r="FM89" s="949"/>
      <c r="FN89" s="949"/>
      <c r="FO89" s="949"/>
      <c r="FP89" s="949"/>
    </row>
    <row r="90" spans="2:191" ht="102" customHeight="1">
      <c r="B90" s="850" t="s">
        <v>5313</v>
      </c>
      <c r="C90" s="863"/>
      <c r="D90" s="850" t="s">
        <v>4934</v>
      </c>
      <c r="E90" s="850" t="s">
        <v>5314</v>
      </c>
      <c r="F90" s="863"/>
      <c r="H90" s="850" t="s">
        <v>4934</v>
      </c>
      <c r="I90" s="850" t="s">
        <v>5525</v>
      </c>
      <c r="J90" s="850" t="s">
        <v>5428</v>
      </c>
      <c r="K90" s="710" t="s">
        <v>234</v>
      </c>
      <c r="L90" s="948" t="s">
        <v>2894</v>
      </c>
      <c r="M90" s="710" t="s">
        <v>2895</v>
      </c>
      <c r="N90" s="710"/>
      <c r="O90" s="895">
        <v>2018</v>
      </c>
      <c r="P90" s="896">
        <v>43619</v>
      </c>
      <c r="Q90" s="896">
        <v>43830</v>
      </c>
      <c r="R90" s="712">
        <f t="shared" ref="R90:R153" si="42">Q90-P90</f>
        <v>211</v>
      </c>
      <c r="S90" s="896"/>
      <c r="T90" s="896"/>
      <c r="U90" s="896"/>
      <c r="V90" s="896"/>
      <c r="W90" s="896"/>
      <c r="X90" s="896"/>
      <c r="Y90" s="896"/>
      <c r="Z90" s="896"/>
      <c r="AA90" s="896"/>
      <c r="AB90" s="710" t="s">
        <v>2896</v>
      </c>
      <c r="AC90" s="710" t="s">
        <v>2897</v>
      </c>
      <c r="AD90" s="710" t="s">
        <v>2898</v>
      </c>
      <c r="AE90" s="710" t="s">
        <v>2899</v>
      </c>
      <c r="AF90" s="710" t="s">
        <v>2900</v>
      </c>
      <c r="AG90" s="710" t="s">
        <v>2901</v>
      </c>
      <c r="AH90" s="898">
        <v>7.91</v>
      </c>
      <c r="AI90" s="868">
        <f t="shared" si="24"/>
        <v>7.9</v>
      </c>
      <c r="AJ90" s="875">
        <f t="shared" si="25"/>
        <v>-9.9999999999997868E-3</v>
      </c>
      <c r="AK90" s="898"/>
      <c r="AL90" s="898"/>
      <c r="AM90" s="898"/>
      <c r="AN90" s="869">
        <f t="shared" si="26"/>
        <v>0</v>
      </c>
      <c r="AO90" s="869">
        <f t="shared" si="27"/>
        <v>0</v>
      </c>
      <c r="AP90" s="898"/>
      <c r="AQ90" s="899"/>
      <c r="AR90" s="899">
        <v>2E-3</v>
      </c>
      <c r="AS90" s="869">
        <f t="shared" si="28"/>
        <v>0</v>
      </c>
      <c r="AT90" s="869">
        <f t="shared" si="29"/>
        <v>0</v>
      </c>
      <c r="AU90" s="942">
        <v>7.4</v>
      </c>
      <c r="AV90" s="899">
        <v>0.93700000000000006</v>
      </c>
      <c r="AW90" s="869">
        <f t="shared" si="30"/>
        <v>0.93552465233881166</v>
      </c>
      <c r="AX90" s="869">
        <f t="shared" si="31"/>
        <v>1.4753476611883976E-3</v>
      </c>
      <c r="AY90" s="898"/>
      <c r="AZ90" s="899"/>
      <c r="BA90" s="869">
        <f t="shared" si="32"/>
        <v>0</v>
      </c>
      <c r="BB90" s="869">
        <f t="shared" si="33"/>
        <v>0</v>
      </c>
      <c r="BC90" s="898">
        <v>0.5</v>
      </c>
      <c r="BD90" s="899">
        <v>6.3E-2</v>
      </c>
      <c r="BE90" s="869">
        <f t="shared" si="34"/>
        <v>6.3211125158027806E-2</v>
      </c>
      <c r="BF90" s="869">
        <f t="shared" si="35"/>
        <v>-2.1112515802780563E-4</v>
      </c>
      <c r="BG90" s="899"/>
      <c r="BH90" s="899"/>
      <c r="BI90" s="899"/>
      <c r="BJ90" s="899"/>
      <c r="BK90" s="899"/>
      <c r="BL90" s="714">
        <f t="shared" si="36"/>
        <v>0</v>
      </c>
      <c r="BM90" s="869">
        <f t="shared" si="37"/>
        <v>0</v>
      </c>
      <c r="BN90" s="898"/>
      <c r="BO90" s="899"/>
      <c r="BP90" s="869">
        <f t="shared" si="38"/>
        <v>0</v>
      </c>
      <c r="BQ90" s="869">
        <f t="shared" si="39"/>
        <v>0</v>
      </c>
      <c r="BR90" s="899"/>
      <c r="BS90" s="899"/>
      <c r="BT90" s="898">
        <v>15</v>
      </c>
      <c r="BU90" s="899">
        <v>3.0000000000000001E-3</v>
      </c>
      <c r="BV90" s="901">
        <v>5</v>
      </c>
      <c r="BW90" s="901">
        <v>5</v>
      </c>
      <c r="BX90" s="901">
        <v>3</v>
      </c>
      <c r="BY90" s="901"/>
      <c r="BZ90" s="901"/>
      <c r="CA90" s="901"/>
      <c r="CB90" s="901"/>
      <c r="CC90" s="901"/>
      <c r="CD90" s="901"/>
      <c r="CE90" s="901"/>
      <c r="CF90" s="901"/>
      <c r="CG90" s="901"/>
      <c r="CH90" s="901"/>
      <c r="CI90" s="901">
        <v>2</v>
      </c>
      <c r="CJ90" s="901">
        <v>1</v>
      </c>
      <c r="CK90" s="901"/>
      <c r="CL90" s="901"/>
      <c r="CM90" s="901"/>
      <c r="CN90" s="901"/>
      <c r="CO90" s="901"/>
      <c r="CP90" s="901"/>
      <c r="CQ90" s="901"/>
      <c r="CR90" s="901"/>
      <c r="CS90" s="902">
        <f t="shared" ref="CS90:CS100" si="43">SUM(BY90:CR90)</f>
        <v>3</v>
      </c>
      <c r="CT90" s="871">
        <f t="shared" si="40"/>
        <v>3</v>
      </c>
      <c r="CU90" s="871">
        <f t="shared" si="41"/>
        <v>0</v>
      </c>
      <c r="CV90" s="942">
        <v>12</v>
      </c>
      <c r="CW90" s="710"/>
      <c r="CX90" s="710"/>
      <c r="CY90" s="710"/>
      <c r="CZ90" s="710"/>
      <c r="DA90" s="710">
        <v>8</v>
      </c>
      <c r="DB90" s="899"/>
      <c r="DC90" s="710" t="s">
        <v>389</v>
      </c>
      <c r="DD90" s="710"/>
      <c r="DE90" s="710"/>
      <c r="DF90" s="901"/>
      <c r="DG90" s="901"/>
      <c r="DH90" s="901"/>
      <c r="DI90" s="710" t="s">
        <v>389</v>
      </c>
      <c r="DJ90" s="710"/>
      <c r="DK90" s="901"/>
      <c r="DL90" s="710" t="s">
        <v>278</v>
      </c>
      <c r="DM90" s="710" t="s">
        <v>2902</v>
      </c>
      <c r="DN90" s="901">
        <v>425</v>
      </c>
      <c r="DO90" s="710" t="s">
        <v>389</v>
      </c>
      <c r="DP90" s="710"/>
      <c r="DQ90" s="901"/>
      <c r="DR90" s="710" t="s">
        <v>389</v>
      </c>
      <c r="DS90" s="710"/>
      <c r="DT90" s="901"/>
      <c r="DU90" s="710" t="s">
        <v>389</v>
      </c>
      <c r="DV90" s="710"/>
      <c r="DW90" s="901"/>
      <c r="DX90" s="710"/>
      <c r="DY90" s="710"/>
      <c r="DZ90" s="901"/>
      <c r="EA90" s="710" t="s">
        <v>279</v>
      </c>
      <c r="EB90" s="710"/>
      <c r="EC90" s="901"/>
      <c r="ED90" s="710" t="s">
        <v>389</v>
      </c>
      <c r="EE90" s="710"/>
      <c r="EF90" s="901"/>
      <c r="EG90" s="710" t="s">
        <v>389</v>
      </c>
      <c r="EH90" s="710"/>
      <c r="EI90" s="901"/>
      <c r="EJ90" s="710" t="s">
        <v>389</v>
      </c>
      <c r="EK90" s="710"/>
      <c r="EL90" s="901"/>
      <c r="EM90" s="710" t="s">
        <v>392</v>
      </c>
      <c r="EN90" s="710" t="s">
        <v>2903</v>
      </c>
      <c r="EO90" s="901"/>
      <c r="EP90" s="710" t="s">
        <v>389</v>
      </c>
      <c r="EQ90" s="710"/>
      <c r="ER90" s="901"/>
      <c r="ES90" s="710"/>
      <c r="ET90" s="710"/>
      <c r="EU90" s="901"/>
      <c r="EV90" s="901"/>
      <c r="EW90" s="901"/>
      <c r="EX90" s="901"/>
      <c r="EY90" s="710" t="s">
        <v>389</v>
      </c>
      <c r="EZ90" s="710"/>
      <c r="FA90" s="710" t="s">
        <v>279</v>
      </c>
      <c r="FB90" s="710"/>
      <c r="FC90" s="710" t="s">
        <v>2904</v>
      </c>
      <c r="FD90" s="710" t="s">
        <v>2905</v>
      </c>
      <c r="FE90" s="710"/>
      <c r="FF90" s="710"/>
      <c r="FG90" s="710"/>
      <c r="FH90" s="710"/>
      <c r="FI90" s="710"/>
      <c r="FJ90" s="710"/>
      <c r="FK90" s="710" t="s">
        <v>2906</v>
      </c>
      <c r="FL90" s="710" t="s">
        <v>2907</v>
      </c>
      <c r="FM90" s="861" t="s">
        <v>2908</v>
      </c>
      <c r="FN90" s="710" t="s">
        <v>2906</v>
      </c>
      <c r="FO90" s="710" t="s">
        <v>2907</v>
      </c>
      <c r="FP90" s="861" t="s">
        <v>2908</v>
      </c>
    </row>
    <row r="91" spans="2:191" ht="104.5" customHeight="1">
      <c r="B91" s="850" t="s">
        <v>5313</v>
      </c>
      <c r="C91" s="863"/>
      <c r="D91" s="850" t="s">
        <v>4933</v>
      </c>
      <c r="E91" s="850" t="s">
        <v>5314</v>
      </c>
      <c r="F91" s="879">
        <v>1</v>
      </c>
      <c r="G91" s="850" t="s">
        <v>4933</v>
      </c>
      <c r="I91" s="850" t="s">
        <v>5524</v>
      </c>
      <c r="J91" s="850" t="s">
        <v>5429</v>
      </c>
      <c r="K91" s="710" t="s">
        <v>235</v>
      </c>
      <c r="L91" s="710"/>
      <c r="M91" s="710" t="s">
        <v>1000</v>
      </c>
      <c r="N91" s="710" t="s">
        <v>1001</v>
      </c>
      <c r="O91" s="895">
        <v>2017</v>
      </c>
      <c r="P91" s="896">
        <v>43466</v>
      </c>
      <c r="Q91" s="896">
        <v>43830</v>
      </c>
      <c r="R91" s="712">
        <f t="shared" si="42"/>
        <v>364</v>
      </c>
      <c r="S91" s="710" t="s">
        <v>1002</v>
      </c>
      <c r="T91" s="710" t="s">
        <v>1003</v>
      </c>
      <c r="U91" s="861" t="s">
        <v>1004</v>
      </c>
      <c r="V91" s="710" t="s">
        <v>279</v>
      </c>
      <c r="W91" s="710" t="s">
        <v>58</v>
      </c>
      <c r="X91" s="710" t="s">
        <v>279</v>
      </c>
      <c r="Y91" s="710" t="s">
        <v>58</v>
      </c>
      <c r="Z91" s="710" t="s">
        <v>279</v>
      </c>
      <c r="AA91" s="710" t="s">
        <v>58</v>
      </c>
      <c r="AB91" s="710"/>
      <c r="AC91" s="710"/>
      <c r="AD91" s="710" t="s">
        <v>1005</v>
      </c>
      <c r="AE91" s="710" t="s">
        <v>1006</v>
      </c>
      <c r="AF91" s="710" t="s">
        <v>454</v>
      </c>
      <c r="AG91" s="710" t="s">
        <v>1007</v>
      </c>
      <c r="AH91" s="898">
        <v>37.264000000000003</v>
      </c>
      <c r="AI91" s="868">
        <f t="shared" si="24"/>
        <v>37.264000000000003</v>
      </c>
      <c r="AJ91" s="867">
        <f t="shared" si="25"/>
        <v>0</v>
      </c>
      <c r="AK91" s="898">
        <v>22.6</v>
      </c>
      <c r="AL91" s="899">
        <v>0.60650000000000004</v>
      </c>
      <c r="AM91" s="899">
        <v>2.9999999999999997E-4</v>
      </c>
      <c r="AN91" s="869">
        <f t="shared" si="26"/>
        <v>0.60648346930012875</v>
      </c>
      <c r="AO91" s="869">
        <f t="shared" si="27"/>
        <v>1.6530699871286636E-5</v>
      </c>
      <c r="AP91" s="899"/>
      <c r="AQ91" s="899"/>
      <c r="AR91" s="899"/>
      <c r="AS91" s="869">
        <f t="shared" si="28"/>
        <v>0</v>
      </c>
      <c r="AT91" s="869">
        <f t="shared" si="29"/>
        <v>0</v>
      </c>
      <c r="AU91" s="898">
        <v>5.0949999999999998</v>
      </c>
      <c r="AV91" s="899">
        <v>0.13669999999999999</v>
      </c>
      <c r="AW91" s="869">
        <f t="shared" si="30"/>
        <v>0.13672713610991841</v>
      </c>
      <c r="AX91" s="869">
        <f t="shared" si="31"/>
        <v>-2.7136109918418638E-5</v>
      </c>
      <c r="AY91" s="898">
        <v>4.3170000000000002</v>
      </c>
      <c r="AZ91" s="899">
        <v>0.1159</v>
      </c>
      <c r="BA91" s="869">
        <f t="shared" si="32"/>
        <v>0.11584907685702017</v>
      </c>
      <c r="BB91" s="869">
        <f t="shared" si="33"/>
        <v>5.0923142979830693E-5</v>
      </c>
      <c r="BC91" s="898">
        <v>5.2519999999999998</v>
      </c>
      <c r="BD91" s="899">
        <v>0.1409</v>
      </c>
      <c r="BE91" s="869">
        <f t="shared" si="34"/>
        <v>0.14094031773293259</v>
      </c>
      <c r="BF91" s="869">
        <f t="shared" si="35"/>
        <v>-4.0317732932587669E-5</v>
      </c>
      <c r="BG91" s="898"/>
      <c r="BH91" s="899"/>
      <c r="BI91" s="710"/>
      <c r="BJ91" s="710"/>
      <c r="BK91" s="710"/>
      <c r="BL91" s="714">
        <f t="shared" si="36"/>
        <v>0</v>
      </c>
      <c r="BM91" s="869">
        <f t="shared" si="37"/>
        <v>0</v>
      </c>
      <c r="BN91" s="898"/>
      <c r="BO91" s="899"/>
      <c r="BP91" s="869">
        <f t="shared" si="38"/>
        <v>0</v>
      </c>
      <c r="BQ91" s="869">
        <f t="shared" si="39"/>
        <v>0</v>
      </c>
      <c r="BR91" s="898">
        <v>32.627000000000002</v>
      </c>
      <c r="BS91" s="899">
        <v>4.0000000000000002E-4</v>
      </c>
      <c r="BT91" s="899"/>
      <c r="BU91" s="899"/>
      <c r="BV91" s="901">
        <v>42</v>
      </c>
      <c r="BW91" s="901">
        <v>42</v>
      </c>
      <c r="BX91" s="901">
        <v>36</v>
      </c>
      <c r="BY91" s="901">
        <v>0</v>
      </c>
      <c r="BZ91" s="901">
        <v>1</v>
      </c>
      <c r="CA91" s="901">
        <v>4</v>
      </c>
      <c r="CB91" s="901">
        <v>0</v>
      </c>
      <c r="CC91" s="901">
        <v>0</v>
      </c>
      <c r="CD91" s="901">
        <v>0</v>
      </c>
      <c r="CE91" s="901">
        <v>12</v>
      </c>
      <c r="CF91" s="901">
        <v>4</v>
      </c>
      <c r="CG91" s="901">
        <v>5</v>
      </c>
      <c r="CH91" s="901">
        <v>0</v>
      </c>
      <c r="CI91" s="901">
        <v>4</v>
      </c>
      <c r="CJ91" s="901">
        <v>5</v>
      </c>
      <c r="CK91" s="901">
        <v>0</v>
      </c>
      <c r="CL91" s="901">
        <v>0</v>
      </c>
      <c r="CM91" s="901">
        <v>0</v>
      </c>
      <c r="CN91" s="901">
        <v>0</v>
      </c>
      <c r="CO91" s="901">
        <v>0</v>
      </c>
      <c r="CP91" s="901">
        <v>1</v>
      </c>
      <c r="CQ91" s="901">
        <v>0</v>
      </c>
      <c r="CR91" s="901">
        <v>0</v>
      </c>
      <c r="CS91" s="902">
        <f t="shared" si="43"/>
        <v>36</v>
      </c>
      <c r="CT91" s="871">
        <f t="shared" si="40"/>
        <v>36</v>
      </c>
      <c r="CU91" s="871">
        <f t="shared" si="41"/>
        <v>0</v>
      </c>
      <c r="CV91" s="942">
        <v>143.97999999999999</v>
      </c>
      <c r="CW91" s="710" t="s">
        <v>1008</v>
      </c>
      <c r="CX91" s="710"/>
      <c r="CY91" s="710">
        <v>19.420000000000002</v>
      </c>
      <c r="CZ91" s="861" t="s">
        <v>1009</v>
      </c>
      <c r="DA91" s="861"/>
      <c r="DB91" s="861"/>
      <c r="DC91" s="710" t="s">
        <v>279</v>
      </c>
      <c r="DD91" s="710" t="s">
        <v>279</v>
      </c>
      <c r="DE91" s="710" t="s">
        <v>279</v>
      </c>
      <c r="DF91" s="901"/>
      <c r="DG91" s="901" t="s">
        <v>279</v>
      </c>
      <c r="DH91" s="901" t="s">
        <v>1010</v>
      </c>
      <c r="DI91" s="710" t="s">
        <v>279</v>
      </c>
      <c r="DJ91" s="710"/>
      <c r="DK91" s="901"/>
      <c r="DL91" s="710" t="s">
        <v>278</v>
      </c>
      <c r="DM91" s="710" t="s">
        <v>753</v>
      </c>
      <c r="DN91" s="901">
        <v>2097</v>
      </c>
      <c r="DO91" s="710" t="s">
        <v>279</v>
      </c>
      <c r="DP91" s="710"/>
      <c r="DQ91" s="901"/>
      <c r="DR91" s="710" t="s">
        <v>279</v>
      </c>
      <c r="DS91" s="710"/>
      <c r="DT91" s="901"/>
      <c r="DU91" s="710" t="s">
        <v>950</v>
      </c>
      <c r="DV91" s="710"/>
      <c r="DW91" s="901"/>
      <c r="DX91" s="710" t="s">
        <v>278</v>
      </c>
      <c r="DY91" s="710" t="s">
        <v>1011</v>
      </c>
      <c r="DZ91" s="901" t="s">
        <v>1012</v>
      </c>
      <c r="EA91" s="710" t="s">
        <v>950</v>
      </c>
      <c r="EB91" s="710"/>
      <c r="EC91" s="901"/>
      <c r="ED91" s="710" t="s">
        <v>279</v>
      </c>
      <c r="EE91" s="710"/>
      <c r="EF91" s="982"/>
      <c r="EG91" s="710" t="s">
        <v>950</v>
      </c>
      <c r="EH91" s="710"/>
      <c r="EI91" s="901"/>
      <c r="EJ91" s="710" t="s">
        <v>950</v>
      </c>
      <c r="EK91" s="710"/>
      <c r="EL91" s="901"/>
      <c r="EM91" s="710" t="s">
        <v>278</v>
      </c>
      <c r="EN91" s="708" t="s">
        <v>1013</v>
      </c>
      <c r="EO91" s="901">
        <v>11</v>
      </c>
      <c r="EP91" s="708" t="s">
        <v>1014</v>
      </c>
      <c r="EQ91" s="710"/>
      <c r="ER91" s="901">
        <v>42</v>
      </c>
      <c r="ES91" s="710" t="s">
        <v>279</v>
      </c>
      <c r="ET91" s="710"/>
      <c r="EU91" s="901"/>
      <c r="EV91" s="904">
        <v>1</v>
      </c>
      <c r="EW91" s="710"/>
      <c r="EX91" s="901">
        <v>30</v>
      </c>
      <c r="EY91" s="710" t="s">
        <v>950</v>
      </c>
      <c r="EZ91" s="710"/>
      <c r="FA91" s="708" t="s">
        <v>278</v>
      </c>
      <c r="FB91" s="710" t="s">
        <v>1015</v>
      </c>
      <c r="FC91" s="861" t="s">
        <v>1016</v>
      </c>
      <c r="FD91" s="861" t="s">
        <v>1017</v>
      </c>
      <c r="FE91" s="710" t="s">
        <v>422</v>
      </c>
      <c r="FF91" s="710" t="s">
        <v>1018</v>
      </c>
      <c r="FG91" s="710" t="s">
        <v>279</v>
      </c>
      <c r="FH91" s="710" t="s">
        <v>1019</v>
      </c>
      <c r="FI91" s="710">
        <v>3</v>
      </c>
      <c r="FJ91" s="710">
        <v>70</v>
      </c>
      <c r="FK91" s="710" t="s">
        <v>1020</v>
      </c>
      <c r="FL91" s="710" t="s">
        <v>1021</v>
      </c>
      <c r="FM91" s="710" t="s">
        <v>1022</v>
      </c>
      <c r="FN91" s="710" t="s">
        <v>1023</v>
      </c>
      <c r="FO91" s="710" t="s">
        <v>1024</v>
      </c>
      <c r="FP91" s="710" t="s">
        <v>1025</v>
      </c>
    </row>
    <row r="92" spans="2:191" ht="100.5" customHeight="1">
      <c r="B92" s="850" t="s">
        <v>5313</v>
      </c>
      <c r="C92" s="863"/>
      <c r="D92" s="850" t="s">
        <v>4933</v>
      </c>
      <c r="E92" s="850" t="s">
        <v>5314</v>
      </c>
      <c r="F92" s="879">
        <v>1</v>
      </c>
      <c r="G92" s="850" t="s">
        <v>4933</v>
      </c>
      <c r="I92" s="850" t="s">
        <v>5524</v>
      </c>
      <c r="J92" s="850" t="s">
        <v>5430</v>
      </c>
      <c r="K92" s="710" t="s">
        <v>236</v>
      </c>
      <c r="L92" s="710"/>
      <c r="M92" s="710" t="s">
        <v>380</v>
      </c>
      <c r="N92" s="710" t="s">
        <v>381</v>
      </c>
      <c r="O92" s="895">
        <v>2017</v>
      </c>
      <c r="P92" s="896">
        <v>43474</v>
      </c>
      <c r="Q92" s="896">
        <v>43824</v>
      </c>
      <c r="R92" s="712">
        <f t="shared" si="42"/>
        <v>350</v>
      </c>
      <c r="S92" s="710" t="s">
        <v>382</v>
      </c>
      <c r="T92" s="710" t="s">
        <v>383</v>
      </c>
      <c r="U92" s="931"/>
      <c r="V92" s="710" t="s">
        <v>384</v>
      </c>
      <c r="W92" s="710"/>
      <c r="X92" s="710" t="s">
        <v>385</v>
      </c>
      <c r="Y92" s="861" t="s">
        <v>386</v>
      </c>
      <c r="Z92" s="710"/>
      <c r="AA92" s="710"/>
      <c r="AB92" s="710"/>
      <c r="AC92" s="710"/>
      <c r="AD92" s="710" t="s">
        <v>387</v>
      </c>
      <c r="AE92" s="710" t="s">
        <v>387</v>
      </c>
      <c r="AF92" s="710" t="s">
        <v>277</v>
      </c>
      <c r="AG92" s="710" t="s">
        <v>388</v>
      </c>
      <c r="AH92" s="898">
        <v>23.282</v>
      </c>
      <c r="AI92" s="868">
        <f t="shared" si="24"/>
        <v>23.281000000000002</v>
      </c>
      <c r="AJ92" s="875">
        <f t="shared" si="25"/>
        <v>-9.9999999999766942E-4</v>
      </c>
      <c r="AK92" s="898">
        <v>19.481000000000002</v>
      </c>
      <c r="AL92" s="899">
        <v>0.78990000000000005</v>
      </c>
      <c r="AM92" s="899">
        <v>8.0000000000000004E-4</v>
      </c>
      <c r="AN92" s="869">
        <f t="shared" si="26"/>
        <v>0.83674082982561637</v>
      </c>
      <c r="AO92" s="869">
        <f t="shared" si="27"/>
        <v>-4.6840829825616326E-2</v>
      </c>
      <c r="AP92" s="899"/>
      <c r="AQ92" s="899"/>
      <c r="AR92" s="899"/>
      <c r="AS92" s="869">
        <f t="shared" si="28"/>
        <v>0</v>
      </c>
      <c r="AT92" s="869">
        <f t="shared" si="29"/>
        <v>0</v>
      </c>
      <c r="AU92" s="898">
        <v>3.484</v>
      </c>
      <c r="AV92" s="899">
        <v>0.14130000000000001</v>
      </c>
      <c r="AW92" s="869">
        <f t="shared" si="30"/>
        <v>0.14964350141740401</v>
      </c>
      <c r="AX92" s="869">
        <f t="shared" si="31"/>
        <v>-8.3435014174040034E-3</v>
      </c>
      <c r="AY92" s="898">
        <v>0.20799999999999999</v>
      </c>
      <c r="AZ92" s="899">
        <v>8.3999999999999995E-3</v>
      </c>
      <c r="BA92" s="869">
        <f t="shared" si="32"/>
        <v>8.9339403831285961E-3</v>
      </c>
      <c r="BB92" s="869">
        <f t="shared" si="33"/>
        <v>-5.3394038312859667E-4</v>
      </c>
      <c r="BC92" s="898">
        <v>0.108</v>
      </c>
      <c r="BD92" s="899">
        <v>4.4000000000000003E-3</v>
      </c>
      <c r="BE92" s="869">
        <f t="shared" si="34"/>
        <v>4.6387767373936946E-3</v>
      </c>
      <c r="BF92" s="869">
        <f t="shared" si="35"/>
        <v>-2.3877673739369429E-4</v>
      </c>
      <c r="BG92" s="898"/>
      <c r="BH92" s="899"/>
      <c r="BI92" s="710"/>
      <c r="BJ92" s="710"/>
      <c r="BK92" s="710"/>
      <c r="BL92" s="714">
        <f t="shared" si="36"/>
        <v>0</v>
      </c>
      <c r="BM92" s="869">
        <f t="shared" si="37"/>
        <v>0</v>
      </c>
      <c r="BN92" s="898"/>
      <c r="BO92" s="899"/>
      <c r="BP92" s="869">
        <f t="shared" si="38"/>
        <v>0</v>
      </c>
      <c r="BQ92" s="869">
        <f t="shared" si="39"/>
        <v>0</v>
      </c>
      <c r="BR92" s="898">
        <v>17</v>
      </c>
      <c r="BS92" s="899">
        <v>8.9999999999999998E-4</v>
      </c>
      <c r="BT92" s="899"/>
      <c r="BU92" s="899"/>
      <c r="BV92" s="901"/>
      <c r="BW92" s="901">
        <v>23</v>
      </c>
      <c r="BX92" s="901">
        <v>23</v>
      </c>
      <c r="BY92" s="901"/>
      <c r="BZ92" s="901">
        <v>4</v>
      </c>
      <c r="CA92" s="901"/>
      <c r="CB92" s="901"/>
      <c r="CC92" s="901"/>
      <c r="CD92" s="901">
        <v>3</v>
      </c>
      <c r="CE92" s="901"/>
      <c r="CF92" s="901">
        <v>1</v>
      </c>
      <c r="CG92" s="901">
        <v>1</v>
      </c>
      <c r="CH92" s="901">
        <v>2</v>
      </c>
      <c r="CI92" s="901">
        <v>7</v>
      </c>
      <c r="CJ92" s="901">
        <v>5</v>
      </c>
      <c r="CK92" s="901"/>
      <c r="CL92" s="901"/>
      <c r="CM92" s="901"/>
      <c r="CN92" s="901"/>
      <c r="CO92" s="901"/>
      <c r="CP92" s="901"/>
      <c r="CQ92" s="901"/>
      <c r="CR92" s="901"/>
      <c r="CS92" s="902">
        <f t="shared" si="43"/>
        <v>23</v>
      </c>
      <c r="CT92" s="871">
        <f t="shared" si="40"/>
        <v>23</v>
      </c>
      <c r="CU92" s="871">
        <f t="shared" si="41"/>
        <v>0</v>
      </c>
      <c r="CV92" s="942">
        <v>19.193999999999999</v>
      </c>
      <c r="CW92" s="710" t="s">
        <v>389</v>
      </c>
      <c r="CX92" s="710" t="s">
        <v>389</v>
      </c>
      <c r="CY92" s="710">
        <v>43.51</v>
      </c>
      <c r="CZ92" s="963" t="s">
        <v>391</v>
      </c>
      <c r="DA92" s="963"/>
      <c r="DB92" s="963"/>
      <c r="DC92" s="710" t="s">
        <v>389</v>
      </c>
      <c r="DD92" s="710" t="s">
        <v>389</v>
      </c>
      <c r="DE92" s="710" t="s">
        <v>389</v>
      </c>
      <c r="DF92" s="901"/>
      <c r="DG92" s="901" t="s">
        <v>389</v>
      </c>
      <c r="DH92" s="901">
        <v>1</v>
      </c>
      <c r="DI92" s="710" t="s">
        <v>278</v>
      </c>
      <c r="DJ92" s="710" t="s">
        <v>393</v>
      </c>
      <c r="DK92" s="901">
        <v>241</v>
      </c>
      <c r="DL92" s="710" t="s">
        <v>389</v>
      </c>
      <c r="DM92" s="710" t="s">
        <v>389</v>
      </c>
      <c r="DN92" s="901" t="s">
        <v>389</v>
      </c>
      <c r="DO92" s="710" t="s">
        <v>389</v>
      </c>
      <c r="DP92" s="710" t="s">
        <v>389</v>
      </c>
      <c r="DQ92" s="901" t="s">
        <v>389</v>
      </c>
      <c r="DR92" s="710" t="s">
        <v>389</v>
      </c>
      <c r="DS92" s="710" t="s">
        <v>389</v>
      </c>
      <c r="DT92" s="901" t="s">
        <v>389</v>
      </c>
      <c r="DU92" s="710" t="s">
        <v>389</v>
      </c>
      <c r="DV92" s="710" t="s">
        <v>389</v>
      </c>
      <c r="DW92" s="901" t="s">
        <v>389</v>
      </c>
      <c r="DX92" s="710" t="s">
        <v>389</v>
      </c>
      <c r="DY92" s="710" t="s">
        <v>389</v>
      </c>
      <c r="DZ92" s="901" t="s">
        <v>389</v>
      </c>
      <c r="EA92" s="710" t="s">
        <v>279</v>
      </c>
      <c r="EB92" s="710" t="s">
        <v>389</v>
      </c>
      <c r="EC92" s="901" t="s">
        <v>389</v>
      </c>
      <c r="ED92" s="710" t="s">
        <v>392</v>
      </c>
      <c r="EE92" s="710" t="s">
        <v>394</v>
      </c>
      <c r="EF92" s="901">
        <v>523</v>
      </c>
      <c r="EG92" s="710" t="s">
        <v>389</v>
      </c>
      <c r="EH92" s="710" t="s">
        <v>389</v>
      </c>
      <c r="EI92" s="901" t="s">
        <v>389</v>
      </c>
      <c r="EJ92" s="710" t="s">
        <v>389</v>
      </c>
      <c r="EK92" s="710" t="s">
        <v>389</v>
      </c>
      <c r="EL92" s="901" t="s">
        <v>389</v>
      </c>
      <c r="EM92" s="710" t="s">
        <v>389</v>
      </c>
      <c r="EN92" s="710" t="s">
        <v>389</v>
      </c>
      <c r="EO92" s="901" t="s">
        <v>389</v>
      </c>
      <c r="EP92" s="710" t="s">
        <v>389</v>
      </c>
      <c r="EQ92" s="710" t="s">
        <v>389</v>
      </c>
      <c r="ER92" s="901" t="s">
        <v>389</v>
      </c>
      <c r="ES92" s="710" t="s">
        <v>389</v>
      </c>
      <c r="ET92" s="710" t="s">
        <v>389</v>
      </c>
      <c r="EU92" s="901" t="s">
        <v>389</v>
      </c>
      <c r="EV92" s="710" t="s">
        <v>395</v>
      </c>
      <c r="EW92" s="710" t="s">
        <v>389</v>
      </c>
      <c r="EX92" s="860">
        <v>14</v>
      </c>
      <c r="EY92" s="710" t="s">
        <v>389</v>
      </c>
      <c r="EZ92" s="710" t="s">
        <v>389</v>
      </c>
      <c r="FA92" s="710" t="s">
        <v>392</v>
      </c>
      <c r="FB92" s="710" t="s">
        <v>396</v>
      </c>
      <c r="FC92" s="861" t="s">
        <v>397</v>
      </c>
      <c r="FD92" s="710" t="s">
        <v>389</v>
      </c>
      <c r="FE92" s="710" t="s">
        <v>389</v>
      </c>
      <c r="FF92" s="710" t="s">
        <v>398</v>
      </c>
      <c r="FG92" s="861" t="s">
        <v>399</v>
      </c>
      <c r="FH92" s="710" t="s">
        <v>400</v>
      </c>
      <c r="FI92" s="710">
        <v>1</v>
      </c>
      <c r="FJ92" s="710">
        <v>30</v>
      </c>
      <c r="FK92" s="710" t="s">
        <v>401</v>
      </c>
      <c r="FL92" s="710" t="s">
        <v>402</v>
      </c>
      <c r="FM92" s="861" t="s">
        <v>403</v>
      </c>
      <c r="FN92" s="710"/>
      <c r="FO92" s="710"/>
      <c r="FP92" s="710"/>
    </row>
    <row r="93" spans="2:191" ht="95.5" customHeight="1">
      <c r="B93" s="850" t="s">
        <v>5313</v>
      </c>
      <c r="C93" s="863"/>
      <c r="D93" s="850" t="s">
        <v>4933</v>
      </c>
      <c r="E93" s="850" t="s">
        <v>5314</v>
      </c>
      <c r="F93" s="879">
        <v>1</v>
      </c>
      <c r="G93" s="850" t="s">
        <v>4933</v>
      </c>
      <c r="I93" s="850" t="s">
        <v>5520</v>
      </c>
      <c r="J93" s="850" t="s">
        <v>5431</v>
      </c>
      <c r="K93" s="710" t="s">
        <v>237</v>
      </c>
      <c r="L93" s="710"/>
      <c r="M93" s="714" t="s">
        <v>841</v>
      </c>
      <c r="N93" s="714" t="s">
        <v>842</v>
      </c>
      <c r="O93" s="852">
        <v>2013</v>
      </c>
      <c r="P93" s="865">
        <v>43538</v>
      </c>
      <c r="Q93" s="865">
        <v>43824</v>
      </c>
      <c r="R93" s="712">
        <f t="shared" si="42"/>
        <v>286</v>
      </c>
      <c r="S93" s="714" t="s">
        <v>5850</v>
      </c>
      <c r="T93" s="714" t="s">
        <v>5851</v>
      </c>
      <c r="U93" s="714" t="s">
        <v>843</v>
      </c>
      <c r="V93" s="714" t="s">
        <v>844</v>
      </c>
      <c r="W93" s="855" t="s">
        <v>845</v>
      </c>
      <c r="X93" s="714" t="s">
        <v>846</v>
      </c>
      <c r="Y93" s="855" t="s">
        <v>847</v>
      </c>
      <c r="Z93" s="714" t="s">
        <v>410</v>
      </c>
      <c r="AA93" s="714" t="s">
        <v>410</v>
      </c>
      <c r="AB93" s="714"/>
      <c r="AC93" s="714"/>
      <c r="AD93" s="714" t="s">
        <v>848</v>
      </c>
      <c r="AE93" s="714" t="s">
        <v>848</v>
      </c>
      <c r="AF93" s="714" t="s">
        <v>277</v>
      </c>
      <c r="AG93" s="714" t="s">
        <v>849</v>
      </c>
      <c r="AH93" s="867">
        <v>695.43399999999997</v>
      </c>
      <c r="AI93" s="868">
        <f t="shared" si="24"/>
        <v>695.43400000000008</v>
      </c>
      <c r="AJ93" s="867">
        <f t="shared" si="25"/>
        <v>0</v>
      </c>
      <c r="AK93" s="867">
        <v>364.10899999999998</v>
      </c>
      <c r="AL93" s="869">
        <v>0.52359999999999995</v>
      </c>
      <c r="AM93" s="869">
        <f>AK93/194610.9</f>
        <v>1.8709589236779644E-3</v>
      </c>
      <c r="AN93" s="869">
        <f t="shared" si="26"/>
        <v>0.52357089242113553</v>
      </c>
      <c r="AO93" s="869">
        <f t="shared" si="27"/>
        <v>2.9107578864429051E-5</v>
      </c>
      <c r="AP93" s="869"/>
      <c r="AQ93" s="869"/>
      <c r="AR93" s="869"/>
      <c r="AS93" s="869">
        <f t="shared" si="28"/>
        <v>0</v>
      </c>
      <c r="AT93" s="869">
        <f t="shared" si="29"/>
        <v>0</v>
      </c>
      <c r="AU93" s="867">
        <v>228.06299999999999</v>
      </c>
      <c r="AV93" s="869">
        <v>0.32790000000000002</v>
      </c>
      <c r="AW93" s="869">
        <f t="shared" si="30"/>
        <v>0.32794341375313835</v>
      </c>
      <c r="AX93" s="869">
        <f t="shared" si="31"/>
        <v>-4.3413753138321631E-5</v>
      </c>
      <c r="AY93" s="867">
        <v>37.768000000000001</v>
      </c>
      <c r="AZ93" s="869">
        <v>5.4300000000000001E-2</v>
      </c>
      <c r="BA93" s="869">
        <f t="shared" si="32"/>
        <v>5.4308532513509554E-2</v>
      </c>
      <c r="BB93" s="869">
        <f t="shared" si="33"/>
        <v>-8.5325135095529192E-6</v>
      </c>
      <c r="BC93" s="867">
        <v>65.494</v>
      </c>
      <c r="BD93" s="869">
        <v>9.4200000000000006E-2</v>
      </c>
      <c r="BE93" s="869">
        <f t="shared" si="34"/>
        <v>9.4177161312216554E-2</v>
      </c>
      <c r="BF93" s="869">
        <f t="shared" si="35"/>
        <v>2.2838687783452438E-5</v>
      </c>
      <c r="BG93" s="867"/>
      <c r="BH93" s="869"/>
      <c r="BI93" s="714" t="s">
        <v>410</v>
      </c>
      <c r="BJ93" s="714" t="s">
        <v>410</v>
      </c>
      <c r="BK93" s="714" t="s">
        <v>410</v>
      </c>
      <c r="BL93" s="714">
        <f t="shared" si="36"/>
        <v>0</v>
      </c>
      <c r="BM93" s="869">
        <f t="shared" si="37"/>
        <v>0</v>
      </c>
      <c r="BN93" s="867"/>
      <c r="BO93" s="869"/>
      <c r="BP93" s="869">
        <f t="shared" si="38"/>
        <v>0</v>
      </c>
      <c r="BQ93" s="869">
        <f t="shared" si="39"/>
        <v>0</v>
      </c>
      <c r="BR93" s="854">
        <v>365</v>
      </c>
      <c r="BS93" s="869">
        <f>BR93/208155.1</f>
        <v>1.7535001544521369E-3</v>
      </c>
      <c r="BT93" s="869"/>
      <c r="BU93" s="869"/>
      <c r="BV93" s="870">
        <v>0</v>
      </c>
      <c r="BW93" s="870">
        <v>600</v>
      </c>
      <c r="BX93" s="870">
        <v>599</v>
      </c>
      <c r="BY93" s="870">
        <v>42</v>
      </c>
      <c r="BZ93" s="870">
        <v>261</v>
      </c>
      <c r="CA93" s="870">
        <v>19</v>
      </c>
      <c r="CB93" s="870">
        <v>3</v>
      </c>
      <c r="CC93" s="870">
        <v>0</v>
      </c>
      <c r="CD93" s="870">
        <v>73</v>
      </c>
      <c r="CE93" s="870">
        <v>0</v>
      </c>
      <c r="CF93" s="870">
        <v>13</v>
      </c>
      <c r="CG93" s="870">
        <v>17</v>
      </c>
      <c r="CH93" s="870">
        <v>0</v>
      </c>
      <c r="CI93" s="870">
        <v>53</v>
      </c>
      <c r="CJ93" s="870">
        <v>35</v>
      </c>
      <c r="CK93" s="870">
        <v>66</v>
      </c>
      <c r="CL93" s="870">
        <v>0</v>
      </c>
      <c r="CM93" s="870">
        <v>0</v>
      </c>
      <c r="CN93" s="870">
        <v>8</v>
      </c>
      <c r="CO93" s="870">
        <v>2</v>
      </c>
      <c r="CP93" s="870">
        <v>0</v>
      </c>
      <c r="CQ93" s="870">
        <v>0</v>
      </c>
      <c r="CR93" s="870">
        <v>1</v>
      </c>
      <c r="CS93" s="871">
        <f t="shared" si="43"/>
        <v>593</v>
      </c>
      <c r="CT93" s="871">
        <f t="shared" si="40"/>
        <v>593</v>
      </c>
      <c r="CU93" s="871">
        <f t="shared" si="41"/>
        <v>0</v>
      </c>
      <c r="CV93" s="872">
        <v>2254.8000000000002</v>
      </c>
      <c r="CW93" s="714" t="s">
        <v>850</v>
      </c>
      <c r="CX93" s="714" t="s">
        <v>410</v>
      </c>
      <c r="CY93" s="934">
        <f>CV93/3214.6</f>
        <v>0.70142474958004108</v>
      </c>
      <c r="CZ93" s="907" t="s">
        <v>851</v>
      </c>
      <c r="DA93" s="907"/>
      <c r="DB93" s="907"/>
      <c r="DC93" s="714" t="s">
        <v>279</v>
      </c>
      <c r="DD93" s="714" t="s">
        <v>410</v>
      </c>
      <c r="DE93" s="714" t="s">
        <v>410</v>
      </c>
      <c r="DF93" s="870" t="s">
        <v>410</v>
      </c>
      <c r="DG93" s="870" t="s">
        <v>410</v>
      </c>
      <c r="DH93" s="870">
        <v>4</v>
      </c>
      <c r="DI93" s="714" t="s">
        <v>279</v>
      </c>
      <c r="DJ93" s="714" t="s">
        <v>410</v>
      </c>
      <c r="DK93" s="870" t="s">
        <v>410</v>
      </c>
      <c r="DL93" s="714" t="s">
        <v>579</v>
      </c>
      <c r="DM93" s="714" t="s">
        <v>852</v>
      </c>
      <c r="DN93" s="870">
        <v>141406</v>
      </c>
      <c r="DO93" s="714" t="s">
        <v>279</v>
      </c>
      <c r="DP93" s="714" t="s">
        <v>410</v>
      </c>
      <c r="DQ93" s="870" t="s">
        <v>410</v>
      </c>
      <c r="DR93" s="714" t="s">
        <v>279</v>
      </c>
      <c r="DS93" s="714" t="s">
        <v>410</v>
      </c>
      <c r="DT93" s="870" t="s">
        <v>410</v>
      </c>
      <c r="DU93" s="714" t="s">
        <v>279</v>
      </c>
      <c r="DV93" s="714" t="s">
        <v>410</v>
      </c>
      <c r="DW93" s="870" t="s">
        <v>410</v>
      </c>
      <c r="DX93" s="714" t="s">
        <v>279</v>
      </c>
      <c r="DY93" s="714" t="s">
        <v>410</v>
      </c>
      <c r="DZ93" s="870" t="s">
        <v>410</v>
      </c>
      <c r="EA93" s="714" t="s">
        <v>279</v>
      </c>
      <c r="EB93" s="714" t="s">
        <v>410</v>
      </c>
      <c r="EC93" s="870" t="s">
        <v>410</v>
      </c>
      <c r="ED93" s="714" t="s">
        <v>279</v>
      </c>
      <c r="EE93" s="714" t="s">
        <v>410</v>
      </c>
      <c r="EF93" s="870" t="s">
        <v>410</v>
      </c>
      <c r="EG93" s="714" t="s">
        <v>279</v>
      </c>
      <c r="EH93" s="714" t="s">
        <v>410</v>
      </c>
      <c r="EI93" s="870" t="s">
        <v>410</v>
      </c>
      <c r="EJ93" s="714" t="s">
        <v>279</v>
      </c>
      <c r="EK93" s="714" t="s">
        <v>410</v>
      </c>
      <c r="EL93" s="870" t="s">
        <v>410</v>
      </c>
      <c r="EM93" s="714" t="s">
        <v>278</v>
      </c>
      <c r="EN93" s="714" t="s">
        <v>853</v>
      </c>
      <c r="EO93" s="870">
        <v>10</v>
      </c>
      <c r="EP93" s="714" t="s">
        <v>279</v>
      </c>
      <c r="EQ93" s="714" t="s">
        <v>410</v>
      </c>
      <c r="ER93" s="870" t="s">
        <v>410</v>
      </c>
      <c r="ES93" s="714" t="s">
        <v>279</v>
      </c>
      <c r="ET93" s="714" t="s">
        <v>410</v>
      </c>
      <c r="EU93" s="870" t="s">
        <v>410</v>
      </c>
      <c r="EV93" s="878">
        <v>1</v>
      </c>
      <c r="EW93" s="714" t="s">
        <v>410</v>
      </c>
      <c r="EX93" s="870">
        <v>337</v>
      </c>
      <c r="EY93" s="714" t="s">
        <v>279</v>
      </c>
      <c r="EZ93" s="714" t="s">
        <v>410</v>
      </c>
      <c r="FA93" s="714" t="s">
        <v>278</v>
      </c>
      <c r="FB93" s="714" t="s">
        <v>854</v>
      </c>
      <c r="FC93" s="855" t="s">
        <v>855</v>
      </c>
      <c r="FD93" s="714" t="s">
        <v>410</v>
      </c>
      <c r="FE93" s="714" t="s">
        <v>410</v>
      </c>
      <c r="FF93" s="714" t="s">
        <v>856</v>
      </c>
      <c r="FG93" s="714" t="s">
        <v>410</v>
      </c>
      <c r="FH93" s="714" t="s">
        <v>410</v>
      </c>
      <c r="FI93" s="714" t="s">
        <v>410</v>
      </c>
      <c r="FJ93" s="714" t="s">
        <v>410</v>
      </c>
      <c r="FK93" s="714" t="s">
        <v>857</v>
      </c>
      <c r="FL93" s="714" t="s">
        <v>858</v>
      </c>
      <c r="FM93" s="855" t="s">
        <v>859</v>
      </c>
      <c r="FN93" s="714"/>
      <c r="FO93" s="714"/>
      <c r="FP93" s="714"/>
    </row>
    <row r="94" spans="2:191" ht="83" customHeight="1">
      <c r="B94" s="850" t="s">
        <v>5315</v>
      </c>
      <c r="C94" s="850" t="s">
        <v>5343</v>
      </c>
      <c r="D94" s="850" t="s">
        <v>4933</v>
      </c>
      <c r="E94" s="850" t="s">
        <v>5323</v>
      </c>
      <c r="F94" s="879">
        <v>1</v>
      </c>
      <c r="G94" s="850" t="s">
        <v>4933</v>
      </c>
      <c r="I94" s="850" t="s">
        <v>5524</v>
      </c>
      <c r="J94" s="850" t="s">
        <v>5432</v>
      </c>
      <c r="K94" s="710" t="s">
        <v>238</v>
      </c>
      <c r="L94" s="710"/>
      <c r="M94" s="710" t="s">
        <v>601</v>
      </c>
      <c r="N94" s="710" t="s">
        <v>602</v>
      </c>
      <c r="O94" s="895">
        <v>2019</v>
      </c>
      <c r="P94" s="896">
        <v>43474</v>
      </c>
      <c r="Q94" s="896">
        <v>43830</v>
      </c>
      <c r="R94" s="712">
        <f t="shared" si="42"/>
        <v>356</v>
      </c>
      <c r="S94" s="710" t="s">
        <v>603</v>
      </c>
      <c r="T94" s="710" t="s">
        <v>604</v>
      </c>
      <c r="U94" s="861" t="s">
        <v>605</v>
      </c>
      <c r="V94" s="710"/>
      <c r="W94" s="710"/>
      <c r="X94" s="710"/>
      <c r="Y94" s="710"/>
      <c r="Z94" s="710" t="s">
        <v>606</v>
      </c>
      <c r="AA94" s="710" t="s">
        <v>607</v>
      </c>
      <c r="AB94" s="710"/>
      <c r="AC94" s="710"/>
      <c r="AD94" s="710" t="s">
        <v>608</v>
      </c>
      <c r="AE94" s="710" t="s">
        <v>608</v>
      </c>
      <c r="AF94" s="710" t="s">
        <v>454</v>
      </c>
      <c r="AG94" s="710" t="s">
        <v>609</v>
      </c>
      <c r="AH94" s="898">
        <v>251.72499999999999</v>
      </c>
      <c r="AI94" s="868">
        <f t="shared" si="24"/>
        <v>251.721</v>
      </c>
      <c r="AJ94" s="875">
        <f t="shared" si="25"/>
        <v>-3.9999999999906777E-3</v>
      </c>
      <c r="AK94" s="898">
        <v>235.101</v>
      </c>
      <c r="AL94" s="899">
        <v>0.93400000000000005</v>
      </c>
      <c r="AM94" s="899">
        <v>6.3E-3</v>
      </c>
      <c r="AN94" s="869">
        <f t="shared" si="26"/>
        <v>0.93395967822028003</v>
      </c>
      <c r="AO94" s="869">
        <f t="shared" si="27"/>
        <v>4.0321779720020601E-5</v>
      </c>
      <c r="AP94" s="942">
        <v>0</v>
      </c>
      <c r="AQ94" s="899"/>
      <c r="AR94" s="899"/>
      <c r="AS94" s="869">
        <f t="shared" si="28"/>
        <v>0</v>
      </c>
      <c r="AT94" s="869">
        <f t="shared" si="29"/>
        <v>0</v>
      </c>
      <c r="AU94" s="942">
        <v>16.62</v>
      </c>
      <c r="AV94" s="899">
        <v>6.6000000000000003E-2</v>
      </c>
      <c r="AW94" s="869">
        <f t="shared" si="30"/>
        <v>6.6024431423180069E-2</v>
      </c>
      <c r="AX94" s="869">
        <f t="shared" si="31"/>
        <v>-2.4431423180065748E-5</v>
      </c>
      <c r="AY94" s="898">
        <v>0</v>
      </c>
      <c r="AZ94" s="899"/>
      <c r="BA94" s="869">
        <f t="shared" si="32"/>
        <v>0</v>
      </c>
      <c r="BB94" s="869">
        <f t="shared" si="33"/>
        <v>0</v>
      </c>
      <c r="BC94" s="898">
        <v>0</v>
      </c>
      <c r="BD94" s="899"/>
      <c r="BE94" s="869">
        <f t="shared" si="34"/>
        <v>0</v>
      </c>
      <c r="BF94" s="869">
        <f t="shared" si="35"/>
        <v>0</v>
      </c>
      <c r="BG94" s="898">
        <v>0</v>
      </c>
      <c r="BH94" s="899"/>
      <c r="BI94" s="710"/>
      <c r="BJ94" s="710"/>
      <c r="BK94" s="710"/>
      <c r="BL94" s="714">
        <f t="shared" si="36"/>
        <v>0</v>
      </c>
      <c r="BM94" s="869">
        <f t="shared" si="37"/>
        <v>0</v>
      </c>
      <c r="BN94" s="898">
        <v>0</v>
      </c>
      <c r="BO94" s="899"/>
      <c r="BP94" s="869">
        <f t="shared" si="38"/>
        <v>0</v>
      </c>
      <c r="BQ94" s="869">
        <f t="shared" si="39"/>
        <v>0</v>
      </c>
      <c r="BR94" s="898">
        <v>213.09</v>
      </c>
      <c r="BS94" s="899">
        <v>5.7999999999999996E-3</v>
      </c>
      <c r="BT94" s="899"/>
      <c r="BU94" s="899"/>
      <c r="BV94" s="901"/>
      <c r="BW94" s="901">
        <v>142</v>
      </c>
      <c r="BX94" s="901">
        <v>142</v>
      </c>
      <c r="BY94" s="901"/>
      <c r="BZ94" s="901">
        <v>142</v>
      </c>
      <c r="CA94" s="901"/>
      <c r="CB94" s="901"/>
      <c r="CC94" s="901"/>
      <c r="CD94" s="901"/>
      <c r="CE94" s="901"/>
      <c r="CF94" s="901"/>
      <c r="CG94" s="901"/>
      <c r="CH94" s="901"/>
      <c r="CI94" s="901"/>
      <c r="CJ94" s="901"/>
      <c r="CK94" s="901"/>
      <c r="CL94" s="901"/>
      <c r="CM94" s="901"/>
      <c r="CN94" s="901"/>
      <c r="CO94" s="901"/>
      <c r="CP94" s="901"/>
      <c r="CQ94" s="901"/>
      <c r="CR94" s="901"/>
      <c r="CS94" s="902">
        <f t="shared" si="43"/>
        <v>142</v>
      </c>
      <c r="CT94" s="871">
        <f t="shared" si="40"/>
        <v>142</v>
      </c>
      <c r="CU94" s="871">
        <f t="shared" si="41"/>
        <v>0</v>
      </c>
      <c r="CV94" s="942">
        <v>600.29999999999995</v>
      </c>
      <c r="CW94" s="710" t="s">
        <v>610</v>
      </c>
      <c r="CX94" s="861"/>
      <c r="CY94" s="710">
        <v>100</v>
      </c>
      <c r="CZ94" s="899" t="s">
        <v>611</v>
      </c>
      <c r="DA94" s="899"/>
      <c r="DB94" s="899"/>
      <c r="DC94" s="710" t="s">
        <v>279</v>
      </c>
      <c r="DD94" s="710"/>
      <c r="DE94" s="710"/>
      <c r="DF94" s="901"/>
      <c r="DG94" s="901"/>
      <c r="DH94" s="901">
        <v>4</v>
      </c>
      <c r="DI94" s="710" t="s">
        <v>279</v>
      </c>
      <c r="DJ94" s="710"/>
      <c r="DK94" s="901"/>
      <c r="DL94" s="710" t="s">
        <v>278</v>
      </c>
      <c r="DM94" s="710" t="s">
        <v>612</v>
      </c>
      <c r="DN94" s="901"/>
      <c r="DO94" s="710" t="s">
        <v>279</v>
      </c>
      <c r="DP94" s="710"/>
      <c r="DQ94" s="901"/>
      <c r="DR94" s="710" t="s">
        <v>279</v>
      </c>
      <c r="DS94" s="710"/>
      <c r="DT94" s="901"/>
      <c r="DU94" s="710" t="s">
        <v>279</v>
      </c>
      <c r="DV94" s="710"/>
      <c r="DW94" s="901"/>
      <c r="DX94" s="710" t="s">
        <v>279</v>
      </c>
      <c r="DY94" s="710"/>
      <c r="DZ94" s="901"/>
      <c r="EA94" s="710" t="s">
        <v>279</v>
      </c>
      <c r="EB94" s="710"/>
      <c r="EC94" s="901"/>
      <c r="ED94" s="710" t="s">
        <v>278</v>
      </c>
      <c r="EE94" s="710" t="s">
        <v>613</v>
      </c>
      <c r="EF94" s="901"/>
      <c r="EG94" s="710" t="s">
        <v>279</v>
      </c>
      <c r="EH94" s="710"/>
      <c r="EI94" s="901"/>
      <c r="EJ94" s="710" t="s">
        <v>279</v>
      </c>
      <c r="EK94" s="710"/>
      <c r="EL94" s="901"/>
      <c r="EM94" s="710" t="s">
        <v>279</v>
      </c>
      <c r="EN94" s="710"/>
      <c r="EO94" s="901"/>
      <c r="EP94" s="710" t="s">
        <v>279</v>
      </c>
      <c r="EQ94" s="710"/>
      <c r="ER94" s="901"/>
      <c r="ES94" s="710" t="s">
        <v>279</v>
      </c>
      <c r="ET94" s="710"/>
      <c r="EU94" s="901"/>
      <c r="EV94" s="904">
        <v>1</v>
      </c>
      <c r="EW94" s="710"/>
      <c r="EX94" s="860">
        <v>142</v>
      </c>
      <c r="EY94" s="710" t="s">
        <v>279</v>
      </c>
      <c r="EZ94" s="710"/>
      <c r="FA94" s="710" t="s">
        <v>279</v>
      </c>
      <c r="FB94" s="710"/>
      <c r="FC94" s="861" t="s">
        <v>614</v>
      </c>
      <c r="FD94" s="710" t="s">
        <v>615</v>
      </c>
      <c r="FE94" s="861" t="s">
        <v>616</v>
      </c>
      <c r="FF94" s="708" t="s">
        <v>617</v>
      </c>
      <c r="FG94" s="710" t="s">
        <v>618</v>
      </c>
      <c r="FH94" s="710"/>
      <c r="FI94" s="710"/>
      <c r="FJ94" s="710"/>
      <c r="FK94" s="710" t="s">
        <v>619</v>
      </c>
      <c r="FL94" s="710" t="s">
        <v>620</v>
      </c>
      <c r="FM94" s="861" t="s">
        <v>621</v>
      </c>
      <c r="FN94" s="710" t="s">
        <v>622</v>
      </c>
      <c r="FO94" s="710" t="s">
        <v>623</v>
      </c>
      <c r="FP94" s="861" t="s">
        <v>624</v>
      </c>
    </row>
    <row r="95" spans="2:191" ht="107" customHeight="1">
      <c r="B95" s="850" t="s">
        <v>5313</v>
      </c>
      <c r="C95" s="863"/>
      <c r="D95" s="850" t="s">
        <v>4933</v>
      </c>
      <c r="E95" s="850" t="s">
        <v>5314</v>
      </c>
      <c r="F95" s="879">
        <v>1</v>
      </c>
      <c r="G95" s="850" t="s">
        <v>4933</v>
      </c>
      <c r="I95" s="850" t="s">
        <v>5524</v>
      </c>
      <c r="J95" s="850" t="s">
        <v>5432</v>
      </c>
      <c r="K95" s="710" t="s">
        <v>238</v>
      </c>
      <c r="L95" s="710"/>
      <c r="M95" s="710" t="s">
        <v>625</v>
      </c>
      <c r="N95" s="710" t="s">
        <v>626</v>
      </c>
      <c r="O95" s="895">
        <v>2019</v>
      </c>
      <c r="P95" s="896">
        <v>43466</v>
      </c>
      <c r="Q95" s="896">
        <v>43814</v>
      </c>
      <c r="R95" s="712">
        <f t="shared" si="42"/>
        <v>348</v>
      </c>
      <c r="S95" s="710" t="s">
        <v>627</v>
      </c>
      <c r="T95" s="710" t="s">
        <v>628</v>
      </c>
      <c r="U95" s="861" t="s">
        <v>629</v>
      </c>
      <c r="V95" s="710"/>
      <c r="W95" s="710"/>
      <c r="X95" s="710" t="s">
        <v>630</v>
      </c>
      <c r="Y95" s="861" t="s">
        <v>631</v>
      </c>
      <c r="Z95" s="710" t="s">
        <v>606</v>
      </c>
      <c r="AA95" s="710" t="s">
        <v>607</v>
      </c>
      <c r="AB95" s="710"/>
      <c r="AC95" s="710"/>
      <c r="AD95" s="710" t="s">
        <v>632</v>
      </c>
      <c r="AE95" s="710" t="s">
        <v>632</v>
      </c>
      <c r="AF95" s="710" t="s">
        <v>633</v>
      </c>
      <c r="AG95" s="710" t="s">
        <v>634</v>
      </c>
      <c r="AH95" s="898">
        <f>AK95+AU95</f>
        <v>8.6649999999999991</v>
      </c>
      <c r="AI95" s="868">
        <f t="shared" si="24"/>
        <v>8.6649999999999991</v>
      </c>
      <c r="AJ95" s="867">
        <f t="shared" si="25"/>
        <v>0</v>
      </c>
      <c r="AK95" s="898">
        <v>4</v>
      </c>
      <c r="AL95" s="899">
        <v>0.46</v>
      </c>
      <c r="AM95" s="899">
        <v>1.1E-4</v>
      </c>
      <c r="AN95" s="869">
        <f t="shared" si="26"/>
        <v>0.46162723600692446</v>
      </c>
      <c r="AO95" s="869">
        <f t="shared" si="27"/>
        <v>-1.6272360069244374E-3</v>
      </c>
      <c r="AP95" s="899"/>
      <c r="AQ95" s="899"/>
      <c r="AR95" s="899"/>
      <c r="AS95" s="869">
        <f t="shared" si="28"/>
        <v>0</v>
      </c>
      <c r="AT95" s="869">
        <f t="shared" si="29"/>
        <v>0</v>
      </c>
      <c r="AU95" s="898">
        <v>4.665</v>
      </c>
      <c r="AV95" s="899">
        <v>0.54</v>
      </c>
      <c r="AW95" s="869">
        <f t="shared" si="30"/>
        <v>0.53837276399307565</v>
      </c>
      <c r="AX95" s="869">
        <f t="shared" si="31"/>
        <v>1.6272360069243819E-3</v>
      </c>
      <c r="AY95" s="898"/>
      <c r="AZ95" s="899"/>
      <c r="BA95" s="869">
        <f t="shared" si="32"/>
        <v>0</v>
      </c>
      <c r="BB95" s="869">
        <f t="shared" si="33"/>
        <v>0</v>
      </c>
      <c r="BC95" s="898"/>
      <c r="BD95" s="899"/>
      <c r="BE95" s="869">
        <f t="shared" si="34"/>
        <v>0</v>
      </c>
      <c r="BF95" s="869">
        <f t="shared" si="35"/>
        <v>0</v>
      </c>
      <c r="BG95" s="898"/>
      <c r="BH95" s="899"/>
      <c r="BI95" s="710"/>
      <c r="BJ95" s="710"/>
      <c r="BK95" s="710"/>
      <c r="BL95" s="714">
        <f t="shared" si="36"/>
        <v>0</v>
      </c>
      <c r="BM95" s="869">
        <f t="shared" si="37"/>
        <v>0</v>
      </c>
      <c r="BN95" s="898"/>
      <c r="BO95" s="899"/>
      <c r="BP95" s="869">
        <f t="shared" si="38"/>
        <v>0</v>
      </c>
      <c r="BQ95" s="869">
        <f t="shared" si="39"/>
        <v>0</v>
      </c>
      <c r="BR95" s="898">
        <v>5</v>
      </c>
      <c r="BS95" s="899">
        <v>1E-4</v>
      </c>
      <c r="BT95" s="899"/>
      <c r="BU95" s="899"/>
      <c r="BV95" s="901">
        <v>94</v>
      </c>
      <c r="BW95" s="901">
        <v>41</v>
      </c>
      <c r="BX95" s="901">
        <v>8</v>
      </c>
      <c r="BY95" s="901"/>
      <c r="BZ95" s="901">
        <v>1</v>
      </c>
      <c r="CA95" s="901"/>
      <c r="CB95" s="901"/>
      <c r="CC95" s="901"/>
      <c r="CD95" s="901"/>
      <c r="CE95" s="901"/>
      <c r="CF95" s="901"/>
      <c r="CG95" s="901">
        <v>3</v>
      </c>
      <c r="CH95" s="901"/>
      <c r="CI95" s="901">
        <v>2</v>
      </c>
      <c r="CJ95" s="901">
        <v>4</v>
      </c>
      <c r="CK95" s="901"/>
      <c r="CL95" s="901">
        <v>1</v>
      </c>
      <c r="CM95" s="901"/>
      <c r="CN95" s="901"/>
      <c r="CO95" s="901"/>
      <c r="CP95" s="901"/>
      <c r="CQ95" s="901"/>
      <c r="CR95" s="901">
        <v>1</v>
      </c>
      <c r="CS95" s="902">
        <f t="shared" si="43"/>
        <v>12</v>
      </c>
      <c r="CT95" s="871">
        <f t="shared" si="40"/>
        <v>12</v>
      </c>
      <c r="CU95" s="871">
        <f t="shared" si="41"/>
        <v>0</v>
      </c>
      <c r="CV95" s="942">
        <v>12.749000000000001</v>
      </c>
      <c r="CW95" s="710" t="s">
        <v>635</v>
      </c>
      <c r="CX95" s="861" t="s">
        <v>629</v>
      </c>
      <c r="CY95" s="899">
        <v>2.1399999999999999E-2</v>
      </c>
      <c r="CZ95" s="963" t="s">
        <v>636</v>
      </c>
      <c r="DA95" s="963"/>
      <c r="DB95" s="963"/>
      <c r="DC95" s="710" t="s">
        <v>278</v>
      </c>
      <c r="DD95" s="710" t="s">
        <v>637</v>
      </c>
      <c r="DE95" s="710" t="s">
        <v>638</v>
      </c>
      <c r="DF95" s="901">
        <v>5</v>
      </c>
      <c r="DG95" s="901"/>
      <c r="DH95" s="901"/>
      <c r="DI95" s="710" t="s">
        <v>279</v>
      </c>
      <c r="DJ95" s="710"/>
      <c r="DK95" s="901"/>
      <c r="DL95" s="710" t="s">
        <v>278</v>
      </c>
      <c r="DM95" s="710" t="s">
        <v>639</v>
      </c>
      <c r="DN95" s="901">
        <v>112</v>
      </c>
      <c r="DO95" s="710" t="s">
        <v>278</v>
      </c>
      <c r="DP95" s="710" t="s">
        <v>639</v>
      </c>
      <c r="DQ95" s="901">
        <v>57</v>
      </c>
      <c r="DR95" s="710" t="s">
        <v>278</v>
      </c>
      <c r="DS95" s="710" t="s">
        <v>639</v>
      </c>
      <c r="DT95" s="901">
        <v>59</v>
      </c>
      <c r="DU95" s="710" t="s">
        <v>279</v>
      </c>
      <c r="DV95" s="710"/>
      <c r="DW95" s="901"/>
      <c r="DX95" s="710" t="s">
        <v>279</v>
      </c>
      <c r="DY95" s="710"/>
      <c r="DZ95" s="901"/>
      <c r="EA95" s="710" t="s">
        <v>279</v>
      </c>
      <c r="EB95" s="710"/>
      <c r="EC95" s="901"/>
      <c r="ED95" s="710" t="s">
        <v>279</v>
      </c>
      <c r="EE95" s="710"/>
      <c r="EF95" s="901"/>
      <c r="EG95" s="710" t="s">
        <v>279</v>
      </c>
      <c r="EH95" s="710"/>
      <c r="EI95" s="901"/>
      <c r="EJ95" s="710" t="s">
        <v>278</v>
      </c>
      <c r="EK95" s="710" t="s">
        <v>639</v>
      </c>
      <c r="EL95" s="901">
        <v>103</v>
      </c>
      <c r="EM95" s="710" t="s">
        <v>279</v>
      </c>
      <c r="EN95" s="710"/>
      <c r="EO95" s="901"/>
      <c r="EP95" s="710" t="s">
        <v>279</v>
      </c>
      <c r="EQ95" s="710"/>
      <c r="ER95" s="901"/>
      <c r="ES95" s="710" t="s">
        <v>279</v>
      </c>
      <c r="ET95" s="710"/>
      <c r="EU95" s="901"/>
      <c r="EV95" s="904">
        <v>1</v>
      </c>
      <c r="EW95" s="710" t="s">
        <v>640</v>
      </c>
      <c r="EX95" s="860">
        <v>13</v>
      </c>
      <c r="EY95" s="710" t="s">
        <v>279</v>
      </c>
      <c r="EZ95" s="710"/>
      <c r="FA95" s="710" t="s">
        <v>279</v>
      </c>
      <c r="FB95" s="710"/>
      <c r="FC95" s="861" t="s">
        <v>641</v>
      </c>
      <c r="FD95" s="861" t="s">
        <v>642</v>
      </c>
      <c r="FE95" s="861" t="s">
        <v>639</v>
      </c>
      <c r="FF95" s="861" t="s">
        <v>643</v>
      </c>
      <c r="FG95" s="710" t="s">
        <v>648</v>
      </c>
      <c r="FH95" s="710" t="s">
        <v>644</v>
      </c>
      <c r="FI95" s="710">
        <v>3</v>
      </c>
      <c r="FJ95" s="710">
        <v>29</v>
      </c>
      <c r="FK95" s="710" t="s">
        <v>645</v>
      </c>
      <c r="FL95" s="710" t="s">
        <v>646</v>
      </c>
      <c r="FM95" s="861" t="s">
        <v>647</v>
      </c>
      <c r="FN95" s="710" t="s">
        <v>622</v>
      </c>
      <c r="FO95" s="710" t="s">
        <v>623</v>
      </c>
      <c r="FP95" s="861" t="s">
        <v>624</v>
      </c>
    </row>
    <row r="96" spans="2:191" ht="105.5" customHeight="1">
      <c r="B96" s="850" t="s">
        <v>5313</v>
      </c>
      <c r="C96" s="863"/>
      <c r="D96" s="850" t="s">
        <v>4933</v>
      </c>
      <c r="E96" s="850" t="s">
        <v>5314</v>
      </c>
      <c r="F96" s="850" t="s">
        <v>5334</v>
      </c>
      <c r="G96" s="850" t="s">
        <v>4933</v>
      </c>
      <c r="I96" s="850" t="s">
        <v>5524</v>
      </c>
      <c r="J96" s="850" t="s">
        <v>5432</v>
      </c>
      <c r="K96" s="710" t="s">
        <v>238</v>
      </c>
      <c r="L96" s="710"/>
      <c r="M96" s="710" t="s">
        <v>649</v>
      </c>
      <c r="N96" s="710" t="s">
        <v>650</v>
      </c>
      <c r="O96" s="895">
        <v>2018</v>
      </c>
      <c r="P96" s="896">
        <v>43328</v>
      </c>
      <c r="Q96" s="896">
        <v>43830</v>
      </c>
      <c r="R96" s="712">
        <f t="shared" si="42"/>
        <v>502</v>
      </c>
      <c r="S96" s="710" t="s">
        <v>651</v>
      </c>
      <c r="T96" s="710" t="s">
        <v>652</v>
      </c>
      <c r="U96" s="861" t="s">
        <v>653</v>
      </c>
      <c r="V96" s="710"/>
      <c r="W96" s="710"/>
      <c r="X96" s="710" t="s">
        <v>654</v>
      </c>
      <c r="Y96" s="710" t="s">
        <v>631</v>
      </c>
      <c r="Z96" s="710" t="s">
        <v>606</v>
      </c>
      <c r="AA96" s="710" t="s">
        <v>607</v>
      </c>
      <c r="AB96" s="710"/>
      <c r="AC96" s="710"/>
      <c r="AD96" s="710" t="s">
        <v>655</v>
      </c>
      <c r="AE96" s="710" t="s">
        <v>655</v>
      </c>
      <c r="AF96" s="710" t="s">
        <v>656</v>
      </c>
      <c r="AG96" s="710" t="s">
        <v>657</v>
      </c>
      <c r="AH96" s="898">
        <v>36.281999999999996</v>
      </c>
      <c r="AI96" s="868">
        <f t="shared" si="24"/>
        <v>36.281999999999996</v>
      </c>
      <c r="AJ96" s="867">
        <f t="shared" si="25"/>
        <v>0</v>
      </c>
      <c r="AK96" s="898">
        <v>22.4</v>
      </c>
      <c r="AL96" s="899">
        <v>0.61739999999999995</v>
      </c>
      <c r="AM96" s="899">
        <v>5.9999999999999995E-4</v>
      </c>
      <c r="AN96" s="869">
        <f t="shared" si="26"/>
        <v>0.61738603164103412</v>
      </c>
      <c r="AO96" s="869">
        <f t="shared" si="27"/>
        <v>1.3968358965832373E-5</v>
      </c>
      <c r="AP96" s="899"/>
      <c r="AQ96" s="899"/>
      <c r="AR96" s="899"/>
      <c r="AS96" s="869">
        <f t="shared" si="28"/>
        <v>0</v>
      </c>
      <c r="AT96" s="869">
        <f t="shared" si="29"/>
        <v>0</v>
      </c>
      <c r="AU96" s="898">
        <v>8.6920000000000002</v>
      </c>
      <c r="AV96" s="899">
        <v>0.23949999999999999</v>
      </c>
      <c r="AW96" s="869">
        <f t="shared" si="30"/>
        <v>0.23956782977785129</v>
      </c>
      <c r="AX96" s="869">
        <f t="shared" si="31"/>
        <v>-6.7829777851302619E-5</v>
      </c>
      <c r="AY96" s="898">
        <v>2.4449999999999998</v>
      </c>
      <c r="AZ96" s="899">
        <v>6.7400000000000002E-2</v>
      </c>
      <c r="BA96" s="869">
        <f t="shared" si="32"/>
        <v>6.7388787828675384E-2</v>
      </c>
      <c r="BB96" s="869">
        <f t="shared" si="33"/>
        <v>1.1212171324617715E-5</v>
      </c>
      <c r="BC96" s="898">
        <v>2.7450000000000001</v>
      </c>
      <c r="BD96" s="899">
        <v>7.5700000000000003E-2</v>
      </c>
      <c r="BE96" s="869">
        <f t="shared" si="34"/>
        <v>7.5657350752439234E-2</v>
      </c>
      <c r="BF96" s="869">
        <f t="shared" si="35"/>
        <v>4.2649247560769266E-5</v>
      </c>
      <c r="BG96" s="898"/>
      <c r="BH96" s="899"/>
      <c r="BI96" s="710"/>
      <c r="BJ96" s="710"/>
      <c r="BK96" s="710"/>
      <c r="BL96" s="714">
        <f t="shared" si="36"/>
        <v>0</v>
      </c>
      <c r="BM96" s="869">
        <f t="shared" si="37"/>
        <v>0</v>
      </c>
      <c r="BN96" s="898"/>
      <c r="BO96" s="899"/>
      <c r="BP96" s="869">
        <f t="shared" si="38"/>
        <v>0</v>
      </c>
      <c r="BQ96" s="869">
        <f t="shared" si="39"/>
        <v>0</v>
      </c>
      <c r="BR96" s="898">
        <v>35.200000000000003</v>
      </c>
      <c r="BS96" s="899">
        <v>9.6000000000000002E-4</v>
      </c>
      <c r="BT96" s="899"/>
      <c r="BU96" s="899"/>
      <c r="BV96" s="901">
        <v>295</v>
      </c>
      <c r="BW96" s="901">
        <v>53</v>
      </c>
      <c r="BX96" s="901">
        <v>32</v>
      </c>
      <c r="BY96" s="901"/>
      <c r="BZ96" s="901">
        <v>8</v>
      </c>
      <c r="CA96" s="901">
        <v>4</v>
      </c>
      <c r="CB96" s="901"/>
      <c r="CC96" s="901"/>
      <c r="CD96" s="901"/>
      <c r="CE96" s="901"/>
      <c r="CF96" s="901">
        <v>6</v>
      </c>
      <c r="CG96" s="901">
        <v>4</v>
      </c>
      <c r="CH96" s="901"/>
      <c r="CI96" s="901">
        <v>2</v>
      </c>
      <c r="CJ96" s="901">
        <v>6</v>
      </c>
      <c r="CK96" s="901">
        <v>2</v>
      </c>
      <c r="CL96" s="901"/>
      <c r="CM96" s="901"/>
      <c r="CN96" s="901"/>
      <c r="CO96" s="901"/>
      <c r="CP96" s="901"/>
      <c r="CQ96" s="901"/>
      <c r="CR96" s="901"/>
      <c r="CS96" s="902">
        <f t="shared" si="43"/>
        <v>32</v>
      </c>
      <c r="CT96" s="871">
        <f t="shared" si="40"/>
        <v>32</v>
      </c>
      <c r="CU96" s="871">
        <f t="shared" si="41"/>
        <v>0</v>
      </c>
      <c r="CV96" s="942">
        <v>111.584</v>
      </c>
      <c r="CW96" s="710" t="s">
        <v>658</v>
      </c>
      <c r="CX96" s="710" t="s">
        <v>659</v>
      </c>
      <c r="CY96" s="710">
        <v>18.71</v>
      </c>
      <c r="CZ96" s="963" t="s">
        <v>636</v>
      </c>
      <c r="DA96" s="963"/>
      <c r="DB96" s="963"/>
      <c r="DC96" s="710" t="s">
        <v>278</v>
      </c>
      <c r="DD96" s="710" t="s">
        <v>660</v>
      </c>
      <c r="DE96" s="710" t="s">
        <v>638</v>
      </c>
      <c r="DF96" s="901">
        <v>5</v>
      </c>
      <c r="DG96" s="901"/>
      <c r="DH96" s="901"/>
      <c r="DI96" s="710" t="s">
        <v>278</v>
      </c>
      <c r="DJ96" s="710" t="s">
        <v>661</v>
      </c>
      <c r="DK96" s="901">
        <v>15182</v>
      </c>
      <c r="DL96" s="710" t="s">
        <v>278</v>
      </c>
      <c r="DM96" s="710" t="s">
        <v>662</v>
      </c>
      <c r="DN96" s="901">
        <v>12532</v>
      </c>
      <c r="DO96" s="710" t="s">
        <v>278</v>
      </c>
      <c r="DP96" s="710" t="s">
        <v>663</v>
      </c>
      <c r="DQ96" s="901">
        <v>4210</v>
      </c>
      <c r="DR96" s="710" t="s">
        <v>278</v>
      </c>
      <c r="DS96" s="710" t="s">
        <v>664</v>
      </c>
      <c r="DT96" s="901">
        <v>16773</v>
      </c>
      <c r="DU96" s="710" t="s">
        <v>279</v>
      </c>
      <c r="DV96" s="710"/>
      <c r="DW96" s="901"/>
      <c r="DX96" s="710"/>
      <c r="DY96" s="710"/>
      <c r="DZ96" s="901"/>
      <c r="EA96" s="710" t="s">
        <v>279</v>
      </c>
      <c r="EB96" s="710"/>
      <c r="EC96" s="901"/>
      <c r="ED96" s="710" t="s">
        <v>278</v>
      </c>
      <c r="EE96" s="710" t="s">
        <v>665</v>
      </c>
      <c r="EF96" s="901">
        <v>13426</v>
      </c>
      <c r="EG96" s="710" t="s">
        <v>279</v>
      </c>
      <c r="EH96" s="710"/>
      <c r="EI96" s="901"/>
      <c r="EJ96" s="710" t="s">
        <v>279</v>
      </c>
      <c r="EK96" s="710"/>
      <c r="EL96" s="901"/>
      <c r="EM96" s="710" t="s">
        <v>279</v>
      </c>
      <c r="EN96" s="710"/>
      <c r="EO96" s="901"/>
      <c r="EP96" s="710" t="s">
        <v>279</v>
      </c>
      <c r="EQ96" s="710"/>
      <c r="ER96" s="901"/>
      <c r="ES96" s="710"/>
      <c r="ET96" s="710"/>
      <c r="EU96" s="901"/>
      <c r="EV96" s="710" t="s">
        <v>666</v>
      </c>
      <c r="EW96" s="710" t="s">
        <v>667</v>
      </c>
      <c r="EX96" s="860">
        <v>53</v>
      </c>
      <c r="EY96" s="710" t="s">
        <v>279</v>
      </c>
      <c r="EZ96" s="710"/>
      <c r="FA96" s="710" t="s">
        <v>278</v>
      </c>
      <c r="FB96" s="710" t="s">
        <v>668</v>
      </c>
      <c r="FC96" s="710" t="s">
        <v>616</v>
      </c>
      <c r="FD96" s="710" t="s">
        <v>615</v>
      </c>
      <c r="FE96" s="861" t="s">
        <v>669</v>
      </c>
      <c r="FF96" s="861" t="s">
        <v>670</v>
      </c>
      <c r="FG96" s="861" t="s">
        <v>671</v>
      </c>
      <c r="FH96" s="861" t="s">
        <v>672</v>
      </c>
      <c r="FI96" s="710">
        <v>11</v>
      </c>
      <c r="FJ96" s="710">
        <v>837</v>
      </c>
      <c r="FK96" s="710" t="s">
        <v>673</v>
      </c>
      <c r="FL96" s="710">
        <v>79210210011</v>
      </c>
      <c r="FM96" s="861" t="s">
        <v>647</v>
      </c>
      <c r="FN96" s="710" t="s">
        <v>622</v>
      </c>
      <c r="FO96" s="710" t="s">
        <v>623</v>
      </c>
      <c r="FP96" s="861" t="s">
        <v>624</v>
      </c>
    </row>
    <row r="97" spans="2:172" ht="93" customHeight="1">
      <c r="B97" s="850" t="s">
        <v>5315</v>
      </c>
      <c r="C97" s="850" t="s">
        <v>5321</v>
      </c>
      <c r="D97" s="850" t="s">
        <v>4933</v>
      </c>
      <c r="E97" s="850" t="s">
        <v>5314</v>
      </c>
      <c r="F97" s="850" t="s">
        <v>5344</v>
      </c>
      <c r="G97" s="850" t="s">
        <v>4933</v>
      </c>
      <c r="I97" s="850" t="s">
        <v>5524</v>
      </c>
      <c r="J97" s="850" t="s">
        <v>5432</v>
      </c>
      <c r="K97" s="710" t="s">
        <v>238</v>
      </c>
      <c r="L97" s="710"/>
      <c r="M97" s="710" t="s">
        <v>674</v>
      </c>
      <c r="N97" s="710" t="s">
        <v>675</v>
      </c>
      <c r="O97" s="895">
        <v>2016</v>
      </c>
      <c r="P97" s="896">
        <v>43474</v>
      </c>
      <c r="Q97" s="896">
        <v>43824</v>
      </c>
      <c r="R97" s="712">
        <f t="shared" si="42"/>
        <v>350</v>
      </c>
      <c r="S97" s="710" t="s">
        <v>676</v>
      </c>
      <c r="T97" s="710" t="s">
        <v>677</v>
      </c>
      <c r="U97" s="861" t="s">
        <v>653</v>
      </c>
      <c r="V97" s="710"/>
      <c r="W97" s="710"/>
      <c r="X97" s="710" t="s">
        <v>654</v>
      </c>
      <c r="Y97" s="710" t="s">
        <v>631</v>
      </c>
      <c r="Z97" s="710" t="s">
        <v>606</v>
      </c>
      <c r="AA97" s="710" t="s">
        <v>607</v>
      </c>
      <c r="AB97" s="710"/>
      <c r="AC97" s="710"/>
      <c r="AD97" s="710" t="s">
        <v>655</v>
      </c>
      <c r="AE97" s="710" t="s">
        <v>655</v>
      </c>
      <c r="AF97" s="710" t="s">
        <v>678</v>
      </c>
      <c r="AG97" s="708" t="s">
        <v>679</v>
      </c>
      <c r="AH97" s="710">
        <v>7.16</v>
      </c>
      <c r="AI97" s="868">
        <f t="shared" si="24"/>
        <v>7.16</v>
      </c>
      <c r="AJ97" s="867">
        <f t="shared" si="25"/>
        <v>0</v>
      </c>
      <c r="AK97" s="983">
        <v>5</v>
      </c>
      <c r="AL97" s="899">
        <v>0.69830000000000003</v>
      </c>
      <c r="AM97" s="899">
        <v>1.2999999999999999E-4</v>
      </c>
      <c r="AN97" s="869">
        <f t="shared" si="26"/>
        <v>0.6983240223463687</v>
      </c>
      <c r="AO97" s="869">
        <f t="shared" si="27"/>
        <v>-2.4022346368668401E-5</v>
      </c>
      <c r="AP97" s="899"/>
      <c r="AQ97" s="899"/>
      <c r="AR97" s="899"/>
      <c r="AS97" s="869">
        <f t="shared" si="28"/>
        <v>0</v>
      </c>
      <c r="AT97" s="869">
        <f t="shared" si="29"/>
        <v>0</v>
      </c>
      <c r="AU97" s="710">
        <v>2.16</v>
      </c>
      <c r="AV97" s="899">
        <v>0.30170000000000002</v>
      </c>
      <c r="AW97" s="869">
        <f t="shared" si="30"/>
        <v>0.3016759776536313</v>
      </c>
      <c r="AX97" s="869">
        <f t="shared" si="31"/>
        <v>2.4022346368723912E-5</v>
      </c>
      <c r="AY97" s="898"/>
      <c r="AZ97" s="899"/>
      <c r="BA97" s="869">
        <f t="shared" si="32"/>
        <v>0</v>
      </c>
      <c r="BB97" s="869">
        <f t="shared" si="33"/>
        <v>0</v>
      </c>
      <c r="BC97" s="898"/>
      <c r="BD97" s="899"/>
      <c r="BE97" s="869">
        <f t="shared" si="34"/>
        <v>0</v>
      </c>
      <c r="BF97" s="869">
        <f t="shared" si="35"/>
        <v>0</v>
      </c>
      <c r="BG97" s="898"/>
      <c r="BH97" s="899"/>
      <c r="BI97" s="710"/>
      <c r="BJ97" s="710"/>
      <c r="BK97" s="710"/>
      <c r="BL97" s="714">
        <f t="shared" si="36"/>
        <v>0</v>
      </c>
      <c r="BM97" s="869">
        <f t="shared" si="37"/>
        <v>0</v>
      </c>
      <c r="BN97" s="898"/>
      <c r="BO97" s="899"/>
      <c r="BP97" s="869">
        <f t="shared" si="38"/>
        <v>0</v>
      </c>
      <c r="BQ97" s="869">
        <f t="shared" si="39"/>
        <v>0</v>
      </c>
      <c r="BR97" s="983">
        <v>7</v>
      </c>
      <c r="BS97" s="899">
        <v>2.0000000000000001E-4</v>
      </c>
      <c r="BT97" s="899"/>
      <c r="BU97" s="899"/>
      <c r="BV97" s="710">
        <v>248</v>
      </c>
      <c r="BW97" s="710">
        <v>97</v>
      </c>
      <c r="BX97" s="710">
        <v>97</v>
      </c>
      <c r="BY97" s="901"/>
      <c r="BZ97" s="901">
        <v>4</v>
      </c>
      <c r="CA97" s="901">
        <v>5</v>
      </c>
      <c r="CB97" s="901">
        <v>5</v>
      </c>
      <c r="CC97" s="901"/>
      <c r="CD97" s="901"/>
      <c r="CE97" s="901"/>
      <c r="CF97" s="901">
        <v>3</v>
      </c>
      <c r="CG97" s="901">
        <v>5</v>
      </c>
      <c r="CH97" s="901"/>
      <c r="CI97" s="901">
        <v>38</v>
      </c>
      <c r="CJ97" s="901">
        <v>14</v>
      </c>
      <c r="CK97" s="901">
        <v>9</v>
      </c>
      <c r="CL97" s="901">
        <v>1</v>
      </c>
      <c r="CM97" s="901"/>
      <c r="CN97" s="901"/>
      <c r="CO97" s="901"/>
      <c r="CP97" s="901">
        <v>5</v>
      </c>
      <c r="CQ97" s="901"/>
      <c r="CR97" s="901">
        <v>8</v>
      </c>
      <c r="CS97" s="902">
        <f t="shared" si="43"/>
        <v>97</v>
      </c>
      <c r="CT97" s="871">
        <f t="shared" si="40"/>
        <v>97</v>
      </c>
      <c r="CU97" s="871">
        <f t="shared" si="41"/>
        <v>0</v>
      </c>
      <c r="CV97" s="942">
        <v>20.007000000000001</v>
      </c>
      <c r="CW97" s="710" t="s">
        <v>680</v>
      </c>
      <c r="CX97" s="710"/>
      <c r="CY97" s="899">
        <v>3.3500000000000002E-2</v>
      </c>
      <c r="CZ97" s="963" t="s">
        <v>636</v>
      </c>
      <c r="DA97" s="963"/>
      <c r="DB97" s="963"/>
      <c r="DC97" s="710" t="s">
        <v>278</v>
      </c>
      <c r="DD97" s="710" t="s">
        <v>660</v>
      </c>
      <c r="DE97" s="710" t="s">
        <v>638</v>
      </c>
      <c r="DF97" s="901">
        <v>5</v>
      </c>
      <c r="DG97" s="901"/>
      <c r="DH97" s="901"/>
      <c r="DI97" s="710" t="s">
        <v>279</v>
      </c>
      <c r="DJ97" s="710"/>
      <c r="DK97" s="901"/>
      <c r="DL97" s="710" t="s">
        <v>278</v>
      </c>
      <c r="DM97" s="710" t="s">
        <v>681</v>
      </c>
      <c r="DN97" s="901"/>
      <c r="DO97" s="710" t="s">
        <v>279</v>
      </c>
      <c r="DP97" s="710"/>
      <c r="DQ97" s="901"/>
      <c r="DR97" s="710" t="s">
        <v>279</v>
      </c>
      <c r="DS97" s="710"/>
      <c r="DT97" s="901"/>
      <c r="DU97" s="710" t="s">
        <v>279</v>
      </c>
      <c r="DV97" s="710"/>
      <c r="DW97" s="901"/>
      <c r="DX97" s="710" t="s">
        <v>279</v>
      </c>
      <c r="DY97" s="710"/>
      <c r="DZ97" s="901"/>
      <c r="EA97" s="710" t="s">
        <v>279</v>
      </c>
      <c r="EB97" s="710"/>
      <c r="EC97" s="901"/>
      <c r="ED97" s="710" t="s">
        <v>279</v>
      </c>
      <c r="EE97" s="710"/>
      <c r="EF97" s="901"/>
      <c r="EG97" s="710" t="s">
        <v>279</v>
      </c>
      <c r="EH97" s="710"/>
      <c r="EI97" s="901"/>
      <c r="EJ97" s="710" t="s">
        <v>279</v>
      </c>
      <c r="EK97" s="710"/>
      <c r="EL97" s="901"/>
      <c r="EM97" s="710" t="s">
        <v>279</v>
      </c>
      <c r="EN97" s="710"/>
      <c r="EO97" s="901"/>
      <c r="EP97" s="710" t="s">
        <v>279</v>
      </c>
      <c r="EQ97" s="710"/>
      <c r="ER97" s="901"/>
      <c r="ES97" s="710" t="s">
        <v>279</v>
      </c>
      <c r="ET97" s="710"/>
      <c r="EU97" s="901"/>
      <c r="EV97" s="710" t="s">
        <v>682</v>
      </c>
      <c r="EW97" s="710" t="s">
        <v>683</v>
      </c>
      <c r="EX97" s="901">
        <v>97</v>
      </c>
      <c r="EY97" s="710" t="s">
        <v>279</v>
      </c>
      <c r="EZ97" s="710"/>
      <c r="FA97" s="710" t="s">
        <v>279</v>
      </c>
      <c r="FB97" s="710"/>
      <c r="FC97" s="710" t="s">
        <v>616</v>
      </c>
      <c r="FD97" s="710" t="s">
        <v>615</v>
      </c>
      <c r="FE97" s="861" t="s">
        <v>669</v>
      </c>
      <c r="FF97" s="710" t="s">
        <v>684</v>
      </c>
      <c r="FG97" s="710" t="s">
        <v>685</v>
      </c>
      <c r="FH97" s="861" t="s">
        <v>686</v>
      </c>
      <c r="FI97" s="710">
        <v>2</v>
      </c>
      <c r="FJ97" s="710">
        <v>473</v>
      </c>
      <c r="FK97" s="710" t="s">
        <v>687</v>
      </c>
      <c r="FL97" s="710">
        <v>9210210011</v>
      </c>
      <c r="FM97" s="861" t="s">
        <v>647</v>
      </c>
      <c r="FN97" s="710" t="s">
        <v>622</v>
      </c>
      <c r="FO97" s="710" t="s">
        <v>623</v>
      </c>
      <c r="FP97" s="861" t="s">
        <v>624</v>
      </c>
    </row>
    <row r="98" spans="2:172" ht="98.5" customHeight="1">
      <c r="B98" s="850" t="s">
        <v>5315</v>
      </c>
      <c r="C98" s="850" t="s">
        <v>5320</v>
      </c>
      <c r="D98" s="850" t="s">
        <v>5317</v>
      </c>
      <c r="E98" s="850" t="s">
        <v>5318</v>
      </c>
      <c r="F98" s="850" t="s">
        <v>694</v>
      </c>
      <c r="G98" s="850" t="s">
        <v>4933</v>
      </c>
      <c r="I98" s="850" t="s">
        <v>5524</v>
      </c>
      <c r="J98" s="850" t="s">
        <v>5432</v>
      </c>
      <c r="K98" s="710" t="s">
        <v>238</v>
      </c>
      <c r="L98" s="710"/>
      <c r="M98" s="710" t="s">
        <v>688</v>
      </c>
      <c r="N98" s="710"/>
      <c r="O98" s="895">
        <v>2014</v>
      </c>
      <c r="P98" s="939">
        <v>43466</v>
      </c>
      <c r="Q98" s="939">
        <v>43799</v>
      </c>
      <c r="R98" s="712">
        <f t="shared" si="42"/>
        <v>333</v>
      </c>
      <c r="S98" s="710" t="s">
        <v>689</v>
      </c>
      <c r="T98" s="710" t="s">
        <v>690</v>
      </c>
      <c r="U98" s="984" t="s">
        <v>691</v>
      </c>
      <c r="V98" s="710"/>
      <c r="W98" s="710"/>
      <c r="X98" s="710"/>
      <c r="Y98" s="710"/>
      <c r="Z98" s="710"/>
      <c r="AA98" s="710"/>
      <c r="AB98" s="710"/>
      <c r="AC98" s="710"/>
      <c r="AD98" s="710" t="s">
        <v>692</v>
      </c>
      <c r="AE98" s="710" t="s">
        <v>693</v>
      </c>
      <c r="AF98" s="710" t="s">
        <v>633</v>
      </c>
      <c r="AG98" s="710" t="s">
        <v>694</v>
      </c>
      <c r="AH98" s="898">
        <v>16.393699999999999</v>
      </c>
      <c r="AI98" s="868">
        <f t="shared" si="24"/>
        <v>16.393699999999999</v>
      </c>
      <c r="AJ98" s="867">
        <f t="shared" si="25"/>
        <v>0</v>
      </c>
      <c r="AK98" s="898">
        <v>8.4652999999999992</v>
      </c>
      <c r="AL98" s="899">
        <v>0.51600000000000001</v>
      </c>
      <c r="AM98" s="899">
        <v>2.0000000000000001E-4</v>
      </c>
      <c r="AN98" s="869">
        <f t="shared" si="26"/>
        <v>0.51637519290947131</v>
      </c>
      <c r="AO98" s="869">
        <f t="shared" si="27"/>
        <v>-3.7519290947130024E-4</v>
      </c>
      <c r="AP98" s="899"/>
      <c r="AQ98" s="899"/>
      <c r="AR98" s="899"/>
      <c r="AS98" s="869">
        <f t="shared" si="28"/>
        <v>0</v>
      </c>
      <c r="AT98" s="869">
        <f t="shared" si="29"/>
        <v>0</v>
      </c>
      <c r="AU98" s="898">
        <v>2.8532999999999999</v>
      </c>
      <c r="AV98" s="899">
        <v>0.17399999999999999</v>
      </c>
      <c r="AW98" s="869">
        <f t="shared" si="30"/>
        <v>0.17404856743749123</v>
      </c>
      <c r="AX98" s="869">
        <f t="shared" si="31"/>
        <v>-4.8567437491237042E-5</v>
      </c>
      <c r="AY98" s="898">
        <v>1.7384999999999999</v>
      </c>
      <c r="AZ98" s="899">
        <v>0.106</v>
      </c>
      <c r="BA98" s="869">
        <f t="shared" si="32"/>
        <v>0.10604683506468948</v>
      </c>
      <c r="BB98" s="869">
        <f t="shared" si="33"/>
        <v>-4.6835064689484951E-5</v>
      </c>
      <c r="BC98" s="898">
        <v>1.9656</v>
      </c>
      <c r="BD98" s="899">
        <v>0.12</v>
      </c>
      <c r="BE98" s="869">
        <f t="shared" si="34"/>
        <v>0.11989971757443409</v>
      </c>
      <c r="BF98" s="869">
        <f t="shared" si="35"/>
        <v>1.0028242556590905E-4</v>
      </c>
      <c r="BG98" s="898">
        <v>1.371</v>
      </c>
      <c r="BH98" s="899">
        <v>8.4000000000000005E-2</v>
      </c>
      <c r="BI98" s="710" t="s">
        <v>695</v>
      </c>
      <c r="BJ98" s="710" t="s">
        <v>696</v>
      </c>
      <c r="BK98" s="710" t="s">
        <v>693</v>
      </c>
      <c r="BL98" s="714">
        <f t="shared" si="36"/>
        <v>8.3629687013913892E-2</v>
      </c>
      <c r="BM98" s="869">
        <f t="shared" si="37"/>
        <v>3.7031298608611318E-4</v>
      </c>
      <c r="BN98" s="898"/>
      <c r="BO98" s="899"/>
      <c r="BP98" s="869">
        <f t="shared" si="38"/>
        <v>0</v>
      </c>
      <c r="BQ98" s="869">
        <f t="shared" si="39"/>
        <v>0</v>
      </c>
      <c r="BR98" s="898">
        <v>4.1858000000000004</v>
      </c>
      <c r="BS98" s="899">
        <v>1E-4</v>
      </c>
      <c r="BT98" s="899"/>
      <c r="BU98" s="899"/>
      <c r="BV98" s="901">
        <v>39</v>
      </c>
      <c r="BW98" s="901">
        <v>39</v>
      </c>
      <c r="BX98" s="901">
        <v>39</v>
      </c>
      <c r="BY98" s="901"/>
      <c r="BZ98" s="901"/>
      <c r="CA98" s="901"/>
      <c r="CB98" s="901"/>
      <c r="CC98" s="901"/>
      <c r="CD98" s="901"/>
      <c r="CE98" s="901"/>
      <c r="CF98" s="901"/>
      <c r="CG98" s="901">
        <v>11</v>
      </c>
      <c r="CH98" s="901"/>
      <c r="CI98" s="901">
        <v>16</v>
      </c>
      <c r="CJ98" s="901">
        <v>5</v>
      </c>
      <c r="CK98" s="901"/>
      <c r="CL98" s="901"/>
      <c r="CM98" s="901"/>
      <c r="CN98" s="901"/>
      <c r="CO98" s="901"/>
      <c r="CP98" s="901"/>
      <c r="CQ98" s="901"/>
      <c r="CR98" s="901"/>
      <c r="CS98" s="902">
        <f t="shared" si="43"/>
        <v>32</v>
      </c>
      <c r="CT98" s="871">
        <f t="shared" si="40"/>
        <v>32</v>
      </c>
      <c r="CU98" s="871">
        <f t="shared" si="41"/>
        <v>0</v>
      </c>
      <c r="CV98" s="942">
        <v>31</v>
      </c>
      <c r="CW98" s="710" t="s">
        <v>697</v>
      </c>
      <c r="CX98" s="710"/>
      <c r="CY98" s="710">
        <v>5.2</v>
      </c>
      <c r="CZ98" s="943" t="s">
        <v>636</v>
      </c>
      <c r="DA98" s="943"/>
      <c r="DB98" s="943"/>
      <c r="DC98" s="710" t="s">
        <v>279</v>
      </c>
      <c r="DD98" s="710"/>
      <c r="DE98" s="710"/>
      <c r="DF98" s="710"/>
      <c r="DG98" s="710"/>
      <c r="DH98" s="710"/>
      <c r="DI98" s="710" t="s">
        <v>279</v>
      </c>
      <c r="DJ98" s="710"/>
      <c r="DK98" s="710"/>
      <c r="DL98" s="710" t="s">
        <v>279</v>
      </c>
      <c r="DM98" s="710"/>
      <c r="DN98" s="710"/>
      <c r="DO98" s="710" t="s">
        <v>279</v>
      </c>
      <c r="DP98" s="710"/>
      <c r="DQ98" s="710"/>
      <c r="DR98" s="710" t="s">
        <v>279</v>
      </c>
      <c r="DS98" s="710"/>
      <c r="DT98" s="710"/>
      <c r="DU98" s="710" t="s">
        <v>279</v>
      </c>
      <c r="DV98" s="710"/>
      <c r="DW98" s="710"/>
      <c r="DX98" s="710" t="s">
        <v>392</v>
      </c>
      <c r="DY98" s="710" t="s">
        <v>698</v>
      </c>
      <c r="DZ98" s="901">
        <v>7368</v>
      </c>
      <c r="EA98" s="710" t="s">
        <v>279</v>
      </c>
      <c r="EB98" s="710"/>
      <c r="EC98" s="710"/>
      <c r="ED98" s="710" t="s">
        <v>279</v>
      </c>
      <c r="EE98" s="710"/>
      <c r="EF98" s="710"/>
      <c r="EG98" s="710" t="s">
        <v>279</v>
      </c>
      <c r="EH98" s="710"/>
      <c r="EI98" s="710"/>
      <c r="EJ98" s="710" t="s">
        <v>279</v>
      </c>
      <c r="EK98" s="710"/>
      <c r="EL98" s="710"/>
      <c r="EM98" s="710" t="s">
        <v>279</v>
      </c>
      <c r="EN98" s="710"/>
      <c r="EO98" s="710"/>
      <c r="EP98" s="710" t="s">
        <v>279</v>
      </c>
      <c r="EQ98" s="710"/>
      <c r="ER98" s="710"/>
      <c r="ES98" s="710" t="s">
        <v>279</v>
      </c>
      <c r="ET98" s="710"/>
      <c r="EU98" s="710"/>
      <c r="EV98" s="710" t="s">
        <v>694</v>
      </c>
      <c r="EW98" s="710" t="s">
        <v>699</v>
      </c>
      <c r="EX98" s="860">
        <v>32</v>
      </c>
      <c r="EY98" s="710" t="s">
        <v>279</v>
      </c>
      <c r="EZ98" s="710" t="s">
        <v>279</v>
      </c>
      <c r="FA98" s="710" t="s">
        <v>278</v>
      </c>
      <c r="FB98" s="710" t="s">
        <v>700</v>
      </c>
      <c r="FC98" s="710"/>
      <c r="FD98" s="710"/>
      <c r="FE98" s="710"/>
      <c r="FF98" s="710"/>
      <c r="FG98" s="710"/>
      <c r="FH98" s="710" t="s">
        <v>701</v>
      </c>
      <c r="FI98" s="710">
        <v>7</v>
      </c>
      <c r="FJ98" s="710">
        <v>250</v>
      </c>
      <c r="FK98" s="710" t="s">
        <v>702</v>
      </c>
      <c r="FL98" s="710" t="s">
        <v>703</v>
      </c>
      <c r="FM98" s="710" t="s">
        <v>704</v>
      </c>
      <c r="FN98" s="710" t="s">
        <v>705</v>
      </c>
      <c r="FO98" s="710" t="s">
        <v>623</v>
      </c>
      <c r="FP98" s="945" t="s">
        <v>624</v>
      </c>
    </row>
    <row r="99" spans="2:172" ht="104.5" customHeight="1">
      <c r="B99" s="850" t="s">
        <v>5315</v>
      </c>
      <c r="C99" s="850" t="s">
        <v>5316</v>
      </c>
      <c r="D99" s="850" t="s">
        <v>5317</v>
      </c>
      <c r="E99" s="850" t="s">
        <v>5318</v>
      </c>
      <c r="F99" s="850" t="s">
        <v>5319</v>
      </c>
      <c r="G99" s="850" t="s">
        <v>4933</v>
      </c>
      <c r="I99" s="850" t="s">
        <v>5524</v>
      </c>
      <c r="J99" s="850" t="s">
        <v>5432</v>
      </c>
      <c r="K99" s="710" t="s">
        <v>238</v>
      </c>
      <c r="L99" s="710"/>
      <c r="M99" s="710" t="s">
        <v>706</v>
      </c>
      <c r="N99" s="710" t="s">
        <v>706</v>
      </c>
      <c r="O99" s="895">
        <v>2017</v>
      </c>
      <c r="P99" s="896">
        <v>43466</v>
      </c>
      <c r="Q99" s="896">
        <v>43830</v>
      </c>
      <c r="R99" s="712">
        <f t="shared" si="42"/>
        <v>364</v>
      </c>
      <c r="S99" s="710" t="s">
        <v>707</v>
      </c>
      <c r="T99" s="710" t="s">
        <v>708</v>
      </c>
      <c r="U99" s="945" t="s">
        <v>709</v>
      </c>
      <c r="V99" s="710"/>
      <c r="W99" s="710"/>
      <c r="X99" s="710" t="s">
        <v>630</v>
      </c>
      <c r="Y99" s="945" t="s">
        <v>631</v>
      </c>
      <c r="Z99" s="710"/>
      <c r="AA99" s="710"/>
      <c r="AB99" s="710"/>
      <c r="AC99" s="710"/>
      <c r="AD99" s="710" t="s">
        <v>710</v>
      </c>
      <c r="AE99" s="710" t="s">
        <v>710</v>
      </c>
      <c r="AF99" s="710" t="s">
        <v>633</v>
      </c>
      <c r="AG99" s="710" t="s">
        <v>575</v>
      </c>
      <c r="AH99" s="898">
        <v>248.8</v>
      </c>
      <c r="AI99" s="868">
        <f t="shared" si="24"/>
        <v>248.8</v>
      </c>
      <c r="AJ99" s="867">
        <f t="shared" si="25"/>
        <v>0</v>
      </c>
      <c r="AK99" s="898">
        <v>5.6</v>
      </c>
      <c r="AL99" s="899">
        <v>2.2499999999999999E-2</v>
      </c>
      <c r="AM99" s="899">
        <v>1.4999999999999999E-4</v>
      </c>
      <c r="AN99" s="869">
        <f t="shared" si="26"/>
        <v>2.2508038585209E-2</v>
      </c>
      <c r="AO99" s="869">
        <f t="shared" si="27"/>
        <v>-8.0385852090011922E-6</v>
      </c>
      <c r="AP99" s="899"/>
      <c r="AQ99" s="899"/>
      <c r="AR99" s="899"/>
      <c r="AS99" s="869">
        <f t="shared" si="28"/>
        <v>0</v>
      </c>
      <c r="AT99" s="869">
        <f t="shared" si="29"/>
        <v>0</v>
      </c>
      <c r="AU99" s="898">
        <v>51.1</v>
      </c>
      <c r="AV99" s="899">
        <v>0.2054</v>
      </c>
      <c r="AW99" s="869">
        <f t="shared" si="30"/>
        <v>0.20538585209003216</v>
      </c>
      <c r="AX99" s="869">
        <f t="shared" si="31"/>
        <v>1.4147909967843209E-5</v>
      </c>
      <c r="AY99" s="898">
        <v>10.8</v>
      </c>
      <c r="AZ99" s="899">
        <v>4.3400000000000001E-2</v>
      </c>
      <c r="BA99" s="869">
        <f t="shared" si="32"/>
        <v>4.3408360128617367E-2</v>
      </c>
      <c r="BB99" s="869">
        <f t="shared" si="33"/>
        <v>-8.3601286173656808E-6</v>
      </c>
      <c r="BC99" s="898"/>
      <c r="BD99" s="899"/>
      <c r="BE99" s="869">
        <f t="shared" si="34"/>
        <v>0</v>
      </c>
      <c r="BF99" s="869">
        <f t="shared" si="35"/>
        <v>0</v>
      </c>
      <c r="BG99" s="898">
        <v>181.3</v>
      </c>
      <c r="BH99" s="899">
        <v>0.72870000000000001</v>
      </c>
      <c r="BI99" s="710" t="s">
        <v>711</v>
      </c>
      <c r="BJ99" s="710" t="s">
        <v>457</v>
      </c>
      <c r="BK99" s="710" t="s">
        <v>710</v>
      </c>
      <c r="BL99" s="714">
        <f t="shared" si="36"/>
        <v>0.7286977491961415</v>
      </c>
      <c r="BM99" s="869">
        <f t="shared" si="37"/>
        <v>2.2508038585167256E-6</v>
      </c>
      <c r="BN99" s="898"/>
      <c r="BO99" s="899"/>
      <c r="BP99" s="869">
        <f t="shared" si="38"/>
        <v>0</v>
      </c>
      <c r="BQ99" s="869">
        <f t="shared" si="39"/>
        <v>0</v>
      </c>
      <c r="BR99" s="898">
        <v>5.0999999999999996</v>
      </c>
      <c r="BS99" s="899">
        <v>1.3999999999999999E-4</v>
      </c>
      <c r="BT99" s="899"/>
      <c r="BU99" s="899"/>
      <c r="BV99" s="901"/>
      <c r="BW99" s="901"/>
      <c r="BX99" s="949">
        <v>154</v>
      </c>
      <c r="BY99" s="901"/>
      <c r="BZ99" s="901"/>
      <c r="CA99" s="901"/>
      <c r="CB99" s="901"/>
      <c r="CC99" s="901"/>
      <c r="CD99" s="901"/>
      <c r="CE99" s="901"/>
      <c r="CF99" s="901"/>
      <c r="CG99" s="901"/>
      <c r="CH99" s="901">
        <v>121</v>
      </c>
      <c r="CI99" s="901"/>
      <c r="CJ99" s="901"/>
      <c r="CK99" s="901"/>
      <c r="CL99" s="901"/>
      <c r="CM99" s="901"/>
      <c r="CN99" s="901"/>
      <c r="CO99" s="901"/>
      <c r="CP99" s="901"/>
      <c r="CQ99" s="901"/>
      <c r="CR99" s="901"/>
      <c r="CS99" s="902">
        <f t="shared" si="43"/>
        <v>121</v>
      </c>
      <c r="CT99" s="871">
        <f t="shared" si="40"/>
        <v>121</v>
      </c>
      <c r="CU99" s="871">
        <f t="shared" si="41"/>
        <v>0</v>
      </c>
      <c r="CV99" s="942">
        <v>413</v>
      </c>
      <c r="CW99" s="710"/>
      <c r="CX99" s="710"/>
      <c r="CY99" s="710">
        <v>69.239999999999995</v>
      </c>
      <c r="CZ99" s="943" t="s">
        <v>636</v>
      </c>
      <c r="DA99" s="943"/>
      <c r="DB99" s="943"/>
      <c r="DC99" s="710"/>
      <c r="DD99" s="710"/>
      <c r="DE99" s="710"/>
      <c r="DF99" s="901"/>
      <c r="DG99" s="901"/>
      <c r="DH99" s="901"/>
      <c r="DI99" s="710"/>
      <c r="DJ99" s="710"/>
      <c r="DK99" s="901"/>
      <c r="DL99" s="710"/>
      <c r="DM99" s="710"/>
      <c r="DN99" s="901"/>
      <c r="DO99" s="710"/>
      <c r="DP99" s="710"/>
      <c r="DQ99" s="901"/>
      <c r="DR99" s="710"/>
      <c r="DS99" s="710"/>
      <c r="DT99" s="901"/>
      <c r="DU99" s="710"/>
      <c r="DV99" s="710"/>
      <c r="DW99" s="901"/>
      <c r="DX99" s="710" t="s">
        <v>278</v>
      </c>
      <c r="DY99" s="710" t="s">
        <v>712</v>
      </c>
      <c r="DZ99" s="901">
        <v>28376</v>
      </c>
      <c r="EA99" s="710"/>
      <c r="EB99" s="710"/>
      <c r="EC99" s="901"/>
      <c r="ED99" s="710"/>
      <c r="EE99" s="710"/>
      <c r="EF99" s="901"/>
      <c r="EG99" s="710"/>
      <c r="EH99" s="710"/>
      <c r="EI99" s="901"/>
      <c r="EJ99" s="710"/>
      <c r="EK99" s="710"/>
      <c r="EL99" s="901"/>
      <c r="EM99" s="710"/>
      <c r="EN99" s="710"/>
      <c r="EO99" s="901"/>
      <c r="EP99" s="710"/>
      <c r="EQ99" s="710"/>
      <c r="ER99" s="901"/>
      <c r="ES99" s="710"/>
      <c r="ET99" s="710"/>
      <c r="EU99" s="901"/>
      <c r="EV99" s="710" t="s">
        <v>713</v>
      </c>
      <c r="EW99" s="710" t="s">
        <v>714</v>
      </c>
      <c r="EX99" s="860">
        <v>25</v>
      </c>
      <c r="EY99" s="710" t="s">
        <v>279</v>
      </c>
      <c r="EZ99" s="710"/>
      <c r="FA99" s="710" t="s">
        <v>278</v>
      </c>
      <c r="FB99" s="710" t="s">
        <v>715</v>
      </c>
      <c r="FC99" s="710" t="s">
        <v>716</v>
      </c>
      <c r="FD99" s="710"/>
      <c r="FE99" s="710"/>
      <c r="FF99" s="710" t="s">
        <v>717</v>
      </c>
      <c r="FG99" s="710"/>
      <c r="FH99" s="710" t="s">
        <v>279</v>
      </c>
      <c r="FI99" s="710"/>
      <c r="FJ99" s="710"/>
      <c r="FK99" s="710" t="s">
        <v>718</v>
      </c>
      <c r="FL99" s="710" t="s">
        <v>719</v>
      </c>
      <c r="FM99" s="710" t="s">
        <v>720</v>
      </c>
      <c r="FN99" s="710" t="s">
        <v>705</v>
      </c>
      <c r="FO99" s="710" t="s">
        <v>623</v>
      </c>
      <c r="FP99" s="945" t="s">
        <v>624</v>
      </c>
    </row>
    <row r="100" spans="2:172" ht="94.5" customHeight="1">
      <c r="B100" s="850" t="s">
        <v>5313</v>
      </c>
      <c r="C100" s="863"/>
      <c r="D100" s="850" t="s">
        <v>4933</v>
      </c>
      <c r="E100" s="850" t="s">
        <v>5314</v>
      </c>
      <c r="F100" s="879">
        <v>1</v>
      </c>
      <c r="G100" s="850" t="s">
        <v>4933</v>
      </c>
      <c r="I100" s="850" t="s">
        <v>5518</v>
      </c>
      <c r="J100" s="850" t="s">
        <v>5433</v>
      </c>
      <c r="K100" s="710" t="s">
        <v>239</v>
      </c>
      <c r="L100" s="710"/>
      <c r="M100" s="710" t="s">
        <v>860</v>
      </c>
      <c r="N100" s="710" t="s">
        <v>526</v>
      </c>
      <c r="O100" s="895">
        <v>2017</v>
      </c>
      <c r="P100" s="896">
        <v>43525</v>
      </c>
      <c r="Q100" s="896">
        <v>43830</v>
      </c>
      <c r="R100" s="712">
        <f t="shared" si="42"/>
        <v>305</v>
      </c>
      <c r="S100" s="710" t="s">
        <v>1026</v>
      </c>
      <c r="T100" s="710" t="s">
        <v>861</v>
      </c>
      <c r="U100" s="985" t="s">
        <v>862</v>
      </c>
      <c r="V100" s="710" t="s">
        <v>410</v>
      </c>
      <c r="W100" s="710" t="s">
        <v>410</v>
      </c>
      <c r="X100" s="710" t="s">
        <v>410</v>
      </c>
      <c r="Y100" s="710" t="s">
        <v>410</v>
      </c>
      <c r="Z100" s="710" t="s">
        <v>410</v>
      </c>
      <c r="AA100" s="710" t="s">
        <v>410</v>
      </c>
      <c r="AB100" s="710"/>
      <c r="AC100" s="710"/>
      <c r="AD100" s="710" t="s">
        <v>863</v>
      </c>
      <c r="AE100" s="710" t="s">
        <v>864</v>
      </c>
      <c r="AF100" s="710" t="s">
        <v>414</v>
      </c>
      <c r="AG100" s="710" t="s">
        <v>865</v>
      </c>
      <c r="AH100" s="898">
        <v>157.6</v>
      </c>
      <c r="AI100" s="868">
        <f t="shared" si="24"/>
        <v>157.6</v>
      </c>
      <c r="AJ100" s="867">
        <f t="shared" si="25"/>
        <v>0</v>
      </c>
      <c r="AK100" s="898">
        <v>112.8</v>
      </c>
      <c r="AL100" s="899">
        <v>0.7157</v>
      </c>
      <c r="AM100" s="899">
        <v>6.9999999999999999E-4</v>
      </c>
      <c r="AN100" s="869">
        <f t="shared" si="26"/>
        <v>0.71573604060913709</v>
      </c>
      <c r="AO100" s="869">
        <f t="shared" si="27"/>
        <v>-3.6040609137089064E-5</v>
      </c>
      <c r="AP100" s="899"/>
      <c r="AQ100" s="899"/>
      <c r="AR100" s="899"/>
      <c r="AS100" s="869">
        <f t="shared" si="28"/>
        <v>0</v>
      </c>
      <c r="AT100" s="869">
        <f t="shared" si="29"/>
        <v>0</v>
      </c>
      <c r="AU100" s="898">
        <v>30.8</v>
      </c>
      <c r="AV100" s="899">
        <v>0.19539999999999999</v>
      </c>
      <c r="AW100" s="869">
        <f t="shared" si="30"/>
        <v>0.19543147208121828</v>
      </c>
      <c r="AX100" s="869">
        <f t="shared" si="31"/>
        <v>-3.1472081218286707E-5</v>
      </c>
      <c r="AY100" s="898">
        <v>13.4</v>
      </c>
      <c r="AZ100" s="899">
        <v>8.5000000000000006E-2</v>
      </c>
      <c r="BA100" s="869">
        <f t="shared" si="32"/>
        <v>8.5025380710659904E-2</v>
      </c>
      <c r="BB100" s="869">
        <f t="shared" si="33"/>
        <v>-2.5380710659897443E-5</v>
      </c>
      <c r="BC100" s="898">
        <v>0.6</v>
      </c>
      <c r="BD100" s="899">
        <v>3.8999999999999998E-3</v>
      </c>
      <c r="BE100" s="869">
        <f t="shared" si="34"/>
        <v>3.8071065989847717E-3</v>
      </c>
      <c r="BF100" s="869">
        <f t="shared" si="35"/>
        <v>9.2893401015228111E-5</v>
      </c>
      <c r="BG100" s="898"/>
      <c r="BH100" s="899"/>
      <c r="BI100" s="710" t="s">
        <v>410</v>
      </c>
      <c r="BJ100" s="710" t="s">
        <v>410</v>
      </c>
      <c r="BK100" s="710" t="s">
        <v>410</v>
      </c>
      <c r="BL100" s="714">
        <f t="shared" si="36"/>
        <v>0</v>
      </c>
      <c r="BM100" s="869">
        <f t="shared" si="37"/>
        <v>0</v>
      </c>
      <c r="BN100" s="898"/>
      <c r="BO100" s="899"/>
      <c r="BP100" s="869">
        <f t="shared" si="38"/>
        <v>0</v>
      </c>
      <c r="BQ100" s="869">
        <f t="shared" si="39"/>
        <v>0</v>
      </c>
      <c r="BR100" s="898">
        <v>200</v>
      </c>
      <c r="BS100" s="899">
        <v>1.1000000000000001E-3</v>
      </c>
      <c r="BT100" s="899"/>
      <c r="BU100" s="899"/>
      <c r="BV100" s="901">
        <v>452</v>
      </c>
      <c r="BW100" s="901">
        <v>207</v>
      </c>
      <c r="BX100" s="901">
        <v>205</v>
      </c>
      <c r="BY100" s="901">
        <v>8</v>
      </c>
      <c r="BZ100" s="901">
        <v>10</v>
      </c>
      <c r="CA100" s="901">
        <v>9</v>
      </c>
      <c r="CB100" s="901" t="s">
        <v>410</v>
      </c>
      <c r="CC100" s="901" t="s">
        <v>410</v>
      </c>
      <c r="CD100" s="901">
        <v>15</v>
      </c>
      <c r="CE100" s="901">
        <v>7</v>
      </c>
      <c r="CF100" s="901">
        <v>19</v>
      </c>
      <c r="CG100" s="901">
        <v>13</v>
      </c>
      <c r="CH100" s="901">
        <v>1</v>
      </c>
      <c r="CI100" s="901">
        <v>11</v>
      </c>
      <c r="CJ100" s="901">
        <v>37</v>
      </c>
      <c r="CK100" s="901">
        <v>66</v>
      </c>
      <c r="CL100" s="901">
        <v>1</v>
      </c>
      <c r="CM100" s="901" t="s">
        <v>410</v>
      </c>
      <c r="CN100" s="901">
        <v>2</v>
      </c>
      <c r="CO100" s="901" t="s">
        <v>410</v>
      </c>
      <c r="CP100" s="901">
        <v>1</v>
      </c>
      <c r="CQ100" s="901">
        <v>3</v>
      </c>
      <c r="CR100" s="901" t="s">
        <v>410</v>
      </c>
      <c r="CS100" s="902">
        <f t="shared" si="43"/>
        <v>203</v>
      </c>
      <c r="CT100" s="871">
        <f t="shared" si="40"/>
        <v>203</v>
      </c>
      <c r="CU100" s="871">
        <f t="shared" si="41"/>
        <v>0</v>
      </c>
      <c r="CV100" s="942">
        <v>361</v>
      </c>
      <c r="CW100" s="710" t="s">
        <v>866</v>
      </c>
      <c r="CX100" s="710" t="s">
        <v>410</v>
      </c>
      <c r="CY100" s="904">
        <v>0.37</v>
      </c>
      <c r="CZ100" s="899" t="s">
        <v>867</v>
      </c>
      <c r="DA100" s="899"/>
      <c r="DB100" s="899"/>
      <c r="DC100" s="710" t="s">
        <v>278</v>
      </c>
      <c r="DD100" s="710" t="s">
        <v>868</v>
      </c>
      <c r="DE100" s="710" t="s">
        <v>869</v>
      </c>
      <c r="DF100" s="901">
        <v>4</v>
      </c>
      <c r="DG100" s="901" t="s">
        <v>410</v>
      </c>
      <c r="DH100" s="901" t="s">
        <v>410</v>
      </c>
      <c r="DI100" s="710" t="s">
        <v>278</v>
      </c>
      <c r="DJ100" s="710" t="s">
        <v>870</v>
      </c>
      <c r="DK100" s="901">
        <v>28400</v>
      </c>
      <c r="DL100" s="710"/>
      <c r="DM100" s="710"/>
      <c r="DN100" s="710"/>
      <c r="DO100" s="710" t="s">
        <v>410</v>
      </c>
      <c r="DP100" s="710" t="s">
        <v>410</v>
      </c>
      <c r="DQ100" s="901" t="s">
        <v>410</v>
      </c>
      <c r="DR100" s="901"/>
      <c r="DS100" s="901"/>
      <c r="DT100" s="901"/>
      <c r="DU100" s="710" t="s">
        <v>410</v>
      </c>
      <c r="DV100" s="710" t="s">
        <v>410</v>
      </c>
      <c r="DW100" s="901" t="s">
        <v>410</v>
      </c>
      <c r="DX100" s="710" t="s">
        <v>410</v>
      </c>
      <c r="DY100" s="710" t="s">
        <v>410</v>
      </c>
      <c r="DZ100" s="901" t="s">
        <v>410</v>
      </c>
      <c r="EA100" s="710" t="s">
        <v>278</v>
      </c>
      <c r="EB100" s="710" t="s">
        <v>871</v>
      </c>
      <c r="EC100" s="901">
        <v>1832</v>
      </c>
      <c r="ED100" s="710" t="s">
        <v>278</v>
      </c>
      <c r="EE100" s="710" t="s">
        <v>872</v>
      </c>
      <c r="EF100" s="901">
        <v>24541</v>
      </c>
      <c r="EG100" s="710" t="s">
        <v>410</v>
      </c>
      <c r="EH100" s="710" t="s">
        <v>410</v>
      </c>
      <c r="EI100" s="901" t="s">
        <v>410</v>
      </c>
      <c r="EJ100" s="710" t="s">
        <v>410</v>
      </c>
      <c r="EK100" s="710" t="s">
        <v>410</v>
      </c>
      <c r="EL100" s="901" t="s">
        <v>410</v>
      </c>
      <c r="EM100" s="710" t="s">
        <v>410</v>
      </c>
      <c r="EN100" s="710" t="s">
        <v>410</v>
      </c>
      <c r="EO100" s="901" t="s">
        <v>410</v>
      </c>
      <c r="EP100" s="710" t="s">
        <v>410</v>
      </c>
      <c r="EQ100" s="710" t="s">
        <v>410</v>
      </c>
      <c r="ER100" s="901" t="s">
        <v>410</v>
      </c>
      <c r="ES100" s="710" t="s">
        <v>410</v>
      </c>
      <c r="ET100" s="710" t="s">
        <v>410</v>
      </c>
      <c r="EU100" s="901" t="s">
        <v>410</v>
      </c>
      <c r="EV100" s="710" t="s">
        <v>873</v>
      </c>
      <c r="EW100" s="710" t="s">
        <v>874</v>
      </c>
      <c r="EX100" s="901">
        <v>207</v>
      </c>
      <c r="EY100" s="710" t="s">
        <v>389</v>
      </c>
      <c r="EZ100" s="710" t="s">
        <v>410</v>
      </c>
      <c r="FA100" s="710" t="s">
        <v>392</v>
      </c>
      <c r="FB100" s="710" t="s">
        <v>875</v>
      </c>
      <c r="FC100" s="985" t="s">
        <v>876</v>
      </c>
      <c r="FD100" s="710" t="s">
        <v>410</v>
      </c>
      <c r="FE100" s="710" t="s">
        <v>410</v>
      </c>
      <c r="FF100" s="710" t="s">
        <v>410</v>
      </c>
      <c r="FG100" s="710" t="s">
        <v>410</v>
      </c>
      <c r="FH100" s="710" t="s">
        <v>877</v>
      </c>
      <c r="FI100" s="710">
        <v>30</v>
      </c>
      <c r="FJ100" s="710">
        <v>837</v>
      </c>
      <c r="FK100" s="710" t="s">
        <v>878</v>
      </c>
      <c r="FL100" s="710" t="s">
        <v>879</v>
      </c>
      <c r="FM100" s="985" t="s">
        <v>880</v>
      </c>
      <c r="FN100" s="710" t="s">
        <v>410</v>
      </c>
      <c r="FO100" s="710" t="s">
        <v>410</v>
      </c>
      <c r="FP100" s="986" t="s">
        <v>410</v>
      </c>
    </row>
    <row r="101" spans="2:172" ht="81" customHeight="1">
      <c r="B101" s="863"/>
      <c r="C101" s="863"/>
      <c r="D101" s="863"/>
      <c r="E101" s="863"/>
      <c r="F101" s="863"/>
      <c r="I101" s="850" t="s">
        <v>5518</v>
      </c>
      <c r="J101" s="850" t="s">
        <v>5434</v>
      </c>
      <c r="K101" s="710" t="s">
        <v>240</v>
      </c>
      <c r="L101" s="710"/>
      <c r="M101" s="710"/>
      <c r="N101" s="710"/>
      <c r="O101" s="895"/>
      <c r="P101" s="896"/>
      <c r="Q101" s="896"/>
      <c r="R101" s="712">
        <f t="shared" si="42"/>
        <v>0</v>
      </c>
      <c r="S101" s="710"/>
      <c r="T101" s="710"/>
      <c r="U101" s="710"/>
      <c r="V101" s="710"/>
      <c r="W101" s="710"/>
      <c r="X101" s="710"/>
      <c r="Y101" s="710"/>
      <c r="Z101" s="710"/>
      <c r="AA101" s="710"/>
      <c r="AB101" s="710"/>
      <c r="AC101" s="710"/>
      <c r="AD101" s="710"/>
      <c r="AE101" s="710"/>
      <c r="AF101" s="710"/>
      <c r="AG101" s="710"/>
      <c r="AH101" s="898"/>
      <c r="AI101" s="868">
        <f t="shared" si="24"/>
        <v>0</v>
      </c>
      <c r="AJ101" s="867">
        <f t="shared" si="25"/>
        <v>0</v>
      </c>
      <c r="AK101" s="898"/>
      <c r="AL101" s="899"/>
      <c r="AM101" s="899"/>
      <c r="AN101" s="869" t="e">
        <f t="shared" si="26"/>
        <v>#DIV/0!</v>
      </c>
      <c r="AO101" s="869" t="e">
        <f t="shared" si="27"/>
        <v>#DIV/0!</v>
      </c>
      <c r="AP101" s="899"/>
      <c r="AQ101" s="899"/>
      <c r="AR101" s="899"/>
      <c r="AS101" s="869" t="e">
        <f t="shared" si="28"/>
        <v>#DIV/0!</v>
      </c>
      <c r="AT101" s="869" t="e">
        <f t="shared" si="29"/>
        <v>#DIV/0!</v>
      </c>
      <c r="AU101" s="898"/>
      <c r="AV101" s="899"/>
      <c r="AW101" s="869" t="e">
        <f t="shared" si="30"/>
        <v>#DIV/0!</v>
      </c>
      <c r="AX101" s="869" t="e">
        <f t="shared" si="31"/>
        <v>#DIV/0!</v>
      </c>
      <c r="AY101" s="898"/>
      <c r="AZ101" s="899"/>
      <c r="BA101" s="869" t="e">
        <f t="shared" si="32"/>
        <v>#DIV/0!</v>
      </c>
      <c r="BB101" s="869" t="e">
        <f t="shared" si="33"/>
        <v>#DIV/0!</v>
      </c>
      <c r="BC101" s="898"/>
      <c r="BD101" s="899"/>
      <c r="BE101" s="869" t="e">
        <f t="shared" si="34"/>
        <v>#DIV/0!</v>
      </c>
      <c r="BF101" s="869" t="e">
        <f>BD101-BE101</f>
        <v>#DIV/0!</v>
      </c>
      <c r="BG101" s="898"/>
      <c r="BH101" s="899"/>
      <c r="BI101" s="710"/>
      <c r="BJ101" s="710"/>
      <c r="BK101" s="710"/>
      <c r="BL101" s="714" t="e">
        <f t="shared" si="36"/>
        <v>#DIV/0!</v>
      </c>
      <c r="BM101" s="869" t="e">
        <f t="shared" si="37"/>
        <v>#DIV/0!</v>
      </c>
      <c r="BN101" s="898"/>
      <c r="BO101" s="899"/>
      <c r="BP101" s="869" t="e">
        <f t="shared" si="38"/>
        <v>#DIV/0!</v>
      </c>
      <c r="BQ101" s="869" t="e">
        <f t="shared" si="39"/>
        <v>#DIV/0!</v>
      </c>
      <c r="BR101" s="898"/>
      <c r="BS101" s="899"/>
      <c r="BT101" s="899"/>
      <c r="BU101" s="899"/>
      <c r="BV101" s="901"/>
      <c r="BW101" s="901"/>
      <c r="BX101" s="901"/>
      <c r="BY101" s="901"/>
      <c r="BZ101" s="901"/>
      <c r="CA101" s="901"/>
      <c r="CB101" s="901"/>
      <c r="CC101" s="901"/>
      <c r="CD101" s="901"/>
      <c r="CE101" s="901"/>
      <c r="CF101" s="901"/>
      <c r="CG101" s="901"/>
      <c r="CH101" s="901"/>
      <c r="CI101" s="901"/>
      <c r="CJ101" s="901"/>
      <c r="CK101" s="901"/>
      <c r="CL101" s="901"/>
      <c r="CM101" s="901"/>
      <c r="CN101" s="901"/>
      <c r="CO101" s="901"/>
      <c r="CP101" s="901"/>
      <c r="CQ101" s="901"/>
      <c r="CR101" s="901"/>
      <c r="CS101" s="902"/>
      <c r="CT101" s="871">
        <f t="shared" si="40"/>
        <v>0</v>
      </c>
      <c r="CU101" s="871">
        <f t="shared" si="41"/>
        <v>0</v>
      </c>
      <c r="CV101" s="942"/>
      <c r="CW101" s="710"/>
      <c r="CX101" s="710"/>
      <c r="CY101" s="899"/>
      <c r="CZ101" s="710"/>
      <c r="DA101" s="710"/>
      <c r="DB101" s="710"/>
      <c r="DC101" s="710"/>
      <c r="DD101" s="710"/>
      <c r="DE101" s="901"/>
      <c r="DF101" s="901"/>
      <c r="DG101" s="710"/>
      <c r="DH101" s="710"/>
      <c r="DI101" s="901"/>
      <c r="DJ101" s="710"/>
      <c r="DK101" s="710"/>
      <c r="DL101" s="901"/>
      <c r="DM101" s="710"/>
      <c r="DN101" s="710"/>
      <c r="DO101" s="901"/>
      <c r="DP101" s="710"/>
      <c r="DQ101" s="710"/>
      <c r="DR101" s="901"/>
      <c r="DS101" s="710"/>
      <c r="DT101" s="710"/>
      <c r="DU101" s="901"/>
      <c r="DV101" s="710"/>
      <c r="DW101" s="710"/>
      <c r="DX101" s="901"/>
      <c r="DY101" s="710"/>
      <c r="DZ101" s="710"/>
      <c r="EA101" s="901"/>
      <c r="EB101" s="710"/>
      <c r="EC101" s="710"/>
      <c r="ED101" s="901"/>
      <c r="EE101" s="710"/>
      <c r="EF101" s="710"/>
      <c r="EG101" s="901"/>
      <c r="EH101" s="710"/>
      <c r="EI101" s="710"/>
      <c r="EJ101" s="901"/>
      <c r="EK101" s="710"/>
      <c r="EL101" s="710"/>
      <c r="EM101" s="901"/>
      <c r="EN101" s="710"/>
      <c r="EO101" s="710"/>
      <c r="EP101" s="901"/>
      <c r="EQ101" s="710"/>
      <c r="ER101" s="710"/>
      <c r="ES101" s="901"/>
      <c r="ET101" s="710"/>
      <c r="EU101" s="710"/>
      <c r="EV101" s="860"/>
      <c r="EW101" s="710"/>
      <c r="EX101" s="710"/>
      <c r="EY101" s="710"/>
      <c r="EZ101" s="710"/>
      <c r="FA101" s="710"/>
      <c r="FB101" s="710"/>
      <c r="FC101" s="710"/>
      <c r="FD101" s="710"/>
      <c r="FE101" s="710"/>
      <c r="FF101" s="710"/>
      <c r="FG101" s="710"/>
      <c r="FH101" s="710"/>
      <c r="FI101" s="710"/>
      <c r="FJ101" s="949"/>
      <c r="FK101" s="949"/>
      <c r="FL101" s="949"/>
      <c r="FM101" s="949"/>
      <c r="FN101" s="949"/>
      <c r="FO101" s="949"/>
      <c r="FP101" s="949"/>
    </row>
    <row r="102" spans="2:172" ht="95.5" customHeight="1">
      <c r="B102" s="850" t="s">
        <v>5315</v>
      </c>
      <c r="C102" s="850" t="s">
        <v>5345</v>
      </c>
      <c r="D102" s="850" t="s">
        <v>4934</v>
      </c>
      <c r="E102" s="850" t="s">
        <v>5314</v>
      </c>
      <c r="F102" s="863"/>
      <c r="H102" s="850" t="s">
        <v>4934</v>
      </c>
      <c r="I102" s="850" t="s">
        <v>5518</v>
      </c>
      <c r="J102" s="850" t="s">
        <v>5434</v>
      </c>
      <c r="K102" s="710" t="s">
        <v>240</v>
      </c>
      <c r="L102" s="710" t="s">
        <v>5284</v>
      </c>
      <c r="M102" s="710" t="s">
        <v>2909</v>
      </c>
      <c r="N102" s="710" t="s">
        <v>5285</v>
      </c>
      <c r="O102" s="895">
        <v>2006</v>
      </c>
      <c r="P102" s="896">
        <v>43506</v>
      </c>
      <c r="Q102" s="896">
        <v>43784</v>
      </c>
      <c r="R102" s="712">
        <f t="shared" si="42"/>
        <v>278</v>
      </c>
      <c r="S102" s="896"/>
      <c r="T102" s="896"/>
      <c r="U102" s="896"/>
      <c r="V102" s="896"/>
      <c r="W102" s="896"/>
      <c r="X102" s="896"/>
      <c r="Y102" s="896"/>
      <c r="Z102" s="896"/>
      <c r="AA102" s="896"/>
      <c r="AB102" s="710" t="s">
        <v>5286</v>
      </c>
      <c r="AC102" s="710" t="s">
        <v>5287</v>
      </c>
      <c r="AD102" s="710" t="s">
        <v>2910</v>
      </c>
      <c r="AE102" s="710" t="s">
        <v>2910</v>
      </c>
      <c r="AF102" s="710" t="s">
        <v>2911</v>
      </c>
      <c r="AG102" s="710" t="s">
        <v>2912</v>
      </c>
      <c r="AH102" s="898">
        <v>70.174999999999997</v>
      </c>
      <c r="AI102" s="868">
        <f>AK102+AU102+AY102+BC102+BG102+AP102+BN102</f>
        <v>70.174999999999997</v>
      </c>
      <c r="AJ102" s="867">
        <f t="shared" si="25"/>
        <v>0</v>
      </c>
      <c r="AK102" s="898"/>
      <c r="AL102" s="898"/>
      <c r="AM102" s="898"/>
      <c r="AN102" s="869">
        <f t="shared" si="26"/>
        <v>0</v>
      </c>
      <c r="AO102" s="869">
        <f t="shared" si="27"/>
        <v>0</v>
      </c>
      <c r="AP102" s="898"/>
      <c r="AQ102" s="899"/>
      <c r="AR102" s="899"/>
      <c r="AS102" s="869">
        <f t="shared" si="28"/>
        <v>0</v>
      </c>
      <c r="AT102" s="869">
        <f t="shared" si="29"/>
        <v>0</v>
      </c>
      <c r="AU102" s="898">
        <v>25</v>
      </c>
      <c r="AV102" s="899">
        <v>0.35620000000000002</v>
      </c>
      <c r="AW102" s="869">
        <f t="shared" si="30"/>
        <v>0.35625222657641614</v>
      </c>
      <c r="AX102" s="869">
        <f t="shared" si="31"/>
        <v>-5.2226576416125603E-5</v>
      </c>
      <c r="AY102" s="898">
        <v>45.174999999999997</v>
      </c>
      <c r="AZ102" s="899">
        <v>0.64380000000000004</v>
      </c>
      <c r="BA102" s="869">
        <f t="shared" si="32"/>
        <v>0.64374777342358391</v>
      </c>
      <c r="BB102" s="869">
        <f t="shared" si="33"/>
        <v>5.2226576416125603E-5</v>
      </c>
      <c r="BC102" s="898"/>
      <c r="BD102" s="899"/>
      <c r="BE102" s="869">
        <f t="shared" si="34"/>
        <v>0</v>
      </c>
      <c r="BF102" s="869">
        <f>BD102-BE102</f>
        <v>0</v>
      </c>
      <c r="BG102" s="899"/>
      <c r="BH102" s="899"/>
      <c r="BI102" s="899"/>
      <c r="BJ102" s="899"/>
      <c r="BK102" s="899"/>
      <c r="BL102" s="714">
        <f t="shared" si="36"/>
        <v>0</v>
      </c>
      <c r="BM102" s="869">
        <f t="shared" si="37"/>
        <v>0</v>
      </c>
      <c r="BN102" s="898"/>
      <c r="BO102" s="899"/>
      <c r="BP102" s="869">
        <f t="shared" si="38"/>
        <v>0</v>
      </c>
      <c r="BQ102" s="869">
        <f t="shared" si="39"/>
        <v>0</v>
      </c>
      <c r="BR102" s="899"/>
      <c r="BS102" s="899"/>
      <c r="BT102" s="898">
        <v>25</v>
      </c>
      <c r="BU102" s="899"/>
      <c r="BV102" s="901">
        <v>283</v>
      </c>
      <c r="BW102" s="901">
        <v>264</v>
      </c>
      <c r="BX102" s="901">
        <v>129</v>
      </c>
      <c r="BY102" s="901"/>
      <c r="BZ102" s="901">
        <v>2</v>
      </c>
      <c r="CA102" s="901">
        <v>2</v>
      </c>
      <c r="CB102" s="901" t="s">
        <v>410</v>
      </c>
      <c r="CC102" s="901" t="s">
        <v>410</v>
      </c>
      <c r="CD102" s="901">
        <v>12</v>
      </c>
      <c r="CE102" s="901">
        <v>7</v>
      </c>
      <c r="CF102" s="901">
        <v>7</v>
      </c>
      <c r="CG102" s="901">
        <v>29</v>
      </c>
      <c r="CH102" s="901">
        <v>4</v>
      </c>
      <c r="CI102" s="901">
        <v>17</v>
      </c>
      <c r="CJ102" s="901">
        <v>4</v>
      </c>
      <c r="CK102" s="901">
        <v>1</v>
      </c>
      <c r="CL102" s="901">
        <v>1</v>
      </c>
      <c r="CM102" s="901">
        <v>33</v>
      </c>
      <c r="CN102" s="901" t="s">
        <v>410</v>
      </c>
      <c r="CO102" s="901" t="s">
        <v>410</v>
      </c>
      <c r="CP102" s="901" t="s">
        <v>410</v>
      </c>
      <c r="CQ102" s="901">
        <v>10</v>
      </c>
      <c r="CR102" s="901"/>
      <c r="CS102" s="902">
        <v>129</v>
      </c>
      <c r="CT102" s="871">
        <f t="shared" si="40"/>
        <v>129</v>
      </c>
      <c r="CU102" s="871">
        <f t="shared" si="41"/>
        <v>0</v>
      </c>
      <c r="CV102" s="942">
        <v>496.346</v>
      </c>
      <c r="CW102" s="710" t="s">
        <v>5288</v>
      </c>
      <c r="CX102" s="710" t="s">
        <v>279</v>
      </c>
      <c r="CY102" s="710"/>
      <c r="CZ102" s="710"/>
      <c r="DA102" s="710" t="s">
        <v>5289</v>
      </c>
      <c r="DB102" s="899"/>
      <c r="DC102" s="710" t="s">
        <v>279</v>
      </c>
      <c r="DD102" s="710"/>
      <c r="DE102" s="710"/>
      <c r="DF102" s="901"/>
      <c r="DG102" s="901"/>
      <c r="DH102" s="901">
        <v>3</v>
      </c>
      <c r="DI102" s="710" t="s">
        <v>279</v>
      </c>
      <c r="DJ102" s="710"/>
      <c r="DK102" s="901"/>
      <c r="DL102" s="710" t="s">
        <v>279</v>
      </c>
      <c r="DM102" s="710"/>
      <c r="DN102" s="901"/>
      <c r="DO102" s="710" t="s">
        <v>279</v>
      </c>
      <c r="DP102" s="710"/>
      <c r="DQ102" s="901"/>
      <c r="DR102" s="710" t="s">
        <v>279</v>
      </c>
      <c r="DS102" s="710"/>
      <c r="DT102" s="901"/>
      <c r="DU102" s="710" t="s">
        <v>279</v>
      </c>
      <c r="DV102" s="710"/>
      <c r="DW102" s="901"/>
      <c r="DX102" s="710" t="s">
        <v>278</v>
      </c>
      <c r="DY102" s="710" t="s">
        <v>5290</v>
      </c>
      <c r="DZ102" s="901">
        <v>283</v>
      </c>
      <c r="EA102" s="710" t="s">
        <v>279</v>
      </c>
      <c r="EB102" s="710"/>
      <c r="EC102" s="901"/>
      <c r="ED102" s="710" t="s">
        <v>279</v>
      </c>
      <c r="EE102" s="710"/>
      <c r="EF102" s="901"/>
      <c r="EG102" s="710" t="s">
        <v>279</v>
      </c>
      <c r="EH102" s="710"/>
      <c r="EI102" s="901"/>
      <c r="EJ102" s="710" t="s">
        <v>279</v>
      </c>
      <c r="EK102" s="710"/>
      <c r="EL102" s="901"/>
      <c r="EM102" s="710" t="s">
        <v>279</v>
      </c>
      <c r="EN102" s="710"/>
      <c r="EO102" s="901"/>
      <c r="EP102" s="710" t="s">
        <v>279</v>
      </c>
      <c r="EQ102" s="710"/>
      <c r="ER102" s="901"/>
      <c r="ES102" s="710" t="s">
        <v>278</v>
      </c>
      <c r="ET102" s="710" t="s">
        <v>5291</v>
      </c>
      <c r="EU102" s="901">
        <v>27</v>
      </c>
      <c r="EV102" s="901"/>
      <c r="EW102" s="901"/>
      <c r="EX102" s="901"/>
      <c r="EY102" s="710" t="s">
        <v>279</v>
      </c>
      <c r="EZ102" s="710"/>
      <c r="FA102" s="710" t="s">
        <v>279</v>
      </c>
      <c r="FB102" s="710"/>
      <c r="FC102" s="710" t="s">
        <v>2913</v>
      </c>
      <c r="FD102" s="710"/>
      <c r="FE102" s="987" t="s">
        <v>5292</v>
      </c>
      <c r="FF102" s="710" t="s">
        <v>5293</v>
      </c>
      <c r="FG102" s="710" t="s">
        <v>5294</v>
      </c>
      <c r="FH102" s="710" t="s">
        <v>2914</v>
      </c>
      <c r="FI102" s="710">
        <v>3</v>
      </c>
      <c r="FJ102" s="710">
        <v>429</v>
      </c>
      <c r="FK102" s="710" t="s">
        <v>5295</v>
      </c>
      <c r="FL102" s="710" t="s">
        <v>2915</v>
      </c>
      <c r="FM102" s="987" t="s">
        <v>2916</v>
      </c>
      <c r="FN102" s="710"/>
      <c r="FO102" s="710"/>
      <c r="FP102" s="710"/>
    </row>
    <row r="103" spans="2:172" ht="108" customHeight="1">
      <c r="B103" s="850" t="s">
        <v>5313</v>
      </c>
      <c r="C103" s="863"/>
      <c r="D103" s="850" t="s">
        <v>4933</v>
      </c>
      <c r="E103" s="850" t="s">
        <v>5314</v>
      </c>
      <c r="F103" s="850" t="s">
        <v>694</v>
      </c>
      <c r="G103" s="850" t="s">
        <v>4933</v>
      </c>
      <c r="I103" s="850" t="s">
        <v>5520</v>
      </c>
      <c r="J103" s="850" t="s">
        <v>5435</v>
      </c>
      <c r="K103" s="710" t="s">
        <v>241</v>
      </c>
      <c r="L103" s="710"/>
      <c r="M103" s="710" t="s">
        <v>1121</v>
      </c>
      <c r="N103" s="710" t="s">
        <v>1122</v>
      </c>
      <c r="O103" s="895">
        <v>2017</v>
      </c>
      <c r="P103" s="896">
        <v>43327</v>
      </c>
      <c r="Q103" s="896">
        <v>43830</v>
      </c>
      <c r="R103" s="712">
        <f t="shared" si="42"/>
        <v>503</v>
      </c>
      <c r="S103" s="895" t="s">
        <v>1849</v>
      </c>
      <c r="T103" s="710" t="s">
        <v>1123</v>
      </c>
      <c r="U103" s="861" t="s">
        <v>1124</v>
      </c>
      <c r="V103" s="710"/>
      <c r="W103" s="710"/>
      <c r="X103" s="710" t="s">
        <v>1125</v>
      </c>
      <c r="Y103" s="861" t="s">
        <v>1126</v>
      </c>
      <c r="Z103" s="710" t="s">
        <v>1127</v>
      </c>
      <c r="AA103" s="710" t="s">
        <v>1128</v>
      </c>
      <c r="AB103" s="710"/>
      <c r="AC103" s="710"/>
      <c r="AD103" s="710" t="s">
        <v>1129</v>
      </c>
      <c r="AE103" s="710" t="s">
        <v>1130</v>
      </c>
      <c r="AF103" s="710" t="s">
        <v>1131</v>
      </c>
      <c r="AG103" s="710" t="s">
        <v>1132</v>
      </c>
      <c r="AH103" s="898">
        <f>AK103+AU103+AY103+BC103</f>
        <v>101.6</v>
      </c>
      <c r="AI103" s="868">
        <f t="shared" si="24"/>
        <v>101.6</v>
      </c>
      <c r="AJ103" s="867">
        <f t="shared" si="25"/>
        <v>0</v>
      </c>
      <c r="AK103" s="898">
        <v>70</v>
      </c>
      <c r="AL103" s="899">
        <f>AK103/AH103</f>
        <v>0.6889763779527559</v>
      </c>
      <c r="AM103" s="899">
        <v>6.9999999999999999E-4</v>
      </c>
      <c r="AN103" s="869">
        <f t="shared" si="26"/>
        <v>0.6889763779527559</v>
      </c>
      <c r="AO103" s="869">
        <f t="shared" si="27"/>
        <v>0</v>
      </c>
      <c r="AP103" s="899"/>
      <c r="AQ103" s="899"/>
      <c r="AR103" s="899"/>
      <c r="AS103" s="869">
        <f t="shared" si="28"/>
        <v>0</v>
      </c>
      <c r="AT103" s="869">
        <f t="shared" si="29"/>
        <v>0</v>
      </c>
      <c r="AU103" s="898">
        <v>16.600000000000001</v>
      </c>
      <c r="AV103" s="899">
        <f>AU103/AH103</f>
        <v>0.16338582677165356</v>
      </c>
      <c r="AW103" s="869">
        <f t="shared" si="30"/>
        <v>0.16338582677165356</v>
      </c>
      <c r="AX103" s="869">
        <f t="shared" si="31"/>
        <v>0</v>
      </c>
      <c r="AY103" s="898">
        <v>8.1999999999999993</v>
      </c>
      <c r="AZ103" s="899">
        <f>AY103/AH103</f>
        <v>8.070866141732283E-2</v>
      </c>
      <c r="BA103" s="869">
        <f t="shared" si="32"/>
        <v>8.070866141732283E-2</v>
      </c>
      <c r="BB103" s="869">
        <f t="shared" si="33"/>
        <v>0</v>
      </c>
      <c r="BC103" s="898">
        <v>6.8</v>
      </c>
      <c r="BD103" s="899">
        <f>BC103/AH103</f>
        <v>6.6929133858267723E-2</v>
      </c>
      <c r="BE103" s="869">
        <f t="shared" si="34"/>
        <v>6.6929133858267723E-2</v>
      </c>
      <c r="BF103" s="869">
        <f t="shared" si="35"/>
        <v>0</v>
      </c>
      <c r="BG103" s="898">
        <v>0</v>
      </c>
      <c r="BH103" s="899">
        <v>0</v>
      </c>
      <c r="BI103" s="710"/>
      <c r="BJ103" s="710"/>
      <c r="BK103" s="710"/>
      <c r="BL103" s="714">
        <f t="shared" si="36"/>
        <v>0</v>
      </c>
      <c r="BM103" s="869">
        <f t="shared" si="37"/>
        <v>0</v>
      </c>
      <c r="BN103" s="898"/>
      <c r="BO103" s="899"/>
      <c r="BP103" s="869">
        <f t="shared" si="38"/>
        <v>0</v>
      </c>
      <c r="BQ103" s="869">
        <f t="shared" si="39"/>
        <v>0</v>
      </c>
      <c r="BR103" s="898">
        <v>80</v>
      </c>
      <c r="BS103" s="899">
        <v>8.0000000000000004E-4</v>
      </c>
      <c r="BT103" s="899"/>
      <c r="BU103" s="899"/>
      <c r="BV103" s="901"/>
      <c r="BW103" s="901">
        <v>110</v>
      </c>
      <c r="BX103" s="901">
        <v>110</v>
      </c>
      <c r="BY103" s="901">
        <v>11</v>
      </c>
      <c r="BZ103" s="901">
        <v>33</v>
      </c>
      <c r="CA103" s="901">
        <v>1</v>
      </c>
      <c r="CB103" s="901"/>
      <c r="CC103" s="901"/>
      <c r="CD103" s="901">
        <v>3</v>
      </c>
      <c r="CE103" s="901"/>
      <c r="CF103" s="901">
        <v>16</v>
      </c>
      <c r="CG103" s="901">
        <v>7</v>
      </c>
      <c r="CH103" s="901"/>
      <c r="CI103" s="901">
        <v>7</v>
      </c>
      <c r="CJ103" s="901">
        <v>8</v>
      </c>
      <c r="CK103" s="901">
        <v>24</v>
      </c>
      <c r="CL103" s="901"/>
      <c r="CM103" s="901"/>
      <c r="CN103" s="901"/>
      <c r="CO103" s="901"/>
      <c r="CP103" s="901"/>
      <c r="CQ103" s="901"/>
      <c r="CR103" s="901"/>
      <c r="CS103" s="902">
        <f>SUM(BY103:CR103)</f>
        <v>110</v>
      </c>
      <c r="CT103" s="871">
        <f t="shared" si="40"/>
        <v>110</v>
      </c>
      <c r="CU103" s="871">
        <f t="shared" si="41"/>
        <v>0</v>
      </c>
      <c r="CV103" s="942">
        <v>106.551</v>
      </c>
      <c r="CW103" s="710" t="s">
        <v>1133</v>
      </c>
      <c r="CX103" s="710"/>
      <c r="CY103" s="899">
        <v>5.4300000000000001E-2</v>
      </c>
      <c r="CZ103" s="903" t="s">
        <v>1134</v>
      </c>
      <c r="DA103" s="903"/>
      <c r="DB103" s="903"/>
      <c r="DC103" s="710" t="s">
        <v>278</v>
      </c>
      <c r="DD103" s="710" t="s">
        <v>1135</v>
      </c>
      <c r="DE103" s="710" t="s">
        <v>1136</v>
      </c>
      <c r="DF103" s="901">
        <v>9</v>
      </c>
      <c r="DG103" s="901"/>
      <c r="DH103" s="901"/>
      <c r="DI103" s="710" t="s">
        <v>278</v>
      </c>
      <c r="DJ103" s="710" t="s">
        <v>1137</v>
      </c>
      <c r="DK103" s="901">
        <v>28781</v>
      </c>
      <c r="DL103" s="710" t="s">
        <v>278</v>
      </c>
      <c r="DM103" s="710" t="s">
        <v>1138</v>
      </c>
      <c r="DN103" s="901">
        <v>16362</v>
      </c>
      <c r="DO103" s="710" t="s">
        <v>279</v>
      </c>
      <c r="DP103" s="710"/>
      <c r="DQ103" s="901"/>
      <c r="DR103" s="710" t="s">
        <v>279</v>
      </c>
      <c r="DS103" s="710"/>
      <c r="DT103" s="901"/>
      <c r="DU103" s="710" t="s">
        <v>279</v>
      </c>
      <c r="DV103" s="710"/>
      <c r="DW103" s="901"/>
      <c r="DX103" s="710" t="s">
        <v>279</v>
      </c>
      <c r="DY103" s="710"/>
      <c r="DZ103" s="901"/>
      <c r="EA103" s="710" t="s">
        <v>279</v>
      </c>
      <c r="EB103" s="710"/>
      <c r="EC103" s="901"/>
      <c r="ED103" s="710" t="s">
        <v>279</v>
      </c>
      <c r="EE103" s="710"/>
      <c r="EF103" s="901"/>
      <c r="EG103" s="710" t="s">
        <v>279</v>
      </c>
      <c r="EH103" s="710"/>
      <c r="EI103" s="901"/>
      <c r="EJ103" s="710" t="s">
        <v>279</v>
      </c>
      <c r="EK103" s="710"/>
      <c r="EL103" s="901"/>
      <c r="EM103" s="710" t="s">
        <v>278</v>
      </c>
      <c r="EN103" s="901" t="s">
        <v>1139</v>
      </c>
      <c r="EO103" s="901">
        <v>9</v>
      </c>
      <c r="EP103" s="710" t="s">
        <v>278</v>
      </c>
      <c r="EQ103" s="710" t="s">
        <v>1140</v>
      </c>
      <c r="ER103" s="901"/>
      <c r="ES103" s="710" t="s">
        <v>279</v>
      </c>
      <c r="ET103" s="710"/>
      <c r="EU103" s="901"/>
      <c r="EV103" s="904">
        <v>0.94</v>
      </c>
      <c r="EW103" s="710" t="s">
        <v>1141</v>
      </c>
      <c r="EX103" s="710">
        <v>97</v>
      </c>
      <c r="EY103" s="710" t="s">
        <v>278</v>
      </c>
      <c r="EZ103" s="710" t="s">
        <v>1142</v>
      </c>
      <c r="FA103" s="710" t="s">
        <v>278</v>
      </c>
      <c r="FB103" s="710" t="s">
        <v>1143</v>
      </c>
      <c r="FC103" s="861" t="s">
        <v>1144</v>
      </c>
      <c r="FD103" s="710" t="s">
        <v>1145</v>
      </c>
      <c r="FE103" s="988" t="s">
        <v>1146</v>
      </c>
      <c r="FF103" s="710" t="s">
        <v>1147</v>
      </c>
      <c r="FG103" s="710"/>
      <c r="FH103" s="710" t="s">
        <v>1148</v>
      </c>
      <c r="FI103" s="710">
        <v>13</v>
      </c>
      <c r="FJ103" s="901">
        <v>1500</v>
      </c>
      <c r="FK103" s="710" t="s">
        <v>1149</v>
      </c>
      <c r="FL103" s="710" t="s">
        <v>1150</v>
      </c>
      <c r="FM103" s="861" t="s">
        <v>1151</v>
      </c>
      <c r="FN103" s="710"/>
      <c r="FO103" s="710"/>
      <c r="FP103" s="710"/>
    </row>
    <row r="104" spans="2:172" ht="117" customHeight="1">
      <c r="B104" s="850" t="s">
        <v>5313</v>
      </c>
      <c r="C104" s="863"/>
      <c r="D104" s="850" t="s">
        <v>4934</v>
      </c>
      <c r="E104" s="850" t="s">
        <v>5314</v>
      </c>
      <c r="F104" s="863"/>
      <c r="H104" s="850" t="s">
        <v>4934</v>
      </c>
      <c r="I104" s="850" t="s">
        <v>5520</v>
      </c>
      <c r="J104" s="850" t="s">
        <v>5435</v>
      </c>
      <c r="K104" s="710" t="s">
        <v>241</v>
      </c>
      <c r="L104" s="710" t="s">
        <v>2917</v>
      </c>
      <c r="M104" s="710" t="s">
        <v>2931</v>
      </c>
      <c r="N104" s="710" t="s">
        <v>2931</v>
      </c>
      <c r="O104" s="895">
        <v>2017</v>
      </c>
      <c r="P104" s="896">
        <v>43650</v>
      </c>
      <c r="Q104" s="896">
        <v>43733</v>
      </c>
      <c r="R104" s="712">
        <f t="shared" si="42"/>
        <v>83</v>
      </c>
      <c r="S104" s="896"/>
      <c r="T104" s="896"/>
      <c r="U104" s="896"/>
      <c r="V104" s="896"/>
      <c r="W104" s="896"/>
      <c r="X104" s="896"/>
      <c r="Y104" s="896"/>
      <c r="Z104" s="896"/>
      <c r="AA104" s="896"/>
      <c r="AB104" s="710" t="s">
        <v>2936</v>
      </c>
      <c r="AC104" s="861" t="s">
        <v>2950</v>
      </c>
      <c r="AD104" s="710" t="s">
        <v>2960</v>
      </c>
      <c r="AE104" s="710" t="s">
        <v>2960</v>
      </c>
      <c r="AF104" s="710" t="s">
        <v>766</v>
      </c>
      <c r="AG104" s="710" t="s">
        <v>2982</v>
      </c>
      <c r="AH104" s="898">
        <v>0.36299999999999999</v>
      </c>
      <c r="AI104" s="868">
        <f t="shared" si="24"/>
        <v>0.36330000000000001</v>
      </c>
      <c r="AJ104" s="867">
        <f t="shared" si="25"/>
        <v>3.0000000000002247E-4</v>
      </c>
      <c r="AK104" s="898"/>
      <c r="AL104" s="898"/>
      <c r="AM104" s="898"/>
      <c r="AN104" s="869">
        <f t="shared" si="26"/>
        <v>0</v>
      </c>
      <c r="AO104" s="869">
        <f t="shared" si="27"/>
        <v>0</v>
      </c>
      <c r="AP104" s="898"/>
      <c r="AQ104" s="899"/>
      <c r="AR104" s="899">
        <v>5.9999999999999995E-4</v>
      </c>
      <c r="AS104" s="869">
        <f t="shared" si="28"/>
        <v>0</v>
      </c>
      <c r="AT104" s="869">
        <f t="shared" si="29"/>
        <v>0</v>
      </c>
      <c r="AU104" s="942">
        <v>0.33</v>
      </c>
      <c r="AV104" s="899">
        <v>0.90909090909090917</v>
      </c>
      <c r="AW104" s="869">
        <f t="shared" si="30"/>
        <v>0.90909090909090917</v>
      </c>
      <c r="AX104" s="869">
        <f t="shared" si="31"/>
        <v>0</v>
      </c>
      <c r="AY104" s="898">
        <v>1.6199999999999999E-2</v>
      </c>
      <c r="AZ104" s="899">
        <f>AY104/AH104</f>
        <v>4.4628099173553717E-2</v>
      </c>
      <c r="BA104" s="869">
        <f t="shared" si="32"/>
        <v>4.4628099173553717E-2</v>
      </c>
      <c r="BB104" s="869">
        <f t="shared" si="33"/>
        <v>0</v>
      </c>
      <c r="BC104" s="898">
        <v>1.7100000000000001E-2</v>
      </c>
      <c r="BD104" s="899">
        <f>BC104/AH104</f>
        <v>4.7107438016528926E-2</v>
      </c>
      <c r="BE104" s="869">
        <f t="shared" si="34"/>
        <v>4.7107438016528926E-2</v>
      </c>
      <c r="BF104" s="869">
        <f t="shared" si="35"/>
        <v>0</v>
      </c>
      <c r="BG104" s="899"/>
      <c r="BH104" s="899"/>
      <c r="BI104" s="899"/>
      <c r="BJ104" s="899"/>
      <c r="BK104" s="899"/>
      <c r="BL104" s="714">
        <f t="shared" si="36"/>
        <v>0</v>
      </c>
      <c r="BM104" s="869">
        <f t="shared" si="37"/>
        <v>0</v>
      </c>
      <c r="BN104" s="898"/>
      <c r="BO104" s="899"/>
      <c r="BP104" s="869">
        <f t="shared" si="38"/>
        <v>0</v>
      </c>
      <c r="BQ104" s="869">
        <f t="shared" si="39"/>
        <v>0</v>
      </c>
      <c r="BR104" s="899"/>
      <c r="BS104" s="899"/>
      <c r="BT104" s="898">
        <v>0.6</v>
      </c>
      <c r="BU104" s="899">
        <v>1.1000000000000001E-3</v>
      </c>
      <c r="BV104" s="901">
        <v>1</v>
      </c>
      <c r="BW104" s="901">
        <v>1</v>
      </c>
      <c r="BX104" s="901">
        <v>1</v>
      </c>
      <c r="BY104" s="901"/>
      <c r="BZ104" s="901"/>
      <c r="CA104" s="901"/>
      <c r="CB104" s="901"/>
      <c r="CC104" s="901"/>
      <c r="CD104" s="901"/>
      <c r="CE104" s="901"/>
      <c r="CF104" s="901">
        <v>1</v>
      </c>
      <c r="CG104" s="901"/>
      <c r="CH104" s="901"/>
      <c r="CI104" s="901"/>
      <c r="CJ104" s="901"/>
      <c r="CK104" s="901"/>
      <c r="CL104" s="901"/>
      <c r="CM104" s="901"/>
      <c r="CN104" s="901"/>
      <c r="CO104" s="901"/>
      <c r="CP104" s="901"/>
      <c r="CQ104" s="901"/>
      <c r="CR104" s="901"/>
      <c r="CS104" s="902">
        <f>SUM(BY104:CR104)</f>
        <v>1</v>
      </c>
      <c r="CT104" s="871">
        <f t="shared" si="40"/>
        <v>1</v>
      </c>
      <c r="CU104" s="871">
        <f t="shared" si="41"/>
        <v>0</v>
      </c>
      <c r="CV104" s="942">
        <v>0.2</v>
      </c>
      <c r="CW104" s="710" t="s">
        <v>2989</v>
      </c>
      <c r="CX104" s="861" t="s">
        <v>2950</v>
      </c>
      <c r="CY104" s="861"/>
      <c r="CZ104" s="861"/>
      <c r="DA104" s="899">
        <v>1.0699999999999999E-2</v>
      </c>
      <c r="DB104" s="903" t="s">
        <v>5696</v>
      </c>
      <c r="DC104" s="710" t="s">
        <v>279</v>
      </c>
      <c r="DD104" s="710"/>
      <c r="DE104" s="710"/>
      <c r="DF104" s="901"/>
      <c r="DG104" s="901"/>
      <c r="DH104" s="901">
        <v>3</v>
      </c>
      <c r="DI104" s="710" t="s">
        <v>279</v>
      </c>
      <c r="DJ104" s="710"/>
      <c r="DK104" s="901"/>
      <c r="DL104" s="710" t="s">
        <v>278</v>
      </c>
      <c r="DM104" s="710" t="s">
        <v>2673</v>
      </c>
      <c r="DN104" s="901">
        <v>135</v>
      </c>
      <c r="DO104" s="710" t="s">
        <v>279</v>
      </c>
      <c r="DP104" s="710"/>
      <c r="DQ104" s="901"/>
      <c r="DR104" s="710" t="s">
        <v>279</v>
      </c>
      <c r="DS104" s="710"/>
      <c r="DT104" s="901"/>
      <c r="DU104" s="710" t="s">
        <v>279</v>
      </c>
      <c r="DV104" s="710"/>
      <c r="DW104" s="901"/>
      <c r="DX104" s="710" t="s">
        <v>279</v>
      </c>
      <c r="DY104" s="710"/>
      <c r="DZ104" s="901"/>
      <c r="EA104" s="710" t="s">
        <v>279</v>
      </c>
      <c r="EB104" s="710"/>
      <c r="EC104" s="901"/>
      <c r="ED104" s="710" t="s">
        <v>278</v>
      </c>
      <c r="EE104" s="710" t="s">
        <v>2673</v>
      </c>
      <c r="EF104" s="901">
        <v>135</v>
      </c>
      <c r="EG104" s="710" t="s">
        <v>279</v>
      </c>
      <c r="EH104" s="710"/>
      <c r="EI104" s="901"/>
      <c r="EJ104" s="710" t="s">
        <v>279</v>
      </c>
      <c r="EK104" s="710"/>
      <c r="EL104" s="901"/>
      <c r="EM104" s="710" t="s">
        <v>278</v>
      </c>
      <c r="EN104" s="710" t="s">
        <v>1685</v>
      </c>
      <c r="EO104" s="901">
        <v>5</v>
      </c>
      <c r="EP104" s="710" t="s">
        <v>279</v>
      </c>
      <c r="EQ104" s="710"/>
      <c r="ER104" s="901"/>
      <c r="ES104" s="710" t="s">
        <v>279</v>
      </c>
      <c r="ET104" s="710"/>
      <c r="EU104" s="901"/>
      <c r="EV104" s="901"/>
      <c r="EW104" s="901"/>
      <c r="EX104" s="901"/>
      <c r="EY104" s="710" t="s">
        <v>279</v>
      </c>
      <c r="EZ104" s="710"/>
      <c r="FA104" s="710" t="s">
        <v>279</v>
      </c>
      <c r="FB104" s="710"/>
      <c r="FC104" s="940" t="s">
        <v>3039</v>
      </c>
      <c r="FD104" s="940"/>
      <c r="FE104" s="710"/>
      <c r="FF104" s="710" t="s">
        <v>3050</v>
      </c>
      <c r="FG104" s="710"/>
      <c r="FH104" s="710" t="s">
        <v>3063</v>
      </c>
      <c r="FI104" s="710">
        <v>6</v>
      </c>
      <c r="FJ104" s="710">
        <v>15</v>
      </c>
      <c r="FK104" s="710" t="s">
        <v>3075</v>
      </c>
      <c r="FL104" s="710">
        <v>83534531297</v>
      </c>
      <c r="FM104" s="710" t="s">
        <v>3101</v>
      </c>
      <c r="FN104" s="710"/>
      <c r="FO104" s="710"/>
      <c r="FP104" s="710"/>
    </row>
    <row r="105" spans="2:172" ht="130.5" customHeight="1">
      <c r="B105" s="850" t="s">
        <v>5313</v>
      </c>
      <c r="C105" s="863"/>
      <c r="D105" s="850" t="s">
        <v>4934</v>
      </c>
      <c r="E105" s="850" t="s">
        <v>5314</v>
      </c>
      <c r="F105" s="863"/>
      <c r="H105" s="850" t="s">
        <v>4934</v>
      </c>
      <c r="I105" s="850" t="s">
        <v>5520</v>
      </c>
      <c r="J105" s="850" t="s">
        <v>5435</v>
      </c>
      <c r="K105" s="710" t="s">
        <v>241</v>
      </c>
      <c r="L105" s="710" t="s">
        <v>2918</v>
      </c>
      <c r="M105" s="710" t="s">
        <v>2932</v>
      </c>
      <c r="N105" s="710" t="s">
        <v>626</v>
      </c>
      <c r="O105" s="710">
        <v>2017</v>
      </c>
      <c r="P105" s="939">
        <v>43474</v>
      </c>
      <c r="Q105" s="896">
        <v>43830</v>
      </c>
      <c r="R105" s="712">
        <f t="shared" si="42"/>
        <v>356</v>
      </c>
      <c r="S105" s="710"/>
      <c r="T105" s="710"/>
      <c r="U105" s="710"/>
      <c r="V105" s="710"/>
      <c r="W105" s="710"/>
      <c r="X105" s="710"/>
      <c r="Y105" s="710"/>
      <c r="Z105" s="710"/>
      <c r="AA105" s="710"/>
      <c r="AB105" s="710" t="s">
        <v>2937</v>
      </c>
      <c r="AC105" s="855" t="s">
        <v>2951</v>
      </c>
      <c r="AD105" s="710" t="s">
        <v>2961</v>
      </c>
      <c r="AE105" s="710" t="s">
        <v>2961</v>
      </c>
      <c r="AF105" s="710" t="s">
        <v>2976</v>
      </c>
      <c r="AG105" s="710" t="s">
        <v>2983</v>
      </c>
      <c r="AH105" s="710">
        <v>0.16</v>
      </c>
      <c r="AI105" s="868">
        <f t="shared" si="24"/>
        <v>0.16</v>
      </c>
      <c r="AJ105" s="867">
        <f t="shared" si="25"/>
        <v>0</v>
      </c>
      <c r="AK105" s="710"/>
      <c r="AL105" s="710"/>
      <c r="AM105" s="710"/>
      <c r="AN105" s="869">
        <f t="shared" si="26"/>
        <v>0</v>
      </c>
      <c r="AO105" s="869">
        <f t="shared" si="27"/>
        <v>0</v>
      </c>
      <c r="AP105" s="710"/>
      <c r="AQ105" s="904"/>
      <c r="AR105" s="899">
        <v>2.9999999999999997E-4</v>
      </c>
      <c r="AS105" s="869">
        <f t="shared" si="28"/>
        <v>0</v>
      </c>
      <c r="AT105" s="869">
        <f t="shared" si="29"/>
        <v>0</v>
      </c>
      <c r="AU105" s="942">
        <v>0.13</v>
      </c>
      <c r="AV105" s="899">
        <v>0.8125</v>
      </c>
      <c r="AW105" s="869">
        <f t="shared" si="30"/>
        <v>0.8125</v>
      </c>
      <c r="AX105" s="869">
        <f t="shared" si="31"/>
        <v>0</v>
      </c>
      <c r="AY105" s="710">
        <v>5.0000000000000001E-3</v>
      </c>
      <c r="AZ105" s="899">
        <f>AY105/AH105</f>
        <v>3.125E-2</v>
      </c>
      <c r="BA105" s="869">
        <f t="shared" si="32"/>
        <v>3.125E-2</v>
      </c>
      <c r="BB105" s="869">
        <f t="shared" si="33"/>
        <v>0</v>
      </c>
      <c r="BC105" s="710">
        <v>2.5000000000000001E-2</v>
      </c>
      <c r="BD105" s="904">
        <f>BC105/AH105</f>
        <v>0.15625</v>
      </c>
      <c r="BE105" s="869">
        <f t="shared" si="34"/>
        <v>0.15625</v>
      </c>
      <c r="BF105" s="869">
        <f t="shared" si="35"/>
        <v>0</v>
      </c>
      <c r="BG105" s="904"/>
      <c r="BH105" s="904"/>
      <c r="BI105" s="904"/>
      <c r="BJ105" s="904"/>
      <c r="BK105" s="904"/>
      <c r="BL105" s="714">
        <f t="shared" si="36"/>
        <v>0</v>
      </c>
      <c r="BM105" s="869">
        <f t="shared" si="37"/>
        <v>0</v>
      </c>
      <c r="BN105" s="965"/>
      <c r="BO105" s="710"/>
      <c r="BP105" s="869">
        <f t="shared" si="38"/>
        <v>0</v>
      </c>
      <c r="BQ105" s="869">
        <f t="shared" si="39"/>
        <v>0</v>
      </c>
      <c r="BR105" s="710"/>
      <c r="BS105" s="710"/>
      <c r="BT105" s="965">
        <v>0.5</v>
      </c>
      <c r="BU105" s="899">
        <v>1E-3</v>
      </c>
      <c r="BV105" s="710">
        <v>2</v>
      </c>
      <c r="BW105" s="710">
        <v>1</v>
      </c>
      <c r="BX105" s="710">
        <v>1</v>
      </c>
      <c r="BY105" s="948"/>
      <c r="BZ105" s="948"/>
      <c r="CA105" s="948"/>
      <c r="CB105" s="948"/>
      <c r="CC105" s="948"/>
      <c r="CD105" s="948"/>
      <c r="CE105" s="948"/>
      <c r="CF105" s="948"/>
      <c r="CG105" s="948"/>
      <c r="CH105" s="948"/>
      <c r="CI105" s="710">
        <v>1</v>
      </c>
      <c r="CJ105" s="948"/>
      <c r="CK105" s="948"/>
      <c r="CL105" s="948"/>
      <c r="CM105" s="948"/>
      <c r="CN105" s="948"/>
      <c r="CO105" s="948"/>
      <c r="CP105" s="948"/>
      <c r="CQ105" s="948"/>
      <c r="CR105" s="948"/>
      <c r="CS105" s="710">
        <f>SUM(BY105:CR105)</f>
        <v>1</v>
      </c>
      <c r="CT105" s="871">
        <f t="shared" si="40"/>
        <v>1</v>
      </c>
      <c r="CU105" s="871">
        <f t="shared" si="41"/>
        <v>0</v>
      </c>
      <c r="CV105" s="989">
        <v>0.1</v>
      </c>
      <c r="CW105" s="710" t="s">
        <v>1031</v>
      </c>
      <c r="CX105" s="710"/>
      <c r="CY105" s="710"/>
      <c r="CZ105" s="710"/>
      <c r="DA105" s="899">
        <v>6.4999999999999997E-3</v>
      </c>
      <c r="DB105" s="710" t="s">
        <v>1134</v>
      </c>
      <c r="DC105" s="710" t="s">
        <v>2999</v>
      </c>
      <c r="DD105" s="710"/>
      <c r="DE105" s="710"/>
      <c r="DF105" s="710">
        <v>0</v>
      </c>
      <c r="DG105" s="710">
        <v>0</v>
      </c>
      <c r="DH105" s="710">
        <v>1</v>
      </c>
      <c r="DI105" s="710" t="s">
        <v>3002</v>
      </c>
      <c r="DJ105" s="710"/>
      <c r="DK105" s="710">
        <v>0</v>
      </c>
      <c r="DL105" s="710" t="s">
        <v>579</v>
      </c>
      <c r="DM105" s="710" t="s">
        <v>753</v>
      </c>
      <c r="DN105" s="710">
        <v>20</v>
      </c>
      <c r="DO105" s="710" t="s">
        <v>3002</v>
      </c>
      <c r="DP105" s="710"/>
      <c r="DQ105" s="710">
        <v>0</v>
      </c>
      <c r="DR105" s="710" t="s">
        <v>279</v>
      </c>
      <c r="DS105" s="710"/>
      <c r="DT105" s="710">
        <v>0</v>
      </c>
      <c r="DU105" s="710" t="s">
        <v>3002</v>
      </c>
      <c r="DV105" s="710"/>
      <c r="DW105" s="710">
        <v>0</v>
      </c>
      <c r="DX105" s="710" t="s">
        <v>2999</v>
      </c>
      <c r="DY105" s="710"/>
      <c r="DZ105" s="710"/>
      <c r="EA105" s="710" t="s">
        <v>3002</v>
      </c>
      <c r="EB105" s="710"/>
      <c r="EC105" s="710">
        <v>0</v>
      </c>
      <c r="ED105" s="710" t="s">
        <v>3020</v>
      </c>
      <c r="EE105" s="710" t="s">
        <v>3021</v>
      </c>
      <c r="EF105" s="710">
        <v>20</v>
      </c>
      <c r="EG105" s="710" t="s">
        <v>3002</v>
      </c>
      <c r="EH105" s="710"/>
      <c r="EI105" s="710">
        <v>0</v>
      </c>
      <c r="EJ105" s="710" t="s">
        <v>279</v>
      </c>
      <c r="EK105" s="710"/>
      <c r="EL105" s="710">
        <v>0</v>
      </c>
      <c r="EM105" s="710" t="s">
        <v>3002</v>
      </c>
      <c r="EN105" s="710"/>
      <c r="EO105" s="710">
        <v>0</v>
      </c>
      <c r="EP105" s="710" t="s">
        <v>2999</v>
      </c>
      <c r="EQ105" s="710"/>
      <c r="ER105" s="710">
        <v>0</v>
      </c>
      <c r="ES105" s="710" t="s">
        <v>2999</v>
      </c>
      <c r="ET105" s="710"/>
      <c r="EU105" s="710">
        <v>0</v>
      </c>
      <c r="EV105" s="710"/>
      <c r="EW105" s="710"/>
      <c r="EX105" s="710"/>
      <c r="EY105" s="710" t="s">
        <v>2999</v>
      </c>
      <c r="EZ105" s="710"/>
      <c r="FA105" s="710" t="s">
        <v>2999</v>
      </c>
      <c r="FB105" s="710"/>
      <c r="FC105" s="710"/>
      <c r="FD105" s="710"/>
      <c r="FE105" s="710"/>
      <c r="FF105" s="710" t="s">
        <v>3051</v>
      </c>
      <c r="FG105" s="710"/>
      <c r="FH105" s="710" t="s">
        <v>3064</v>
      </c>
      <c r="FI105" s="710">
        <v>2</v>
      </c>
      <c r="FJ105" s="710">
        <v>30</v>
      </c>
      <c r="FK105" s="710" t="s">
        <v>3076</v>
      </c>
      <c r="FL105" s="710" t="s">
        <v>3089</v>
      </c>
      <c r="FM105" s="861" t="s">
        <v>3102</v>
      </c>
      <c r="FN105" s="710"/>
      <c r="FO105" s="710"/>
      <c r="FP105" s="861"/>
    </row>
    <row r="106" spans="2:172" ht="118" customHeight="1">
      <c r="B106" s="850" t="s">
        <v>5313</v>
      </c>
      <c r="C106" s="863"/>
      <c r="D106" s="850" t="s">
        <v>4934</v>
      </c>
      <c r="E106" s="850" t="s">
        <v>5314</v>
      </c>
      <c r="F106" s="863"/>
      <c r="H106" s="850" t="s">
        <v>4934</v>
      </c>
      <c r="I106" s="850" t="s">
        <v>5520</v>
      </c>
      <c r="J106" s="850" t="s">
        <v>5435</v>
      </c>
      <c r="K106" s="710" t="s">
        <v>241</v>
      </c>
      <c r="L106" s="710" t="s">
        <v>2919</v>
      </c>
      <c r="M106" s="710" t="s">
        <v>2933</v>
      </c>
      <c r="N106" s="710" t="s">
        <v>2931</v>
      </c>
      <c r="O106" s="895">
        <v>2019</v>
      </c>
      <c r="P106" s="896">
        <v>43664</v>
      </c>
      <c r="Q106" s="896">
        <v>43830</v>
      </c>
      <c r="R106" s="712">
        <f t="shared" si="42"/>
        <v>166</v>
      </c>
      <c r="S106" s="896"/>
      <c r="T106" s="896"/>
      <c r="U106" s="896"/>
      <c r="V106" s="896"/>
      <c r="W106" s="896"/>
      <c r="X106" s="896"/>
      <c r="Y106" s="896"/>
      <c r="Z106" s="896"/>
      <c r="AA106" s="896"/>
      <c r="AB106" s="710" t="s">
        <v>2938</v>
      </c>
      <c r="AC106" s="990" t="s">
        <v>2952</v>
      </c>
      <c r="AD106" s="710" t="s">
        <v>2962</v>
      </c>
      <c r="AE106" s="710" t="s">
        <v>2962</v>
      </c>
      <c r="AF106" s="710" t="s">
        <v>454</v>
      </c>
      <c r="AG106" s="710" t="s">
        <v>2984</v>
      </c>
      <c r="AH106" s="898">
        <v>0.35189999999999999</v>
      </c>
      <c r="AI106" s="868">
        <f t="shared" si="24"/>
        <v>0.35200000000000004</v>
      </c>
      <c r="AJ106" s="867">
        <f t="shared" si="25"/>
        <v>1.000000000000445E-4</v>
      </c>
      <c r="AK106" s="898"/>
      <c r="AL106" s="898"/>
      <c r="AM106" s="898"/>
      <c r="AN106" s="869">
        <f t="shared" si="26"/>
        <v>0</v>
      </c>
      <c r="AO106" s="869">
        <f t="shared" si="27"/>
        <v>0</v>
      </c>
      <c r="AP106" s="898"/>
      <c r="AQ106" s="899"/>
      <c r="AR106" s="899">
        <v>4.0000000000000002E-4</v>
      </c>
      <c r="AS106" s="869">
        <f t="shared" si="28"/>
        <v>0</v>
      </c>
      <c r="AT106" s="869">
        <f t="shared" si="29"/>
        <v>0</v>
      </c>
      <c r="AU106" s="942">
        <v>0.33400000000000002</v>
      </c>
      <c r="AV106" s="899">
        <v>0.94913327649900547</v>
      </c>
      <c r="AW106" s="869">
        <f t="shared" si="30"/>
        <v>0.94913327649900547</v>
      </c>
      <c r="AX106" s="869">
        <f t="shared" si="31"/>
        <v>0</v>
      </c>
      <c r="AY106" s="898">
        <v>1.4E-2</v>
      </c>
      <c r="AZ106" s="899">
        <f>AY106/AH106</f>
        <v>3.9784029553850526E-2</v>
      </c>
      <c r="BA106" s="869">
        <f t="shared" si="32"/>
        <v>3.9784029553850526E-2</v>
      </c>
      <c r="BB106" s="869">
        <f t="shared" si="33"/>
        <v>0</v>
      </c>
      <c r="BC106" s="898">
        <v>4.0000000000000001E-3</v>
      </c>
      <c r="BD106" s="899">
        <f>BC106/AH106</f>
        <v>1.1366865586814436E-2</v>
      </c>
      <c r="BE106" s="869">
        <f t="shared" si="34"/>
        <v>1.1366865586814436E-2</v>
      </c>
      <c r="BF106" s="869">
        <f t="shared" si="35"/>
        <v>0</v>
      </c>
      <c r="BG106" s="899"/>
      <c r="BH106" s="899"/>
      <c r="BI106" s="899"/>
      <c r="BJ106" s="899"/>
      <c r="BK106" s="899"/>
      <c r="BL106" s="714">
        <f t="shared" si="36"/>
        <v>0</v>
      </c>
      <c r="BM106" s="869">
        <f t="shared" si="37"/>
        <v>0</v>
      </c>
      <c r="BN106" s="898"/>
      <c r="BO106" s="899"/>
      <c r="BP106" s="869">
        <f t="shared" si="38"/>
        <v>0</v>
      </c>
      <c r="BQ106" s="869">
        <f t="shared" si="39"/>
        <v>0</v>
      </c>
      <c r="BR106" s="899"/>
      <c r="BS106" s="899"/>
      <c r="BT106" s="898">
        <v>0.3</v>
      </c>
      <c r="BU106" s="899">
        <v>4.0000000000000002E-4</v>
      </c>
      <c r="BV106" s="901">
        <v>3</v>
      </c>
      <c r="BW106" s="901">
        <v>3</v>
      </c>
      <c r="BX106" s="901">
        <v>3</v>
      </c>
      <c r="BY106" s="901">
        <v>2</v>
      </c>
      <c r="BZ106" s="901"/>
      <c r="CA106" s="901"/>
      <c r="CB106" s="901"/>
      <c r="CC106" s="901"/>
      <c r="CD106" s="901"/>
      <c r="CE106" s="901"/>
      <c r="CF106" s="901"/>
      <c r="CG106" s="901"/>
      <c r="CH106" s="901"/>
      <c r="CI106" s="901">
        <v>1</v>
      </c>
      <c r="CJ106" s="901"/>
      <c r="CK106" s="901"/>
      <c r="CL106" s="901"/>
      <c r="CM106" s="901"/>
      <c r="CN106" s="901"/>
      <c r="CO106" s="901"/>
      <c r="CP106" s="901"/>
      <c r="CQ106" s="901"/>
      <c r="CR106" s="901"/>
      <c r="CS106" s="902">
        <f>SUM(BY106:CR106)</f>
        <v>3</v>
      </c>
      <c r="CT106" s="871">
        <f t="shared" si="40"/>
        <v>3</v>
      </c>
      <c r="CU106" s="871">
        <f t="shared" si="41"/>
        <v>0</v>
      </c>
      <c r="CV106" s="942">
        <v>3.0169999999999999</v>
      </c>
      <c r="CW106" s="710" t="s">
        <v>2990</v>
      </c>
      <c r="CX106" s="990" t="s">
        <v>2952</v>
      </c>
      <c r="CY106" s="990"/>
      <c r="CZ106" s="990"/>
      <c r="DA106" s="899">
        <v>0.1135</v>
      </c>
      <c r="DB106" s="991" t="s">
        <v>1134</v>
      </c>
      <c r="DC106" s="710" t="s">
        <v>279</v>
      </c>
      <c r="DD106" s="710"/>
      <c r="DE106" s="710"/>
      <c r="DF106" s="901"/>
      <c r="DG106" s="901"/>
      <c r="DH106" s="901">
        <v>3</v>
      </c>
      <c r="DI106" s="710"/>
      <c r="DJ106" s="710"/>
      <c r="DK106" s="901"/>
      <c r="DL106" s="710" t="s">
        <v>278</v>
      </c>
      <c r="DM106" s="710" t="s">
        <v>3005</v>
      </c>
      <c r="DN106" s="901">
        <v>88</v>
      </c>
      <c r="DO106" s="710" t="s">
        <v>279</v>
      </c>
      <c r="DP106" s="710"/>
      <c r="DQ106" s="901"/>
      <c r="DR106" s="710" t="s">
        <v>279</v>
      </c>
      <c r="DS106" s="710"/>
      <c r="DT106" s="901"/>
      <c r="DU106" s="710" t="s">
        <v>279</v>
      </c>
      <c r="DV106" s="710"/>
      <c r="DW106" s="901"/>
      <c r="DX106" s="710" t="s">
        <v>279</v>
      </c>
      <c r="DY106" s="710"/>
      <c r="DZ106" s="901"/>
      <c r="EA106" s="710" t="s">
        <v>279</v>
      </c>
      <c r="EB106" s="710"/>
      <c r="EC106" s="901"/>
      <c r="ED106" s="710" t="s">
        <v>278</v>
      </c>
      <c r="EE106" s="710" t="s">
        <v>3005</v>
      </c>
      <c r="EF106" s="901">
        <v>88</v>
      </c>
      <c r="EG106" s="710" t="s">
        <v>279</v>
      </c>
      <c r="EH106" s="710"/>
      <c r="EI106" s="901"/>
      <c r="EJ106" s="710" t="s">
        <v>279</v>
      </c>
      <c r="EK106" s="710"/>
      <c r="EL106" s="901"/>
      <c r="EM106" s="710" t="s">
        <v>278</v>
      </c>
      <c r="EN106" s="991" t="s">
        <v>3023</v>
      </c>
      <c r="EO106" s="901">
        <v>8</v>
      </c>
      <c r="EP106" s="710" t="s">
        <v>279</v>
      </c>
      <c r="EQ106" s="710"/>
      <c r="ER106" s="901"/>
      <c r="ES106" s="710" t="s">
        <v>278</v>
      </c>
      <c r="ET106" s="990" t="s">
        <v>2952</v>
      </c>
      <c r="EU106" s="901">
        <v>88</v>
      </c>
      <c r="EV106" s="901"/>
      <c r="EW106" s="901"/>
      <c r="EX106" s="901"/>
      <c r="EY106" s="710" t="s">
        <v>279</v>
      </c>
      <c r="EZ106" s="710"/>
      <c r="FA106" s="710" t="s">
        <v>278</v>
      </c>
      <c r="FB106" s="710" t="s">
        <v>3030</v>
      </c>
      <c r="FC106" s="990" t="s">
        <v>3040</v>
      </c>
      <c r="FD106" s="991" t="s">
        <v>3046</v>
      </c>
      <c r="FE106" s="991" t="s">
        <v>3040</v>
      </c>
      <c r="FF106" s="710" t="s">
        <v>3052</v>
      </c>
      <c r="FG106" s="710" t="s">
        <v>3059</v>
      </c>
      <c r="FH106" s="710" t="s">
        <v>3065</v>
      </c>
      <c r="FI106" s="710">
        <v>7</v>
      </c>
      <c r="FJ106" s="710">
        <v>102</v>
      </c>
      <c r="FK106" s="710" t="s">
        <v>3077</v>
      </c>
      <c r="FL106" s="710" t="s">
        <v>3090</v>
      </c>
      <c r="FM106" s="710" t="s">
        <v>3103</v>
      </c>
      <c r="FN106" s="710"/>
      <c r="FO106" s="710"/>
      <c r="FP106" s="710"/>
    </row>
    <row r="107" spans="2:172" ht="114.5" customHeight="1">
      <c r="B107" s="850" t="s">
        <v>5313</v>
      </c>
      <c r="C107" s="863"/>
      <c r="D107" s="850" t="s">
        <v>4934</v>
      </c>
      <c r="E107" s="850" t="s">
        <v>5314</v>
      </c>
      <c r="F107" s="863"/>
      <c r="H107" s="850" t="s">
        <v>4934</v>
      </c>
      <c r="I107" s="850" t="s">
        <v>5520</v>
      </c>
      <c r="J107" s="850" t="s">
        <v>5435</v>
      </c>
      <c r="K107" s="710" t="s">
        <v>241</v>
      </c>
      <c r="L107" s="710" t="s">
        <v>2920</v>
      </c>
      <c r="M107" s="710" t="s">
        <v>2934</v>
      </c>
      <c r="N107" s="710" t="s">
        <v>2931</v>
      </c>
      <c r="O107" s="895">
        <v>2019</v>
      </c>
      <c r="P107" s="896">
        <v>43327</v>
      </c>
      <c r="Q107" s="896">
        <v>43830</v>
      </c>
      <c r="R107" s="712">
        <f t="shared" si="42"/>
        <v>503</v>
      </c>
      <c r="S107" s="896"/>
      <c r="T107" s="896"/>
      <c r="U107" s="896"/>
      <c r="V107" s="896"/>
      <c r="W107" s="896"/>
      <c r="X107" s="896"/>
      <c r="Y107" s="896"/>
      <c r="Z107" s="896"/>
      <c r="AA107" s="896"/>
      <c r="AB107" s="710" t="s">
        <v>2939</v>
      </c>
      <c r="AC107" s="990" t="s">
        <v>2953</v>
      </c>
      <c r="AD107" s="710" t="s">
        <v>2963</v>
      </c>
      <c r="AE107" s="710" t="s">
        <v>2963</v>
      </c>
      <c r="AF107" s="710" t="s">
        <v>766</v>
      </c>
      <c r="AG107" s="710" t="s">
        <v>2985</v>
      </c>
      <c r="AH107" s="898">
        <v>2.7719999999999998</v>
      </c>
      <c r="AI107" s="868">
        <f t="shared" si="24"/>
        <v>2.7719999999999998</v>
      </c>
      <c r="AJ107" s="867">
        <f t="shared" si="25"/>
        <v>0</v>
      </c>
      <c r="AK107" s="898"/>
      <c r="AL107" s="898"/>
      <c r="AM107" s="898"/>
      <c r="AN107" s="869">
        <f t="shared" si="26"/>
        <v>0</v>
      </c>
      <c r="AO107" s="869">
        <f t="shared" si="27"/>
        <v>0</v>
      </c>
      <c r="AP107" s="898"/>
      <c r="AQ107" s="927"/>
      <c r="AR107" s="899">
        <v>6.9999999999999999E-4</v>
      </c>
      <c r="AS107" s="869">
        <f t="shared" si="28"/>
        <v>0</v>
      </c>
      <c r="AT107" s="869">
        <f t="shared" si="29"/>
        <v>0</v>
      </c>
      <c r="AU107" s="942">
        <v>2.7719999999999998</v>
      </c>
      <c r="AV107" s="899">
        <v>1</v>
      </c>
      <c r="AW107" s="869">
        <f t="shared" si="30"/>
        <v>1</v>
      </c>
      <c r="AX107" s="869">
        <f t="shared" si="31"/>
        <v>0</v>
      </c>
      <c r="AY107" s="898"/>
      <c r="AZ107" s="899"/>
      <c r="BA107" s="869">
        <f t="shared" si="32"/>
        <v>0</v>
      </c>
      <c r="BB107" s="869">
        <f t="shared" si="33"/>
        <v>0</v>
      </c>
      <c r="BC107" s="898"/>
      <c r="BD107" s="927"/>
      <c r="BE107" s="869">
        <f t="shared" si="34"/>
        <v>0</v>
      </c>
      <c r="BF107" s="869">
        <f t="shared" si="35"/>
        <v>0</v>
      </c>
      <c r="BG107" s="927"/>
      <c r="BH107" s="927"/>
      <c r="BI107" s="927"/>
      <c r="BJ107" s="927"/>
      <c r="BK107" s="927"/>
      <c r="BL107" s="714">
        <f t="shared" si="36"/>
        <v>0</v>
      </c>
      <c r="BM107" s="869">
        <f t="shared" si="37"/>
        <v>0</v>
      </c>
      <c r="BN107" s="898"/>
      <c r="BO107" s="927"/>
      <c r="BP107" s="869">
        <f t="shared" si="38"/>
        <v>0</v>
      </c>
      <c r="BQ107" s="869">
        <f t="shared" si="39"/>
        <v>0</v>
      </c>
      <c r="BR107" s="927"/>
      <c r="BS107" s="927"/>
      <c r="BT107" s="898">
        <v>2.1</v>
      </c>
      <c r="BU107" s="899">
        <v>5.9999999999999995E-4</v>
      </c>
      <c r="BV107" s="901">
        <v>6</v>
      </c>
      <c r="BW107" s="901">
        <v>6</v>
      </c>
      <c r="BX107" s="901">
        <v>6</v>
      </c>
      <c r="BY107" s="901"/>
      <c r="BZ107" s="901"/>
      <c r="CA107" s="901"/>
      <c r="CB107" s="901"/>
      <c r="CC107" s="901"/>
      <c r="CD107" s="901">
        <v>4</v>
      </c>
      <c r="CE107" s="901"/>
      <c r="CF107" s="901"/>
      <c r="CG107" s="901"/>
      <c r="CH107" s="901"/>
      <c r="CI107" s="901"/>
      <c r="CJ107" s="901">
        <v>2</v>
      </c>
      <c r="CK107" s="901"/>
      <c r="CL107" s="901"/>
      <c r="CM107" s="901"/>
      <c r="CN107" s="901"/>
      <c r="CO107" s="901"/>
      <c r="CP107" s="901"/>
      <c r="CQ107" s="901"/>
      <c r="CR107" s="901"/>
      <c r="CS107" s="902">
        <v>6</v>
      </c>
      <c r="CT107" s="871">
        <f t="shared" si="40"/>
        <v>6</v>
      </c>
      <c r="CU107" s="871">
        <f t="shared" si="41"/>
        <v>0</v>
      </c>
      <c r="CV107" s="942">
        <v>24.9</v>
      </c>
      <c r="CW107" s="710" t="s">
        <v>2991</v>
      </c>
      <c r="CX107" s="990" t="s">
        <v>2953</v>
      </c>
      <c r="CY107" s="990"/>
      <c r="CZ107" s="990"/>
      <c r="DA107" s="899">
        <v>0.246</v>
      </c>
      <c r="DB107" s="990" t="s">
        <v>1134</v>
      </c>
      <c r="DC107" s="710" t="s">
        <v>279</v>
      </c>
      <c r="DD107" s="710"/>
      <c r="DE107" s="710"/>
      <c r="DF107" s="901"/>
      <c r="DG107" s="901">
        <v>2</v>
      </c>
      <c r="DH107" s="901">
        <v>2</v>
      </c>
      <c r="DI107" s="710"/>
      <c r="DJ107" s="710"/>
      <c r="DK107" s="901"/>
      <c r="DL107" s="710" t="s">
        <v>278</v>
      </c>
      <c r="DM107" s="710" t="s">
        <v>3006</v>
      </c>
      <c r="DN107" s="860">
        <v>483</v>
      </c>
      <c r="DO107" s="710"/>
      <c r="DP107" s="710"/>
      <c r="DQ107" s="901"/>
      <c r="DR107" s="710"/>
      <c r="DS107" s="710"/>
      <c r="DT107" s="860"/>
      <c r="DU107" s="710"/>
      <c r="DV107" s="710"/>
      <c r="DW107" s="901"/>
      <c r="DX107" s="710"/>
      <c r="DY107" s="710"/>
      <c r="DZ107" s="901"/>
      <c r="EA107" s="710"/>
      <c r="EB107" s="710"/>
      <c r="EC107" s="901"/>
      <c r="ED107" s="710" t="s">
        <v>278</v>
      </c>
      <c r="EE107" s="710" t="s">
        <v>3005</v>
      </c>
      <c r="EF107" s="901">
        <v>483</v>
      </c>
      <c r="EG107" s="710"/>
      <c r="EH107" s="710"/>
      <c r="EI107" s="901"/>
      <c r="EJ107" s="710"/>
      <c r="EK107" s="710"/>
      <c r="EL107" s="901"/>
      <c r="EM107" s="710" t="s">
        <v>278</v>
      </c>
      <c r="EN107" s="710" t="s">
        <v>3024</v>
      </c>
      <c r="EO107" s="901">
        <v>7</v>
      </c>
      <c r="EP107" s="710"/>
      <c r="EQ107" s="710"/>
      <c r="ER107" s="901"/>
      <c r="ES107" s="710"/>
      <c r="ET107" s="710"/>
      <c r="EU107" s="901"/>
      <c r="EV107" s="901"/>
      <c r="EW107" s="901"/>
      <c r="EX107" s="901"/>
      <c r="EY107" s="710"/>
      <c r="EZ107" s="710"/>
      <c r="FA107" s="710"/>
      <c r="FB107" s="710"/>
      <c r="FC107" s="710" t="s">
        <v>3041</v>
      </c>
      <c r="FD107" s="710"/>
      <c r="FE107" s="990" t="s">
        <v>3041</v>
      </c>
      <c r="FF107" s="710" t="s">
        <v>3053</v>
      </c>
      <c r="FG107" s="710"/>
      <c r="FH107" s="710" t="s">
        <v>3066</v>
      </c>
      <c r="FI107" s="710">
        <v>25</v>
      </c>
      <c r="FJ107" s="710">
        <v>7500</v>
      </c>
      <c r="FK107" s="710" t="s">
        <v>3078</v>
      </c>
      <c r="FL107" s="710">
        <v>3532561498</v>
      </c>
      <c r="FM107" s="990" t="s">
        <v>3104</v>
      </c>
      <c r="FN107" s="710"/>
      <c r="FO107" s="710"/>
      <c r="FP107" s="710"/>
    </row>
    <row r="108" spans="2:172" ht="94.5" customHeight="1">
      <c r="B108" s="850" t="s">
        <v>5313</v>
      </c>
      <c r="C108" s="863"/>
      <c r="D108" s="850" t="s">
        <v>4934</v>
      </c>
      <c r="E108" s="850" t="s">
        <v>5314</v>
      </c>
      <c r="F108" s="863"/>
      <c r="H108" s="850" t="s">
        <v>4934</v>
      </c>
      <c r="I108" s="850" t="s">
        <v>5520</v>
      </c>
      <c r="J108" s="850" t="s">
        <v>5435</v>
      </c>
      <c r="K108" s="710" t="s">
        <v>241</v>
      </c>
      <c r="L108" s="710" t="s">
        <v>2921</v>
      </c>
      <c r="M108" s="710" t="s">
        <v>2935</v>
      </c>
      <c r="N108" s="710" t="s">
        <v>2931</v>
      </c>
      <c r="O108" s="895">
        <v>2018</v>
      </c>
      <c r="P108" s="896">
        <v>43579</v>
      </c>
      <c r="Q108" s="896">
        <v>43829</v>
      </c>
      <c r="R108" s="712">
        <f t="shared" si="42"/>
        <v>250</v>
      </c>
      <c r="S108" s="896"/>
      <c r="T108" s="896"/>
      <c r="U108" s="896"/>
      <c r="V108" s="896"/>
      <c r="W108" s="896"/>
      <c r="X108" s="896"/>
      <c r="Y108" s="896"/>
      <c r="Z108" s="896"/>
      <c r="AA108" s="896"/>
      <c r="AB108" s="710" t="s">
        <v>2940</v>
      </c>
      <c r="AC108" s="992" t="s">
        <v>2954</v>
      </c>
      <c r="AD108" s="710" t="s">
        <v>2964</v>
      </c>
      <c r="AE108" s="710" t="s">
        <v>2964</v>
      </c>
      <c r="AF108" s="710" t="s">
        <v>766</v>
      </c>
      <c r="AG108" s="710" t="s">
        <v>2986</v>
      </c>
      <c r="AH108" s="898">
        <v>0.378</v>
      </c>
      <c r="AI108" s="868">
        <f t="shared" si="24"/>
        <v>0.378</v>
      </c>
      <c r="AJ108" s="867">
        <f t="shared" si="25"/>
        <v>0</v>
      </c>
      <c r="AK108" s="898"/>
      <c r="AL108" s="898"/>
      <c r="AM108" s="898"/>
      <c r="AN108" s="869">
        <f t="shared" si="26"/>
        <v>0</v>
      </c>
      <c r="AO108" s="869">
        <f t="shared" si="27"/>
        <v>0</v>
      </c>
      <c r="AP108" s="898"/>
      <c r="AQ108" s="899"/>
      <c r="AR108" s="899">
        <v>8.9999999999999998E-4</v>
      </c>
      <c r="AS108" s="869">
        <f t="shared" si="28"/>
        <v>0</v>
      </c>
      <c r="AT108" s="869">
        <f t="shared" si="29"/>
        <v>0</v>
      </c>
      <c r="AU108" s="942">
        <v>0.33</v>
      </c>
      <c r="AV108" s="899">
        <v>0.87301587301587302</v>
      </c>
      <c r="AW108" s="869">
        <f t="shared" si="30"/>
        <v>0.87301587301587302</v>
      </c>
      <c r="AX108" s="869">
        <f t="shared" si="31"/>
        <v>0</v>
      </c>
      <c r="AY108" s="898">
        <v>4.8000000000000001E-2</v>
      </c>
      <c r="AZ108" s="899">
        <f>AY108/AH108</f>
        <v>0.12698412698412698</v>
      </c>
      <c r="BA108" s="869">
        <f t="shared" si="32"/>
        <v>0.12698412698412698</v>
      </c>
      <c r="BB108" s="869">
        <f t="shared" si="33"/>
        <v>0</v>
      </c>
      <c r="BC108" s="898"/>
      <c r="BD108" s="899"/>
      <c r="BE108" s="869">
        <f t="shared" si="34"/>
        <v>0</v>
      </c>
      <c r="BF108" s="869">
        <f t="shared" si="35"/>
        <v>0</v>
      </c>
      <c r="BG108" s="899"/>
      <c r="BH108" s="899"/>
      <c r="BI108" s="899"/>
      <c r="BJ108" s="899"/>
      <c r="BK108" s="899"/>
      <c r="BL108" s="714">
        <f t="shared" si="36"/>
        <v>0</v>
      </c>
      <c r="BM108" s="869">
        <f t="shared" si="37"/>
        <v>0</v>
      </c>
      <c r="BN108" s="898"/>
      <c r="BO108" s="899"/>
      <c r="BP108" s="869">
        <f t="shared" si="38"/>
        <v>0</v>
      </c>
      <c r="BQ108" s="869">
        <f t="shared" si="39"/>
        <v>0</v>
      </c>
      <c r="BR108" s="899"/>
      <c r="BS108" s="899"/>
      <c r="BT108" s="898">
        <v>0.4</v>
      </c>
      <c r="BU108" s="899">
        <v>5.0000000000000001E-4</v>
      </c>
      <c r="BV108" s="901">
        <v>5</v>
      </c>
      <c r="BW108" s="901">
        <v>3</v>
      </c>
      <c r="BX108" s="901">
        <v>3</v>
      </c>
      <c r="BY108" s="901">
        <v>1</v>
      </c>
      <c r="BZ108" s="901"/>
      <c r="CA108" s="901"/>
      <c r="CB108" s="901"/>
      <c r="CC108" s="901"/>
      <c r="CD108" s="901"/>
      <c r="CE108" s="901"/>
      <c r="CF108" s="901"/>
      <c r="CG108" s="901"/>
      <c r="CH108" s="901"/>
      <c r="CI108" s="901"/>
      <c r="CJ108" s="901"/>
      <c r="CK108" s="901">
        <v>2</v>
      </c>
      <c r="CL108" s="901"/>
      <c r="CM108" s="901"/>
      <c r="CN108" s="901"/>
      <c r="CO108" s="901"/>
      <c r="CP108" s="901"/>
      <c r="CQ108" s="901"/>
      <c r="CR108" s="901"/>
      <c r="CS108" s="902">
        <f t="shared" ref="CS108:CS118" si="44">SUM(BY108:CR108)</f>
        <v>3</v>
      </c>
      <c r="CT108" s="871">
        <f t="shared" si="40"/>
        <v>3</v>
      </c>
      <c r="CU108" s="871">
        <f t="shared" si="41"/>
        <v>0</v>
      </c>
      <c r="CV108" s="942">
        <v>1.1080000000000001</v>
      </c>
      <c r="CW108" s="710" t="s">
        <v>2992</v>
      </c>
      <c r="CX108" s="710"/>
      <c r="CY108" s="710"/>
      <c r="CZ108" s="710"/>
      <c r="DA108" s="899">
        <v>4.6899999999999997E-2</v>
      </c>
      <c r="DB108" s="993" t="s">
        <v>1134</v>
      </c>
      <c r="DC108" s="710" t="s">
        <v>279</v>
      </c>
      <c r="DD108" s="710"/>
      <c r="DE108" s="710"/>
      <c r="DF108" s="901"/>
      <c r="DG108" s="901"/>
      <c r="DH108" s="901">
        <v>2</v>
      </c>
      <c r="DI108" s="710"/>
      <c r="DJ108" s="710"/>
      <c r="DK108" s="901"/>
      <c r="DL108" s="710" t="s">
        <v>278</v>
      </c>
      <c r="DM108" s="710" t="s">
        <v>3007</v>
      </c>
      <c r="DN108" s="901">
        <v>105</v>
      </c>
      <c r="DO108" s="710"/>
      <c r="DP108" s="710"/>
      <c r="DQ108" s="901"/>
      <c r="DR108" s="710"/>
      <c r="DS108" s="710"/>
      <c r="DT108" s="901"/>
      <c r="DU108" s="710"/>
      <c r="DV108" s="710"/>
      <c r="DW108" s="901"/>
      <c r="DX108" s="710"/>
      <c r="DY108" s="710"/>
      <c r="DZ108" s="901"/>
      <c r="EA108" s="710"/>
      <c r="EB108" s="710"/>
      <c r="EC108" s="901"/>
      <c r="ED108" s="710" t="s">
        <v>278</v>
      </c>
      <c r="EE108" s="710" t="s">
        <v>3007</v>
      </c>
      <c r="EF108" s="901">
        <v>105</v>
      </c>
      <c r="EG108" s="710"/>
      <c r="EH108" s="710"/>
      <c r="EI108" s="901"/>
      <c r="EJ108" s="710"/>
      <c r="EK108" s="710"/>
      <c r="EL108" s="901"/>
      <c r="EM108" s="710"/>
      <c r="EN108" s="710"/>
      <c r="EO108" s="901"/>
      <c r="EP108" s="710"/>
      <c r="EQ108" s="710"/>
      <c r="ER108" s="901"/>
      <c r="ES108" s="710"/>
      <c r="ET108" s="710"/>
      <c r="EU108" s="901"/>
      <c r="EV108" s="901"/>
      <c r="EW108" s="901"/>
      <c r="EX108" s="901"/>
      <c r="EY108" s="710" t="s">
        <v>279</v>
      </c>
      <c r="EZ108" s="710"/>
      <c r="FA108" s="710" t="s">
        <v>278</v>
      </c>
      <c r="FB108" s="710" t="s">
        <v>3031</v>
      </c>
      <c r="FC108" s="992" t="s">
        <v>2954</v>
      </c>
      <c r="FD108" s="710"/>
      <c r="FE108" s="710"/>
      <c r="FF108" s="710"/>
      <c r="FG108" s="710"/>
      <c r="FH108" s="710" t="s">
        <v>3067</v>
      </c>
      <c r="FI108" s="710">
        <v>2</v>
      </c>
      <c r="FJ108" s="992">
        <v>17</v>
      </c>
      <c r="FK108" s="710" t="s">
        <v>3079</v>
      </c>
      <c r="FL108" s="710" t="s">
        <v>3091</v>
      </c>
      <c r="FM108" s="992" t="s">
        <v>3105</v>
      </c>
      <c r="FN108" s="710"/>
      <c r="FO108" s="710"/>
      <c r="FP108" s="992"/>
    </row>
    <row r="109" spans="2:172" ht="95" customHeight="1">
      <c r="B109" s="850" t="s">
        <v>5313</v>
      </c>
      <c r="C109" s="863"/>
      <c r="D109" s="850" t="s">
        <v>4934</v>
      </c>
      <c r="E109" s="850" t="s">
        <v>5314</v>
      </c>
      <c r="F109" s="863"/>
      <c r="H109" s="850" t="s">
        <v>4934</v>
      </c>
      <c r="I109" s="850" t="s">
        <v>5520</v>
      </c>
      <c r="J109" s="850" t="s">
        <v>5435</v>
      </c>
      <c r="K109" s="710" t="s">
        <v>241</v>
      </c>
      <c r="L109" s="710" t="s">
        <v>2922</v>
      </c>
      <c r="M109" s="710" t="s">
        <v>2931</v>
      </c>
      <c r="N109" s="710" t="s">
        <v>2931</v>
      </c>
      <c r="O109" s="895">
        <v>2019</v>
      </c>
      <c r="P109" s="896">
        <v>43480</v>
      </c>
      <c r="Q109" s="896">
        <v>43830</v>
      </c>
      <c r="R109" s="712">
        <f t="shared" si="42"/>
        <v>350</v>
      </c>
      <c r="S109" s="896"/>
      <c r="T109" s="896"/>
      <c r="U109" s="896"/>
      <c r="V109" s="896"/>
      <c r="W109" s="896"/>
      <c r="X109" s="896"/>
      <c r="Y109" s="896"/>
      <c r="Z109" s="896"/>
      <c r="AA109" s="896"/>
      <c r="AB109" s="710" t="s">
        <v>2941</v>
      </c>
      <c r="AC109" s="710"/>
      <c r="AD109" s="710" t="s">
        <v>2965</v>
      </c>
      <c r="AE109" s="710" t="s">
        <v>2965</v>
      </c>
      <c r="AF109" s="710" t="s">
        <v>2977</v>
      </c>
      <c r="AG109" s="710" t="s">
        <v>2965</v>
      </c>
      <c r="AH109" s="898">
        <v>0.152</v>
      </c>
      <c r="AI109" s="868">
        <f t="shared" si="24"/>
        <v>0.152</v>
      </c>
      <c r="AJ109" s="867">
        <f t="shared" si="25"/>
        <v>0</v>
      </c>
      <c r="AK109" s="898"/>
      <c r="AL109" s="898"/>
      <c r="AM109" s="898"/>
      <c r="AN109" s="869">
        <f t="shared" si="26"/>
        <v>0</v>
      </c>
      <c r="AO109" s="869">
        <f t="shared" si="27"/>
        <v>0</v>
      </c>
      <c r="AP109" s="898"/>
      <c r="AQ109" s="899"/>
      <c r="AR109" s="899">
        <v>4.0000000000000002E-4</v>
      </c>
      <c r="AS109" s="869">
        <f t="shared" si="28"/>
        <v>0</v>
      </c>
      <c r="AT109" s="869">
        <f t="shared" si="29"/>
        <v>0</v>
      </c>
      <c r="AU109" s="942">
        <v>0.152</v>
      </c>
      <c r="AV109" s="899">
        <v>1</v>
      </c>
      <c r="AW109" s="869">
        <f t="shared" si="30"/>
        <v>1</v>
      </c>
      <c r="AX109" s="869">
        <f t="shared" si="31"/>
        <v>0</v>
      </c>
      <c r="AY109" s="898"/>
      <c r="AZ109" s="899"/>
      <c r="BA109" s="869">
        <f t="shared" si="32"/>
        <v>0</v>
      </c>
      <c r="BB109" s="869">
        <f t="shared" si="33"/>
        <v>0</v>
      </c>
      <c r="BC109" s="898"/>
      <c r="BD109" s="899"/>
      <c r="BE109" s="869">
        <f t="shared" si="34"/>
        <v>0</v>
      </c>
      <c r="BF109" s="869">
        <f t="shared" si="35"/>
        <v>0</v>
      </c>
      <c r="BG109" s="899"/>
      <c r="BH109" s="899"/>
      <c r="BI109" s="899"/>
      <c r="BJ109" s="899"/>
      <c r="BK109" s="899"/>
      <c r="BL109" s="714">
        <f t="shared" si="36"/>
        <v>0</v>
      </c>
      <c r="BM109" s="869">
        <f t="shared" si="37"/>
        <v>0</v>
      </c>
      <c r="BN109" s="898"/>
      <c r="BO109" s="899"/>
      <c r="BP109" s="869">
        <f t="shared" si="38"/>
        <v>0</v>
      </c>
      <c r="BQ109" s="869">
        <f t="shared" si="39"/>
        <v>0</v>
      </c>
      <c r="BR109" s="899"/>
      <c r="BS109" s="899"/>
      <c r="BT109" s="898"/>
      <c r="BU109" s="899"/>
      <c r="BV109" s="901">
        <v>1</v>
      </c>
      <c r="BW109" s="901">
        <v>1</v>
      </c>
      <c r="BX109" s="901">
        <v>1</v>
      </c>
      <c r="BY109" s="901"/>
      <c r="BZ109" s="901"/>
      <c r="CA109" s="901"/>
      <c r="CB109" s="901"/>
      <c r="CC109" s="901"/>
      <c r="CD109" s="901"/>
      <c r="CE109" s="901"/>
      <c r="CF109" s="901"/>
      <c r="CG109" s="901"/>
      <c r="CH109" s="901"/>
      <c r="CI109" s="901"/>
      <c r="CJ109" s="901"/>
      <c r="CK109" s="901">
        <v>1</v>
      </c>
      <c r="CL109" s="901"/>
      <c r="CM109" s="901"/>
      <c r="CN109" s="901"/>
      <c r="CO109" s="901"/>
      <c r="CP109" s="901"/>
      <c r="CQ109" s="901"/>
      <c r="CR109" s="901"/>
      <c r="CS109" s="902">
        <f t="shared" si="44"/>
        <v>1</v>
      </c>
      <c r="CT109" s="871">
        <f t="shared" si="40"/>
        <v>1</v>
      </c>
      <c r="CU109" s="871">
        <f t="shared" si="41"/>
        <v>0</v>
      </c>
      <c r="CV109" s="942">
        <v>0.247</v>
      </c>
      <c r="CW109" s="710"/>
      <c r="CX109" s="710"/>
      <c r="CY109" s="710"/>
      <c r="CZ109" s="710"/>
      <c r="DA109" s="899">
        <v>2.12E-2</v>
      </c>
      <c r="DB109" s="899" t="s">
        <v>1134</v>
      </c>
      <c r="DC109" s="710" t="s">
        <v>279</v>
      </c>
      <c r="DD109" s="710"/>
      <c r="DE109" s="710"/>
      <c r="DF109" s="901"/>
      <c r="DG109" s="901"/>
      <c r="DH109" s="901">
        <v>1</v>
      </c>
      <c r="DI109" s="710" t="s">
        <v>279</v>
      </c>
      <c r="DJ109" s="710"/>
      <c r="DK109" s="901"/>
      <c r="DL109" s="710" t="s">
        <v>278</v>
      </c>
      <c r="DM109" s="710" t="s">
        <v>698</v>
      </c>
      <c r="DN109" s="901">
        <v>15</v>
      </c>
      <c r="DO109" s="710" t="s">
        <v>279</v>
      </c>
      <c r="DP109" s="710"/>
      <c r="DQ109" s="901"/>
      <c r="DR109" s="710" t="s">
        <v>279</v>
      </c>
      <c r="DS109" s="710"/>
      <c r="DT109" s="901"/>
      <c r="DU109" s="710" t="s">
        <v>279</v>
      </c>
      <c r="DV109" s="710"/>
      <c r="DW109" s="901"/>
      <c r="DX109" s="710" t="s">
        <v>279</v>
      </c>
      <c r="DY109" s="710"/>
      <c r="DZ109" s="901"/>
      <c r="EA109" s="710" t="s">
        <v>279</v>
      </c>
      <c r="EB109" s="710"/>
      <c r="EC109" s="901"/>
      <c r="ED109" s="710" t="s">
        <v>278</v>
      </c>
      <c r="EE109" s="710" t="s">
        <v>698</v>
      </c>
      <c r="EF109" s="901">
        <v>15</v>
      </c>
      <c r="EG109" s="710" t="s">
        <v>279</v>
      </c>
      <c r="EH109" s="710"/>
      <c r="EI109" s="901"/>
      <c r="EJ109" s="710" t="s">
        <v>279</v>
      </c>
      <c r="EK109" s="710"/>
      <c r="EL109" s="901"/>
      <c r="EM109" s="710" t="s">
        <v>279</v>
      </c>
      <c r="EN109" s="710"/>
      <c r="EO109" s="901"/>
      <c r="EP109" s="710" t="s">
        <v>279</v>
      </c>
      <c r="EQ109" s="710"/>
      <c r="ER109" s="901"/>
      <c r="ES109" s="710" t="s">
        <v>279</v>
      </c>
      <c r="ET109" s="710"/>
      <c r="EU109" s="901"/>
      <c r="EV109" s="901"/>
      <c r="EW109" s="901"/>
      <c r="EX109" s="901"/>
      <c r="EY109" s="710" t="s">
        <v>279</v>
      </c>
      <c r="EZ109" s="710" t="s">
        <v>279</v>
      </c>
      <c r="FA109" s="710" t="s">
        <v>278</v>
      </c>
      <c r="FB109" s="710" t="s">
        <v>3032</v>
      </c>
      <c r="FC109" s="710" t="s">
        <v>279</v>
      </c>
      <c r="FD109" s="710" t="s">
        <v>279</v>
      </c>
      <c r="FE109" s="710" t="s">
        <v>279</v>
      </c>
      <c r="FF109" s="710" t="s">
        <v>279</v>
      </c>
      <c r="FG109" s="710" t="s">
        <v>279</v>
      </c>
      <c r="FH109" s="710" t="s">
        <v>279</v>
      </c>
      <c r="FI109" s="710">
        <v>0</v>
      </c>
      <c r="FJ109" s="710">
        <v>0</v>
      </c>
      <c r="FK109" s="710" t="s">
        <v>3080</v>
      </c>
      <c r="FL109" s="710" t="s">
        <v>3092</v>
      </c>
      <c r="FM109" s="861" t="s">
        <v>3106</v>
      </c>
      <c r="FN109" s="710"/>
      <c r="FO109" s="710"/>
      <c r="FP109" s="861"/>
    </row>
    <row r="110" spans="2:172" ht="114.5" customHeight="1">
      <c r="B110" s="850" t="s">
        <v>5313</v>
      </c>
      <c r="C110" s="863"/>
      <c r="D110" s="850" t="s">
        <v>4934</v>
      </c>
      <c r="E110" s="850" t="s">
        <v>5314</v>
      </c>
      <c r="F110" s="863"/>
      <c r="H110" s="850" t="s">
        <v>4934</v>
      </c>
      <c r="I110" s="850" t="s">
        <v>5520</v>
      </c>
      <c r="J110" s="850" t="s">
        <v>5435</v>
      </c>
      <c r="K110" s="710" t="s">
        <v>241</v>
      </c>
      <c r="L110" s="710" t="s">
        <v>2923</v>
      </c>
      <c r="M110" s="710" t="s">
        <v>2931</v>
      </c>
      <c r="N110" s="710" t="s">
        <v>2931</v>
      </c>
      <c r="O110" s="895">
        <v>2017</v>
      </c>
      <c r="P110" s="896">
        <v>43502</v>
      </c>
      <c r="Q110" s="896">
        <v>43798</v>
      </c>
      <c r="R110" s="712">
        <f t="shared" si="42"/>
        <v>296</v>
      </c>
      <c r="S110" s="896"/>
      <c r="T110" s="896"/>
      <c r="U110" s="896"/>
      <c r="V110" s="896"/>
      <c r="W110" s="896"/>
      <c r="X110" s="896"/>
      <c r="Y110" s="896"/>
      <c r="Z110" s="896"/>
      <c r="AA110" s="896"/>
      <c r="AB110" s="710" t="s">
        <v>2942</v>
      </c>
      <c r="AC110" s="990" t="s">
        <v>2955</v>
      </c>
      <c r="AD110" s="710" t="s">
        <v>2966</v>
      </c>
      <c r="AE110" s="710" t="s">
        <v>2966</v>
      </c>
      <c r="AF110" s="710" t="s">
        <v>2283</v>
      </c>
      <c r="AG110" s="710" t="s">
        <v>2987</v>
      </c>
      <c r="AH110" s="898">
        <v>0.89100000000000001</v>
      </c>
      <c r="AI110" s="868">
        <f t="shared" si="24"/>
        <v>0.89100000000000001</v>
      </c>
      <c r="AJ110" s="867">
        <f t="shared" si="25"/>
        <v>0</v>
      </c>
      <c r="AK110" s="898"/>
      <c r="AL110" s="898"/>
      <c r="AM110" s="898"/>
      <c r="AN110" s="869">
        <f t="shared" si="26"/>
        <v>0</v>
      </c>
      <c r="AO110" s="869">
        <f t="shared" si="27"/>
        <v>0</v>
      </c>
      <c r="AP110" s="898"/>
      <c r="AQ110" s="899"/>
      <c r="AR110" s="899">
        <v>1E-3</v>
      </c>
      <c r="AS110" s="869">
        <f t="shared" si="28"/>
        <v>0</v>
      </c>
      <c r="AT110" s="869">
        <f t="shared" si="29"/>
        <v>0</v>
      </c>
      <c r="AU110" s="942">
        <v>0.80300000000000005</v>
      </c>
      <c r="AV110" s="899">
        <v>0.90123456790123457</v>
      </c>
      <c r="AW110" s="869">
        <f t="shared" si="30"/>
        <v>0.90123456790123457</v>
      </c>
      <c r="AX110" s="869">
        <f t="shared" si="31"/>
        <v>0</v>
      </c>
      <c r="AY110" s="898">
        <v>7.8E-2</v>
      </c>
      <c r="AZ110" s="899">
        <f>AY110/AH110</f>
        <v>8.7542087542087546E-2</v>
      </c>
      <c r="BA110" s="869">
        <f t="shared" si="32"/>
        <v>8.7542087542087546E-2</v>
      </c>
      <c r="BB110" s="869">
        <f t="shared" si="33"/>
        <v>0</v>
      </c>
      <c r="BC110" s="898">
        <v>0.01</v>
      </c>
      <c r="BD110" s="899">
        <f>BC110/AH110</f>
        <v>1.1223344556677889E-2</v>
      </c>
      <c r="BE110" s="869">
        <f t="shared" si="34"/>
        <v>1.1223344556677889E-2</v>
      </c>
      <c r="BF110" s="869">
        <f t="shared" si="35"/>
        <v>0</v>
      </c>
      <c r="BG110" s="899"/>
      <c r="BH110" s="899"/>
      <c r="BI110" s="899"/>
      <c r="BJ110" s="899"/>
      <c r="BK110" s="899"/>
      <c r="BL110" s="714">
        <f t="shared" si="36"/>
        <v>0</v>
      </c>
      <c r="BM110" s="869">
        <f t="shared" si="37"/>
        <v>0</v>
      </c>
      <c r="BN110" s="898"/>
      <c r="BO110" s="899"/>
      <c r="BP110" s="869">
        <f t="shared" si="38"/>
        <v>0</v>
      </c>
      <c r="BQ110" s="869">
        <f t="shared" si="39"/>
        <v>0</v>
      </c>
      <c r="BR110" s="899"/>
      <c r="BS110" s="899"/>
      <c r="BT110" s="898">
        <v>0.80300000000000005</v>
      </c>
      <c r="BU110" s="899">
        <v>1E-3</v>
      </c>
      <c r="BV110" s="901">
        <v>10</v>
      </c>
      <c r="BW110" s="901">
        <v>5</v>
      </c>
      <c r="BX110" s="901">
        <v>5</v>
      </c>
      <c r="BY110" s="901">
        <v>1</v>
      </c>
      <c r="BZ110" s="901"/>
      <c r="CA110" s="901"/>
      <c r="CB110" s="901"/>
      <c r="CC110" s="901"/>
      <c r="CD110" s="901"/>
      <c r="CE110" s="901"/>
      <c r="CF110" s="901"/>
      <c r="CG110" s="901">
        <v>1</v>
      </c>
      <c r="CH110" s="901"/>
      <c r="CI110" s="901">
        <v>3</v>
      </c>
      <c r="CJ110" s="901"/>
      <c r="CK110" s="901"/>
      <c r="CL110" s="901"/>
      <c r="CM110" s="901"/>
      <c r="CN110" s="901"/>
      <c r="CO110" s="901"/>
      <c r="CP110" s="901"/>
      <c r="CQ110" s="901"/>
      <c r="CR110" s="901"/>
      <c r="CS110" s="902">
        <f t="shared" si="44"/>
        <v>5</v>
      </c>
      <c r="CT110" s="871">
        <f t="shared" si="40"/>
        <v>5</v>
      </c>
      <c r="CU110" s="871">
        <f t="shared" si="41"/>
        <v>0</v>
      </c>
      <c r="CV110" s="942">
        <v>5.2830000000000004</v>
      </c>
      <c r="CW110" s="710" t="s">
        <v>2993</v>
      </c>
      <c r="CX110" s="710" t="s">
        <v>2998</v>
      </c>
      <c r="CY110" s="710"/>
      <c r="CZ110" s="710"/>
      <c r="DA110" s="899">
        <v>0.16900000000000001</v>
      </c>
      <c r="DB110" s="899" t="s">
        <v>1134</v>
      </c>
      <c r="DC110" s="710" t="s">
        <v>279</v>
      </c>
      <c r="DD110" s="710"/>
      <c r="DE110" s="710"/>
      <c r="DF110" s="901"/>
      <c r="DG110" s="901"/>
      <c r="DH110" s="901">
        <v>4</v>
      </c>
      <c r="DI110" s="710" t="s">
        <v>279</v>
      </c>
      <c r="DJ110" s="710"/>
      <c r="DK110" s="901"/>
      <c r="DL110" s="710" t="s">
        <v>278</v>
      </c>
      <c r="DM110" s="710" t="s">
        <v>3008</v>
      </c>
      <c r="DN110" s="901">
        <v>284</v>
      </c>
      <c r="DO110" s="710" t="s">
        <v>279</v>
      </c>
      <c r="DP110" s="710"/>
      <c r="DQ110" s="901"/>
      <c r="DR110" s="710" t="s">
        <v>278</v>
      </c>
      <c r="DS110" s="710" t="s">
        <v>3013</v>
      </c>
      <c r="DT110" s="901">
        <v>10</v>
      </c>
      <c r="DU110" s="710" t="s">
        <v>278</v>
      </c>
      <c r="DV110" s="710" t="s">
        <v>3016</v>
      </c>
      <c r="DW110" s="901">
        <v>10</v>
      </c>
      <c r="DX110" s="710" t="s">
        <v>279</v>
      </c>
      <c r="DY110" s="710"/>
      <c r="DZ110" s="901"/>
      <c r="EA110" s="710" t="s">
        <v>278</v>
      </c>
      <c r="EB110" s="710" t="s">
        <v>3017</v>
      </c>
      <c r="EC110" s="901">
        <v>8459</v>
      </c>
      <c r="ED110" s="710" t="s">
        <v>279</v>
      </c>
      <c r="EE110" s="710"/>
      <c r="EF110" s="901"/>
      <c r="EG110" s="710" t="s">
        <v>279</v>
      </c>
      <c r="EH110" s="710"/>
      <c r="EI110" s="901"/>
      <c r="EJ110" s="710" t="s">
        <v>279</v>
      </c>
      <c r="EK110" s="710"/>
      <c r="EL110" s="901"/>
      <c r="EM110" s="710" t="s">
        <v>278</v>
      </c>
      <c r="EN110" s="710" t="s">
        <v>3024</v>
      </c>
      <c r="EO110" s="901">
        <v>10</v>
      </c>
      <c r="EP110" s="710" t="s">
        <v>279</v>
      </c>
      <c r="EQ110" s="710"/>
      <c r="ER110" s="901"/>
      <c r="ES110" s="710" t="s">
        <v>279</v>
      </c>
      <c r="ET110" s="710"/>
      <c r="EU110" s="901"/>
      <c r="EV110" s="901"/>
      <c r="EW110" s="901"/>
      <c r="EX110" s="901"/>
      <c r="EY110" s="710" t="s">
        <v>278</v>
      </c>
      <c r="EZ110" s="710" t="s">
        <v>3026</v>
      </c>
      <c r="FA110" s="710" t="s">
        <v>278</v>
      </c>
      <c r="FB110" s="710" t="s">
        <v>3033</v>
      </c>
      <c r="FC110" s="991" t="s">
        <v>3042</v>
      </c>
      <c r="FD110" s="990" t="s">
        <v>3047</v>
      </c>
      <c r="FE110" s="710" t="s">
        <v>279</v>
      </c>
      <c r="FF110" s="710" t="s">
        <v>3054</v>
      </c>
      <c r="FG110" s="710" t="s">
        <v>3060</v>
      </c>
      <c r="FH110" s="710" t="s">
        <v>3068</v>
      </c>
      <c r="FI110" s="710">
        <v>8</v>
      </c>
      <c r="FJ110" s="710">
        <v>22</v>
      </c>
      <c r="FK110" s="710" t="s">
        <v>3081</v>
      </c>
      <c r="FL110" s="710" t="s">
        <v>3093</v>
      </c>
      <c r="FM110" s="990" t="s">
        <v>3107</v>
      </c>
      <c r="FN110" s="710"/>
      <c r="FO110" s="710"/>
      <c r="FP110" s="710"/>
    </row>
    <row r="111" spans="2:172" ht="102" customHeight="1">
      <c r="B111" s="850" t="s">
        <v>5313</v>
      </c>
      <c r="C111" s="863"/>
      <c r="D111" s="850" t="s">
        <v>4934</v>
      </c>
      <c r="E111" s="850" t="s">
        <v>5314</v>
      </c>
      <c r="F111" s="863"/>
      <c r="H111" s="850" t="s">
        <v>4934</v>
      </c>
      <c r="I111" s="850" t="s">
        <v>5520</v>
      </c>
      <c r="J111" s="850" t="s">
        <v>5435</v>
      </c>
      <c r="K111" s="710" t="s">
        <v>241</v>
      </c>
      <c r="L111" s="710" t="s">
        <v>2924</v>
      </c>
      <c r="M111" s="710" t="s">
        <v>626</v>
      </c>
      <c r="N111" s="710" t="s">
        <v>626</v>
      </c>
      <c r="O111" s="895">
        <v>2017</v>
      </c>
      <c r="P111" s="896">
        <v>43318</v>
      </c>
      <c r="Q111" s="896">
        <v>43830</v>
      </c>
      <c r="R111" s="712">
        <f t="shared" si="42"/>
        <v>512</v>
      </c>
      <c r="S111" s="896"/>
      <c r="T111" s="896"/>
      <c r="U111" s="896"/>
      <c r="V111" s="896"/>
      <c r="W111" s="896"/>
      <c r="X111" s="896"/>
      <c r="Y111" s="896"/>
      <c r="Z111" s="896"/>
      <c r="AA111" s="896"/>
      <c r="AB111" s="710" t="s">
        <v>2943</v>
      </c>
      <c r="AC111" s="861" t="s">
        <v>2956</v>
      </c>
      <c r="AD111" s="710" t="s">
        <v>2967</v>
      </c>
      <c r="AE111" s="710" t="s">
        <v>2974</v>
      </c>
      <c r="AF111" s="710" t="s">
        <v>2978</v>
      </c>
      <c r="AG111" s="710" t="s">
        <v>2974</v>
      </c>
      <c r="AH111" s="898">
        <v>1.2</v>
      </c>
      <c r="AI111" s="868">
        <f t="shared" si="24"/>
        <v>1.2000000000000002</v>
      </c>
      <c r="AJ111" s="867">
        <f t="shared" si="25"/>
        <v>0</v>
      </c>
      <c r="AK111" s="898"/>
      <c r="AL111" s="898"/>
      <c r="AM111" s="898"/>
      <c r="AN111" s="869">
        <f t="shared" si="26"/>
        <v>0</v>
      </c>
      <c r="AO111" s="869">
        <f t="shared" si="27"/>
        <v>0</v>
      </c>
      <c r="AP111" s="898"/>
      <c r="AQ111" s="899"/>
      <c r="AR111" s="899">
        <v>5.9999999999999995E-4</v>
      </c>
      <c r="AS111" s="869">
        <f t="shared" si="28"/>
        <v>0</v>
      </c>
      <c r="AT111" s="869">
        <f t="shared" si="29"/>
        <v>0</v>
      </c>
      <c r="AU111" s="942">
        <v>1.08</v>
      </c>
      <c r="AV111" s="899">
        <v>0.9</v>
      </c>
      <c r="AW111" s="869">
        <f t="shared" si="30"/>
        <v>0.90000000000000013</v>
      </c>
      <c r="AX111" s="869">
        <f t="shared" si="31"/>
        <v>0</v>
      </c>
      <c r="AY111" s="898">
        <v>0.09</v>
      </c>
      <c r="AZ111" s="899">
        <v>7.4999999999999997E-2</v>
      </c>
      <c r="BA111" s="869">
        <f t="shared" si="32"/>
        <v>7.4999999999999997E-2</v>
      </c>
      <c r="BB111" s="869">
        <f t="shared" si="33"/>
        <v>0</v>
      </c>
      <c r="BC111" s="898">
        <v>0.03</v>
      </c>
      <c r="BD111" s="899">
        <v>2.5000000000000001E-2</v>
      </c>
      <c r="BE111" s="869">
        <f t="shared" si="34"/>
        <v>2.5000000000000001E-2</v>
      </c>
      <c r="BF111" s="869">
        <f t="shared" si="35"/>
        <v>0</v>
      </c>
      <c r="BG111" s="899"/>
      <c r="BH111" s="899"/>
      <c r="BI111" s="899"/>
      <c r="BJ111" s="899"/>
      <c r="BK111" s="899"/>
      <c r="BL111" s="714">
        <f t="shared" si="36"/>
        <v>0</v>
      </c>
      <c r="BM111" s="869">
        <f t="shared" si="37"/>
        <v>0</v>
      </c>
      <c r="BN111" s="898"/>
      <c r="BO111" s="899"/>
      <c r="BP111" s="869">
        <f t="shared" si="38"/>
        <v>0</v>
      </c>
      <c r="BQ111" s="869">
        <f t="shared" si="39"/>
        <v>0</v>
      </c>
      <c r="BR111" s="899"/>
      <c r="BS111" s="899"/>
      <c r="BT111" s="898">
        <v>1.9450000000000001</v>
      </c>
      <c r="BU111" s="899">
        <v>8.9999999999999998E-4</v>
      </c>
      <c r="BV111" s="901">
        <v>16</v>
      </c>
      <c r="BW111" s="901">
        <v>16</v>
      </c>
      <c r="BX111" s="901">
        <v>2</v>
      </c>
      <c r="BY111" s="901"/>
      <c r="BZ111" s="901"/>
      <c r="CA111" s="901"/>
      <c r="CB111" s="901" t="s">
        <v>410</v>
      </c>
      <c r="CC111" s="901" t="s">
        <v>410</v>
      </c>
      <c r="CD111" s="901" t="s">
        <v>410</v>
      </c>
      <c r="CE111" s="901" t="s">
        <v>410</v>
      </c>
      <c r="CF111" s="901" t="s">
        <v>410</v>
      </c>
      <c r="CG111" s="901"/>
      <c r="CH111" s="901">
        <v>1</v>
      </c>
      <c r="CI111" s="901">
        <v>1</v>
      </c>
      <c r="CJ111" s="901" t="s">
        <v>410</v>
      </c>
      <c r="CK111" s="901" t="s">
        <v>410</v>
      </c>
      <c r="CL111" s="901" t="s">
        <v>410</v>
      </c>
      <c r="CM111" s="901" t="s">
        <v>410</v>
      </c>
      <c r="CN111" s="901" t="s">
        <v>410</v>
      </c>
      <c r="CO111" s="901" t="s">
        <v>410</v>
      </c>
      <c r="CP111" s="901" t="s">
        <v>410</v>
      </c>
      <c r="CQ111" s="901" t="s">
        <v>410</v>
      </c>
      <c r="CR111" s="901" t="s">
        <v>410</v>
      </c>
      <c r="CS111" s="902">
        <f t="shared" si="44"/>
        <v>2</v>
      </c>
      <c r="CT111" s="871">
        <f t="shared" si="40"/>
        <v>2</v>
      </c>
      <c r="CU111" s="871">
        <f t="shared" si="41"/>
        <v>0</v>
      </c>
      <c r="CV111" s="942">
        <v>11.2</v>
      </c>
      <c r="CW111" s="710" t="s">
        <v>410</v>
      </c>
      <c r="CX111" s="710" t="s">
        <v>410</v>
      </c>
      <c r="CY111" s="710"/>
      <c r="CZ111" s="710"/>
      <c r="DA111" s="899">
        <v>0.13020000000000001</v>
      </c>
      <c r="DB111" s="861" t="s">
        <v>1134</v>
      </c>
      <c r="DC111" s="710" t="s">
        <v>279</v>
      </c>
      <c r="DD111" s="710" t="s">
        <v>410</v>
      </c>
      <c r="DE111" s="710" t="s">
        <v>410</v>
      </c>
      <c r="DF111" s="901" t="s">
        <v>410</v>
      </c>
      <c r="DG111" s="901" t="s">
        <v>410</v>
      </c>
      <c r="DH111" s="901">
        <v>2</v>
      </c>
      <c r="DI111" s="710" t="s">
        <v>410</v>
      </c>
      <c r="DJ111" s="710" t="s">
        <v>410</v>
      </c>
      <c r="DK111" s="901" t="s">
        <v>410</v>
      </c>
      <c r="DL111" s="710" t="s">
        <v>278</v>
      </c>
      <c r="DM111" s="710" t="s">
        <v>753</v>
      </c>
      <c r="DN111" s="901">
        <v>221</v>
      </c>
      <c r="DO111" s="710" t="s">
        <v>410</v>
      </c>
      <c r="DP111" s="710" t="s">
        <v>410</v>
      </c>
      <c r="DQ111" s="901" t="s">
        <v>410</v>
      </c>
      <c r="DR111" s="710" t="s">
        <v>278</v>
      </c>
      <c r="DS111" s="710" t="s">
        <v>3014</v>
      </c>
      <c r="DT111" s="901">
        <v>16</v>
      </c>
      <c r="DU111" s="710" t="s">
        <v>410</v>
      </c>
      <c r="DV111" s="710" t="s">
        <v>410</v>
      </c>
      <c r="DW111" s="901" t="s">
        <v>410</v>
      </c>
      <c r="DX111" s="710" t="s">
        <v>410</v>
      </c>
      <c r="DY111" s="710" t="s">
        <v>410</v>
      </c>
      <c r="DZ111" s="901" t="s">
        <v>410</v>
      </c>
      <c r="EA111" s="710" t="s">
        <v>278</v>
      </c>
      <c r="EB111" s="710" t="s">
        <v>3018</v>
      </c>
      <c r="EC111" s="901">
        <v>3375</v>
      </c>
      <c r="ED111" s="710" t="s">
        <v>279</v>
      </c>
      <c r="EE111" s="710" t="s">
        <v>410</v>
      </c>
      <c r="EF111" s="901" t="s">
        <v>410</v>
      </c>
      <c r="EG111" s="710" t="s">
        <v>279</v>
      </c>
      <c r="EH111" s="710" t="s">
        <v>410</v>
      </c>
      <c r="EI111" s="901" t="s">
        <v>410</v>
      </c>
      <c r="EJ111" s="710" t="s">
        <v>279</v>
      </c>
      <c r="EK111" s="710" t="s">
        <v>410</v>
      </c>
      <c r="EL111" s="901" t="s">
        <v>410</v>
      </c>
      <c r="EM111" s="710" t="s">
        <v>279</v>
      </c>
      <c r="EN111" s="710" t="s">
        <v>410</v>
      </c>
      <c r="EO111" s="901" t="s">
        <v>410</v>
      </c>
      <c r="EP111" s="710" t="s">
        <v>279</v>
      </c>
      <c r="EQ111" s="710" t="s">
        <v>410</v>
      </c>
      <c r="ER111" s="901" t="s">
        <v>410</v>
      </c>
      <c r="ES111" s="710" t="s">
        <v>279</v>
      </c>
      <c r="ET111" s="710" t="s">
        <v>410</v>
      </c>
      <c r="EU111" s="901" t="s">
        <v>410</v>
      </c>
      <c r="EV111" s="901"/>
      <c r="EW111" s="901"/>
      <c r="EX111" s="901"/>
      <c r="EY111" s="710" t="s">
        <v>278</v>
      </c>
      <c r="EZ111" s="710" t="s">
        <v>3027</v>
      </c>
      <c r="FA111" s="710" t="s">
        <v>279</v>
      </c>
      <c r="FB111" s="710" t="s">
        <v>410</v>
      </c>
      <c r="FC111" s="861" t="s">
        <v>3043</v>
      </c>
      <c r="FD111" s="861" t="s">
        <v>3048</v>
      </c>
      <c r="FE111" s="861" t="s">
        <v>3043</v>
      </c>
      <c r="FF111" s="710" t="s">
        <v>3055</v>
      </c>
      <c r="FG111" s="710"/>
      <c r="FH111" s="710" t="s">
        <v>3069</v>
      </c>
      <c r="FI111" s="710">
        <v>6</v>
      </c>
      <c r="FJ111" s="710">
        <v>16</v>
      </c>
      <c r="FK111" s="710" t="s">
        <v>3082</v>
      </c>
      <c r="FL111" s="710" t="s">
        <v>3094</v>
      </c>
      <c r="FM111" s="861" t="s">
        <v>3108</v>
      </c>
      <c r="FN111" s="710"/>
      <c r="FO111" s="710"/>
      <c r="FP111" s="861"/>
    </row>
    <row r="112" spans="2:172" ht="102" customHeight="1">
      <c r="B112" s="850" t="s">
        <v>5313</v>
      </c>
      <c r="C112" s="863"/>
      <c r="D112" s="850" t="s">
        <v>4934</v>
      </c>
      <c r="E112" s="850" t="s">
        <v>5314</v>
      </c>
      <c r="F112" s="863"/>
      <c r="H112" s="850" t="s">
        <v>4934</v>
      </c>
      <c r="I112" s="850" t="s">
        <v>5520</v>
      </c>
      <c r="J112" s="850" t="s">
        <v>5435</v>
      </c>
      <c r="K112" s="710" t="s">
        <v>241</v>
      </c>
      <c r="L112" s="710" t="s">
        <v>2925</v>
      </c>
      <c r="M112" s="710" t="s">
        <v>1220</v>
      </c>
      <c r="N112" s="710" t="s">
        <v>626</v>
      </c>
      <c r="O112" s="895">
        <v>2016</v>
      </c>
      <c r="P112" s="896">
        <v>43418</v>
      </c>
      <c r="Q112" s="896">
        <v>43829</v>
      </c>
      <c r="R112" s="712">
        <f t="shared" si="42"/>
        <v>411</v>
      </c>
      <c r="S112" s="896"/>
      <c r="T112" s="896"/>
      <c r="U112" s="896"/>
      <c r="V112" s="896"/>
      <c r="W112" s="896"/>
      <c r="X112" s="896"/>
      <c r="Y112" s="896"/>
      <c r="Z112" s="896"/>
      <c r="AA112" s="896"/>
      <c r="AB112" s="710" t="s">
        <v>2944</v>
      </c>
      <c r="AC112" s="861" t="s">
        <v>2957</v>
      </c>
      <c r="AD112" s="710" t="s">
        <v>2968</v>
      </c>
      <c r="AE112" s="710" t="s">
        <v>2975</v>
      </c>
      <c r="AF112" s="710" t="s">
        <v>2743</v>
      </c>
      <c r="AG112" s="710" t="s">
        <v>2975</v>
      </c>
      <c r="AH112" s="898">
        <v>0.4</v>
      </c>
      <c r="AI112" s="868">
        <f t="shared" si="24"/>
        <v>0.39999999999999997</v>
      </c>
      <c r="AJ112" s="867">
        <f t="shared" si="25"/>
        <v>0</v>
      </c>
      <c r="AK112" s="898"/>
      <c r="AL112" s="898"/>
      <c r="AM112" s="898"/>
      <c r="AN112" s="869">
        <f t="shared" si="26"/>
        <v>0</v>
      </c>
      <c r="AO112" s="869">
        <f t="shared" si="27"/>
        <v>0</v>
      </c>
      <c r="AP112" s="898"/>
      <c r="AQ112" s="899"/>
      <c r="AR112" s="899">
        <v>5.0000000000000002E-5</v>
      </c>
      <c r="AS112" s="869">
        <f t="shared" si="28"/>
        <v>0</v>
      </c>
      <c r="AT112" s="869">
        <f t="shared" si="29"/>
        <v>0</v>
      </c>
      <c r="AU112" s="942">
        <v>0.05</v>
      </c>
      <c r="AV112" s="899">
        <v>0.125</v>
      </c>
      <c r="AW112" s="869">
        <f t="shared" si="30"/>
        <v>0.125</v>
      </c>
      <c r="AX112" s="869">
        <f t="shared" si="31"/>
        <v>0</v>
      </c>
      <c r="AY112" s="898">
        <v>0</v>
      </c>
      <c r="AZ112" s="899">
        <v>0</v>
      </c>
      <c r="BA112" s="869">
        <f t="shared" si="32"/>
        <v>0</v>
      </c>
      <c r="BB112" s="869">
        <f t="shared" si="33"/>
        <v>0</v>
      </c>
      <c r="BC112" s="898">
        <v>0.35</v>
      </c>
      <c r="BD112" s="899">
        <v>0.875</v>
      </c>
      <c r="BE112" s="869">
        <f t="shared" si="34"/>
        <v>0.87499999999999989</v>
      </c>
      <c r="BF112" s="869">
        <f t="shared" si="35"/>
        <v>0</v>
      </c>
      <c r="BG112" s="899"/>
      <c r="BH112" s="899"/>
      <c r="BI112" s="899"/>
      <c r="BJ112" s="899"/>
      <c r="BK112" s="899"/>
      <c r="BL112" s="714">
        <f t="shared" si="36"/>
        <v>0</v>
      </c>
      <c r="BM112" s="869">
        <f t="shared" si="37"/>
        <v>0</v>
      </c>
      <c r="BN112" s="898"/>
      <c r="BO112" s="899"/>
      <c r="BP112" s="869">
        <f t="shared" si="38"/>
        <v>0</v>
      </c>
      <c r="BQ112" s="869">
        <f t="shared" si="39"/>
        <v>0</v>
      </c>
      <c r="BR112" s="899"/>
      <c r="BS112" s="899"/>
      <c r="BT112" s="898">
        <v>0.36</v>
      </c>
      <c r="BU112" s="899">
        <v>2.9999999999999997E-4</v>
      </c>
      <c r="BV112" s="901">
        <v>1</v>
      </c>
      <c r="BW112" s="901">
        <v>1</v>
      </c>
      <c r="BX112" s="901">
        <v>1</v>
      </c>
      <c r="BY112" s="901"/>
      <c r="BZ112" s="901"/>
      <c r="CA112" s="901"/>
      <c r="CB112" s="901"/>
      <c r="CC112" s="901"/>
      <c r="CD112" s="901"/>
      <c r="CE112" s="901"/>
      <c r="CF112" s="901"/>
      <c r="CG112" s="901"/>
      <c r="CH112" s="901"/>
      <c r="CI112" s="901">
        <v>1</v>
      </c>
      <c r="CJ112" s="901"/>
      <c r="CK112" s="901"/>
      <c r="CL112" s="901"/>
      <c r="CM112" s="901"/>
      <c r="CN112" s="901"/>
      <c r="CO112" s="901"/>
      <c r="CP112" s="901"/>
      <c r="CQ112" s="901"/>
      <c r="CR112" s="901"/>
      <c r="CS112" s="902">
        <f t="shared" si="44"/>
        <v>1</v>
      </c>
      <c r="CT112" s="871">
        <f t="shared" si="40"/>
        <v>1</v>
      </c>
      <c r="CU112" s="871">
        <f t="shared" si="41"/>
        <v>0</v>
      </c>
      <c r="CV112" s="942">
        <v>0.71799999999999997</v>
      </c>
      <c r="CW112" s="710"/>
      <c r="CX112" s="710"/>
      <c r="CY112" s="710"/>
      <c r="CZ112" s="710"/>
      <c r="DA112" s="899">
        <v>1.8100000000000002E-2</v>
      </c>
      <c r="DB112" s="710" t="s">
        <v>1134</v>
      </c>
      <c r="DC112" s="710" t="s">
        <v>279</v>
      </c>
      <c r="DD112" s="710"/>
      <c r="DE112" s="710"/>
      <c r="DF112" s="901"/>
      <c r="DG112" s="901"/>
      <c r="DH112" s="901">
        <v>2</v>
      </c>
      <c r="DI112" s="710" t="s">
        <v>279</v>
      </c>
      <c r="DJ112" s="710"/>
      <c r="DK112" s="901"/>
      <c r="DL112" s="710" t="s">
        <v>278</v>
      </c>
      <c r="DM112" s="710" t="s">
        <v>3009</v>
      </c>
      <c r="DN112" s="901">
        <v>121</v>
      </c>
      <c r="DO112" s="710" t="s">
        <v>279</v>
      </c>
      <c r="DP112" s="710"/>
      <c r="DQ112" s="901"/>
      <c r="DR112" s="710" t="s">
        <v>278</v>
      </c>
      <c r="DS112" s="710" t="s">
        <v>3015</v>
      </c>
      <c r="DT112" s="901">
        <v>1</v>
      </c>
      <c r="DU112" s="710" t="s">
        <v>279</v>
      </c>
      <c r="DV112" s="710"/>
      <c r="DW112" s="901"/>
      <c r="DX112" s="710"/>
      <c r="DY112" s="710"/>
      <c r="DZ112" s="901"/>
      <c r="EA112" s="710" t="s">
        <v>279</v>
      </c>
      <c r="EB112" s="861"/>
      <c r="EC112" s="901"/>
      <c r="ED112" s="710" t="s">
        <v>279</v>
      </c>
      <c r="EE112" s="710"/>
      <c r="EF112" s="901"/>
      <c r="EG112" s="710" t="s">
        <v>279</v>
      </c>
      <c r="EH112" s="710"/>
      <c r="EI112" s="901"/>
      <c r="EJ112" s="710" t="s">
        <v>279</v>
      </c>
      <c r="EK112" s="710"/>
      <c r="EL112" s="901"/>
      <c r="EM112" s="710" t="s">
        <v>278</v>
      </c>
      <c r="EN112" s="710" t="s">
        <v>3025</v>
      </c>
      <c r="EO112" s="901">
        <v>10</v>
      </c>
      <c r="EP112" s="710" t="s">
        <v>279</v>
      </c>
      <c r="EQ112" s="710"/>
      <c r="ER112" s="901"/>
      <c r="ES112" s="710" t="s">
        <v>279</v>
      </c>
      <c r="ET112" s="861"/>
      <c r="EU112" s="901"/>
      <c r="EV112" s="901"/>
      <c r="EW112" s="901"/>
      <c r="EX112" s="901"/>
      <c r="EY112" s="710" t="s">
        <v>278</v>
      </c>
      <c r="EZ112" s="710" t="s">
        <v>3028</v>
      </c>
      <c r="FA112" s="710" t="s">
        <v>278</v>
      </c>
      <c r="FB112" s="710" t="s">
        <v>3034</v>
      </c>
      <c r="FC112" s="861" t="s">
        <v>3044</v>
      </c>
      <c r="FD112" s="861"/>
      <c r="FE112" s="710"/>
      <c r="FF112" s="710"/>
      <c r="FG112" s="710"/>
      <c r="FH112" s="710"/>
      <c r="FI112" s="710"/>
      <c r="FJ112" s="710"/>
      <c r="FK112" s="710" t="s">
        <v>3083</v>
      </c>
      <c r="FL112" s="710" t="s">
        <v>3095</v>
      </c>
      <c r="FM112" s="861" t="s">
        <v>3109</v>
      </c>
      <c r="FN112" s="710"/>
      <c r="FO112" s="710"/>
      <c r="FP112" s="861"/>
    </row>
    <row r="113" spans="2:174" ht="97" customHeight="1">
      <c r="B113" s="850" t="s">
        <v>5313</v>
      </c>
      <c r="C113" s="863"/>
      <c r="D113" s="850" t="s">
        <v>4934</v>
      </c>
      <c r="E113" s="850" t="s">
        <v>5314</v>
      </c>
      <c r="F113" s="863"/>
      <c r="H113" s="850" t="s">
        <v>4934</v>
      </c>
      <c r="I113" s="850" t="s">
        <v>5520</v>
      </c>
      <c r="J113" s="850" t="s">
        <v>5435</v>
      </c>
      <c r="K113" s="710" t="s">
        <v>241</v>
      </c>
      <c r="L113" s="710" t="s">
        <v>2926</v>
      </c>
      <c r="M113" s="710" t="s">
        <v>2931</v>
      </c>
      <c r="N113" s="710" t="s">
        <v>2931</v>
      </c>
      <c r="O113" s="895">
        <v>2019</v>
      </c>
      <c r="P113" s="896">
        <v>43677</v>
      </c>
      <c r="Q113" s="896">
        <v>43830</v>
      </c>
      <c r="R113" s="712">
        <f t="shared" si="42"/>
        <v>153</v>
      </c>
      <c r="S113" s="896"/>
      <c r="T113" s="896"/>
      <c r="U113" s="896"/>
      <c r="V113" s="896"/>
      <c r="W113" s="896"/>
      <c r="X113" s="896"/>
      <c r="Y113" s="896"/>
      <c r="Z113" s="896"/>
      <c r="AA113" s="896"/>
      <c r="AB113" s="994" t="s">
        <v>2945</v>
      </c>
      <c r="AC113" s="995" t="s">
        <v>2958</v>
      </c>
      <c r="AD113" s="710" t="s">
        <v>2969</v>
      </c>
      <c r="AE113" s="710" t="s">
        <v>2969</v>
      </c>
      <c r="AF113" s="710" t="s">
        <v>2979</v>
      </c>
      <c r="AG113" s="710" t="s">
        <v>2969</v>
      </c>
      <c r="AH113" s="898">
        <v>1.3169999999999999</v>
      </c>
      <c r="AI113" s="868">
        <f t="shared" si="24"/>
        <v>1.3169999999999999</v>
      </c>
      <c r="AJ113" s="867">
        <f t="shared" si="25"/>
        <v>0</v>
      </c>
      <c r="AK113" s="898"/>
      <c r="AL113" s="898"/>
      <c r="AM113" s="898"/>
      <c r="AN113" s="869">
        <f t="shared" si="26"/>
        <v>0</v>
      </c>
      <c r="AO113" s="869">
        <f t="shared" si="27"/>
        <v>0</v>
      </c>
      <c r="AP113" s="898"/>
      <c r="AQ113" s="899"/>
      <c r="AR113" s="899">
        <v>2.3999999999999998E-3</v>
      </c>
      <c r="AS113" s="869">
        <f t="shared" si="28"/>
        <v>0</v>
      </c>
      <c r="AT113" s="869">
        <f t="shared" si="29"/>
        <v>0</v>
      </c>
      <c r="AU113" s="942">
        <v>0.89400000000000002</v>
      </c>
      <c r="AV113" s="899">
        <v>0.67881548974943051</v>
      </c>
      <c r="AW113" s="869">
        <f t="shared" si="30"/>
        <v>0.67881548974943051</v>
      </c>
      <c r="AX113" s="869">
        <f t="shared" si="31"/>
        <v>0</v>
      </c>
      <c r="AY113" s="898">
        <v>0.42299999999999999</v>
      </c>
      <c r="AZ113" s="899">
        <f t="shared" ref="AZ113:AZ119" si="45">AY113/AH113</f>
        <v>0.32118451025056949</v>
      </c>
      <c r="BA113" s="869">
        <f t="shared" si="32"/>
        <v>0.32118451025056949</v>
      </c>
      <c r="BB113" s="869">
        <f t="shared" si="33"/>
        <v>0</v>
      </c>
      <c r="BC113" s="898"/>
      <c r="BD113" s="899"/>
      <c r="BE113" s="869">
        <f t="shared" si="34"/>
        <v>0</v>
      </c>
      <c r="BF113" s="869">
        <f t="shared" si="35"/>
        <v>0</v>
      </c>
      <c r="BG113" s="899"/>
      <c r="BH113" s="899"/>
      <c r="BI113" s="899"/>
      <c r="BJ113" s="899"/>
      <c r="BK113" s="899"/>
      <c r="BL113" s="714">
        <f t="shared" si="36"/>
        <v>0</v>
      </c>
      <c r="BM113" s="869">
        <f t="shared" si="37"/>
        <v>0</v>
      </c>
      <c r="BN113" s="898"/>
      <c r="BO113" s="899"/>
      <c r="BP113" s="869">
        <f t="shared" si="38"/>
        <v>0</v>
      </c>
      <c r="BQ113" s="869">
        <f t="shared" si="39"/>
        <v>0</v>
      </c>
      <c r="BR113" s="899"/>
      <c r="BS113" s="899"/>
      <c r="BT113" s="898">
        <v>3.1604999999999999</v>
      </c>
      <c r="BU113" s="899">
        <v>3.5000000000000001E-3</v>
      </c>
      <c r="BV113" s="901">
        <v>10</v>
      </c>
      <c r="BW113" s="901">
        <v>6</v>
      </c>
      <c r="BX113" s="901">
        <v>2</v>
      </c>
      <c r="BY113" s="901"/>
      <c r="BZ113" s="901"/>
      <c r="CA113" s="901"/>
      <c r="CB113" s="901"/>
      <c r="CC113" s="901"/>
      <c r="CD113" s="901"/>
      <c r="CE113" s="901"/>
      <c r="CF113" s="901"/>
      <c r="CG113" s="901"/>
      <c r="CH113" s="901"/>
      <c r="CI113" s="901">
        <v>2</v>
      </c>
      <c r="CJ113" s="901"/>
      <c r="CK113" s="901"/>
      <c r="CL113" s="901"/>
      <c r="CM113" s="901"/>
      <c r="CN113" s="901"/>
      <c r="CO113" s="901"/>
      <c r="CP113" s="901"/>
      <c r="CQ113" s="901"/>
      <c r="CR113" s="901"/>
      <c r="CS113" s="902">
        <f t="shared" si="44"/>
        <v>2</v>
      </c>
      <c r="CT113" s="871">
        <f t="shared" si="40"/>
        <v>2</v>
      </c>
      <c r="CU113" s="871">
        <f t="shared" si="41"/>
        <v>0</v>
      </c>
      <c r="CV113" s="942">
        <v>0.33500000000000002</v>
      </c>
      <c r="CW113" s="710" t="s">
        <v>2994</v>
      </c>
      <c r="CX113" s="710"/>
      <c r="CY113" s="710"/>
      <c r="CZ113" s="710"/>
      <c r="DA113" s="899">
        <v>1.77E-2</v>
      </c>
      <c r="DB113" s="899" t="s">
        <v>1134</v>
      </c>
      <c r="DC113" s="710" t="s">
        <v>278</v>
      </c>
      <c r="DD113" s="710" t="s">
        <v>3000</v>
      </c>
      <c r="DE113" s="710" t="s">
        <v>3001</v>
      </c>
      <c r="DF113" s="901">
        <v>1</v>
      </c>
      <c r="DG113" s="901">
        <v>0</v>
      </c>
      <c r="DH113" s="901"/>
      <c r="DI113" s="710" t="s">
        <v>278</v>
      </c>
      <c r="DJ113" s="710" t="s">
        <v>3003</v>
      </c>
      <c r="DK113" s="901">
        <v>1536</v>
      </c>
      <c r="DL113" s="710" t="s">
        <v>278</v>
      </c>
      <c r="DM113" s="710" t="s">
        <v>3010</v>
      </c>
      <c r="DN113" s="901">
        <v>348</v>
      </c>
      <c r="DO113" s="710"/>
      <c r="DP113" s="710"/>
      <c r="DQ113" s="901"/>
      <c r="DR113" s="710"/>
      <c r="DS113" s="710"/>
      <c r="DT113" s="901"/>
      <c r="DU113" s="710"/>
      <c r="DV113" s="710"/>
      <c r="DW113" s="901"/>
      <c r="DX113" s="710"/>
      <c r="DY113" s="710"/>
      <c r="DZ113" s="901"/>
      <c r="EA113" s="710"/>
      <c r="EB113" s="710"/>
      <c r="EC113" s="901"/>
      <c r="ED113" s="710" t="s">
        <v>278</v>
      </c>
      <c r="EE113" s="710" t="s">
        <v>3010</v>
      </c>
      <c r="EF113" s="901">
        <v>348</v>
      </c>
      <c r="EG113" s="710"/>
      <c r="EH113" s="710"/>
      <c r="EI113" s="901"/>
      <c r="EJ113" s="710"/>
      <c r="EK113" s="710"/>
      <c r="EL113" s="901"/>
      <c r="EM113" s="710"/>
      <c r="EN113" s="710"/>
      <c r="EO113" s="901"/>
      <c r="EP113" s="710"/>
      <c r="EQ113" s="710"/>
      <c r="ER113" s="901"/>
      <c r="ES113" s="710"/>
      <c r="ET113" s="710"/>
      <c r="EU113" s="901"/>
      <c r="EV113" s="901"/>
      <c r="EW113" s="901"/>
      <c r="EX113" s="901"/>
      <c r="EY113" s="710" t="s">
        <v>279</v>
      </c>
      <c r="EZ113" s="710"/>
      <c r="FA113" s="710" t="s">
        <v>278</v>
      </c>
      <c r="FB113" s="710" t="s">
        <v>3035</v>
      </c>
      <c r="FC113" s="995"/>
      <c r="FD113" s="710"/>
      <c r="FE113" s="710"/>
      <c r="FF113" s="710"/>
      <c r="FG113" s="710"/>
      <c r="FH113" s="710" t="s">
        <v>3070</v>
      </c>
      <c r="FI113" s="710">
        <v>2</v>
      </c>
      <c r="FJ113" s="710">
        <v>36</v>
      </c>
      <c r="FK113" s="710" t="s">
        <v>3084</v>
      </c>
      <c r="FL113" s="710" t="s">
        <v>3096</v>
      </c>
      <c r="FM113" s="995" t="s">
        <v>3110</v>
      </c>
      <c r="FN113" s="710"/>
      <c r="FO113" s="710"/>
      <c r="FP113" s="995"/>
    </row>
    <row r="114" spans="2:174" ht="109" customHeight="1">
      <c r="B114" s="850" t="s">
        <v>5313</v>
      </c>
      <c r="C114" s="863"/>
      <c r="D114" s="850" t="s">
        <v>4934</v>
      </c>
      <c r="E114" s="850" t="s">
        <v>5314</v>
      </c>
      <c r="F114" s="863"/>
      <c r="H114" s="850" t="s">
        <v>4934</v>
      </c>
      <c r="I114" s="850" t="s">
        <v>5520</v>
      </c>
      <c r="J114" s="850" t="s">
        <v>5435</v>
      </c>
      <c r="K114" s="710" t="s">
        <v>241</v>
      </c>
      <c r="L114" s="710" t="s">
        <v>2927</v>
      </c>
      <c r="M114" s="710" t="s">
        <v>2931</v>
      </c>
      <c r="N114" s="710" t="s">
        <v>2931</v>
      </c>
      <c r="O114" s="895">
        <v>2018</v>
      </c>
      <c r="P114" s="896">
        <v>43353</v>
      </c>
      <c r="Q114" s="896">
        <v>76702</v>
      </c>
      <c r="R114" s="712">
        <f t="shared" si="42"/>
        <v>33349</v>
      </c>
      <c r="S114" s="896"/>
      <c r="T114" s="896"/>
      <c r="U114" s="896"/>
      <c r="V114" s="896"/>
      <c r="W114" s="896"/>
      <c r="X114" s="896"/>
      <c r="Y114" s="896"/>
      <c r="Z114" s="896"/>
      <c r="AA114" s="896"/>
      <c r="AB114" s="710" t="s">
        <v>2946</v>
      </c>
      <c r="AC114" s="710" t="s">
        <v>2959</v>
      </c>
      <c r="AD114" s="710" t="s">
        <v>2970</v>
      </c>
      <c r="AE114" s="710" t="s">
        <v>2970</v>
      </c>
      <c r="AF114" s="710" t="s">
        <v>2419</v>
      </c>
      <c r="AG114" s="710" t="s">
        <v>2988</v>
      </c>
      <c r="AH114" s="898">
        <v>1.117</v>
      </c>
      <c r="AI114" s="868">
        <f t="shared" si="24"/>
        <v>1.117</v>
      </c>
      <c r="AJ114" s="867">
        <f t="shared" si="25"/>
        <v>0</v>
      </c>
      <c r="AK114" s="898"/>
      <c r="AL114" s="898"/>
      <c r="AM114" s="898"/>
      <c r="AN114" s="869">
        <f t="shared" si="26"/>
        <v>0</v>
      </c>
      <c r="AO114" s="869">
        <f t="shared" si="27"/>
        <v>0</v>
      </c>
      <c r="AP114" s="898"/>
      <c r="AQ114" s="899"/>
      <c r="AR114" s="899">
        <v>1.5E-3</v>
      </c>
      <c r="AS114" s="869">
        <f t="shared" si="28"/>
        <v>0</v>
      </c>
      <c r="AT114" s="869">
        <f t="shared" si="29"/>
        <v>0</v>
      </c>
      <c r="AU114" s="942">
        <v>0.995</v>
      </c>
      <c r="AV114" s="899">
        <v>0.89077887197851391</v>
      </c>
      <c r="AW114" s="869">
        <f t="shared" si="30"/>
        <v>0.89077887197851391</v>
      </c>
      <c r="AX114" s="869">
        <f t="shared" si="31"/>
        <v>0</v>
      </c>
      <c r="AY114" s="898">
        <v>9.8000000000000004E-2</v>
      </c>
      <c r="AZ114" s="899">
        <f t="shared" si="45"/>
        <v>8.7735004476275746E-2</v>
      </c>
      <c r="BA114" s="869">
        <f t="shared" si="32"/>
        <v>8.7735004476275746E-2</v>
      </c>
      <c r="BB114" s="869">
        <f t="shared" si="33"/>
        <v>0</v>
      </c>
      <c r="BC114" s="898">
        <v>2.4E-2</v>
      </c>
      <c r="BD114" s="899">
        <f>BC114/AH114</f>
        <v>2.1486123545210387E-2</v>
      </c>
      <c r="BE114" s="869">
        <f t="shared" si="34"/>
        <v>2.1486123545210387E-2</v>
      </c>
      <c r="BF114" s="869">
        <f t="shared" si="35"/>
        <v>0</v>
      </c>
      <c r="BG114" s="899"/>
      <c r="BH114" s="899"/>
      <c r="BI114" s="899"/>
      <c r="BJ114" s="899"/>
      <c r="BK114" s="899"/>
      <c r="BL114" s="714">
        <f t="shared" si="36"/>
        <v>0</v>
      </c>
      <c r="BM114" s="869">
        <f t="shared" si="37"/>
        <v>0</v>
      </c>
      <c r="BN114" s="898"/>
      <c r="BO114" s="899"/>
      <c r="BP114" s="869">
        <f t="shared" si="38"/>
        <v>0</v>
      </c>
      <c r="BQ114" s="869">
        <f t="shared" si="39"/>
        <v>0</v>
      </c>
      <c r="BR114" s="899"/>
      <c r="BS114" s="899"/>
      <c r="BT114" s="898">
        <v>1.488</v>
      </c>
      <c r="BU114" s="899">
        <v>2E-3</v>
      </c>
      <c r="BV114" s="901">
        <v>6</v>
      </c>
      <c r="BW114" s="901">
        <v>3</v>
      </c>
      <c r="BX114" s="901">
        <v>3</v>
      </c>
      <c r="BY114" s="901"/>
      <c r="BZ114" s="901"/>
      <c r="CA114" s="901"/>
      <c r="CB114" s="901"/>
      <c r="CC114" s="901"/>
      <c r="CD114" s="901">
        <v>1</v>
      </c>
      <c r="CE114" s="901"/>
      <c r="CF114" s="901"/>
      <c r="CG114" s="901">
        <v>1</v>
      </c>
      <c r="CH114" s="901"/>
      <c r="CI114" s="901">
        <v>1</v>
      </c>
      <c r="CJ114" s="901"/>
      <c r="CK114" s="901"/>
      <c r="CL114" s="901"/>
      <c r="CM114" s="901"/>
      <c r="CN114" s="901"/>
      <c r="CO114" s="901"/>
      <c r="CP114" s="901"/>
      <c r="CQ114" s="901"/>
      <c r="CR114" s="901"/>
      <c r="CS114" s="902">
        <f t="shared" si="44"/>
        <v>3</v>
      </c>
      <c r="CT114" s="871">
        <f t="shared" si="40"/>
        <v>3</v>
      </c>
      <c r="CU114" s="871">
        <f t="shared" si="41"/>
        <v>0</v>
      </c>
      <c r="CV114" s="942">
        <v>2.5790000000000002</v>
      </c>
      <c r="CW114" s="710"/>
      <c r="CX114" s="710"/>
      <c r="CY114" s="710"/>
      <c r="CZ114" s="710"/>
      <c r="DA114" s="899">
        <v>0.105</v>
      </c>
      <c r="DB114" s="899" t="s">
        <v>1134</v>
      </c>
      <c r="DC114" s="710" t="s">
        <v>279</v>
      </c>
      <c r="DD114" s="710"/>
      <c r="DE114" s="710"/>
      <c r="DF114" s="901"/>
      <c r="DG114" s="901"/>
      <c r="DH114" s="901">
        <v>3</v>
      </c>
      <c r="DI114" s="710"/>
      <c r="DJ114" s="710"/>
      <c r="DK114" s="901"/>
      <c r="DL114" s="710" t="s">
        <v>278</v>
      </c>
      <c r="DM114" s="710" t="s">
        <v>1685</v>
      </c>
      <c r="DN114" s="901">
        <v>6</v>
      </c>
      <c r="DO114" s="710" t="s">
        <v>813</v>
      </c>
      <c r="DP114" s="710"/>
      <c r="DQ114" s="901"/>
      <c r="DR114" s="710"/>
      <c r="DS114" s="710"/>
      <c r="DT114" s="901"/>
      <c r="DU114" s="710"/>
      <c r="DV114" s="710"/>
      <c r="DW114" s="901"/>
      <c r="DX114" s="710"/>
      <c r="DY114" s="710"/>
      <c r="DZ114" s="901"/>
      <c r="EA114" s="710" t="s">
        <v>278</v>
      </c>
      <c r="EB114" s="710" t="s">
        <v>3019</v>
      </c>
      <c r="EC114" s="901">
        <v>12044</v>
      </c>
      <c r="ED114" s="710"/>
      <c r="EE114" s="710"/>
      <c r="EF114" s="901"/>
      <c r="EG114" s="710"/>
      <c r="EH114" s="710"/>
      <c r="EI114" s="901"/>
      <c r="EJ114" s="710"/>
      <c r="EK114" s="710"/>
      <c r="EL114" s="901"/>
      <c r="EM114" s="710"/>
      <c r="EN114" s="710"/>
      <c r="EO114" s="901"/>
      <c r="EP114" s="710"/>
      <c r="EQ114" s="710"/>
      <c r="ER114" s="901"/>
      <c r="ES114" s="710"/>
      <c r="ET114" s="710"/>
      <c r="EU114" s="901"/>
      <c r="EV114" s="901"/>
      <c r="EW114" s="901"/>
      <c r="EX114" s="901"/>
      <c r="EY114" s="710" t="s">
        <v>279</v>
      </c>
      <c r="EZ114" s="710" t="s">
        <v>3029</v>
      </c>
      <c r="FA114" s="710" t="s">
        <v>279</v>
      </c>
      <c r="FB114" s="710"/>
      <c r="FC114" s="710" t="s">
        <v>3045</v>
      </c>
      <c r="FD114" s="710"/>
      <c r="FE114" s="710"/>
      <c r="FF114" s="710" t="s">
        <v>3056</v>
      </c>
      <c r="FG114" s="710"/>
      <c r="FH114" s="710" t="s">
        <v>3071</v>
      </c>
      <c r="FI114" s="710">
        <v>4</v>
      </c>
      <c r="FJ114" s="710">
        <v>169</v>
      </c>
      <c r="FK114" s="710" t="s">
        <v>3085</v>
      </c>
      <c r="FL114" s="710" t="s">
        <v>3097</v>
      </c>
      <c r="FM114" s="861" t="s">
        <v>3111</v>
      </c>
      <c r="FN114" s="710"/>
      <c r="FO114" s="710"/>
      <c r="FP114" s="710"/>
    </row>
    <row r="115" spans="2:174" ht="81.5" customHeight="1">
      <c r="B115" s="850" t="s">
        <v>5313</v>
      </c>
      <c r="C115" s="863"/>
      <c r="D115" s="850" t="s">
        <v>4934</v>
      </c>
      <c r="E115" s="850" t="s">
        <v>5314</v>
      </c>
      <c r="F115" s="863"/>
      <c r="H115" s="850" t="s">
        <v>4934</v>
      </c>
      <c r="I115" s="850" t="s">
        <v>5520</v>
      </c>
      <c r="J115" s="850" t="s">
        <v>5435</v>
      </c>
      <c r="K115" s="710" t="s">
        <v>241</v>
      </c>
      <c r="L115" s="710" t="s">
        <v>2928</v>
      </c>
      <c r="M115" s="710" t="s">
        <v>2931</v>
      </c>
      <c r="N115" s="710" t="s">
        <v>2931</v>
      </c>
      <c r="O115" s="895">
        <v>2017</v>
      </c>
      <c r="P115" s="896">
        <v>43607</v>
      </c>
      <c r="Q115" s="896">
        <v>43830</v>
      </c>
      <c r="R115" s="712">
        <f t="shared" si="42"/>
        <v>223</v>
      </c>
      <c r="S115" s="896"/>
      <c r="T115" s="896"/>
      <c r="U115" s="896"/>
      <c r="V115" s="896"/>
      <c r="W115" s="896"/>
      <c r="X115" s="896"/>
      <c r="Y115" s="896"/>
      <c r="Z115" s="896"/>
      <c r="AA115" s="896"/>
      <c r="AB115" s="710" t="s">
        <v>2947</v>
      </c>
      <c r="AC115" s="710"/>
      <c r="AD115" s="710" t="s">
        <v>2971</v>
      </c>
      <c r="AE115" s="710" t="s">
        <v>2971</v>
      </c>
      <c r="AF115" s="710" t="s">
        <v>766</v>
      </c>
      <c r="AG115" s="710" t="s">
        <v>2971</v>
      </c>
      <c r="AH115" s="898">
        <v>0.60399999999999998</v>
      </c>
      <c r="AI115" s="868">
        <f t="shared" si="24"/>
        <v>0.60400000000000009</v>
      </c>
      <c r="AJ115" s="867">
        <f t="shared" si="25"/>
        <v>0</v>
      </c>
      <c r="AK115" s="898"/>
      <c r="AL115" s="898"/>
      <c r="AM115" s="898"/>
      <c r="AN115" s="869">
        <f t="shared" si="26"/>
        <v>0</v>
      </c>
      <c r="AO115" s="869">
        <f t="shared" si="27"/>
        <v>0</v>
      </c>
      <c r="AP115" s="898"/>
      <c r="AQ115" s="899"/>
      <c r="AR115" s="899">
        <v>8.9999999999999998E-4</v>
      </c>
      <c r="AS115" s="869">
        <f t="shared" si="28"/>
        <v>0</v>
      </c>
      <c r="AT115" s="869">
        <f t="shared" si="29"/>
        <v>0</v>
      </c>
      <c r="AU115" s="942">
        <v>0.54400000000000004</v>
      </c>
      <c r="AV115" s="899">
        <v>0.90066225165562919</v>
      </c>
      <c r="AW115" s="869">
        <f t="shared" si="30"/>
        <v>0.90066225165562919</v>
      </c>
      <c r="AX115" s="869">
        <f t="shared" si="31"/>
        <v>0</v>
      </c>
      <c r="AY115" s="898">
        <v>0.03</v>
      </c>
      <c r="AZ115" s="899">
        <f t="shared" si="45"/>
        <v>4.9668874172185427E-2</v>
      </c>
      <c r="BA115" s="869">
        <f t="shared" si="32"/>
        <v>4.9668874172185427E-2</v>
      </c>
      <c r="BB115" s="869">
        <f t="shared" si="33"/>
        <v>0</v>
      </c>
      <c r="BC115" s="898">
        <v>0.03</v>
      </c>
      <c r="BD115" s="899">
        <f>BC115/AH115</f>
        <v>4.9668874172185427E-2</v>
      </c>
      <c r="BE115" s="869">
        <f t="shared" si="34"/>
        <v>4.9668874172185427E-2</v>
      </c>
      <c r="BF115" s="869">
        <f t="shared" si="35"/>
        <v>0</v>
      </c>
      <c r="BG115" s="899"/>
      <c r="BH115" s="899"/>
      <c r="BI115" s="899"/>
      <c r="BJ115" s="899"/>
      <c r="BK115" s="899"/>
      <c r="BL115" s="714">
        <f t="shared" si="36"/>
        <v>0</v>
      </c>
      <c r="BM115" s="869">
        <f t="shared" si="37"/>
        <v>0</v>
      </c>
      <c r="BN115" s="898"/>
      <c r="BO115" s="899"/>
      <c r="BP115" s="869">
        <f t="shared" si="38"/>
        <v>0</v>
      </c>
      <c r="BQ115" s="869">
        <f t="shared" si="39"/>
        <v>0</v>
      </c>
      <c r="BR115" s="899"/>
      <c r="BS115" s="899"/>
      <c r="BT115" s="898">
        <v>1</v>
      </c>
      <c r="BU115" s="899">
        <v>8.9999999999999998E-4</v>
      </c>
      <c r="BV115" s="901">
        <v>1</v>
      </c>
      <c r="BW115" s="901">
        <v>1</v>
      </c>
      <c r="BX115" s="901">
        <v>1</v>
      </c>
      <c r="BY115" s="901"/>
      <c r="BZ115" s="901"/>
      <c r="CA115" s="901"/>
      <c r="CB115" s="901"/>
      <c r="CC115" s="901"/>
      <c r="CD115" s="901"/>
      <c r="CE115" s="901"/>
      <c r="CF115" s="901"/>
      <c r="CG115" s="901"/>
      <c r="CH115" s="901"/>
      <c r="CI115" s="901"/>
      <c r="CJ115" s="901"/>
      <c r="CK115" s="901">
        <v>1</v>
      </c>
      <c r="CL115" s="901"/>
      <c r="CM115" s="901"/>
      <c r="CN115" s="901"/>
      <c r="CO115" s="901"/>
      <c r="CP115" s="901"/>
      <c r="CQ115" s="901"/>
      <c r="CR115" s="901"/>
      <c r="CS115" s="902">
        <f t="shared" si="44"/>
        <v>1</v>
      </c>
      <c r="CT115" s="871">
        <f t="shared" si="40"/>
        <v>1</v>
      </c>
      <c r="CU115" s="871">
        <f t="shared" si="41"/>
        <v>0</v>
      </c>
      <c r="CV115" s="942">
        <v>0.52</v>
      </c>
      <c r="CW115" s="710" t="s">
        <v>2995</v>
      </c>
      <c r="CX115" s="710"/>
      <c r="CY115" s="710"/>
      <c r="CZ115" s="710"/>
      <c r="DA115" s="899">
        <v>2.9600000000000001E-2</v>
      </c>
      <c r="DB115" s="899" t="s">
        <v>1134</v>
      </c>
      <c r="DC115" s="710" t="s">
        <v>279</v>
      </c>
      <c r="DD115" s="710"/>
      <c r="DE115" s="710"/>
      <c r="DF115" s="901"/>
      <c r="DG115" s="901"/>
      <c r="DH115" s="901">
        <v>1</v>
      </c>
      <c r="DI115" s="710"/>
      <c r="DJ115" s="710"/>
      <c r="DK115" s="901"/>
      <c r="DL115" s="710" t="s">
        <v>278</v>
      </c>
      <c r="DM115" s="710" t="s">
        <v>2995</v>
      </c>
      <c r="DN115" s="901">
        <v>300</v>
      </c>
      <c r="DO115" s="710"/>
      <c r="DP115" s="710"/>
      <c r="DQ115" s="901"/>
      <c r="DR115" s="710"/>
      <c r="DS115" s="710"/>
      <c r="DT115" s="901"/>
      <c r="DU115" s="710"/>
      <c r="DV115" s="710"/>
      <c r="DW115" s="901"/>
      <c r="DX115" s="710"/>
      <c r="DY115" s="710"/>
      <c r="DZ115" s="901"/>
      <c r="EA115" s="710"/>
      <c r="EB115" s="710"/>
      <c r="EC115" s="901"/>
      <c r="ED115" s="710" t="s">
        <v>278</v>
      </c>
      <c r="EE115" s="710" t="s">
        <v>2995</v>
      </c>
      <c r="EF115" s="901">
        <v>300</v>
      </c>
      <c r="EG115" s="710"/>
      <c r="EH115" s="710"/>
      <c r="EI115" s="901"/>
      <c r="EJ115" s="710"/>
      <c r="EK115" s="710"/>
      <c r="EL115" s="901"/>
      <c r="EM115" s="710"/>
      <c r="EN115" s="710"/>
      <c r="EO115" s="901"/>
      <c r="EP115" s="710"/>
      <c r="EQ115" s="710"/>
      <c r="ER115" s="901"/>
      <c r="ES115" s="710"/>
      <c r="ET115" s="710"/>
      <c r="EU115" s="901"/>
      <c r="EV115" s="901"/>
      <c r="EW115" s="901"/>
      <c r="EX115" s="901"/>
      <c r="EY115" s="710" t="s">
        <v>279</v>
      </c>
      <c r="EZ115" s="710"/>
      <c r="FA115" s="710" t="s">
        <v>278</v>
      </c>
      <c r="FB115" s="710" t="s">
        <v>3036</v>
      </c>
      <c r="FC115" s="710"/>
      <c r="FD115" s="710"/>
      <c r="FE115" s="710"/>
      <c r="FF115" s="710"/>
      <c r="FG115" s="710"/>
      <c r="FH115" s="710" t="s">
        <v>3072</v>
      </c>
      <c r="FI115" s="710">
        <v>2</v>
      </c>
      <c r="FJ115" s="710">
        <v>40</v>
      </c>
      <c r="FK115" s="710" t="s">
        <v>3086</v>
      </c>
      <c r="FL115" s="710" t="s">
        <v>3098</v>
      </c>
      <c r="FM115" s="990" t="s">
        <v>3112</v>
      </c>
      <c r="FN115" s="710"/>
      <c r="FO115" s="710"/>
      <c r="FP115" s="994"/>
    </row>
    <row r="116" spans="2:174" ht="100.5" customHeight="1">
      <c r="B116" s="850" t="s">
        <v>5313</v>
      </c>
      <c r="C116" s="863"/>
      <c r="D116" s="850" t="s">
        <v>4934</v>
      </c>
      <c r="E116" s="850" t="s">
        <v>5314</v>
      </c>
      <c r="F116" s="863"/>
      <c r="H116" s="850" t="s">
        <v>4934</v>
      </c>
      <c r="I116" s="850" t="s">
        <v>5520</v>
      </c>
      <c r="J116" s="850" t="s">
        <v>5435</v>
      </c>
      <c r="K116" s="710" t="s">
        <v>241</v>
      </c>
      <c r="L116" s="857" t="s">
        <v>2929</v>
      </c>
      <c r="M116" s="710" t="s">
        <v>2931</v>
      </c>
      <c r="N116" s="710" t="s">
        <v>2931</v>
      </c>
      <c r="O116" s="895">
        <v>2017</v>
      </c>
      <c r="P116" s="896">
        <v>43538</v>
      </c>
      <c r="Q116" s="896">
        <v>43601</v>
      </c>
      <c r="R116" s="712">
        <f t="shared" si="42"/>
        <v>63</v>
      </c>
      <c r="S116" s="896"/>
      <c r="T116" s="896"/>
      <c r="U116" s="896"/>
      <c r="V116" s="896"/>
      <c r="W116" s="896"/>
      <c r="X116" s="896"/>
      <c r="Y116" s="896"/>
      <c r="Z116" s="896"/>
      <c r="AA116" s="896"/>
      <c r="AB116" s="710" t="s">
        <v>2948</v>
      </c>
      <c r="AC116" s="710"/>
      <c r="AD116" s="857" t="s">
        <v>2972</v>
      </c>
      <c r="AE116" s="857" t="s">
        <v>2972</v>
      </c>
      <c r="AF116" s="710" t="s">
        <v>2980</v>
      </c>
      <c r="AG116" s="710" t="s">
        <v>1861</v>
      </c>
      <c r="AH116" s="898">
        <v>0.94399999999999995</v>
      </c>
      <c r="AI116" s="868">
        <f t="shared" si="24"/>
        <v>0.94400000000000006</v>
      </c>
      <c r="AJ116" s="867">
        <f t="shared" si="25"/>
        <v>0</v>
      </c>
      <c r="AK116" s="898"/>
      <c r="AL116" s="898"/>
      <c r="AM116" s="898"/>
      <c r="AN116" s="869">
        <f t="shared" si="26"/>
        <v>0</v>
      </c>
      <c r="AO116" s="869">
        <f t="shared" si="27"/>
        <v>0</v>
      </c>
      <c r="AP116" s="898"/>
      <c r="AQ116" s="899"/>
      <c r="AR116" s="899">
        <v>8.9999999999999998E-4</v>
      </c>
      <c r="AS116" s="869">
        <f t="shared" si="28"/>
        <v>0</v>
      </c>
      <c r="AT116" s="869">
        <f t="shared" si="29"/>
        <v>0</v>
      </c>
      <c r="AU116" s="942">
        <v>0.77200000000000002</v>
      </c>
      <c r="AV116" s="899">
        <v>0.81779661016949157</v>
      </c>
      <c r="AW116" s="869">
        <f t="shared" si="30"/>
        <v>0.81779661016949157</v>
      </c>
      <c r="AX116" s="869">
        <f t="shared" si="31"/>
        <v>0</v>
      </c>
      <c r="AY116" s="898">
        <v>0.12</v>
      </c>
      <c r="AZ116" s="899">
        <f t="shared" si="45"/>
        <v>0.1271186440677966</v>
      </c>
      <c r="BA116" s="869">
        <f t="shared" si="32"/>
        <v>0.1271186440677966</v>
      </c>
      <c r="BB116" s="869">
        <f t="shared" si="33"/>
        <v>0</v>
      </c>
      <c r="BC116" s="898">
        <v>5.1999999999999998E-2</v>
      </c>
      <c r="BD116" s="899">
        <f>BC116/AH116</f>
        <v>5.5084745762711863E-2</v>
      </c>
      <c r="BE116" s="869">
        <f t="shared" si="34"/>
        <v>5.5084745762711863E-2</v>
      </c>
      <c r="BF116" s="869">
        <f t="shared" si="35"/>
        <v>0</v>
      </c>
      <c r="BG116" s="899"/>
      <c r="BH116" s="899"/>
      <c r="BI116" s="899"/>
      <c r="BJ116" s="899"/>
      <c r="BK116" s="899"/>
      <c r="BL116" s="714">
        <f t="shared" si="36"/>
        <v>0</v>
      </c>
      <c r="BM116" s="869">
        <f t="shared" si="37"/>
        <v>0</v>
      </c>
      <c r="BN116" s="898"/>
      <c r="BO116" s="899"/>
      <c r="BP116" s="869">
        <f t="shared" si="38"/>
        <v>0</v>
      </c>
      <c r="BQ116" s="869">
        <f t="shared" si="39"/>
        <v>0</v>
      </c>
      <c r="BR116" s="899"/>
      <c r="BS116" s="899"/>
      <c r="BT116" s="898">
        <v>0.5</v>
      </c>
      <c r="BU116" s="899">
        <v>5.9999999999999995E-4</v>
      </c>
      <c r="BV116" s="901">
        <v>19</v>
      </c>
      <c r="BW116" s="901">
        <v>7</v>
      </c>
      <c r="BX116" s="901">
        <v>6</v>
      </c>
      <c r="BY116" s="901"/>
      <c r="BZ116" s="901"/>
      <c r="CA116" s="901"/>
      <c r="CB116" s="901"/>
      <c r="CC116" s="901"/>
      <c r="CD116" s="901"/>
      <c r="CE116" s="901"/>
      <c r="CF116" s="901"/>
      <c r="CG116" s="901"/>
      <c r="CH116" s="901"/>
      <c r="CI116" s="901">
        <v>1</v>
      </c>
      <c r="CJ116" s="901"/>
      <c r="CK116" s="901">
        <v>4</v>
      </c>
      <c r="CL116" s="901">
        <v>1</v>
      </c>
      <c r="CM116" s="901"/>
      <c r="CN116" s="901"/>
      <c r="CO116" s="901"/>
      <c r="CP116" s="901"/>
      <c r="CQ116" s="901"/>
      <c r="CR116" s="901"/>
      <c r="CS116" s="902">
        <f t="shared" si="44"/>
        <v>6</v>
      </c>
      <c r="CT116" s="871">
        <f t="shared" si="40"/>
        <v>6</v>
      </c>
      <c r="CU116" s="871">
        <f t="shared" si="41"/>
        <v>0</v>
      </c>
      <c r="CV116" s="942">
        <v>6.7460000000000004</v>
      </c>
      <c r="CW116" s="710" t="s">
        <v>2996</v>
      </c>
      <c r="CX116" s="710" t="s">
        <v>410</v>
      </c>
      <c r="CY116" s="710"/>
      <c r="CZ116" s="710"/>
      <c r="DA116" s="899">
        <v>0.2253</v>
      </c>
      <c r="DB116" s="899" t="s">
        <v>1134</v>
      </c>
      <c r="DC116" s="708" t="s">
        <v>279</v>
      </c>
      <c r="DD116" s="710"/>
      <c r="DE116" s="710"/>
      <c r="DF116" s="901"/>
      <c r="DG116" s="901"/>
      <c r="DH116" s="955">
        <v>2</v>
      </c>
      <c r="DI116" s="710" t="s">
        <v>278</v>
      </c>
      <c r="DJ116" s="710" t="s">
        <v>3004</v>
      </c>
      <c r="DK116" s="901">
        <v>1018</v>
      </c>
      <c r="DL116" s="710" t="s">
        <v>278</v>
      </c>
      <c r="DM116" s="710" t="s">
        <v>3011</v>
      </c>
      <c r="DN116" s="901">
        <v>262</v>
      </c>
      <c r="DO116" s="710" t="s">
        <v>279</v>
      </c>
      <c r="DP116" s="710" t="s">
        <v>410</v>
      </c>
      <c r="DQ116" s="901" t="s">
        <v>410</v>
      </c>
      <c r="DR116" s="710" t="s">
        <v>279</v>
      </c>
      <c r="DS116" s="710" t="s">
        <v>410</v>
      </c>
      <c r="DT116" s="901" t="s">
        <v>410</v>
      </c>
      <c r="DU116" s="710" t="s">
        <v>279</v>
      </c>
      <c r="DV116" s="710" t="s">
        <v>410</v>
      </c>
      <c r="DW116" s="901" t="s">
        <v>410</v>
      </c>
      <c r="DX116" s="710" t="s">
        <v>279</v>
      </c>
      <c r="DY116" s="710" t="s">
        <v>410</v>
      </c>
      <c r="DZ116" s="901" t="s">
        <v>410</v>
      </c>
      <c r="EA116" s="710" t="s">
        <v>279</v>
      </c>
      <c r="EB116" s="710" t="s">
        <v>410</v>
      </c>
      <c r="EC116" s="901" t="s">
        <v>410</v>
      </c>
      <c r="ED116" s="710" t="s">
        <v>278</v>
      </c>
      <c r="EE116" s="710" t="s">
        <v>3011</v>
      </c>
      <c r="EF116" s="901">
        <v>262</v>
      </c>
      <c r="EG116" s="710" t="s">
        <v>279</v>
      </c>
      <c r="EH116" s="710" t="s">
        <v>410</v>
      </c>
      <c r="EI116" s="901" t="s">
        <v>410</v>
      </c>
      <c r="EJ116" s="710" t="s">
        <v>279</v>
      </c>
      <c r="EK116" s="710" t="s">
        <v>410</v>
      </c>
      <c r="EL116" s="901" t="s">
        <v>410</v>
      </c>
      <c r="EM116" s="710" t="s">
        <v>279</v>
      </c>
      <c r="EN116" s="710" t="s">
        <v>410</v>
      </c>
      <c r="EO116" s="901" t="s">
        <v>410</v>
      </c>
      <c r="EP116" s="710" t="s">
        <v>279</v>
      </c>
      <c r="EQ116" s="710" t="s">
        <v>410</v>
      </c>
      <c r="ER116" s="901" t="s">
        <v>410</v>
      </c>
      <c r="ES116" s="710" t="s">
        <v>279</v>
      </c>
      <c r="ET116" s="710" t="s">
        <v>410</v>
      </c>
      <c r="EU116" s="901" t="s">
        <v>410</v>
      </c>
      <c r="EV116" s="901"/>
      <c r="EW116" s="901"/>
      <c r="EX116" s="901"/>
      <c r="EY116" s="710" t="s">
        <v>279</v>
      </c>
      <c r="EZ116" s="710" t="s">
        <v>410</v>
      </c>
      <c r="FA116" s="710" t="s">
        <v>278</v>
      </c>
      <c r="FB116" s="710" t="s">
        <v>3037</v>
      </c>
      <c r="FC116" s="861"/>
      <c r="FD116" s="996" t="s">
        <v>3049</v>
      </c>
      <c r="FE116" s="710" t="s">
        <v>410</v>
      </c>
      <c r="FF116" s="710" t="s">
        <v>3057</v>
      </c>
      <c r="FG116" s="710" t="s">
        <v>3061</v>
      </c>
      <c r="FH116" s="710" t="s">
        <v>3073</v>
      </c>
      <c r="FI116" s="710">
        <v>4</v>
      </c>
      <c r="FJ116" s="710">
        <v>30</v>
      </c>
      <c r="FK116" s="710" t="s">
        <v>3087</v>
      </c>
      <c r="FL116" s="710" t="s">
        <v>3099</v>
      </c>
      <c r="FM116" s="861" t="s">
        <v>3113</v>
      </c>
      <c r="FN116" s="710"/>
      <c r="FO116" s="710"/>
      <c r="FP116" s="861"/>
    </row>
    <row r="117" spans="2:174" ht="113.5" customHeight="1">
      <c r="B117" s="850" t="s">
        <v>5313</v>
      </c>
      <c r="C117" s="863"/>
      <c r="D117" s="850" t="s">
        <v>4934</v>
      </c>
      <c r="E117" s="850" t="s">
        <v>5314</v>
      </c>
      <c r="F117" s="863"/>
      <c r="H117" s="850" t="s">
        <v>4934</v>
      </c>
      <c r="I117" s="850" t="s">
        <v>5520</v>
      </c>
      <c r="J117" s="850" t="s">
        <v>5435</v>
      </c>
      <c r="K117" s="710" t="s">
        <v>241</v>
      </c>
      <c r="L117" s="710" t="s">
        <v>2930</v>
      </c>
      <c r="M117" s="710" t="s">
        <v>1918</v>
      </c>
      <c r="N117" s="710" t="s">
        <v>2931</v>
      </c>
      <c r="O117" s="710">
        <v>2016</v>
      </c>
      <c r="P117" s="939">
        <v>43549</v>
      </c>
      <c r="Q117" s="939">
        <v>43741</v>
      </c>
      <c r="R117" s="712">
        <f t="shared" si="42"/>
        <v>192</v>
      </c>
      <c r="S117" s="939"/>
      <c r="T117" s="939"/>
      <c r="U117" s="939"/>
      <c r="V117" s="939"/>
      <c r="W117" s="939"/>
      <c r="X117" s="939"/>
      <c r="Y117" s="939"/>
      <c r="Z117" s="939"/>
      <c r="AA117" s="939"/>
      <c r="AB117" s="710" t="s">
        <v>2949</v>
      </c>
      <c r="AC117" s="861"/>
      <c r="AD117" s="710" t="s">
        <v>2973</v>
      </c>
      <c r="AE117" s="710" t="s">
        <v>2973</v>
      </c>
      <c r="AF117" s="710" t="s">
        <v>2981</v>
      </c>
      <c r="AG117" s="710" t="s">
        <v>1861</v>
      </c>
      <c r="AH117" s="898">
        <v>2.903</v>
      </c>
      <c r="AI117" s="868">
        <f t="shared" si="24"/>
        <v>2.903</v>
      </c>
      <c r="AJ117" s="867">
        <f t="shared" si="25"/>
        <v>0</v>
      </c>
      <c r="AK117" s="898"/>
      <c r="AL117" s="898"/>
      <c r="AM117" s="898"/>
      <c r="AN117" s="869">
        <f t="shared" si="26"/>
        <v>0</v>
      </c>
      <c r="AO117" s="869">
        <f t="shared" si="27"/>
        <v>0</v>
      </c>
      <c r="AP117" s="898"/>
      <c r="AQ117" s="899"/>
      <c r="AR117" s="899">
        <v>5.7000000000000002E-3</v>
      </c>
      <c r="AS117" s="869">
        <f t="shared" si="28"/>
        <v>0</v>
      </c>
      <c r="AT117" s="869">
        <f t="shared" si="29"/>
        <v>0</v>
      </c>
      <c r="AU117" s="942">
        <v>2.8439999999999999</v>
      </c>
      <c r="AV117" s="899">
        <v>0.97967619703754727</v>
      </c>
      <c r="AW117" s="869">
        <f t="shared" si="30"/>
        <v>0.97967619703754727</v>
      </c>
      <c r="AX117" s="869">
        <f t="shared" si="31"/>
        <v>0</v>
      </c>
      <c r="AY117" s="898">
        <v>5.0999999999999997E-2</v>
      </c>
      <c r="AZ117" s="899">
        <f t="shared" si="45"/>
        <v>1.7568033069238716E-2</v>
      </c>
      <c r="BA117" s="869">
        <f t="shared" si="32"/>
        <v>1.7568033069238716E-2</v>
      </c>
      <c r="BB117" s="869">
        <f t="shared" si="33"/>
        <v>0</v>
      </c>
      <c r="BC117" s="898">
        <v>8.0000000000000002E-3</v>
      </c>
      <c r="BD117" s="899">
        <f>BC117/AH117</f>
        <v>2.7557698932139168E-3</v>
      </c>
      <c r="BE117" s="869">
        <f t="shared" si="34"/>
        <v>2.7557698932139168E-3</v>
      </c>
      <c r="BF117" s="869">
        <f t="shared" si="35"/>
        <v>0</v>
      </c>
      <c r="BG117" s="899"/>
      <c r="BH117" s="899"/>
      <c r="BI117" s="899"/>
      <c r="BJ117" s="899"/>
      <c r="BK117" s="899"/>
      <c r="BL117" s="714">
        <f t="shared" si="36"/>
        <v>0</v>
      </c>
      <c r="BM117" s="869">
        <f t="shared" si="37"/>
        <v>0</v>
      </c>
      <c r="BN117" s="898"/>
      <c r="BO117" s="899"/>
      <c r="BP117" s="869">
        <f t="shared" si="38"/>
        <v>0</v>
      </c>
      <c r="BQ117" s="869">
        <f t="shared" si="39"/>
        <v>0</v>
      </c>
      <c r="BR117" s="899"/>
      <c r="BS117" s="899"/>
      <c r="BT117" s="898">
        <v>0.6</v>
      </c>
      <c r="BU117" s="899">
        <v>1.4E-3</v>
      </c>
      <c r="BV117" s="901">
        <v>9</v>
      </c>
      <c r="BW117" s="901">
        <v>7</v>
      </c>
      <c r="BX117" s="901">
        <v>2</v>
      </c>
      <c r="BY117" s="901"/>
      <c r="BZ117" s="901"/>
      <c r="CA117" s="901"/>
      <c r="CB117" s="901"/>
      <c r="CC117" s="901"/>
      <c r="CD117" s="901"/>
      <c r="CE117" s="901"/>
      <c r="CF117" s="901">
        <v>1</v>
      </c>
      <c r="CG117" s="901"/>
      <c r="CH117" s="901"/>
      <c r="CI117" s="901"/>
      <c r="CJ117" s="901"/>
      <c r="CK117" s="901">
        <v>1</v>
      </c>
      <c r="CL117" s="901"/>
      <c r="CM117" s="901"/>
      <c r="CN117" s="901"/>
      <c r="CO117" s="901"/>
      <c r="CP117" s="901"/>
      <c r="CQ117" s="901"/>
      <c r="CR117" s="901"/>
      <c r="CS117" s="902">
        <f t="shared" si="44"/>
        <v>2</v>
      </c>
      <c r="CT117" s="871">
        <f t="shared" si="40"/>
        <v>2</v>
      </c>
      <c r="CU117" s="871">
        <f t="shared" si="41"/>
        <v>0</v>
      </c>
      <c r="CV117" s="942">
        <v>1.46</v>
      </c>
      <c r="CW117" s="710" t="s">
        <v>2997</v>
      </c>
      <c r="CX117" s="710"/>
      <c r="CY117" s="710"/>
      <c r="CZ117" s="710"/>
      <c r="DA117" s="899">
        <v>0.12839999999999999</v>
      </c>
      <c r="DB117" s="963" t="s">
        <v>1134</v>
      </c>
      <c r="DC117" s="710" t="s">
        <v>279</v>
      </c>
      <c r="DD117" s="710"/>
      <c r="DE117" s="710"/>
      <c r="DF117" s="901"/>
      <c r="DG117" s="901"/>
      <c r="DH117" s="901">
        <v>1</v>
      </c>
      <c r="DI117" s="710" t="s">
        <v>279</v>
      </c>
      <c r="DJ117" s="710"/>
      <c r="DK117" s="901"/>
      <c r="DL117" s="710" t="s">
        <v>278</v>
      </c>
      <c r="DM117" s="710" t="s">
        <v>3012</v>
      </c>
      <c r="DN117" s="901">
        <v>104</v>
      </c>
      <c r="DO117" s="710" t="s">
        <v>279</v>
      </c>
      <c r="DP117" s="710"/>
      <c r="DQ117" s="901"/>
      <c r="DR117" s="710" t="s">
        <v>279</v>
      </c>
      <c r="DS117" s="710"/>
      <c r="DT117" s="901"/>
      <c r="DU117" s="710" t="s">
        <v>279</v>
      </c>
      <c r="DV117" s="710"/>
      <c r="DW117" s="901"/>
      <c r="DX117" s="710"/>
      <c r="DY117" s="710"/>
      <c r="DZ117" s="901"/>
      <c r="EA117" s="710" t="s">
        <v>279</v>
      </c>
      <c r="EB117" s="710"/>
      <c r="EC117" s="901"/>
      <c r="ED117" s="710" t="s">
        <v>278</v>
      </c>
      <c r="EE117" s="710" t="s">
        <v>3022</v>
      </c>
      <c r="EF117" s="901">
        <v>104</v>
      </c>
      <c r="EG117" s="710" t="s">
        <v>279</v>
      </c>
      <c r="EH117" s="710"/>
      <c r="EI117" s="901"/>
      <c r="EJ117" s="710" t="s">
        <v>279</v>
      </c>
      <c r="EK117" s="710"/>
      <c r="EL117" s="901"/>
      <c r="EM117" s="710" t="s">
        <v>279</v>
      </c>
      <c r="EN117" s="710"/>
      <c r="EO117" s="901"/>
      <c r="EP117" s="710" t="s">
        <v>279</v>
      </c>
      <c r="EQ117" s="710"/>
      <c r="ER117" s="901"/>
      <c r="ES117" s="710" t="s">
        <v>279</v>
      </c>
      <c r="ET117" s="710"/>
      <c r="EU117" s="901"/>
      <c r="EV117" s="901"/>
      <c r="EW117" s="901"/>
      <c r="EX117" s="901"/>
      <c r="EY117" s="710" t="s">
        <v>279</v>
      </c>
      <c r="EZ117" s="710" t="s">
        <v>279</v>
      </c>
      <c r="FA117" s="710" t="s">
        <v>278</v>
      </c>
      <c r="FB117" s="710" t="s">
        <v>3038</v>
      </c>
      <c r="FC117" s="861"/>
      <c r="FD117" s="710"/>
      <c r="FE117" s="710"/>
      <c r="FF117" s="710" t="s">
        <v>3058</v>
      </c>
      <c r="FG117" s="710" t="s">
        <v>3062</v>
      </c>
      <c r="FH117" s="710" t="s">
        <v>3074</v>
      </c>
      <c r="FI117" s="710">
        <v>2</v>
      </c>
      <c r="FJ117" s="710">
        <v>24</v>
      </c>
      <c r="FK117" s="710" t="s">
        <v>3088</v>
      </c>
      <c r="FL117" s="710" t="s">
        <v>3100</v>
      </c>
      <c r="FM117" s="861" t="s">
        <v>3114</v>
      </c>
      <c r="FN117" s="710"/>
      <c r="FO117" s="710"/>
      <c r="FP117" s="710"/>
    </row>
    <row r="118" spans="2:174" ht="81.5" customHeight="1">
      <c r="B118" s="850" t="s">
        <v>5313</v>
      </c>
      <c r="C118" s="863"/>
      <c r="D118" s="850" t="s">
        <v>4933</v>
      </c>
      <c r="E118" s="850" t="s">
        <v>5314</v>
      </c>
      <c r="F118" s="879">
        <v>1</v>
      </c>
      <c r="G118" s="850" t="s">
        <v>4933</v>
      </c>
      <c r="I118" s="850" t="s">
        <v>5525</v>
      </c>
      <c r="J118" s="850" t="s">
        <v>5436</v>
      </c>
      <c r="K118" s="710" t="s">
        <v>242</v>
      </c>
      <c r="L118" s="710"/>
      <c r="M118" s="710" t="s">
        <v>1433</v>
      </c>
      <c r="N118" s="710" t="s">
        <v>1434</v>
      </c>
      <c r="O118" s="895">
        <v>2018</v>
      </c>
      <c r="P118" s="896">
        <v>43507</v>
      </c>
      <c r="Q118" s="896">
        <v>43824</v>
      </c>
      <c r="R118" s="712">
        <f t="shared" si="42"/>
        <v>317</v>
      </c>
      <c r="S118" s="710" t="s">
        <v>410</v>
      </c>
      <c r="T118" s="710" t="s">
        <v>410</v>
      </c>
      <c r="U118" s="710" t="s">
        <v>410</v>
      </c>
      <c r="V118" s="948" t="s">
        <v>5852</v>
      </c>
      <c r="W118" s="861" t="s">
        <v>1435</v>
      </c>
      <c r="X118" s="710" t="s">
        <v>410</v>
      </c>
      <c r="Y118" s="710" t="s">
        <v>410</v>
      </c>
      <c r="Z118" s="710" t="s">
        <v>1436</v>
      </c>
      <c r="AA118" s="861" t="s">
        <v>1437</v>
      </c>
      <c r="AB118" s="861"/>
      <c r="AC118" s="861"/>
      <c r="AD118" s="710" t="s">
        <v>1438</v>
      </c>
      <c r="AE118" s="710" t="s">
        <v>1439</v>
      </c>
      <c r="AF118" s="710" t="s">
        <v>454</v>
      </c>
      <c r="AG118" s="710" t="s">
        <v>1440</v>
      </c>
      <c r="AH118" s="898">
        <v>20.193000000000001</v>
      </c>
      <c r="AI118" s="868">
        <f t="shared" si="24"/>
        <v>20.192</v>
      </c>
      <c r="AJ118" s="875">
        <f t="shared" si="25"/>
        <v>-1.0000000000012221E-3</v>
      </c>
      <c r="AK118" s="898">
        <v>14.714</v>
      </c>
      <c r="AL118" s="899">
        <v>0.72860000000000003</v>
      </c>
      <c r="AM118" s="899">
        <f>AK118/35207.2508</f>
        <v>4.1792527577870405E-4</v>
      </c>
      <c r="AN118" s="869">
        <f t="shared" si="26"/>
        <v>0.72866835041846179</v>
      </c>
      <c r="AO118" s="869">
        <f t="shared" si="27"/>
        <v>-6.8350418461760043E-5</v>
      </c>
      <c r="AP118" s="899"/>
      <c r="AQ118" s="899"/>
      <c r="AR118" s="899"/>
      <c r="AS118" s="869">
        <f t="shared" si="28"/>
        <v>0</v>
      </c>
      <c r="AT118" s="869">
        <f t="shared" si="29"/>
        <v>0</v>
      </c>
      <c r="AU118" s="898">
        <v>2.5579999999999998</v>
      </c>
      <c r="AV118" s="899">
        <f>AU118/AH118</f>
        <v>0.12667756153122367</v>
      </c>
      <c r="AW118" s="869">
        <f t="shared" si="30"/>
        <v>0.12667756153122367</v>
      </c>
      <c r="AX118" s="869">
        <f t="shared" si="31"/>
        <v>0</v>
      </c>
      <c r="AY118" s="898">
        <v>1.46</v>
      </c>
      <c r="AZ118" s="899">
        <f t="shared" si="45"/>
        <v>7.2302282969345807E-2</v>
      </c>
      <c r="BA118" s="869">
        <f t="shared" si="32"/>
        <v>7.2302282969345807E-2</v>
      </c>
      <c r="BB118" s="869">
        <f t="shared" si="33"/>
        <v>0</v>
      </c>
      <c r="BC118" s="898">
        <v>1.46</v>
      </c>
      <c r="BD118" s="899">
        <f>BC118/AH118</f>
        <v>7.2302282969345807E-2</v>
      </c>
      <c r="BE118" s="869">
        <f t="shared" si="34"/>
        <v>7.2302282969345807E-2</v>
      </c>
      <c r="BF118" s="869">
        <f t="shared" si="35"/>
        <v>0</v>
      </c>
      <c r="BG118" s="898">
        <v>0</v>
      </c>
      <c r="BH118" s="899">
        <v>0</v>
      </c>
      <c r="BI118" s="710" t="s">
        <v>410</v>
      </c>
      <c r="BJ118" s="710" t="s">
        <v>410</v>
      </c>
      <c r="BK118" s="710" t="s">
        <v>410</v>
      </c>
      <c r="BL118" s="714">
        <f t="shared" si="36"/>
        <v>0</v>
      </c>
      <c r="BM118" s="869">
        <f t="shared" si="37"/>
        <v>0</v>
      </c>
      <c r="BN118" s="898"/>
      <c r="BO118" s="899"/>
      <c r="BP118" s="869">
        <f t="shared" si="38"/>
        <v>0</v>
      </c>
      <c r="BQ118" s="869">
        <f t="shared" si="39"/>
        <v>0</v>
      </c>
      <c r="BR118" s="898">
        <v>30</v>
      </c>
      <c r="BS118" s="899">
        <f>BR118/36630.6029</f>
        <v>8.1898733913549646E-4</v>
      </c>
      <c r="BT118" s="899"/>
      <c r="BU118" s="899"/>
      <c r="BV118" s="901">
        <v>8</v>
      </c>
      <c r="BW118" s="901">
        <v>8</v>
      </c>
      <c r="BX118" s="901">
        <v>6</v>
      </c>
      <c r="BY118" s="901"/>
      <c r="BZ118" s="901"/>
      <c r="CA118" s="901" t="s">
        <v>410</v>
      </c>
      <c r="CB118" s="901" t="s">
        <v>410</v>
      </c>
      <c r="CC118" s="901" t="s">
        <v>410</v>
      </c>
      <c r="CD118" s="901" t="s">
        <v>410</v>
      </c>
      <c r="CE118" s="901">
        <v>1</v>
      </c>
      <c r="CF118" s="901">
        <v>1</v>
      </c>
      <c r="CG118" s="901" t="s">
        <v>410</v>
      </c>
      <c r="CH118" s="901" t="s">
        <v>410</v>
      </c>
      <c r="CI118" s="901" t="s">
        <v>410</v>
      </c>
      <c r="CJ118" s="901">
        <v>4</v>
      </c>
      <c r="CK118" s="901" t="s">
        <v>410</v>
      </c>
      <c r="CL118" s="901" t="s">
        <v>410</v>
      </c>
      <c r="CM118" s="901" t="s">
        <v>410</v>
      </c>
      <c r="CN118" s="901" t="s">
        <v>410</v>
      </c>
      <c r="CO118" s="901" t="s">
        <v>410</v>
      </c>
      <c r="CP118" s="901" t="s">
        <v>410</v>
      </c>
      <c r="CQ118" s="901" t="s">
        <v>410</v>
      </c>
      <c r="CR118" s="901" t="s">
        <v>410</v>
      </c>
      <c r="CS118" s="902">
        <f t="shared" si="44"/>
        <v>6</v>
      </c>
      <c r="CT118" s="871">
        <f t="shared" si="40"/>
        <v>6</v>
      </c>
      <c r="CU118" s="871">
        <f t="shared" si="41"/>
        <v>0</v>
      </c>
      <c r="CV118" s="942">
        <v>104</v>
      </c>
      <c r="CW118" s="710" t="s">
        <v>1441</v>
      </c>
      <c r="CX118" s="710" t="s">
        <v>410</v>
      </c>
      <c r="CY118" s="899">
        <f>CV118/739.467</f>
        <v>0.14064184067713636</v>
      </c>
      <c r="CZ118" s="963" t="s">
        <v>1442</v>
      </c>
      <c r="DA118" s="963"/>
      <c r="DB118" s="963"/>
      <c r="DC118" s="710" t="s">
        <v>278</v>
      </c>
      <c r="DD118" s="710" t="s">
        <v>1438</v>
      </c>
      <c r="DE118" s="710" t="s">
        <v>410</v>
      </c>
      <c r="DF118" s="901">
        <v>3</v>
      </c>
      <c r="DG118" s="901">
        <v>2</v>
      </c>
      <c r="DH118" s="901" t="s">
        <v>410</v>
      </c>
      <c r="DI118" s="710" t="s">
        <v>410</v>
      </c>
      <c r="DJ118" s="710" t="s">
        <v>410</v>
      </c>
      <c r="DK118" s="901" t="s">
        <v>410</v>
      </c>
      <c r="DL118" s="710" t="s">
        <v>278</v>
      </c>
      <c r="DM118" s="710" t="s">
        <v>1443</v>
      </c>
      <c r="DN118" s="901">
        <v>320</v>
      </c>
      <c r="DO118" s="710" t="s">
        <v>410</v>
      </c>
      <c r="DP118" s="710" t="s">
        <v>410</v>
      </c>
      <c r="DQ118" s="901" t="s">
        <v>410</v>
      </c>
      <c r="DR118" s="710" t="s">
        <v>278</v>
      </c>
      <c r="DS118" s="710" t="s">
        <v>1444</v>
      </c>
      <c r="DT118" s="901">
        <v>28</v>
      </c>
      <c r="DU118" s="710" t="s">
        <v>410</v>
      </c>
      <c r="DV118" s="710" t="s">
        <v>410</v>
      </c>
      <c r="DW118" s="901" t="s">
        <v>410</v>
      </c>
      <c r="DX118" s="710" t="s">
        <v>410</v>
      </c>
      <c r="DY118" s="710" t="s">
        <v>410</v>
      </c>
      <c r="DZ118" s="901" t="s">
        <v>410</v>
      </c>
      <c r="EA118" s="710" t="s">
        <v>410</v>
      </c>
      <c r="EB118" s="710" t="s">
        <v>410</v>
      </c>
      <c r="EC118" s="901" t="s">
        <v>410</v>
      </c>
      <c r="ED118" s="710" t="s">
        <v>278</v>
      </c>
      <c r="EE118" s="710" t="s">
        <v>1443</v>
      </c>
      <c r="EF118" s="901">
        <v>320</v>
      </c>
      <c r="EG118" s="710" t="s">
        <v>410</v>
      </c>
      <c r="EH118" s="710" t="s">
        <v>410</v>
      </c>
      <c r="EI118" s="901" t="s">
        <v>410</v>
      </c>
      <c r="EJ118" s="710" t="s">
        <v>278</v>
      </c>
      <c r="EK118" s="710" t="s">
        <v>1443</v>
      </c>
      <c r="EL118" s="901">
        <v>270</v>
      </c>
      <c r="EM118" s="710" t="s">
        <v>278</v>
      </c>
      <c r="EN118" s="710" t="s">
        <v>1443</v>
      </c>
      <c r="EO118" s="901">
        <v>50</v>
      </c>
      <c r="EP118" s="710" t="s">
        <v>410</v>
      </c>
      <c r="EQ118" s="710" t="s">
        <v>410</v>
      </c>
      <c r="ER118" s="901" t="s">
        <v>410</v>
      </c>
      <c r="ES118" s="710" t="s">
        <v>410</v>
      </c>
      <c r="ET118" s="710" t="s">
        <v>410</v>
      </c>
      <c r="EU118" s="901" t="s">
        <v>410</v>
      </c>
      <c r="EV118" s="904">
        <v>1</v>
      </c>
      <c r="EW118" s="710" t="s">
        <v>410</v>
      </c>
      <c r="EX118" s="860">
        <v>8</v>
      </c>
      <c r="EY118" s="710" t="s">
        <v>279</v>
      </c>
      <c r="EZ118" s="710" t="s">
        <v>410</v>
      </c>
      <c r="FA118" s="710" t="s">
        <v>279</v>
      </c>
      <c r="FB118" s="710" t="s">
        <v>410</v>
      </c>
      <c r="FC118" s="861" t="s">
        <v>1445</v>
      </c>
      <c r="FD118" s="710" t="s">
        <v>410</v>
      </c>
      <c r="FE118" s="710" t="s">
        <v>410</v>
      </c>
      <c r="FF118" s="710" t="s">
        <v>1446</v>
      </c>
      <c r="FG118" s="710" t="s">
        <v>410</v>
      </c>
      <c r="FH118" s="710" t="s">
        <v>1447</v>
      </c>
      <c r="FI118" s="710">
        <v>27</v>
      </c>
      <c r="FJ118" s="710">
        <v>1259</v>
      </c>
      <c r="FK118" s="710" t="s">
        <v>1448</v>
      </c>
      <c r="FL118" s="710" t="s">
        <v>1449</v>
      </c>
      <c r="FM118" s="861" t="s">
        <v>1450</v>
      </c>
      <c r="FN118" s="710" t="s">
        <v>1451</v>
      </c>
      <c r="FO118" s="710" t="s">
        <v>1452</v>
      </c>
      <c r="FP118" s="861" t="s">
        <v>1453</v>
      </c>
    </row>
    <row r="119" spans="2:174" ht="98" customHeight="1">
      <c r="B119" s="850" t="s">
        <v>5315</v>
      </c>
      <c r="C119" s="850" t="s">
        <v>5320</v>
      </c>
      <c r="D119" s="850" t="s">
        <v>5317</v>
      </c>
      <c r="E119" s="850" t="s">
        <v>5318</v>
      </c>
      <c r="F119" s="850" t="s">
        <v>694</v>
      </c>
      <c r="G119" s="850" t="s">
        <v>4933</v>
      </c>
      <c r="I119" s="850" t="s">
        <v>5525</v>
      </c>
      <c r="J119" s="850" t="s">
        <v>5436</v>
      </c>
      <c r="K119" s="710" t="s">
        <v>242</v>
      </c>
      <c r="L119" s="710"/>
      <c r="M119" s="710" t="s">
        <v>759</v>
      </c>
      <c r="N119" s="710" t="s">
        <v>759</v>
      </c>
      <c r="O119" s="895">
        <v>2014</v>
      </c>
      <c r="P119" s="896">
        <v>43707</v>
      </c>
      <c r="Q119" s="896">
        <v>43754</v>
      </c>
      <c r="R119" s="712">
        <f t="shared" si="42"/>
        <v>47</v>
      </c>
      <c r="S119" s="710" t="s">
        <v>1454</v>
      </c>
      <c r="T119" s="710" t="s">
        <v>1455</v>
      </c>
      <c r="U119" s="861" t="s">
        <v>1456</v>
      </c>
      <c r="V119" s="710" t="s">
        <v>279</v>
      </c>
      <c r="W119" s="710" t="s">
        <v>279</v>
      </c>
      <c r="X119" s="710" t="s">
        <v>1457</v>
      </c>
      <c r="Y119" s="861" t="s">
        <v>1456</v>
      </c>
      <c r="Z119" s="710" t="s">
        <v>279</v>
      </c>
      <c r="AA119" s="710" t="s">
        <v>279</v>
      </c>
      <c r="AB119" s="710"/>
      <c r="AC119" s="710"/>
      <c r="AD119" s="710" t="s">
        <v>1458</v>
      </c>
      <c r="AE119" s="710" t="s">
        <v>1458</v>
      </c>
      <c r="AF119" s="710" t="s">
        <v>454</v>
      </c>
      <c r="AG119" s="710" t="s">
        <v>1459</v>
      </c>
      <c r="AH119" s="898">
        <v>4.9000000000000004</v>
      </c>
      <c r="AI119" s="868">
        <f t="shared" si="24"/>
        <v>4.8500999999999994</v>
      </c>
      <c r="AJ119" s="875">
        <f t="shared" si="25"/>
        <v>-4.9900000000000944E-2</v>
      </c>
      <c r="AK119" s="898">
        <v>2.2999999999999998</v>
      </c>
      <c r="AL119" s="899">
        <f>AK119/AH119</f>
        <v>0.46938775510204073</v>
      </c>
      <c r="AM119" s="899">
        <f>AK119/35207.25</f>
        <v>6.53274538624857E-5</v>
      </c>
      <c r="AN119" s="869">
        <f t="shared" si="26"/>
        <v>0.46938775510204073</v>
      </c>
      <c r="AO119" s="869">
        <f t="shared" si="27"/>
        <v>0</v>
      </c>
      <c r="AP119" s="899"/>
      <c r="AQ119" s="899"/>
      <c r="AR119" s="899"/>
      <c r="AS119" s="869">
        <f t="shared" si="28"/>
        <v>0</v>
      </c>
      <c r="AT119" s="869">
        <f t="shared" si="29"/>
        <v>0</v>
      </c>
      <c r="AU119" s="898">
        <v>1.8</v>
      </c>
      <c r="AV119" s="899">
        <f>AU119/AH119</f>
        <v>0.36734693877551017</v>
      </c>
      <c r="AW119" s="869">
        <f t="shared" si="30"/>
        <v>0.36734693877551017</v>
      </c>
      <c r="AX119" s="869">
        <f t="shared" si="31"/>
        <v>0</v>
      </c>
      <c r="AY119" s="898">
        <v>0.1331</v>
      </c>
      <c r="AZ119" s="899">
        <f t="shared" si="45"/>
        <v>2.7163265306122446E-2</v>
      </c>
      <c r="BA119" s="869">
        <f t="shared" si="32"/>
        <v>2.7163265306122446E-2</v>
      </c>
      <c r="BB119" s="869">
        <f t="shared" si="33"/>
        <v>0</v>
      </c>
      <c r="BC119" s="898">
        <v>0</v>
      </c>
      <c r="BD119" s="899">
        <v>0</v>
      </c>
      <c r="BE119" s="869">
        <f t="shared" si="34"/>
        <v>0</v>
      </c>
      <c r="BF119" s="869">
        <f t="shared" si="35"/>
        <v>0</v>
      </c>
      <c r="BG119" s="898">
        <v>0.61699999999999999</v>
      </c>
      <c r="BH119" s="899">
        <f>BG119/AH119</f>
        <v>0.12591836734693876</v>
      </c>
      <c r="BI119" s="710" t="s">
        <v>1460</v>
      </c>
      <c r="BJ119" s="710" t="s">
        <v>769</v>
      </c>
      <c r="BK119" s="710" t="s">
        <v>1458</v>
      </c>
      <c r="BL119" s="714">
        <f t="shared" si="36"/>
        <v>0.12591836734693876</v>
      </c>
      <c r="BM119" s="869">
        <f t="shared" si="37"/>
        <v>0</v>
      </c>
      <c r="BN119" s="898"/>
      <c r="BO119" s="899"/>
      <c r="BP119" s="869">
        <f t="shared" si="38"/>
        <v>0</v>
      </c>
      <c r="BQ119" s="869">
        <f t="shared" si="39"/>
        <v>0</v>
      </c>
      <c r="BR119" s="898">
        <v>0.69699999999999995</v>
      </c>
      <c r="BS119" s="900">
        <f>BR119/36630.6029</f>
        <v>1.9027805845914699E-5</v>
      </c>
      <c r="BT119" s="900"/>
      <c r="BU119" s="900"/>
      <c r="BV119" s="901">
        <v>3</v>
      </c>
      <c r="BW119" s="901">
        <v>3</v>
      </c>
      <c r="BX119" s="901">
        <v>3</v>
      </c>
      <c r="BY119" s="901"/>
      <c r="BZ119" s="901"/>
      <c r="CA119" s="901"/>
      <c r="CB119" s="901"/>
      <c r="CC119" s="901"/>
      <c r="CD119" s="901"/>
      <c r="CE119" s="901"/>
      <c r="CF119" s="901"/>
      <c r="CG119" s="901">
        <v>1</v>
      </c>
      <c r="CH119" s="901"/>
      <c r="CI119" s="901">
        <v>1</v>
      </c>
      <c r="CJ119" s="901">
        <v>1</v>
      </c>
      <c r="CK119" s="901"/>
      <c r="CL119" s="901"/>
      <c r="CM119" s="901"/>
      <c r="CN119" s="901"/>
      <c r="CO119" s="901"/>
      <c r="CP119" s="901"/>
      <c r="CQ119" s="901"/>
      <c r="CR119" s="901"/>
      <c r="CS119" s="902">
        <f>BZ119+CA119+BY119+CB119+CC119+CD119+CE119+CF119+CG119+CH119+CI119+CJ119+CK119+CL119+CM119+CN119+CO119+CP119+CQ119+CR119</f>
        <v>3</v>
      </c>
      <c r="CT119" s="871">
        <f t="shared" si="40"/>
        <v>3</v>
      </c>
      <c r="CU119" s="871">
        <f t="shared" si="41"/>
        <v>0</v>
      </c>
      <c r="CV119" s="942">
        <v>7.1849999999999996</v>
      </c>
      <c r="CW119" s="710" t="s">
        <v>1461</v>
      </c>
      <c r="CX119" s="710" t="s">
        <v>410</v>
      </c>
      <c r="CY119" s="899">
        <f>CV119/739.467</f>
        <v>9.7164579352425461E-3</v>
      </c>
      <c r="CZ119" s="963" t="s">
        <v>1442</v>
      </c>
      <c r="DA119" s="963"/>
      <c r="DB119" s="963"/>
      <c r="DC119" s="710" t="s">
        <v>279</v>
      </c>
      <c r="DD119" s="710" t="s">
        <v>279</v>
      </c>
      <c r="DE119" s="710" t="s">
        <v>279</v>
      </c>
      <c r="DF119" s="901"/>
      <c r="DG119" s="901" t="s">
        <v>279</v>
      </c>
      <c r="DH119" s="901">
        <v>3</v>
      </c>
      <c r="DI119" s="710" t="s">
        <v>410</v>
      </c>
      <c r="DJ119" s="710" t="s">
        <v>410</v>
      </c>
      <c r="DK119" s="901" t="s">
        <v>410</v>
      </c>
      <c r="DL119" s="710" t="s">
        <v>278</v>
      </c>
      <c r="DM119" s="710" t="s">
        <v>1443</v>
      </c>
      <c r="DN119" s="901">
        <v>234</v>
      </c>
      <c r="DO119" s="710" t="s">
        <v>410</v>
      </c>
      <c r="DP119" s="710" t="s">
        <v>410</v>
      </c>
      <c r="DQ119" s="901" t="s">
        <v>410</v>
      </c>
      <c r="DR119" s="710" t="s">
        <v>410</v>
      </c>
      <c r="DS119" s="710" t="s">
        <v>410</v>
      </c>
      <c r="DT119" s="901" t="s">
        <v>410</v>
      </c>
      <c r="DU119" s="710" t="s">
        <v>410</v>
      </c>
      <c r="DV119" s="710" t="s">
        <v>410</v>
      </c>
      <c r="DW119" s="901" t="s">
        <v>410</v>
      </c>
      <c r="DX119" s="710" t="s">
        <v>410</v>
      </c>
      <c r="DY119" s="710" t="s">
        <v>410</v>
      </c>
      <c r="DZ119" s="901" t="s">
        <v>410</v>
      </c>
      <c r="EA119" s="710" t="s">
        <v>410</v>
      </c>
      <c r="EB119" s="710" t="s">
        <v>410</v>
      </c>
      <c r="EC119" s="901" t="s">
        <v>410</v>
      </c>
      <c r="ED119" s="710" t="s">
        <v>278</v>
      </c>
      <c r="EE119" s="710" t="s">
        <v>1443</v>
      </c>
      <c r="EF119" s="901">
        <v>234</v>
      </c>
      <c r="EG119" s="710" t="s">
        <v>410</v>
      </c>
      <c r="EH119" s="710" t="s">
        <v>410</v>
      </c>
      <c r="EI119" s="901" t="s">
        <v>410</v>
      </c>
      <c r="EJ119" s="710" t="s">
        <v>410</v>
      </c>
      <c r="EK119" s="710" t="s">
        <v>410</v>
      </c>
      <c r="EL119" s="901" t="s">
        <v>410</v>
      </c>
      <c r="EM119" s="710" t="s">
        <v>278</v>
      </c>
      <c r="EN119" s="710" t="s">
        <v>1462</v>
      </c>
      <c r="EO119" s="901">
        <v>15</v>
      </c>
      <c r="EP119" s="710" t="s">
        <v>410</v>
      </c>
      <c r="EQ119" s="710" t="s">
        <v>410</v>
      </c>
      <c r="ER119" s="901" t="s">
        <v>410</v>
      </c>
      <c r="ES119" s="710" t="s">
        <v>410</v>
      </c>
      <c r="ET119" s="710" t="s">
        <v>410</v>
      </c>
      <c r="EU119" s="901" t="s">
        <v>410</v>
      </c>
      <c r="EV119" s="904">
        <v>1</v>
      </c>
      <c r="EW119" s="710" t="s">
        <v>410</v>
      </c>
      <c r="EX119" s="860">
        <v>3</v>
      </c>
      <c r="EY119" s="710" t="s">
        <v>279</v>
      </c>
      <c r="EZ119" s="710" t="s">
        <v>279</v>
      </c>
      <c r="FA119" s="710" t="s">
        <v>279</v>
      </c>
      <c r="FB119" s="710" t="s">
        <v>279</v>
      </c>
      <c r="FC119" s="861" t="s">
        <v>1463</v>
      </c>
      <c r="FD119" s="710" t="s">
        <v>410</v>
      </c>
      <c r="FE119" s="710" t="s">
        <v>410</v>
      </c>
      <c r="FF119" s="710" t="s">
        <v>1464</v>
      </c>
      <c r="FG119" s="710" t="s">
        <v>410</v>
      </c>
      <c r="FH119" s="710"/>
      <c r="FI119" s="710"/>
      <c r="FJ119" s="710"/>
      <c r="FK119" s="710" t="s">
        <v>1465</v>
      </c>
      <c r="FL119" s="710" t="s">
        <v>1466</v>
      </c>
      <c r="FM119" s="861" t="s">
        <v>1467</v>
      </c>
      <c r="FN119" s="710" t="s">
        <v>1451</v>
      </c>
      <c r="FO119" s="710" t="s">
        <v>1468</v>
      </c>
      <c r="FP119" s="861" t="s">
        <v>1453</v>
      </c>
    </row>
    <row r="120" spans="2:174" ht="90.5" customHeight="1">
      <c r="B120" s="850" t="s">
        <v>5315</v>
      </c>
      <c r="C120" s="850" t="s">
        <v>5316</v>
      </c>
      <c r="D120" s="850" t="s">
        <v>5317</v>
      </c>
      <c r="E120" s="850" t="s">
        <v>5318</v>
      </c>
      <c r="F120" s="850" t="s">
        <v>5319</v>
      </c>
      <c r="G120" s="850" t="s">
        <v>4933</v>
      </c>
      <c r="I120" s="850" t="s">
        <v>5520</v>
      </c>
      <c r="J120" s="850" t="s">
        <v>5437</v>
      </c>
      <c r="K120" s="710" t="s">
        <v>243</v>
      </c>
      <c r="L120" s="710"/>
      <c r="M120" s="710" t="s">
        <v>2523</v>
      </c>
      <c r="N120" s="710" t="s">
        <v>2524</v>
      </c>
      <c r="O120" s="895">
        <v>2017</v>
      </c>
      <c r="P120" s="896">
        <v>43466</v>
      </c>
      <c r="Q120" s="896">
        <v>43830</v>
      </c>
      <c r="R120" s="712">
        <f t="shared" si="42"/>
        <v>364</v>
      </c>
      <c r="S120" s="710" t="s">
        <v>2525</v>
      </c>
      <c r="T120" s="710" t="s">
        <v>2526</v>
      </c>
      <c r="U120" s="861" t="s">
        <v>2527</v>
      </c>
      <c r="V120" s="710" t="s">
        <v>410</v>
      </c>
      <c r="W120" s="710" t="s">
        <v>410</v>
      </c>
      <c r="X120" s="710" t="s">
        <v>410</v>
      </c>
      <c r="Y120" s="710" t="s">
        <v>410</v>
      </c>
      <c r="Z120" s="710" t="s">
        <v>410</v>
      </c>
      <c r="AA120" s="710" t="s">
        <v>410</v>
      </c>
      <c r="AB120" s="710"/>
      <c r="AC120" s="710"/>
      <c r="AD120" s="710" t="s">
        <v>2528</v>
      </c>
      <c r="AE120" s="710" t="s">
        <v>2528</v>
      </c>
      <c r="AF120" s="710" t="s">
        <v>414</v>
      </c>
      <c r="AG120" s="710" t="s">
        <v>2529</v>
      </c>
      <c r="AH120" s="860">
        <v>486.9</v>
      </c>
      <c r="AI120" s="868">
        <f t="shared" si="24"/>
        <v>486.9</v>
      </c>
      <c r="AJ120" s="867">
        <f t="shared" si="25"/>
        <v>0</v>
      </c>
      <c r="AK120" s="860">
        <v>4.0999999999999996</v>
      </c>
      <c r="AL120" s="899">
        <v>8.3999999999999995E-3</v>
      </c>
      <c r="AM120" s="899">
        <v>1E-4</v>
      </c>
      <c r="AN120" s="869">
        <f t="shared" si="26"/>
        <v>8.4206202505647965E-3</v>
      </c>
      <c r="AO120" s="869">
        <f t="shared" si="27"/>
        <v>-2.0620250564797049E-5</v>
      </c>
      <c r="AP120" s="899"/>
      <c r="AQ120" s="899"/>
      <c r="AR120" s="899"/>
      <c r="AS120" s="869">
        <f t="shared" si="28"/>
        <v>0</v>
      </c>
      <c r="AT120" s="869">
        <f t="shared" si="29"/>
        <v>0</v>
      </c>
      <c r="AU120" s="898">
        <v>76.2</v>
      </c>
      <c r="AV120" s="899">
        <v>0.1565</v>
      </c>
      <c r="AW120" s="869">
        <f t="shared" si="30"/>
        <v>0.15650030807147258</v>
      </c>
      <c r="AX120" s="869">
        <f t="shared" si="31"/>
        <v>-3.0807147258227197E-7</v>
      </c>
      <c r="AY120" s="860">
        <v>0.2</v>
      </c>
      <c r="AZ120" s="899">
        <v>4.0000000000000002E-4</v>
      </c>
      <c r="BA120" s="869">
        <f t="shared" si="32"/>
        <v>4.1076196344218529E-4</v>
      </c>
      <c r="BB120" s="869">
        <f t="shared" si="33"/>
        <v>-1.0761963442185271E-5</v>
      </c>
      <c r="BC120" s="898"/>
      <c r="BD120" s="899"/>
      <c r="BE120" s="869">
        <f t="shared" si="34"/>
        <v>0</v>
      </c>
      <c r="BF120" s="869">
        <f t="shared" si="35"/>
        <v>0</v>
      </c>
      <c r="BG120" s="898">
        <v>406.4</v>
      </c>
      <c r="BH120" s="899">
        <v>0.8347</v>
      </c>
      <c r="BI120" s="710" t="s">
        <v>2530</v>
      </c>
      <c r="BJ120" s="710" t="s">
        <v>2531</v>
      </c>
      <c r="BK120" s="710" t="s">
        <v>2528</v>
      </c>
      <c r="BL120" s="714">
        <f t="shared" si="36"/>
        <v>0.83466830971452044</v>
      </c>
      <c r="BM120" s="869">
        <f t="shared" si="37"/>
        <v>3.1690285479557545E-5</v>
      </c>
      <c r="BN120" s="898"/>
      <c r="BO120" s="899"/>
      <c r="BP120" s="869">
        <f t="shared" si="38"/>
        <v>0</v>
      </c>
      <c r="BQ120" s="869">
        <f t="shared" si="39"/>
        <v>0</v>
      </c>
      <c r="BR120" s="860">
        <v>3.7</v>
      </c>
      <c r="BS120" s="899">
        <v>1E-4</v>
      </c>
      <c r="BT120" s="899"/>
      <c r="BU120" s="899"/>
      <c r="BV120" s="901">
        <v>133</v>
      </c>
      <c r="BW120" s="901">
        <v>68</v>
      </c>
      <c r="BX120" s="901">
        <v>68</v>
      </c>
      <c r="BY120" s="901"/>
      <c r="BZ120" s="901"/>
      <c r="CA120" s="901" t="s">
        <v>410</v>
      </c>
      <c r="CB120" s="901" t="s">
        <v>410</v>
      </c>
      <c r="CC120" s="901" t="s">
        <v>410</v>
      </c>
      <c r="CD120" s="901" t="s">
        <v>410</v>
      </c>
      <c r="CE120" s="901" t="s">
        <v>410</v>
      </c>
      <c r="CF120" s="901" t="s">
        <v>410</v>
      </c>
      <c r="CG120" s="901" t="s">
        <v>410</v>
      </c>
      <c r="CH120" s="901">
        <v>63</v>
      </c>
      <c r="CI120" s="901" t="s">
        <v>410</v>
      </c>
      <c r="CJ120" s="901">
        <v>42</v>
      </c>
      <c r="CK120" s="901" t="s">
        <v>410</v>
      </c>
      <c r="CL120" s="901" t="s">
        <v>410</v>
      </c>
      <c r="CM120" s="901" t="s">
        <v>410</v>
      </c>
      <c r="CN120" s="901" t="s">
        <v>410</v>
      </c>
      <c r="CO120" s="901" t="s">
        <v>410</v>
      </c>
      <c r="CP120" s="901" t="s">
        <v>410</v>
      </c>
      <c r="CQ120" s="901" t="s">
        <v>410</v>
      </c>
      <c r="CR120" s="901" t="s">
        <v>410</v>
      </c>
      <c r="CS120" s="902">
        <f>SUM(BY120:CR120)</f>
        <v>105</v>
      </c>
      <c r="CT120" s="871">
        <f t="shared" si="40"/>
        <v>105</v>
      </c>
      <c r="CU120" s="871">
        <f t="shared" si="41"/>
        <v>0</v>
      </c>
      <c r="CV120" s="942">
        <v>835</v>
      </c>
      <c r="CW120" s="710" t="s">
        <v>2532</v>
      </c>
      <c r="CX120" s="710" t="s">
        <v>410</v>
      </c>
      <c r="CY120" s="710">
        <v>63</v>
      </c>
      <c r="CZ120" s="963" t="s">
        <v>2533</v>
      </c>
      <c r="DA120" s="963"/>
      <c r="DB120" s="963"/>
      <c r="DC120" s="710" t="s">
        <v>279</v>
      </c>
      <c r="DD120" s="710" t="s">
        <v>410</v>
      </c>
      <c r="DE120" s="710" t="s">
        <v>410</v>
      </c>
      <c r="DF120" s="901" t="s">
        <v>410</v>
      </c>
      <c r="DG120" s="901" t="s">
        <v>410</v>
      </c>
      <c r="DH120" s="901" t="s">
        <v>410</v>
      </c>
      <c r="DI120" s="710" t="s">
        <v>279</v>
      </c>
      <c r="DJ120" s="710" t="s">
        <v>410</v>
      </c>
      <c r="DK120" s="901" t="s">
        <v>410</v>
      </c>
      <c r="DL120" s="710" t="s">
        <v>278</v>
      </c>
      <c r="DM120" s="710" t="s">
        <v>2534</v>
      </c>
      <c r="DN120" s="901">
        <v>706</v>
      </c>
      <c r="DO120" s="710" t="s">
        <v>279</v>
      </c>
      <c r="DP120" s="710" t="s">
        <v>410</v>
      </c>
      <c r="DQ120" s="901" t="s">
        <v>410</v>
      </c>
      <c r="DR120" s="710" t="s">
        <v>279</v>
      </c>
      <c r="DS120" s="710" t="s">
        <v>410</v>
      </c>
      <c r="DT120" s="901" t="s">
        <v>410</v>
      </c>
      <c r="DU120" s="710" t="s">
        <v>279</v>
      </c>
      <c r="DV120" s="710" t="s">
        <v>410</v>
      </c>
      <c r="DW120" s="901" t="s">
        <v>410</v>
      </c>
      <c r="DX120" s="710" t="s">
        <v>279</v>
      </c>
      <c r="DY120" s="710" t="s">
        <v>410</v>
      </c>
      <c r="DZ120" s="901" t="s">
        <v>410</v>
      </c>
      <c r="EA120" s="710" t="s">
        <v>279</v>
      </c>
      <c r="EB120" s="710" t="s">
        <v>410</v>
      </c>
      <c r="EC120" s="901" t="s">
        <v>410</v>
      </c>
      <c r="ED120" s="710" t="s">
        <v>392</v>
      </c>
      <c r="EE120" s="710" t="s">
        <v>2535</v>
      </c>
      <c r="EF120" s="901">
        <v>72493</v>
      </c>
      <c r="EG120" s="710" t="s">
        <v>279</v>
      </c>
      <c r="EH120" s="710" t="s">
        <v>410</v>
      </c>
      <c r="EI120" s="901" t="s">
        <v>410</v>
      </c>
      <c r="EJ120" s="710" t="s">
        <v>279</v>
      </c>
      <c r="EK120" s="710" t="s">
        <v>410</v>
      </c>
      <c r="EL120" s="901" t="s">
        <v>410</v>
      </c>
      <c r="EM120" s="710" t="s">
        <v>279</v>
      </c>
      <c r="EN120" s="710" t="s">
        <v>410</v>
      </c>
      <c r="EO120" s="901" t="s">
        <v>410</v>
      </c>
      <c r="EP120" s="710" t="s">
        <v>279</v>
      </c>
      <c r="EQ120" s="710" t="s">
        <v>410</v>
      </c>
      <c r="ER120" s="901" t="s">
        <v>410</v>
      </c>
      <c r="ES120" s="710" t="s">
        <v>279</v>
      </c>
      <c r="ET120" s="710" t="s">
        <v>410</v>
      </c>
      <c r="EU120" s="901" t="s">
        <v>410</v>
      </c>
      <c r="EV120" s="710" t="s">
        <v>2536</v>
      </c>
      <c r="EW120" s="710" t="s">
        <v>2536</v>
      </c>
      <c r="EX120" s="901">
        <v>38</v>
      </c>
      <c r="EY120" s="710" t="s">
        <v>389</v>
      </c>
      <c r="EZ120" s="710" t="s">
        <v>410</v>
      </c>
      <c r="FA120" s="710" t="s">
        <v>392</v>
      </c>
      <c r="FB120" s="710" t="s">
        <v>2537</v>
      </c>
      <c r="FC120" s="710" t="s">
        <v>410</v>
      </c>
      <c r="FD120" s="710" t="s">
        <v>410</v>
      </c>
      <c r="FE120" s="710" t="s">
        <v>410</v>
      </c>
      <c r="FF120" s="710" t="s">
        <v>2538</v>
      </c>
      <c r="FG120" s="710" t="s">
        <v>410</v>
      </c>
      <c r="FH120" s="710" t="s">
        <v>410</v>
      </c>
      <c r="FI120" s="710" t="s">
        <v>410</v>
      </c>
      <c r="FJ120" s="710" t="s">
        <v>410</v>
      </c>
      <c r="FK120" s="710" t="s">
        <v>2539</v>
      </c>
      <c r="FL120" s="710" t="s">
        <v>2540</v>
      </c>
      <c r="FM120" s="710" t="s">
        <v>2541</v>
      </c>
      <c r="FN120" s="710" t="s">
        <v>2542</v>
      </c>
      <c r="FO120" s="710" t="s">
        <v>2543</v>
      </c>
      <c r="FP120" s="861" t="s">
        <v>2544</v>
      </c>
    </row>
    <row r="121" spans="2:174" ht="105.5" customHeight="1">
      <c r="B121" s="850" t="s">
        <v>5315</v>
      </c>
      <c r="C121" s="850" t="s">
        <v>5321</v>
      </c>
      <c r="D121" s="850" t="s">
        <v>4934</v>
      </c>
      <c r="E121" s="850" t="s">
        <v>5314</v>
      </c>
      <c r="F121" s="863"/>
      <c r="H121" s="850" t="s">
        <v>4934</v>
      </c>
      <c r="I121" s="850" t="s">
        <v>5520</v>
      </c>
      <c r="J121" s="850" t="s">
        <v>5437</v>
      </c>
      <c r="K121" s="710" t="s">
        <v>243</v>
      </c>
      <c r="L121" s="710" t="s">
        <v>3115</v>
      </c>
      <c r="M121" s="710" t="s">
        <v>3116</v>
      </c>
      <c r="N121" s="710" t="s">
        <v>3117</v>
      </c>
      <c r="O121" s="895">
        <v>2015</v>
      </c>
      <c r="P121" s="896">
        <v>43593</v>
      </c>
      <c r="Q121" s="896">
        <v>43830</v>
      </c>
      <c r="R121" s="712">
        <f t="shared" si="42"/>
        <v>237</v>
      </c>
      <c r="S121" s="896"/>
      <c r="T121" s="896"/>
      <c r="U121" s="896"/>
      <c r="V121" s="896"/>
      <c r="W121" s="896"/>
      <c r="X121" s="896"/>
      <c r="Y121" s="896"/>
      <c r="Z121" s="896"/>
      <c r="AA121" s="896"/>
      <c r="AB121" s="710" t="s">
        <v>3118</v>
      </c>
      <c r="AC121" s="945" t="s">
        <v>3119</v>
      </c>
      <c r="AD121" s="710" t="s">
        <v>3120</v>
      </c>
      <c r="AE121" s="710" t="s">
        <v>3120</v>
      </c>
      <c r="AF121" s="710" t="s">
        <v>3121</v>
      </c>
      <c r="AG121" s="710" t="s">
        <v>3120</v>
      </c>
      <c r="AH121" s="898">
        <v>33.601999999999997</v>
      </c>
      <c r="AI121" s="868">
        <f t="shared" si="24"/>
        <v>33.602000000000004</v>
      </c>
      <c r="AJ121" s="867">
        <f t="shared" si="25"/>
        <v>0</v>
      </c>
      <c r="AK121" s="898"/>
      <c r="AL121" s="898"/>
      <c r="AM121" s="898"/>
      <c r="AN121" s="869">
        <f t="shared" si="26"/>
        <v>0</v>
      </c>
      <c r="AO121" s="869">
        <f t="shared" si="27"/>
        <v>0</v>
      </c>
      <c r="AP121" s="898"/>
      <c r="AQ121" s="710"/>
      <c r="AR121" s="927">
        <v>0.12</v>
      </c>
      <c r="AS121" s="869">
        <f t="shared" si="28"/>
        <v>0</v>
      </c>
      <c r="AT121" s="869">
        <f t="shared" si="29"/>
        <v>0</v>
      </c>
      <c r="AU121" s="942">
        <v>17.728000000000002</v>
      </c>
      <c r="AV121" s="927">
        <v>0.52759999999999996</v>
      </c>
      <c r="AW121" s="869">
        <f t="shared" si="30"/>
        <v>0.52758764359264343</v>
      </c>
      <c r="AX121" s="869">
        <f t="shared" si="31"/>
        <v>1.2356407356528543E-5</v>
      </c>
      <c r="AY121" s="898">
        <v>15.874000000000001</v>
      </c>
      <c r="AZ121" s="710">
        <v>47.24</v>
      </c>
      <c r="BA121" s="869">
        <f t="shared" si="32"/>
        <v>0.47241235640735679</v>
      </c>
      <c r="BB121" s="869">
        <f t="shared" si="33"/>
        <v>46.767587643592648</v>
      </c>
      <c r="BC121" s="898">
        <v>0</v>
      </c>
      <c r="BD121" s="899"/>
      <c r="BE121" s="869">
        <f t="shared" si="34"/>
        <v>0</v>
      </c>
      <c r="BF121" s="869">
        <f t="shared" si="35"/>
        <v>0</v>
      </c>
      <c r="BG121" s="899"/>
      <c r="BH121" s="899"/>
      <c r="BI121" s="899"/>
      <c r="BJ121" s="899"/>
      <c r="BK121" s="899"/>
      <c r="BL121" s="714">
        <f t="shared" si="36"/>
        <v>0</v>
      </c>
      <c r="BM121" s="869">
        <f t="shared" si="37"/>
        <v>0</v>
      </c>
      <c r="BN121" s="898">
        <v>0</v>
      </c>
      <c r="BO121" s="899"/>
      <c r="BP121" s="869">
        <f t="shared" si="38"/>
        <v>0</v>
      </c>
      <c r="BQ121" s="869">
        <f t="shared" si="39"/>
        <v>0</v>
      </c>
      <c r="BR121" s="899"/>
      <c r="BS121" s="899"/>
      <c r="BT121" s="898">
        <v>18</v>
      </c>
      <c r="BU121" s="927">
        <v>0.12</v>
      </c>
      <c r="BV121" s="955">
        <v>67</v>
      </c>
      <c r="BW121" s="955">
        <v>67</v>
      </c>
      <c r="BX121" s="955">
        <v>44</v>
      </c>
      <c r="BY121" s="901">
        <v>1</v>
      </c>
      <c r="BZ121" s="901">
        <v>2</v>
      </c>
      <c r="CA121" s="901"/>
      <c r="CB121" s="901"/>
      <c r="CC121" s="901"/>
      <c r="CD121" s="901"/>
      <c r="CE121" s="901"/>
      <c r="CF121" s="901"/>
      <c r="CG121" s="901">
        <v>8</v>
      </c>
      <c r="CH121" s="901">
        <f>6</f>
        <v>6</v>
      </c>
      <c r="CI121" s="901">
        <v>2</v>
      </c>
      <c r="CJ121" s="901">
        <f>1+3</f>
        <v>4</v>
      </c>
      <c r="CK121" s="901"/>
      <c r="CL121" s="901"/>
      <c r="CM121" s="901"/>
      <c r="CN121" s="901">
        <v>18</v>
      </c>
      <c r="CO121" s="901"/>
      <c r="CP121" s="901">
        <v>2</v>
      </c>
      <c r="CQ121" s="901">
        <v>1</v>
      </c>
      <c r="CR121" s="901"/>
      <c r="CS121" s="902">
        <f>SUM(BY121:CR121)</f>
        <v>44</v>
      </c>
      <c r="CT121" s="871">
        <f t="shared" si="40"/>
        <v>44</v>
      </c>
      <c r="CU121" s="871">
        <f t="shared" si="41"/>
        <v>0</v>
      </c>
      <c r="CV121" s="942">
        <v>39.6</v>
      </c>
      <c r="CW121" s="710" t="s">
        <v>3122</v>
      </c>
      <c r="CX121" s="710"/>
      <c r="CY121" s="710"/>
      <c r="CZ121" s="710"/>
      <c r="DA121" s="710">
        <v>7.58</v>
      </c>
      <c r="DB121" s="943" t="s">
        <v>3123</v>
      </c>
      <c r="DC121" s="710" t="s">
        <v>279</v>
      </c>
      <c r="DD121" s="710"/>
      <c r="DE121" s="710"/>
      <c r="DF121" s="901"/>
      <c r="DG121" s="901"/>
      <c r="DH121" s="901">
        <v>3</v>
      </c>
      <c r="DI121" s="710" t="s">
        <v>279</v>
      </c>
      <c r="DJ121" s="710"/>
      <c r="DK121" s="901"/>
      <c r="DL121" s="710" t="s">
        <v>279</v>
      </c>
      <c r="DM121" s="710"/>
      <c r="DN121" s="901"/>
      <c r="DO121" s="710"/>
      <c r="DP121" s="710"/>
      <c r="DQ121" s="901"/>
      <c r="DR121" s="710"/>
      <c r="DS121" s="710"/>
      <c r="DT121" s="901"/>
      <c r="DU121" s="710"/>
      <c r="DV121" s="710"/>
      <c r="DW121" s="901"/>
      <c r="DX121" s="710" t="s">
        <v>3124</v>
      </c>
      <c r="DY121" s="710" t="s">
        <v>3125</v>
      </c>
      <c r="DZ121" s="901">
        <v>67</v>
      </c>
      <c r="EA121" s="710" t="s">
        <v>279</v>
      </c>
      <c r="EB121" s="710"/>
      <c r="EC121" s="901"/>
      <c r="ED121" s="710" t="s">
        <v>279</v>
      </c>
      <c r="EE121" s="710"/>
      <c r="EF121" s="901"/>
      <c r="EG121" s="710" t="s">
        <v>278</v>
      </c>
      <c r="EH121" s="710" t="s">
        <v>3126</v>
      </c>
      <c r="EI121" s="901">
        <v>44075</v>
      </c>
      <c r="EJ121" s="710" t="s">
        <v>279</v>
      </c>
      <c r="EK121" s="710"/>
      <c r="EL121" s="901"/>
      <c r="EM121" s="710" t="s">
        <v>279</v>
      </c>
      <c r="EN121" s="710"/>
      <c r="EO121" s="901"/>
      <c r="EP121" s="710" t="s">
        <v>279</v>
      </c>
      <c r="EQ121" s="710"/>
      <c r="ER121" s="901"/>
      <c r="ES121" s="710" t="s">
        <v>3124</v>
      </c>
      <c r="ET121" s="945" t="s">
        <v>3119</v>
      </c>
      <c r="EU121" s="901">
        <v>4</v>
      </c>
      <c r="EV121" s="901"/>
      <c r="EW121" s="901"/>
      <c r="EX121" s="901"/>
      <c r="EY121" s="710" t="s">
        <v>279</v>
      </c>
      <c r="EZ121" s="710"/>
      <c r="FA121" s="710" t="s">
        <v>279</v>
      </c>
      <c r="FB121" s="710" t="s">
        <v>3127</v>
      </c>
      <c r="FC121" s="710" t="s">
        <v>3128</v>
      </c>
      <c r="FD121" s="710" t="s">
        <v>3129</v>
      </c>
      <c r="FE121" s="710" t="s">
        <v>279</v>
      </c>
      <c r="FF121" s="710" t="s">
        <v>3130</v>
      </c>
      <c r="FG121" s="710"/>
      <c r="FH121" s="710"/>
      <c r="FI121" s="710"/>
      <c r="FJ121" s="710"/>
      <c r="FK121" s="710" t="s">
        <v>3131</v>
      </c>
      <c r="FL121" s="710" t="s">
        <v>3132</v>
      </c>
      <c r="FM121" s="710" t="s">
        <v>3133</v>
      </c>
      <c r="FN121" s="710" t="s">
        <v>3134</v>
      </c>
      <c r="FO121" s="710" t="s">
        <v>3135</v>
      </c>
      <c r="FP121" s="945" t="s">
        <v>3136</v>
      </c>
    </row>
    <row r="122" spans="2:174" ht="94" customHeight="1">
      <c r="B122" s="850" t="s">
        <v>5313</v>
      </c>
      <c r="C122" s="863"/>
      <c r="D122" s="850" t="s">
        <v>4933</v>
      </c>
      <c r="E122" s="850" t="s">
        <v>5314</v>
      </c>
      <c r="F122" s="879">
        <v>1</v>
      </c>
      <c r="G122" s="850" t="s">
        <v>4933</v>
      </c>
      <c r="I122" s="850" t="s">
        <v>5520</v>
      </c>
      <c r="J122" s="850" t="s">
        <v>5438</v>
      </c>
      <c r="K122" s="710" t="s">
        <v>244</v>
      </c>
      <c r="L122" s="710"/>
      <c r="M122" s="710" t="s">
        <v>1096</v>
      </c>
      <c r="N122" s="710" t="s">
        <v>1097</v>
      </c>
      <c r="O122" s="895">
        <v>2017</v>
      </c>
      <c r="P122" s="896">
        <v>43344</v>
      </c>
      <c r="Q122" s="896">
        <v>43830</v>
      </c>
      <c r="R122" s="712">
        <f t="shared" si="42"/>
        <v>486</v>
      </c>
      <c r="S122" s="710" t="s">
        <v>1098</v>
      </c>
      <c r="T122" s="710" t="s">
        <v>1099</v>
      </c>
      <c r="U122" s="861" t="s">
        <v>1100</v>
      </c>
      <c r="V122" s="710" t="s">
        <v>410</v>
      </c>
      <c r="W122" s="710" t="s">
        <v>410</v>
      </c>
      <c r="X122" s="710" t="s">
        <v>1101</v>
      </c>
      <c r="Y122" s="861" t="s">
        <v>1100</v>
      </c>
      <c r="Z122" s="710" t="s">
        <v>1102</v>
      </c>
      <c r="AA122" s="861" t="s">
        <v>1103</v>
      </c>
      <c r="AB122" s="861"/>
      <c r="AC122" s="861"/>
      <c r="AD122" s="710" t="s">
        <v>1104</v>
      </c>
      <c r="AE122" s="710" t="s">
        <v>1104</v>
      </c>
      <c r="AF122" s="710" t="s">
        <v>414</v>
      </c>
      <c r="AG122" s="710" t="s">
        <v>1851</v>
      </c>
      <c r="AH122" s="898">
        <f>AK122+AU122+AY122+BC122</f>
        <v>130.24469318000001</v>
      </c>
      <c r="AI122" s="868">
        <f t="shared" si="24"/>
        <v>130.24469318000001</v>
      </c>
      <c r="AJ122" s="867">
        <f t="shared" si="25"/>
        <v>0</v>
      </c>
      <c r="AK122" s="898">
        <v>115.74010325</v>
      </c>
      <c r="AL122" s="899">
        <f>AK122/AH122</f>
        <v>0.88863584706707044</v>
      </c>
      <c r="AM122" s="899">
        <f>AK122/126145.30165934</f>
        <v>9.1751418188019713E-4</v>
      </c>
      <c r="AN122" s="869">
        <f t="shared" si="26"/>
        <v>0.88863584706707044</v>
      </c>
      <c r="AO122" s="869">
        <f t="shared" si="27"/>
        <v>0</v>
      </c>
      <c r="AP122" s="899"/>
      <c r="AQ122" s="899"/>
      <c r="AR122" s="899"/>
      <c r="AS122" s="869">
        <f t="shared" si="28"/>
        <v>0</v>
      </c>
      <c r="AT122" s="869">
        <f t="shared" si="29"/>
        <v>0</v>
      </c>
      <c r="AU122" s="898">
        <v>0.69513455999999996</v>
      </c>
      <c r="AV122" s="899">
        <f>AU122/AH122</f>
        <v>5.3371430576393169E-3</v>
      </c>
      <c r="AW122" s="869">
        <f t="shared" si="30"/>
        <v>5.3371430576393169E-3</v>
      </c>
      <c r="AX122" s="869">
        <f t="shared" si="31"/>
        <v>0</v>
      </c>
      <c r="AY122" s="898">
        <v>10.79590851</v>
      </c>
      <c r="AZ122" s="899">
        <f>AY122/AH122</f>
        <v>8.2889431011825582E-2</v>
      </c>
      <c r="BA122" s="869">
        <f t="shared" si="32"/>
        <v>8.2889431011825582E-2</v>
      </c>
      <c r="BB122" s="869">
        <f t="shared" si="33"/>
        <v>0</v>
      </c>
      <c r="BC122" s="898">
        <v>3.0135468599999999</v>
      </c>
      <c r="BD122" s="899">
        <f>BC122/AH122</f>
        <v>2.3137578863464597E-2</v>
      </c>
      <c r="BE122" s="869">
        <f t="shared" si="34"/>
        <v>2.3137578863464597E-2</v>
      </c>
      <c r="BF122" s="869">
        <f t="shared" si="35"/>
        <v>0</v>
      </c>
      <c r="BG122" s="898"/>
      <c r="BH122" s="899"/>
      <c r="BI122" s="710" t="s">
        <v>410</v>
      </c>
      <c r="BJ122" s="710" t="s">
        <v>410</v>
      </c>
      <c r="BK122" s="710" t="s">
        <v>410</v>
      </c>
      <c r="BL122" s="714">
        <f t="shared" si="36"/>
        <v>0</v>
      </c>
      <c r="BM122" s="869">
        <f t="shared" si="37"/>
        <v>0</v>
      </c>
      <c r="BN122" s="898"/>
      <c r="BO122" s="899"/>
      <c r="BP122" s="869">
        <f t="shared" si="38"/>
        <v>0</v>
      </c>
      <c r="BQ122" s="869">
        <f t="shared" si="39"/>
        <v>0</v>
      </c>
      <c r="BR122" s="898">
        <v>207.63553501000001</v>
      </c>
      <c r="BS122" s="899">
        <f>BR122/155392.15813351</f>
        <v>1.3362034320393663E-3</v>
      </c>
      <c r="BT122" s="899"/>
      <c r="BU122" s="899"/>
      <c r="BV122" s="901"/>
      <c r="BW122" s="901">
        <v>306</v>
      </c>
      <c r="BX122" s="901">
        <v>130</v>
      </c>
      <c r="BY122" s="901">
        <v>21</v>
      </c>
      <c r="BZ122" s="901">
        <v>9</v>
      </c>
      <c r="CA122" s="901" t="s">
        <v>410</v>
      </c>
      <c r="CB122" s="901" t="s">
        <v>410</v>
      </c>
      <c r="CC122" s="901" t="s">
        <v>410</v>
      </c>
      <c r="CD122" s="901">
        <v>26</v>
      </c>
      <c r="CE122" s="901">
        <v>5</v>
      </c>
      <c r="CF122" s="901">
        <v>14</v>
      </c>
      <c r="CG122" s="901">
        <v>10</v>
      </c>
      <c r="CH122" s="901">
        <v>4</v>
      </c>
      <c r="CI122" s="901">
        <v>26</v>
      </c>
      <c r="CJ122" s="901">
        <v>9</v>
      </c>
      <c r="CK122" s="901" t="s">
        <v>410</v>
      </c>
      <c r="CL122" s="901" t="s">
        <v>410</v>
      </c>
      <c r="CM122" s="901" t="s">
        <v>410</v>
      </c>
      <c r="CN122" s="901" t="s">
        <v>410</v>
      </c>
      <c r="CO122" s="901" t="s">
        <v>410</v>
      </c>
      <c r="CP122" s="901">
        <v>5</v>
      </c>
      <c r="CQ122" s="901" t="s">
        <v>410</v>
      </c>
      <c r="CR122" s="901">
        <v>1</v>
      </c>
      <c r="CS122" s="902">
        <f>SUM(BY122:CR122)</f>
        <v>130</v>
      </c>
      <c r="CT122" s="871">
        <f t="shared" si="40"/>
        <v>130</v>
      </c>
      <c r="CU122" s="871">
        <f t="shared" si="41"/>
        <v>0</v>
      </c>
      <c r="CV122" s="942" t="s">
        <v>410</v>
      </c>
      <c r="CW122" s="710" t="s">
        <v>279</v>
      </c>
      <c r="CX122" s="710" t="s">
        <v>410</v>
      </c>
      <c r="CY122" s="710" t="s">
        <v>410</v>
      </c>
      <c r="CZ122" s="899" t="s">
        <v>410</v>
      </c>
      <c r="DA122" s="899"/>
      <c r="DB122" s="899"/>
      <c r="DC122" s="710" t="s">
        <v>279</v>
      </c>
      <c r="DD122" s="710" t="s">
        <v>410</v>
      </c>
      <c r="DE122" s="710" t="s">
        <v>410</v>
      </c>
      <c r="DF122" s="901" t="s">
        <v>410</v>
      </c>
      <c r="DG122" s="901" t="s">
        <v>410</v>
      </c>
      <c r="DH122" s="901">
        <v>5</v>
      </c>
      <c r="DI122" s="710" t="s">
        <v>278</v>
      </c>
      <c r="DJ122" s="710" t="s">
        <v>1105</v>
      </c>
      <c r="DK122" s="901"/>
      <c r="DL122" s="710" t="s">
        <v>278</v>
      </c>
      <c r="DM122" s="710" t="s">
        <v>1107</v>
      </c>
      <c r="DN122" s="901" t="s">
        <v>1106</v>
      </c>
      <c r="DO122" s="710" t="s">
        <v>279</v>
      </c>
      <c r="DP122" s="710" t="s">
        <v>410</v>
      </c>
      <c r="DQ122" s="901" t="s">
        <v>410</v>
      </c>
      <c r="DR122" s="710" t="s">
        <v>279</v>
      </c>
      <c r="DS122" s="710" t="s">
        <v>410</v>
      </c>
      <c r="DT122" s="901"/>
      <c r="DU122" s="710" t="s">
        <v>279</v>
      </c>
      <c r="DV122" s="710" t="s">
        <v>410</v>
      </c>
      <c r="DW122" s="901" t="s">
        <v>410</v>
      </c>
      <c r="DX122" s="710" t="s">
        <v>278</v>
      </c>
      <c r="DY122" s="710" t="s">
        <v>1108</v>
      </c>
      <c r="DZ122" s="901" t="s">
        <v>1106</v>
      </c>
      <c r="EA122" s="710" t="s">
        <v>279</v>
      </c>
      <c r="EB122" s="710" t="s">
        <v>410</v>
      </c>
      <c r="EC122" s="901" t="s">
        <v>410</v>
      </c>
      <c r="ED122" s="710" t="s">
        <v>279</v>
      </c>
      <c r="EE122" s="710" t="s">
        <v>410</v>
      </c>
      <c r="EF122" s="901" t="s">
        <v>410</v>
      </c>
      <c r="EG122" s="710" t="s">
        <v>279</v>
      </c>
      <c r="EH122" s="710" t="s">
        <v>410</v>
      </c>
      <c r="EI122" s="901" t="s">
        <v>410</v>
      </c>
      <c r="EJ122" s="710" t="s">
        <v>279</v>
      </c>
      <c r="EK122" s="710" t="s">
        <v>410</v>
      </c>
      <c r="EL122" s="901" t="s">
        <v>410</v>
      </c>
      <c r="EM122" s="710" t="s">
        <v>278</v>
      </c>
      <c r="EN122" s="710" t="s">
        <v>1852</v>
      </c>
      <c r="EO122" s="710">
        <v>15</v>
      </c>
      <c r="EP122" s="710" t="s">
        <v>279</v>
      </c>
      <c r="EQ122" s="710" t="s">
        <v>410</v>
      </c>
      <c r="ER122" s="901" t="s">
        <v>410</v>
      </c>
      <c r="ES122" s="710" t="s">
        <v>279</v>
      </c>
      <c r="ET122" s="710" t="s">
        <v>410</v>
      </c>
      <c r="EU122" s="901" t="s">
        <v>410</v>
      </c>
      <c r="EV122" s="904">
        <v>1</v>
      </c>
      <c r="EW122" s="710" t="s">
        <v>279</v>
      </c>
      <c r="EX122" s="860">
        <v>76</v>
      </c>
      <c r="EY122" s="710" t="s">
        <v>278</v>
      </c>
      <c r="EZ122" s="710" t="s">
        <v>1109</v>
      </c>
      <c r="FA122" s="710" t="s">
        <v>279</v>
      </c>
      <c r="FB122" s="710" t="s">
        <v>410</v>
      </c>
      <c r="FC122" s="861" t="s">
        <v>1110</v>
      </c>
      <c r="FD122" s="861" t="s">
        <v>1111</v>
      </c>
      <c r="FE122" s="710" t="s">
        <v>410</v>
      </c>
      <c r="FF122" s="710" t="s">
        <v>1112</v>
      </c>
      <c r="FG122" s="710" t="s">
        <v>1113</v>
      </c>
      <c r="FH122" s="710" t="s">
        <v>1114</v>
      </c>
      <c r="FI122" s="710">
        <v>63</v>
      </c>
      <c r="FJ122" s="710">
        <v>1331</v>
      </c>
      <c r="FK122" s="710" t="s">
        <v>1115</v>
      </c>
      <c r="FL122" s="710" t="s">
        <v>1116</v>
      </c>
      <c r="FM122" s="861" t="s">
        <v>1117</v>
      </c>
      <c r="FN122" s="710" t="s">
        <v>1118</v>
      </c>
      <c r="FO122" s="710" t="s">
        <v>1119</v>
      </c>
      <c r="FP122" s="861" t="s">
        <v>1120</v>
      </c>
    </row>
    <row r="123" spans="2:174" ht="37.5" customHeight="1">
      <c r="B123" s="863"/>
      <c r="C123" s="863"/>
      <c r="D123" s="863"/>
      <c r="E123" s="863"/>
      <c r="F123" s="863"/>
      <c r="I123" s="850" t="s">
        <v>5522</v>
      </c>
      <c r="J123" s="850" t="s">
        <v>5439</v>
      </c>
      <c r="K123" s="710" t="s">
        <v>245</v>
      </c>
      <c r="L123" s="710"/>
      <c r="M123" s="710"/>
      <c r="N123" s="710"/>
      <c r="O123" s="895"/>
      <c r="P123" s="896"/>
      <c r="Q123" s="896"/>
      <c r="R123" s="712">
        <f t="shared" si="42"/>
        <v>0</v>
      </c>
      <c r="S123" s="710"/>
      <c r="T123" s="710"/>
      <c r="U123" s="710"/>
      <c r="V123" s="710"/>
      <c r="W123" s="710"/>
      <c r="X123" s="710"/>
      <c r="Y123" s="710"/>
      <c r="Z123" s="710"/>
      <c r="AA123" s="710"/>
      <c r="AB123" s="710"/>
      <c r="AC123" s="710"/>
      <c r="AD123" s="710"/>
      <c r="AE123" s="710"/>
      <c r="AF123" s="710"/>
      <c r="AG123" s="710"/>
      <c r="AH123" s="898"/>
      <c r="AI123" s="868">
        <f t="shared" si="24"/>
        <v>0</v>
      </c>
      <c r="AJ123" s="867">
        <f t="shared" si="25"/>
        <v>0</v>
      </c>
      <c r="AK123" s="898"/>
      <c r="AL123" s="899"/>
      <c r="AM123" s="899"/>
      <c r="AN123" s="869" t="e">
        <f t="shared" si="26"/>
        <v>#DIV/0!</v>
      </c>
      <c r="AO123" s="869" t="e">
        <f t="shared" si="27"/>
        <v>#DIV/0!</v>
      </c>
      <c r="AP123" s="899"/>
      <c r="AQ123" s="899"/>
      <c r="AR123" s="899"/>
      <c r="AS123" s="869" t="e">
        <f t="shared" si="28"/>
        <v>#DIV/0!</v>
      </c>
      <c r="AT123" s="869" t="e">
        <f t="shared" si="29"/>
        <v>#DIV/0!</v>
      </c>
      <c r="AU123" s="898"/>
      <c r="AV123" s="899"/>
      <c r="AW123" s="869" t="e">
        <f t="shared" si="30"/>
        <v>#DIV/0!</v>
      </c>
      <c r="AX123" s="869" t="e">
        <f t="shared" si="31"/>
        <v>#DIV/0!</v>
      </c>
      <c r="AY123" s="898"/>
      <c r="AZ123" s="899"/>
      <c r="BA123" s="869" t="e">
        <f t="shared" si="32"/>
        <v>#DIV/0!</v>
      </c>
      <c r="BB123" s="869" t="e">
        <f t="shared" si="33"/>
        <v>#DIV/0!</v>
      </c>
      <c r="BC123" s="898"/>
      <c r="BD123" s="899"/>
      <c r="BE123" s="869" t="e">
        <f t="shared" si="34"/>
        <v>#DIV/0!</v>
      </c>
      <c r="BF123" s="869" t="e">
        <f t="shared" si="35"/>
        <v>#DIV/0!</v>
      </c>
      <c r="BG123" s="898"/>
      <c r="BH123" s="899"/>
      <c r="BI123" s="710"/>
      <c r="BJ123" s="710"/>
      <c r="BK123" s="710"/>
      <c r="BL123" s="714" t="e">
        <f t="shared" si="36"/>
        <v>#DIV/0!</v>
      </c>
      <c r="BM123" s="869" t="e">
        <f t="shared" si="37"/>
        <v>#DIV/0!</v>
      </c>
      <c r="BN123" s="898"/>
      <c r="BO123" s="899"/>
      <c r="BP123" s="869" t="e">
        <f t="shared" si="38"/>
        <v>#DIV/0!</v>
      </c>
      <c r="BQ123" s="869" t="e">
        <f t="shared" si="39"/>
        <v>#DIV/0!</v>
      </c>
      <c r="BR123" s="898"/>
      <c r="BS123" s="899"/>
      <c r="BT123" s="899"/>
      <c r="BU123" s="899"/>
      <c r="BV123" s="901"/>
      <c r="BW123" s="901"/>
      <c r="BX123" s="901"/>
      <c r="BY123" s="901"/>
      <c r="BZ123" s="901"/>
      <c r="CA123" s="901"/>
      <c r="CB123" s="901"/>
      <c r="CC123" s="901"/>
      <c r="CD123" s="901"/>
      <c r="CE123" s="901"/>
      <c r="CF123" s="901"/>
      <c r="CG123" s="901"/>
      <c r="CH123" s="901"/>
      <c r="CI123" s="901"/>
      <c r="CJ123" s="901"/>
      <c r="CK123" s="901"/>
      <c r="CL123" s="901"/>
      <c r="CM123" s="901"/>
      <c r="CN123" s="901"/>
      <c r="CO123" s="901"/>
      <c r="CP123" s="901"/>
      <c r="CQ123" s="901"/>
      <c r="CR123" s="901"/>
      <c r="CS123" s="902"/>
      <c r="CT123" s="871">
        <f t="shared" si="40"/>
        <v>0</v>
      </c>
      <c r="CU123" s="871">
        <f t="shared" si="41"/>
        <v>0</v>
      </c>
      <c r="CV123" s="942"/>
      <c r="CW123" s="710"/>
      <c r="CX123" s="710"/>
      <c r="CY123" s="899"/>
      <c r="CZ123" s="710"/>
      <c r="DA123" s="710"/>
      <c r="DB123" s="710"/>
      <c r="DC123" s="710"/>
      <c r="DD123" s="710"/>
      <c r="DE123" s="901"/>
      <c r="DF123" s="901"/>
      <c r="DG123" s="710"/>
      <c r="DH123" s="710"/>
      <c r="DI123" s="901"/>
      <c r="DJ123" s="710"/>
      <c r="DK123" s="710"/>
      <c r="DL123" s="901"/>
      <c r="DM123" s="710"/>
      <c r="DN123" s="710"/>
      <c r="DO123" s="901"/>
      <c r="DP123" s="710"/>
      <c r="DQ123" s="710"/>
      <c r="DR123" s="901"/>
      <c r="DS123" s="710"/>
      <c r="DT123" s="710"/>
      <c r="DU123" s="901"/>
      <c r="DV123" s="710"/>
      <c r="DW123" s="710"/>
      <c r="DX123" s="901"/>
      <c r="DY123" s="710"/>
      <c r="DZ123" s="710"/>
      <c r="EA123" s="901"/>
      <c r="EB123" s="710"/>
      <c r="EC123" s="710"/>
      <c r="ED123" s="901"/>
      <c r="EE123" s="710"/>
      <c r="EF123" s="710"/>
      <c r="EG123" s="901"/>
      <c r="EH123" s="710"/>
      <c r="EI123" s="710"/>
      <c r="EJ123" s="901"/>
      <c r="EK123" s="710"/>
      <c r="EL123" s="710"/>
      <c r="EM123" s="901"/>
      <c r="EN123" s="710"/>
      <c r="EO123" s="710"/>
      <c r="EP123" s="901"/>
      <c r="EQ123" s="710"/>
      <c r="ER123" s="710"/>
      <c r="ES123" s="901"/>
      <c r="ET123" s="710"/>
      <c r="EU123" s="710"/>
      <c r="EV123" s="860"/>
      <c r="EW123" s="710"/>
      <c r="EX123" s="710"/>
      <c r="EY123" s="710"/>
      <c r="EZ123" s="710"/>
      <c r="FA123" s="710"/>
      <c r="FB123" s="710"/>
      <c r="FC123" s="710"/>
      <c r="FD123" s="710"/>
      <c r="FE123" s="710"/>
      <c r="FF123" s="710"/>
      <c r="FG123" s="710"/>
      <c r="FH123" s="710"/>
      <c r="FI123" s="710"/>
      <c r="FJ123" s="949"/>
      <c r="FK123" s="949"/>
      <c r="FL123" s="949"/>
      <c r="FM123" s="949"/>
      <c r="FN123" s="949"/>
      <c r="FO123" s="949"/>
      <c r="FP123" s="949"/>
    </row>
    <row r="124" spans="2:174" ht="59.5" customHeight="1">
      <c r="B124" s="850" t="s">
        <v>5315</v>
      </c>
      <c r="C124" s="850" t="s">
        <v>5321</v>
      </c>
      <c r="D124" s="850" t="s">
        <v>4933</v>
      </c>
      <c r="E124" s="863"/>
      <c r="F124" s="850" t="s">
        <v>5346</v>
      </c>
      <c r="G124" s="850" t="s">
        <v>4933</v>
      </c>
      <c r="I124" s="850" t="s">
        <v>5524</v>
      </c>
      <c r="J124" s="850" t="s">
        <v>5440</v>
      </c>
      <c r="K124" s="710" t="s">
        <v>246</v>
      </c>
      <c r="L124" s="710"/>
      <c r="M124" s="710" t="s">
        <v>1076</v>
      </c>
      <c r="N124" s="710" t="s">
        <v>1077</v>
      </c>
      <c r="O124" s="895">
        <v>2019</v>
      </c>
      <c r="P124" s="896">
        <v>43539</v>
      </c>
      <c r="Q124" s="896">
        <v>43830</v>
      </c>
      <c r="R124" s="712">
        <f t="shared" si="42"/>
        <v>291</v>
      </c>
      <c r="S124" s="710" t="s">
        <v>1078</v>
      </c>
      <c r="T124" s="710" t="s">
        <v>1079</v>
      </c>
      <c r="U124" s="710" t="s">
        <v>1077</v>
      </c>
      <c r="V124" s="710" t="s">
        <v>1077</v>
      </c>
      <c r="W124" s="710" t="s">
        <v>1077</v>
      </c>
      <c r="X124" s="710" t="s">
        <v>1077</v>
      </c>
      <c r="Y124" s="710" t="s">
        <v>1077</v>
      </c>
      <c r="Z124" s="710" t="s">
        <v>1077</v>
      </c>
      <c r="AA124" s="710" t="s">
        <v>1077</v>
      </c>
      <c r="AB124" s="710"/>
      <c r="AC124" s="710"/>
      <c r="AD124" s="710" t="s">
        <v>1080</v>
      </c>
      <c r="AE124" s="710" t="s">
        <v>1081</v>
      </c>
      <c r="AF124" s="710" t="s">
        <v>277</v>
      </c>
      <c r="AG124" s="710" t="s">
        <v>1082</v>
      </c>
      <c r="AH124" s="941">
        <f>AK124+AU124+AY124</f>
        <v>4.5960000000000001</v>
      </c>
      <c r="AI124" s="868">
        <f t="shared" si="24"/>
        <v>4.5960000000000001</v>
      </c>
      <c r="AJ124" s="867">
        <f t="shared" si="25"/>
        <v>0</v>
      </c>
      <c r="AK124" s="941">
        <v>3.5</v>
      </c>
      <c r="AL124" s="954">
        <f>AK124/AH124</f>
        <v>0.76153176675369882</v>
      </c>
      <c r="AM124" s="954">
        <f>AK124/36466.7</f>
        <v>9.5977974425983159E-5</v>
      </c>
      <c r="AN124" s="869">
        <f t="shared" si="26"/>
        <v>0.76153176675369882</v>
      </c>
      <c r="AO124" s="869">
        <f t="shared" si="27"/>
        <v>0</v>
      </c>
      <c r="AP124" s="954"/>
      <c r="AQ124" s="954"/>
      <c r="AR124" s="954"/>
      <c r="AS124" s="869">
        <f t="shared" si="28"/>
        <v>0</v>
      </c>
      <c r="AT124" s="869">
        <f t="shared" si="29"/>
        <v>0</v>
      </c>
      <c r="AU124" s="941">
        <v>0.99</v>
      </c>
      <c r="AV124" s="954">
        <f>AU124/AH124</f>
        <v>0.21540469973890339</v>
      </c>
      <c r="AW124" s="869">
        <f t="shared" si="30"/>
        <v>0.21540469973890339</v>
      </c>
      <c r="AX124" s="869">
        <f t="shared" si="31"/>
        <v>0</v>
      </c>
      <c r="AY124" s="941">
        <v>0.106</v>
      </c>
      <c r="AZ124" s="954">
        <f>AY124/AH124</f>
        <v>2.3063533507397736E-2</v>
      </c>
      <c r="BA124" s="869">
        <f t="shared" si="32"/>
        <v>2.3063533507397736E-2</v>
      </c>
      <c r="BB124" s="869">
        <f t="shared" si="33"/>
        <v>0</v>
      </c>
      <c r="BC124" s="941">
        <v>0</v>
      </c>
      <c r="BD124" s="954">
        <v>0</v>
      </c>
      <c r="BE124" s="869">
        <f t="shared" si="34"/>
        <v>0</v>
      </c>
      <c r="BF124" s="869">
        <f t="shared" si="35"/>
        <v>0</v>
      </c>
      <c r="BG124" s="898"/>
      <c r="BH124" s="898"/>
      <c r="BI124" s="898"/>
      <c r="BJ124" s="898"/>
      <c r="BK124" s="898"/>
      <c r="BL124" s="714">
        <f t="shared" si="36"/>
        <v>0</v>
      </c>
      <c r="BM124" s="869">
        <f t="shared" si="37"/>
        <v>0</v>
      </c>
      <c r="BN124" s="898"/>
      <c r="BO124" s="899"/>
      <c r="BP124" s="869">
        <f t="shared" si="38"/>
        <v>0</v>
      </c>
      <c r="BQ124" s="869">
        <f t="shared" si="39"/>
        <v>0</v>
      </c>
      <c r="BR124" s="898">
        <v>10</v>
      </c>
      <c r="BS124" s="899">
        <f>BR124/38902.8</f>
        <v>2.5705090636149583E-4</v>
      </c>
      <c r="BT124" s="899"/>
      <c r="BU124" s="899"/>
      <c r="BV124" s="955">
        <v>32</v>
      </c>
      <c r="BW124" s="955">
        <v>32</v>
      </c>
      <c r="BX124" s="955">
        <v>25</v>
      </c>
      <c r="BY124" s="955">
        <v>1</v>
      </c>
      <c r="BZ124" s="955"/>
      <c r="CA124" s="955"/>
      <c r="CB124" s="955"/>
      <c r="CC124" s="955"/>
      <c r="CD124" s="955"/>
      <c r="CE124" s="955"/>
      <c r="CF124" s="955">
        <v>1</v>
      </c>
      <c r="CG124" s="955">
        <v>5</v>
      </c>
      <c r="CH124" s="955"/>
      <c r="CI124" s="955">
        <v>3</v>
      </c>
      <c r="CJ124" s="955">
        <v>9</v>
      </c>
      <c r="CK124" s="955">
        <v>1</v>
      </c>
      <c r="CL124" s="955">
        <v>2</v>
      </c>
      <c r="CM124" s="955">
        <v>1</v>
      </c>
      <c r="CN124" s="955"/>
      <c r="CO124" s="955"/>
      <c r="CP124" s="955">
        <v>2</v>
      </c>
      <c r="CQ124" s="955"/>
      <c r="CR124" s="955"/>
      <c r="CS124" s="938">
        <f>SUM(BY124:CR124)</f>
        <v>25</v>
      </c>
      <c r="CT124" s="871">
        <f t="shared" si="40"/>
        <v>25</v>
      </c>
      <c r="CU124" s="871">
        <f t="shared" si="41"/>
        <v>0</v>
      </c>
      <c r="CV124" s="956">
        <v>10.6</v>
      </c>
      <c r="CW124" s="708" t="s">
        <v>1083</v>
      </c>
      <c r="CX124" s="708" t="s">
        <v>1077</v>
      </c>
      <c r="CY124" s="899">
        <f>CV124/629.506</f>
        <v>1.683860042636607E-2</v>
      </c>
      <c r="CZ124" s="710" t="s">
        <v>1084</v>
      </c>
      <c r="DA124" s="710"/>
      <c r="DB124" s="710"/>
      <c r="DC124" s="710" t="s">
        <v>279</v>
      </c>
      <c r="DD124" s="710"/>
      <c r="DE124" s="710"/>
      <c r="DF124" s="710"/>
      <c r="DG124" s="710"/>
      <c r="DH124" s="710"/>
      <c r="DI124" s="710" t="s">
        <v>279</v>
      </c>
      <c r="DJ124" s="710" t="s">
        <v>1077</v>
      </c>
      <c r="DK124" s="901"/>
      <c r="DL124" s="710" t="s">
        <v>279</v>
      </c>
      <c r="DM124" s="710" t="s">
        <v>1077</v>
      </c>
      <c r="DN124" s="901" t="s">
        <v>1077</v>
      </c>
      <c r="DO124" s="710" t="s">
        <v>279</v>
      </c>
      <c r="DP124" s="710" t="s">
        <v>1077</v>
      </c>
      <c r="DQ124" s="901"/>
      <c r="DR124" s="710" t="s">
        <v>279</v>
      </c>
      <c r="DS124" s="710" t="s">
        <v>1077</v>
      </c>
      <c r="DT124" s="901"/>
      <c r="DU124" s="710" t="s">
        <v>279</v>
      </c>
      <c r="DV124" s="710" t="s">
        <v>1077</v>
      </c>
      <c r="DW124" s="901" t="s">
        <v>1077</v>
      </c>
      <c r="DX124" s="710" t="s">
        <v>278</v>
      </c>
      <c r="DY124" s="710" t="s">
        <v>1085</v>
      </c>
      <c r="DZ124" s="955">
        <v>32</v>
      </c>
      <c r="EA124" s="710" t="s">
        <v>279</v>
      </c>
      <c r="EB124" s="710" t="s">
        <v>1077</v>
      </c>
      <c r="EC124" s="901" t="s">
        <v>1077</v>
      </c>
      <c r="ED124" s="710" t="s">
        <v>279</v>
      </c>
      <c r="EE124" s="710" t="s">
        <v>1077</v>
      </c>
      <c r="EF124" s="901" t="s">
        <v>1077</v>
      </c>
      <c r="EG124" s="710" t="s">
        <v>279</v>
      </c>
      <c r="EH124" s="710" t="s">
        <v>1077</v>
      </c>
      <c r="EI124" s="901" t="s">
        <v>1077</v>
      </c>
      <c r="EJ124" s="710" t="s">
        <v>279</v>
      </c>
      <c r="EK124" s="710" t="s">
        <v>1077</v>
      </c>
      <c r="EL124" s="901" t="s">
        <v>1077</v>
      </c>
      <c r="EM124" s="710" t="s">
        <v>278</v>
      </c>
      <c r="EN124" s="710" t="s">
        <v>1086</v>
      </c>
      <c r="EO124" s="901">
        <v>7</v>
      </c>
      <c r="EP124" s="710" t="s">
        <v>279</v>
      </c>
      <c r="EQ124" s="710" t="s">
        <v>1077</v>
      </c>
      <c r="ER124" s="901" t="s">
        <v>1077</v>
      </c>
      <c r="ES124" s="710" t="s">
        <v>279</v>
      </c>
      <c r="ET124" s="710" t="s">
        <v>1077</v>
      </c>
      <c r="EU124" s="901" t="s">
        <v>1077</v>
      </c>
      <c r="EV124" s="710" t="s">
        <v>1087</v>
      </c>
      <c r="EW124" s="710" t="s">
        <v>1087</v>
      </c>
      <c r="EX124" s="959">
        <v>18</v>
      </c>
      <c r="EY124" s="710" t="s">
        <v>279</v>
      </c>
      <c r="EZ124" s="710" t="s">
        <v>1077</v>
      </c>
      <c r="FA124" s="710" t="s">
        <v>278</v>
      </c>
      <c r="FB124" s="710" t="s">
        <v>1088</v>
      </c>
      <c r="FC124" s="945" t="s">
        <v>1089</v>
      </c>
      <c r="FD124" s="710" t="s">
        <v>1077</v>
      </c>
      <c r="FE124" s="997" t="s">
        <v>1077</v>
      </c>
      <c r="FF124" s="997" t="s">
        <v>1090</v>
      </c>
      <c r="FG124" s="710" t="s">
        <v>1091</v>
      </c>
      <c r="FH124" s="708" t="s">
        <v>1092</v>
      </c>
      <c r="FI124" s="708">
        <v>4</v>
      </c>
      <c r="FJ124" s="708">
        <v>60</v>
      </c>
      <c r="FK124" s="710" t="s">
        <v>1093</v>
      </c>
      <c r="FL124" s="710" t="s">
        <v>1094</v>
      </c>
      <c r="FM124" s="945" t="s">
        <v>1095</v>
      </c>
      <c r="FN124" s="710" t="s">
        <v>1093</v>
      </c>
      <c r="FO124" s="710" t="s">
        <v>1094</v>
      </c>
      <c r="FP124" s="945" t="s">
        <v>1095</v>
      </c>
    </row>
    <row r="125" spans="2:174" ht="78" customHeight="1">
      <c r="B125" s="863"/>
      <c r="C125" s="863"/>
      <c r="D125" s="863"/>
      <c r="E125" s="863"/>
      <c r="F125" s="863"/>
      <c r="I125" s="850" t="s">
        <v>5523</v>
      </c>
      <c r="J125" s="850" t="s">
        <v>5441</v>
      </c>
      <c r="K125" s="710" t="s">
        <v>247</v>
      </c>
      <c r="L125" s="710"/>
      <c r="M125" s="710"/>
      <c r="N125" s="710"/>
      <c r="O125" s="895"/>
      <c r="P125" s="896"/>
      <c r="Q125" s="896"/>
      <c r="R125" s="712">
        <f t="shared" si="42"/>
        <v>0</v>
      </c>
      <c r="S125" s="710"/>
      <c r="T125" s="710"/>
      <c r="U125" s="710"/>
      <c r="V125" s="710"/>
      <c r="W125" s="710"/>
      <c r="X125" s="710"/>
      <c r="Y125" s="710"/>
      <c r="Z125" s="710"/>
      <c r="AA125" s="710"/>
      <c r="AB125" s="710"/>
      <c r="AC125" s="710"/>
      <c r="AD125" s="710"/>
      <c r="AE125" s="710"/>
      <c r="AF125" s="710"/>
      <c r="AG125" s="710"/>
      <c r="AH125" s="898"/>
      <c r="AI125" s="868">
        <f t="shared" si="24"/>
        <v>0</v>
      </c>
      <c r="AJ125" s="867">
        <f t="shared" si="25"/>
        <v>0</v>
      </c>
      <c r="AK125" s="898"/>
      <c r="AL125" s="899"/>
      <c r="AM125" s="899"/>
      <c r="AN125" s="869" t="e">
        <f t="shared" si="26"/>
        <v>#DIV/0!</v>
      </c>
      <c r="AO125" s="869" t="e">
        <f t="shared" si="27"/>
        <v>#DIV/0!</v>
      </c>
      <c r="AP125" s="899"/>
      <c r="AQ125" s="899"/>
      <c r="AR125" s="899"/>
      <c r="AS125" s="869" t="e">
        <f t="shared" si="28"/>
        <v>#DIV/0!</v>
      </c>
      <c r="AT125" s="869" t="e">
        <f t="shared" si="29"/>
        <v>#DIV/0!</v>
      </c>
      <c r="AU125" s="898"/>
      <c r="AV125" s="899"/>
      <c r="AW125" s="869" t="e">
        <f t="shared" si="30"/>
        <v>#DIV/0!</v>
      </c>
      <c r="AX125" s="869" t="e">
        <f t="shared" si="31"/>
        <v>#DIV/0!</v>
      </c>
      <c r="AY125" s="898"/>
      <c r="AZ125" s="899"/>
      <c r="BA125" s="869" t="e">
        <f t="shared" si="32"/>
        <v>#DIV/0!</v>
      </c>
      <c r="BB125" s="869" t="e">
        <f t="shared" si="33"/>
        <v>#DIV/0!</v>
      </c>
      <c r="BC125" s="898"/>
      <c r="BD125" s="899"/>
      <c r="BE125" s="869" t="e">
        <f t="shared" si="34"/>
        <v>#DIV/0!</v>
      </c>
      <c r="BF125" s="869" t="e">
        <f t="shared" si="35"/>
        <v>#DIV/0!</v>
      </c>
      <c r="BG125" s="898"/>
      <c r="BH125" s="899"/>
      <c r="BI125" s="710"/>
      <c r="BJ125" s="710"/>
      <c r="BK125" s="710"/>
      <c r="BL125" s="714" t="e">
        <f t="shared" si="36"/>
        <v>#DIV/0!</v>
      </c>
      <c r="BM125" s="869" t="e">
        <f t="shared" si="37"/>
        <v>#DIV/0!</v>
      </c>
      <c r="BN125" s="898"/>
      <c r="BO125" s="899"/>
      <c r="BP125" s="869" t="e">
        <f t="shared" si="38"/>
        <v>#DIV/0!</v>
      </c>
      <c r="BQ125" s="869" t="e">
        <f t="shared" si="39"/>
        <v>#DIV/0!</v>
      </c>
      <c r="BR125" s="898"/>
      <c r="BS125" s="899"/>
      <c r="BT125" s="899"/>
      <c r="BU125" s="899"/>
      <c r="BV125" s="901"/>
      <c r="BW125" s="901"/>
      <c r="BX125" s="901"/>
      <c r="BY125" s="901"/>
      <c r="BZ125" s="901"/>
      <c r="CA125" s="901"/>
      <c r="CB125" s="901"/>
      <c r="CC125" s="901"/>
      <c r="CD125" s="901"/>
      <c r="CE125" s="901"/>
      <c r="CF125" s="901"/>
      <c r="CG125" s="901"/>
      <c r="CH125" s="901"/>
      <c r="CI125" s="901"/>
      <c r="CJ125" s="901"/>
      <c r="CK125" s="901"/>
      <c r="CL125" s="901"/>
      <c r="CM125" s="901"/>
      <c r="CN125" s="901"/>
      <c r="CO125" s="901"/>
      <c r="CP125" s="901"/>
      <c r="CQ125" s="901"/>
      <c r="CR125" s="901"/>
      <c r="CS125" s="902"/>
      <c r="CT125" s="871">
        <f t="shared" si="40"/>
        <v>0</v>
      </c>
      <c r="CU125" s="871">
        <f t="shared" si="41"/>
        <v>0</v>
      </c>
      <c r="CV125" s="942"/>
      <c r="CW125" s="710"/>
      <c r="CX125" s="710"/>
      <c r="CY125" s="899"/>
      <c r="CZ125" s="710"/>
      <c r="DA125" s="710"/>
      <c r="DB125" s="710"/>
      <c r="DC125" s="710"/>
      <c r="DD125" s="710"/>
      <c r="DE125" s="901"/>
      <c r="DF125" s="901"/>
      <c r="DG125" s="710"/>
      <c r="DH125" s="710"/>
      <c r="DI125" s="901"/>
      <c r="DJ125" s="710"/>
      <c r="DK125" s="710"/>
      <c r="DL125" s="901"/>
      <c r="DM125" s="710"/>
      <c r="DN125" s="710"/>
      <c r="DO125" s="901"/>
      <c r="DP125" s="710"/>
      <c r="DQ125" s="710"/>
      <c r="DR125" s="901"/>
      <c r="DS125" s="710"/>
      <c r="DT125" s="710"/>
      <c r="DU125" s="901"/>
      <c r="DV125" s="710"/>
      <c r="DW125" s="710"/>
      <c r="DX125" s="901"/>
      <c r="DY125" s="710"/>
      <c r="DZ125" s="710"/>
      <c r="EA125" s="901"/>
      <c r="EB125" s="710"/>
      <c r="EC125" s="710"/>
      <c r="ED125" s="901"/>
      <c r="EE125" s="710"/>
      <c r="EF125" s="710"/>
      <c r="EG125" s="901"/>
      <c r="EH125" s="710"/>
      <c r="EI125" s="710"/>
      <c r="EJ125" s="901"/>
      <c r="EK125" s="710"/>
      <c r="EL125" s="710"/>
      <c r="EM125" s="901"/>
      <c r="EN125" s="710"/>
      <c r="EO125" s="710"/>
      <c r="EP125" s="901"/>
      <c r="EQ125" s="710"/>
      <c r="ER125" s="710"/>
      <c r="ES125" s="901"/>
      <c r="ET125" s="710"/>
      <c r="EU125" s="710"/>
      <c r="EV125" s="860"/>
      <c r="EW125" s="710"/>
      <c r="EX125" s="710"/>
      <c r="EY125" s="710"/>
      <c r="EZ125" s="710"/>
      <c r="FA125" s="710"/>
      <c r="FB125" s="710"/>
      <c r="FC125" s="710"/>
      <c r="FD125" s="710"/>
      <c r="FE125" s="710"/>
      <c r="FF125" s="710"/>
      <c r="FG125" s="710"/>
      <c r="FH125" s="710"/>
      <c r="FI125" s="710"/>
      <c r="FJ125" s="949"/>
      <c r="FK125" s="949"/>
      <c r="FL125" s="949"/>
      <c r="FM125" s="949"/>
      <c r="FN125" s="949"/>
      <c r="FO125" s="949"/>
      <c r="FP125" s="949"/>
    </row>
    <row r="126" spans="2:174" ht="85.5" customHeight="1">
      <c r="B126" s="850" t="s">
        <v>5315</v>
      </c>
      <c r="C126" s="850" t="s">
        <v>5330</v>
      </c>
      <c r="D126" s="850" t="s">
        <v>4934</v>
      </c>
      <c r="E126" s="850" t="s">
        <v>5323</v>
      </c>
      <c r="F126" s="863"/>
      <c r="H126" s="850" t="s">
        <v>4934</v>
      </c>
      <c r="I126" s="850" t="s">
        <v>5523</v>
      </c>
      <c r="J126" s="850" t="s">
        <v>5441</v>
      </c>
      <c r="K126" s="710" t="s">
        <v>247</v>
      </c>
      <c r="L126" s="710" t="s">
        <v>3137</v>
      </c>
      <c r="M126" s="710" t="s">
        <v>3139</v>
      </c>
      <c r="N126" s="710" t="s">
        <v>3139</v>
      </c>
      <c r="O126" s="895">
        <v>2017</v>
      </c>
      <c r="P126" s="896">
        <v>43466</v>
      </c>
      <c r="Q126" s="896">
        <v>43830</v>
      </c>
      <c r="R126" s="712">
        <f t="shared" si="42"/>
        <v>364</v>
      </c>
      <c r="S126" s="896"/>
      <c r="T126" s="896"/>
      <c r="U126" s="896"/>
      <c r="V126" s="896"/>
      <c r="W126" s="896"/>
      <c r="X126" s="896"/>
      <c r="Y126" s="896"/>
      <c r="Z126" s="896"/>
      <c r="AA126" s="896"/>
      <c r="AB126" s="710" t="s">
        <v>3141</v>
      </c>
      <c r="AC126" s="998" t="s">
        <v>3143</v>
      </c>
      <c r="AD126" s="710" t="s">
        <v>3144</v>
      </c>
      <c r="AE126" s="710" t="s">
        <v>3144</v>
      </c>
      <c r="AF126" s="710"/>
      <c r="AG126" s="710" t="s">
        <v>3144</v>
      </c>
      <c r="AH126" s="898">
        <v>0.95099999999999996</v>
      </c>
      <c r="AI126" s="868">
        <f t="shared" si="24"/>
        <v>0.95100000000000007</v>
      </c>
      <c r="AJ126" s="867">
        <f t="shared" si="25"/>
        <v>0</v>
      </c>
      <c r="AK126" s="898"/>
      <c r="AL126" s="898"/>
      <c r="AM126" s="898"/>
      <c r="AN126" s="869">
        <f t="shared" si="26"/>
        <v>0</v>
      </c>
      <c r="AO126" s="869">
        <f t="shared" si="27"/>
        <v>0</v>
      </c>
      <c r="AP126" s="898"/>
      <c r="AQ126" s="899"/>
      <c r="AR126" s="899">
        <f>AP126/23.4</f>
        <v>0</v>
      </c>
      <c r="AS126" s="869">
        <f t="shared" si="28"/>
        <v>0</v>
      </c>
      <c r="AT126" s="869">
        <f t="shared" si="29"/>
        <v>0</v>
      </c>
      <c r="AU126" s="942">
        <v>0.80100000000000005</v>
      </c>
      <c r="AV126" s="899">
        <v>0.84227129337539441</v>
      </c>
      <c r="AW126" s="869">
        <f t="shared" si="30"/>
        <v>0.84227129337539441</v>
      </c>
      <c r="AX126" s="869">
        <f t="shared" si="31"/>
        <v>0</v>
      </c>
      <c r="AY126" s="898">
        <v>0.15</v>
      </c>
      <c r="AZ126" s="899">
        <f>AY126/AH126</f>
        <v>0.15772870662460567</v>
      </c>
      <c r="BA126" s="869">
        <f t="shared" si="32"/>
        <v>0.15772870662460567</v>
      </c>
      <c r="BB126" s="869">
        <f t="shared" si="33"/>
        <v>0</v>
      </c>
      <c r="BC126" s="898">
        <v>0</v>
      </c>
      <c r="BD126" s="899">
        <f>BC126/AH126</f>
        <v>0</v>
      </c>
      <c r="BE126" s="869">
        <f t="shared" si="34"/>
        <v>0</v>
      </c>
      <c r="BF126" s="869">
        <f t="shared" si="35"/>
        <v>0</v>
      </c>
      <c r="BG126" s="899"/>
      <c r="BH126" s="899"/>
      <c r="BI126" s="899"/>
      <c r="BJ126" s="899"/>
      <c r="BK126" s="899"/>
      <c r="BL126" s="714">
        <f t="shared" si="36"/>
        <v>0</v>
      </c>
      <c r="BM126" s="869">
        <f t="shared" si="37"/>
        <v>0</v>
      </c>
      <c r="BN126" s="898">
        <v>0</v>
      </c>
      <c r="BO126" s="899">
        <f>BN126/AH126</f>
        <v>0</v>
      </c>
      <c r="BP126" s="869">
        <f t="shared" si="38"/>
        <v>0</v>
      </c>
      <c r="BQ126" s="869">
        <f t="shared" si="39"/>
        <v>0</v>
      </c>
      <c r="BR126" s="899"/>
      <c r="BS126" s="899"/>
      <c r="BT126" s="898">
        <v>0.5</v>
      </c>
      <c r="BU126" s="899">
        <f>BT126/23.4</f>
        <v>2.1367521367521368E-2</v>
      </c>
      <c r="BV126" s="901"/>
      <c r="BW126" s="901"/>
      <c r="BX126" s="901" t="s">
        <v>410</v>
      </c>
      <c r="BY126" s="901"/>
      <c r="BZ126" s="901"/>
      <c r="CA126" s="901">
        <v>1</v>
      </c>
      <c r="CB126" s="901"/>
      <c r="CC126" s="901"/>
      <c r="CD126" s="901"/>
      <c r="CE126" s="901"/>
      <c r="CF126" s="901"/>
      <c r="CG126" s="901"/>
      <c r="CH126" s="901"/>
      <c r="CI126" s="901"/>
      <c r="CJ126" s="901"/>
      <c r="CK126" s="901"/>
      <c r="CL126" s="901"/>
      <c r="CM126" s="901"/>
      <c r="CN126" s="901"/>
      <c r="CO126" s="901"/>
      <c r="CP126" s="901"/>
      <c r="CQ126" s="901"/>
      <c r="CR126" s="901"/>
      <c r="CS126" s="902">
        <f t="shared" ref="CS126:CS156" si="46">SUM(BY126:CR126)</f>
        <v>1</v>
      </c>
      <c r="CT126" s="871">
        <f t="shared" si="40"/>
        <v>1</v>
      </c>
      <c r="CU126" s="871">
        <f t="shared" si="41"/>
        <v>0</v>
      </c>
      <c r="CV126" s="942">
        <v>0.6</v>
      </c>
      <c r="CW126" s="710" t="s">
        <v>3146</v>
      </c>
      <c r="CX126" s="710"/>
      <c r="CY126" s="710"/>
      <c r="CZ126" s="710"/>
      <c r="DA126" s="710">
        <f>600/10000*100</f>
        <v>6</v>
      </c>
      <c r="DB126" s="899" t="s">
        <v>410</v>
      </c>
      <c r="DC126" s="710" t="s">
        <v>410</v>
      </c>
      <c r="DD126" s="710" t="s">
        <v>410</v>
      </c>
      <c r="DE126" s="710" t="s">
        <v>410</v>
      </c>
      <c r="DF126" s="901" t="s">
        <v>410</v>
      </c>
      <c r="DG126" s="901" t="s">
        <v>410</v>
      </c>
      <c r="DH126" s="901">
        <v>1</v>
      </c>
      <c r="DI126" s="710" t="s">
        <v>410</v>
      </c>
      <c r="DJ126" s="710" t="s">
        <v>410</v>
      </c>
      <c r="DK126" s="901" t="s">
        <v>410</v>
      </c>
      <c r="DL126" s="710" t="s">
        <v>278</v>
      </c>
      <c r="DM126" s="710" t="s">
        <v>3149</v>
      </c>
      <c r="DN126" s="901">
        <v>127</v>
      </c>
      <c r="DO126" s="710" t="s">
        <v>410</v>
      </c>
      <c r="DP126" s="710" t="s">
        <v>410</v>
      </c>
      <c r="DQ126" s="901" t="s">
        <v>410</v>
      </c>
      <c r="DR126" s="710" t="s">
        <v>410</v>
      </c>
      <c r="DS126" s="710" t="s">
        <v>410</v>
      </c>
      <c r="DT126" s="901"/>
      <c r="DU126" s="710" t="s">
        <v>410</v>
      </c>
      <c r="DV126" s="710" t="s">
        <v>410</v>
      </c>
      <c r="DW126" s="901" t="s">
        <v>410</v>
      </c>
      <c r="DX126" s="710" t="s">
        <v>410</v>
      </c>
      <c r="DY126" s="710" t="s">
        <v>410</v>
      </c>
      <c r="DZ126" s="901" t="s">
        <v>410</v>
      </c>
      <c r="EA126" s="710" t="s">
        <v>410</v>
      </c>
      <c r="EB126" s="710" t="s">
        <v>410</v>
      </c>
      <c r="EC126" s="901" t="s">
        <v>410</v>
      </c>
      <c r="ED126" s="710" t="s">
        <v>278</v>
      </c>
      <c r="EE126" s="710" t="s">
        <v>3149</v>
      </c>
      <c r="EF126" s="901">
        <v>127</v>
      </c>
      <c r="EG126" s="710" t="s">
        <v>410</v>
      </c>
      <c r="EH126" s="710" t="s">
        <v>410</v>
      </c>
      <c r="EI126" s="901" t="s">
        <v>410</v>
      </c>
      <c r="EJ126" s="710" t="s">
        <v>410</v>
      </c>
      <c r="EK126" s="710" t="s">
        <v>410</v>
      </c>
      <c r="EL126" s="901" t="s">
        <v>410</v>
      </c>
      <c r="EM126" s="710" t="s">
        <v>410</v>
      </c>
      <c r="EN126" s="710" t="s">
        <v>410</v>
      </c>
      <c r="EO126" s="901" t="s">
        <v>410</v>
      </c>
      <c r="EP126" s="710" t="s">
        <v>410</v>
      </c>
      <c r="EQ126" s="710" t="s">
        <v>410</v>
      </c>
      <c r="ER126" s="901" t="s">
        <v>410</v>
      </c>
      <c r="ES126" s="710" t="s">
        <v>410</v>
      </c>
      <c r="ET126" s="710" t="s">
        <v>410</v>
      </c>
      <c r="EU126" s="901" t="s">
        <v>410</v>
      </c>
      <c r="EV126" s="901"/>
      <c r="EW126" s="901"/>
      <c r="EX126" s="901"/>
      <c r="EY126" s="710" t="s">
        <v>410</v>
      </c>
      <c r="EZ126" s="710" t="s">
        <v>410</v>
      </c>
      <c r="FA126" s="710" t="s">
        <v>410</v>
      </c>
      <c r="FB126" s="710" t="s">
        <v>410</v>
      </c>
      <c r="FC126" s="710" t="s">
        <v>410</v>
      </c>
      <c r="FD126" s="710" t="s">
        <v>3155</v>
      </c>
      <c r="FE126" s="710" t="s">
        <v>410</v>
      </c>
      <c r="FF126" s="710" t="s">
        <v>3156</v>
      </c>
      <c r="FG126" s="710" t="s">
        <v>410</v>
      </c>
      <c r="FH126" s="710" t="s">
        <v>410</v>
      </c>
      <c r="FI126" s="710" t="s">
        <v>410</v>
      </c>
      <c r="FJ126" s="710" t="s">
        <v>410</v>
      </c>
      <c r="FK126" s="710" t="s">
        <v>3157</v>
      </c>
      <c r="FL126" s="710" t="s">
        <v>3159</v>
      </c>
      <c r="FM126" s="998" t="s">
        <v>3161</v>
      </c>
      <c r="FN126" s="710" t="s">
        <v>3163</v>
      </c>
      <c r="FO126" s="710" t="s">
        <v>3164</v>
      </c>
      <c r="FP126" s="998" t="s">
        <v>3165</v>
      </c>
    </row>
    <row r="127" spans="2:174" ht="97.5" customHeight="1">
      <c r="B127" s="850" t="s">
        <v>5313</v>
      </c>
      <c r="C127" s="863"/>
      <c r="D127" s="850" t="s">
        <v>4934</v>
      </c>
      <c r="E127" s="850" t="s">
        <v>5314</v>
      </c>
      <c r="F127" s="863"/>
      <c r="H127" s="850" t="s">
        <v>4934</v>
      </c>
      <c r="I127" s="850" t="s">
        <v>5523</v>
      </c>
      <c r="J127" s="850" t="s">
        <v>5441</v>
      </c>
      <c r="K127" s="710" t="s">
        <v>247</v>
      </c>
      <c r="L127" s="710" t="s">
        <v>3138</v>
      </c>
      <c r="M127" s="710" t="s">
        <v>3140</v>
      </c>
      <c r="N127" s="710"/>
      <c r="O127" s="895">
        <v>2019</v>
      </c>
      <c r="P127" s="939">
        <v>43466</v>
      </c>
      <c r="Q127" s="896">
        <v>43830</v>
      </c>
      <c r="R127" s="712">
        <f t="shared" si="42"/>
        <v>364</v>
      </c>
      <c r="S127" s="896"/>
      <c r="T127" s="896"/>
      <c r="U127" s="896"/>
      <c r="V127" s="896"/>
      <c r="W127" s="896"/>
      <c r="X127" s="896"/>
      <c r="Y127" s="896"/>
      <c r="Z127" s="896"/>
      <c r="AA127" s="896"/>
      <c r="AB127" s="710" t="s">
        <v>3142</v>
      </c>
      <c r="AC127" s="710" t="s">
        <v>410</v>
      </c>
      <c r="AD127" s="710" t="s">
        <v>3145</v>
      </c>
      <c r="AE127" s="710" t="s">
        <v>410</v>
      </c>
      <c r="AF127" s="710" t="s">
        <v>410</v>
      </c>
      <c r="AG127" s="710" t="s">
        <v>410</v>
      </c>
      <c r="AH127" s="898">
        <v>10.53</v>
      </c>
      <c r="AI127" s="868">
        <f t="shared" si="24"/>
        <v>10.53</v>
      </c>
      <c r="AJ127" s="867">
        <f t="shared" si="25"/>
        <v>0</v>
      </c>
      <c r="AK127" s="898"/>
      <c r="AL127" s="898"/>
      <c r="AM127" s="898"/>
      <c r="AN127" s="869">
        <f t="shared" si="26"/>
        <v>0</v>
      </c>
      <c r="AO127" s="869">
        <f t="shared" si="27"/>
        <v>0</v>
      </c>
      <c r="AP127" s="898"/>
      <c r="AQ127" s="899"/>
      <c r="AR127" s="899"/>
      <c r="AS127" s="869">
        <f t="shared" si="28"/>
        <v>0</v>
      </c>
      <c r="AT127" s="869">
        <f t="shared" si="29"/>
        <v>0</v>
      </c>
      <c r="AU127" s="899"/>
      <c r="AV127" s="899"/>
      <c r="AW127" s="869">
        <f t="shared" si="30"/>
        <v>0</v>
      </c>
      <c r="AX127" s="869">
        <f t="shared" si="31"/>
        <v>0</v>
      </c>
      <c r="AY127" s="898">
        <v>3.762</v>
      </c>
      <c r="AZ127" s="899">
        <v>0.35730000000000001</v>
      </c>
      <c r="BA127" s="869">
        <f t="shared" si="32"/>
        <v>0.35726495726495727</v>
      </c>
      <c r="BB127" s="869">
        <f t="shared" si="33"/>
        <v>3.504273504273403E-5</v>
      </c>
      <c r="BC127" s="898">
        <v>3.2679999999999998</v>
      </c>
      <c r="BD127" s="899">
        <v>0.31030000000000002</v>
      </c>
      <c r="BE127" s="869">
        <f t="shared" si="34"/>
        <v>0.31035137701804366</v>
      </c>
      <c r="BF127" s="869">
        <f t="shared" si="35"/>
        <v>-5.1377018043641254E-5</v>
      </c>
      <c r="BG127" s="899"/>
      <c r="BH127" s="899"/>
      <c r="BI127" s="899"/>
      <c r="BJ127" s="899"/>
      <c r="BK127" s="899"/>
      <c r="BL127" s="714">
        <f t="shared" si="36"/>
        <v>0</v>
      </c>
      <c r="BM127" s="869">
        <f t="shared" si="37"/>
        <v>0</v>
      </c>
      <c r="BN127" s="898">
        <v>3.5</v>
      </c>
      <c r="BO127" s="899">
        <v>0.33239999999999997</v>
      </c>
      <c r="BP127" s="869">
        <f t="shared" si="38"/>
        <v>0.33238366571699907</v>
      </c>
      <c r="BQ127" s="869">
        <f t="shared" si="39"/>
        <v>1.6334283000907224E-5</v>
      </c>
      <c r="BR127" s="899"/>
      <c r="BS127" s="899"/>
      <c r="BT127" s="898">
        <v>0</v>
      </c>
      <c r="BU127" s="899">
        <v>0</v>
      </c>
      <c r="BV127" s="901">
        <v>103</v>
      </c>
      <c r="BW127" s="901">
        <v>16</v>
      </c>
      <c r="BX127" s="901">
        <v>16</v>
      </c>
      <c r="BY127" s="901">
        <v>9</v>
      </c>
      <c r="BZ127" s="901">
        <v>30</v>
      </c>
      <c r="CA127" s="901">
        <v>17</v>
      </c>
      <c r="CB127" s="901"/>
      <c r="CC127" s="901"/>
      <c r="CD127" s="901">
        <v>4</v>
      </c>
      <c r="CE127" s="901"/>
      <c r="CF127" s="901"/>
      <c r="CG127" s="901">
        <v>5</v>
      </c>
      <c r="CH127" s="901">
        <v>21</v>
      </c>
      <c r="CI127" s="901">
        <v>16</v>
      </c>
      <c r="CJ127" s="901"/>
      <c r="CK127" s="901"/>
      <c r="CL127" s="901"/>
      <c r="CM127" s="901"/>
      <c r="CN127" s="901"/>
      <c r="CO127" s="901"/>
      <c r="CP127" s="901"/>
      <c r="CQ127" s="901"/>
      <c r="CR127" s="901">
        <v>1</v>
      </c>
      <c r="CS127" s="902">
        <f t="shared" si="46"/>
        <v>103</v>
      </c>
      <c r="CT127" s="871">
        <f t="shared" si="40"/>
        <v>103</v>
      </c>
      <c r="CU127" s="871">
        <f t="shared" si="41"/>
        <v>0</v>
      </c>
      <c r="CV127" s="942">
        <v>64.831999999999994</v>
      </c>
      <c r="CW127" s="710" t="s">
        <v>3147</v>
      </c>
      <c r="CX127" s="861" t="s">
        <v>3148</v>
      </c>
      <c r="CY127" s="861"/>
      <c r="CZ127" s="861"/>
      <c r="DA127" s="710">
        <v>90.2</v>
      </c>
      <c r="DB127" s="899" t="s">
        <v>410</v>
      </c>
      <c r="DC127" s="710" t="s">
        <v>410</v>
      </c>
      <c r="DD127" s="710" t="s">
        <v>410</v>
      </c>
      <c r="DE127" s="710" t="s">
        <v>410</v>
      </c>
      <c r="DF127" s="901" t="s">
        <v>410</v>
      </c>
      <c r="DG127" s="901" t="s">
        <v>410</v>
      </c>
      <c r="DH127" s="901">
        <v>5</v>
      </c>
      <c r="DI127" s="710" t="s">
        <v>389</v>
      </c>
      <c r="DJ127" s="710" t="s">
        <v>410</v>
      </c>
      <c r="DK127" s="901" t="s">
        <v>410</v>
      </c>
      <c r="DL127" s="710" t="s">
        <v>392</v>
      </c>
      <c r="DM127" s="710" t="s">
        <v>698</v>
      </c>
      <c r="DN127" s="901">
        <v>1186</v>
      </c>
      <c r="DO127" s="710" t="s">
        <v>278</v>
      </c>
      <c r="DP127" s="710" t="s">
        <v>3150</v>
      </c>
      <c r="DQ127" s="901">
        <v>531</v>
      </c>
      <c r="DR127" s="710" t="s">
        <v>389</v>
      </c>
      <c r="DS127" s="710" t="s">
        <v>410</v>
      </c>
      <c r="DT127" s="901"/>
      <c r="DU127" s="710" t="s">
        <v>392</v>
      </c>
      <c r="DV127" s="710" t="s">
        <v>3151</v>
      </c>
      <c r="DW127" s="901">
        <v>159</v>
      </c>
      <c r="DX127" s="710" t="s">
        <v>392</v>
      </c>
      <c r="DY127" s="710" t="s">
        <v>3152</v>
      </c>
      <c r="DZ127" s="901">
        <v>18</v>
      </c>
      <c r="EA127" s="710" t="s">
        <v>279</v>
      </c>
      <c r="EB127" s="710" t="s">
        <v>410</v>
      </c>
      <c r="EC127" s="901" t="s">
        <v>410</v>
      </c>
      <c r="ED127" s="710" t="s">
        <v>389</v>
      </c>
      <c r="EE127" s="710" t="s">
        <v>410</v>
      </c>
      <c r="EF127" s="901" t="s">
        <v>410</v>
      </c>
      <c r="EG127" s="710" t="s">
        <v>389</v>
      </c>
      <c r="EH127" s="710" t="s">
        <v>410</v>
      </c>
      <c r="EI127" s="901" t="s">
        <v>410</v>
      </c>
      <c r="EJ127" s="710" t="s">
        <v>389</v>
      </c>
      <c r="EK127" s="710" t="s">
        <v>410</v>
      </c>
      <c r="EL127" s="901" t="s">
        <v>410</v>
      </c>
      <c r="EM127" s="710" t="s">
        <v>392</v>
      </c>
      <c r="EN127" s="710" t="s">
        <v>3153</v>
      </c>
      <c r="EO127" s="901">
        <v>5</v>
      </c>
      <c r="EP127" s="710" t="s">
        <v>389</v>
      </c>
      <c r="EQ127" s="710" t="s">
        <v>410</v>
      </c>
      <c r="ER127" s="901" t="s">
        <v>410</v>
      </c>
      <c r="ES127" s="710" t="s">
        <v>389</v>
      </c>
      <c r="ET127" s="710" t="s">
        <v>410</v>
      </c>
      <c r="EU127" s="901" t="s">
        <v>410</v>
      </c>
      <c r="EV127" s="901"/>
      <c r="EW127" s="901"/>
      <c r="EX127" s="901"/>
      <c r="EY127" s="710" t="s">
        <v>389</v>
      </c>
      <c r="EZ127" s="710" t="s">
        <v>410</v>
      </c>
      <c r="FA127" s="710" t="s">
        <v>392</v>
      </c>
      <c r="FB127" s="710" t="s">
        <v>3154</v>
      </c>
      <c r="FC127" s="710" t="s">
        <v>410</v>
      </c>
      <c r="FD127" s="710" t="s">
        <v>410</v>
      </c>
      <c r="FE127" s="710" t="s">
        <v>410</v>
      </c>
      <c r="FF127" s="710" t="s">
        <v>410</v>
      </c>
      <c r="FG127" s="710" t="s">
        <v>410</v>
      </c>
      <c r="FH127" s="710"/>
      <c r="FI127" s="710"/>
      <c r="FJ127" s="710"/>
      <c r="FK127" s="710" t="s">
        <v>3158</v>
      </c>
      <c r="FL127" s="710" t="s">
        <v>3160</v>
      </c>
      <c r="FM127" s="861" t="s">
        <v>3162</v>
      </c>
      <c r="FN127" s="710" t="s">
        <v>3163</v>
      </c>
      <c r="FO127" s="710" t="s">
        <v>3164</v>
      </c>
      <c r="FP127" s="861" t="s">
        <v>3165</v>
      </c>
    </row>
    <row r="128" spans="2:174" ht="88" customHeight="1">
      <c r="B128" s="850" t="s">
        <v>5313</v>
      </c>
      <c r="C128" s="863"/>
      <c r="D128" s="850" t="s">
        <v>5317</v>
      </c>
      <c r="E128" s="850" t="s">
        <v>5314</v>
      </c>
      <c r="F128" s="879">
        <v>1</v>
      </c>
      <c r="G128" s="850" t="s">
        <v>4933</v>
      </c>
      <c r="I128" s="850" t="s">
        <v>5525</v>
      </c>
      <c r="J128" s="850" t="s">
        <v>5442</v>
      </c>
      <c r="K128" s="710" t="s">
        <v>248</v>
      </c>
      <c r="L128" s="710"/>
      <c r="M128" s="710" t="s">
        <v>1690</v>
      </c>
      <c r="N128" s="710" t="s">
        <v>1691</v>
      </c>
      <c r="O128" s="895">
        <v>2017</v>
      </c>
      <c r="P128" s="896">
        <v>43479</v>
      </c>
      <c r="Q128" s="896">
        <v>43825</v>
      </c>
      <c r="R128" s="712">
        <f t="shared" si="42"/>
        <v>346</v>
      </c>
      <c r="S128" s="710" t="s">
        <v>1692</v>
      </c>
      <c r="T128" s="710" t="s">
        <v>1693</v>
      </c>
      <c r="U128" s="710" t="s">
        <v>1031</v>
      </c>
      <c r="V128" s="710" t="s">
        <v>1031</v>
      </c>
      <c r="W128" s="710" t="s">
        <v>1031</v>
      </c>
      <c r="X128" s="710" t="s">
        <v>1694</v>
      </c>
      <c r="Y128" s="710" t="s">
        <v>1031</v>
      </c>
      <c r="Z128" s="710" t="s">
        <v>1695</v>
      </c>
      <c r="AA128" s="861" t="s">
        <v>1696</v>
      </c>
      <c r="AB128" s="861"/>
      <c r="AC128" s="861"/>
      <c r="AD128" s="710" t="s">
        <v>1697</v>
      </c>
      <c r="AE128" s="710" t="s">
        <v>1697</v>
      </c>
      <c r="AF128" s="710" t="s">
        <v>277</v>
      </c>
      <c r="AG128" s="710" t="s">
        <v>1698</v>
      </c>
      <c r="AH128" s="898">
        <v>205.31399999999999</v>
      </c>
      <c r="AI128" s="868">
        <f t="shared" si="24"/>
        <v>205.31299999999999</v>
      </c>
      <c r="AJ128" s="875">
        <f t="shared" si="25"/>
        <v>-1.0000000000047748E-3</v>
      </c>
      <c r="AK128" s="898">
        <v>142.42599999999999</v>
      </c>
      <c r="AL128" s="899">
        <v>0.69369999999999998</v>
      </c>
      <c r="AM128" s="899"/>
      <c r="AN128" s="869">
        <f t="shared" si="26"/>
        <v>0.69369843264463205</v>
      </c>
      <c r="AO128" s="869">
        <f t="shared" si="27"/>
        <v>1.5673553679373953E-6</v>
      </c>
      <c r="AP128" s="899"/>
      <c r="AQ128" s="899"/>
      <c r="AR128" s="899"/>
      <c r="AS128" s="869">
        <f t="shared" si="28"/>
        <v>0</v>
      </c>
      <c r="AT128" s="869">
        <f t="shared" si="29"/>
        <v>0</v>
      </c>
      <c r="AU128" s="898">
        <v>42.905000000000001</v>
      </c>
      <c r="AV128" s="899">
        <v>0.20898</v>
      </c>
      <c r="AW128" s="869">
        <f t="shared" si="30"/>
        <v>0.20897259806929874</v>
      </c>
      <c r="AX128" s="869">
        <f t="shared" si="31"/>
        <v>7.4019307012562763E-6</v>
      </c>
      <c r="AY128" s="898">
        <v>13.321</v>
      </c>
      <c r="AZ128" s="899">
        <v>6.4879999999999993E-2</v>
      </c>
      <c r="BA128" s="869">
        <f t="shared" si="32"/>
        <v>6.4881108935581591E-2</v>
      </c>
      <c r="BB128" s="869">
        <f t="shared" si="33"/>
        <v>-1.1089355815979696E-6</v>
      </c>
      <c r="BC128" s="898">
        <v>6.6609999999999996</v>
      </c>
      <c r="BD128" s="899">
        <v>3.2439999999999997E-2</v>
      </c>
      <c r="BE128" s="869">
        <f t="shared" si="34"/>
        <v>3.2442989762023047E-2</v>
      </c>
      <c r="BF128" s="869">
        <f t="shared" si="35"/>
        <v>-2.9897620230506794E-6</v>
      </c>
      <c r="BG128" s="898">
        <v>0</v>
      </c>
      <c r="BH128" s="899">
        <v>0</v>
      </c>
      <c r="BI128" s="710" t="s">
        <v>1031</v>
      </c>
      <c r="BJ128" s="710" t="s">
        <v>1031</v>
      </c>
      <c r="BK128" s="710" t="s">
        <v>1031</v>
      </c>
      <c r="BL128" s="714">
        <f t="shared" si="36"/>
        <v>0</v>
      </c>
      <c r="BM128" s="869">
        <f t="shared" si="37"/>
        <v>0</v>
      </c>
      <c r="BN128" s="898">
        <v>0</v>
      </c>
      <c r="BO128" s="899">
        <v>0</v>
      </c>
      <c r="BP128" s="869">
        <f t="shared" si="38"/>
        <v>0</v>
      </c>
      <c r="BQ128" s="869">
        <f t="shared" si="39"/>
        <v>0</v>
      </c>
      <c r="BR128" s="898">
        <v>177.45</v>
      </c>
      <c r="BS128" s="899">
        <v>0</v>
      </c>
      <c r="BT128" s="899"/>
      <c r="BU128" s="899"/>
      <c r="BV128" s="901">
        <v>0</v>
      </c>
      <c r="BW128" s="901">
        <v>281</v>
      </c>
      <c r="BX128" s="901">
        <v>184</v>
      </c>
      <c r="BY128" s="901">
        <v>4</v>
      </c>
      <c r="BZ128" s="901">
        <v>18</v>
      </c>
      <c r="CA128" s="901">
        <v>0</v>
      </c>
      <c r="CB128" s="901">
        <v>0</v>
      </c>
      <c r="CC128" s="901">
        <v>0</v>
      </c>
      <c r="CD128" s="901">
        <v>20</v>
      </c>
      <c r="CE128" s="901">
        <v>0</v>
      </c>
      <c r="CF128" s="901">
        <v>7</v>
      </c>
      <c r="CG128" s="901">
        <v>20</v>
      </c>
      <c r="CH128" s="901">
        <v>14</v>
      </c>
      <c r="CI128" s="901">
        <v>31</v>
      </c>
      <c r="CJ128" s="901">
        <v>34</v>
      </c>
      <c r="CK128" s="901">
        <v>35</v>
      </c>
      <c r="CL128" s="901">
        <v>0</v>
      </c>
      <c r="CM128" s="901">
        <v>0</v>
      </c>
      <c r="CN128" s="901">
        <v>0</v>
      </c>
      <c r="CO128" s="901">
        <v>0</v>
      </c>
      <c r="CP128" s="901">
        <v>0</v>
      </c>
      <c r="CQ128" s="901">
        <v>1</v>
      </c>
      <c r="CR128" s="901">
        <v>0</v>
      </c>
      <c r="CS128" s="902">
        <f t="shared" si="46"/>
        <v>184</v>
      </c>
      <c r="CT128" s="871">
        <f t="shared" si="40"/>
        <v>184</v>
      </c>
      <c r="CU128" s="871">
        <f t="shared" si="41"/>
        <v>0</v>
      </c>
      <c r="CV128" s="942">
        <v>410</v>
      </c>
      <c r="CW128" s="710" t="s">
        <v>1699</v>
      </c>
      <c r="CX128" s="710" t="s">
        <v>1031</v>
      </c>
      <c r="CY128" s="899" t="s">
        <v>1700</v>
      </c>
      <c r="CZ128" s="710" t="s">
        <v>279</v>
      </c>
      <c r="DA128" s="710"/>
      <c r="DB128" s="710"/>
      <c r="DC128" s="710" t="s">
        <v>279</v>
      </c>
      <c r="DD128" s="710" t="s">
        <v>1031</v>
      </c>
      <c r="DE128" s="710" t="s">
        <v>1031</v>
      </c>
      <c r="DF128" s="710"/>
      <c r="DG128" s="901">
        <v>0</v>
      </c>
      <c r="DH128" s="901">
        <v>10</v>
      </c>
      <c r="DI128" s="710" t="s">
        <v>279</v>
      </c>
      <c r="DJ128" s="710" t="s">
        <v>1031</v>
      </c>
      <c r="DK128" s="901">
        <v>0</v>
      </c>
      <c r="DL128" s="710" t="s">
        <v>279</v>
      </c>
      <c r="DM128" s="710" t="s">
        <v>1031</v>
      </c>
      <c r="DN128" s="901">
        <v>0</v>
      </c>
      <c r="DO128" s="710" t="s">
        <v>279</v>
      </c>
      <c r="DP128" s="710" t="s">
        <v>1031</v>
      </c>
      <c r="DQ128" s="901">
        <v>0</v>
      </c>
      <c r="DR128" s="710" t="s">
        <v>279</v>
      </c>
      <c r="DS128" s="710" t="s">
        <v>1031</v>
      </c>
      <c r="DT128" s="901"/>
      <c r="DU128" s="710" t="s">
        <v>279</v>
      </c>
      <c r="DV128" s="710" t="s">
        <v>1031</v>
      </c>
      <c r="DW128" s="901">
        <v>0</v>
      </c>
      <c r="DX128" s="710" t="s">
        <v>279</v>
      </c>
      <c r="DY128" s="710" t="s">
        <v>1031</v>
      </c>
      <c r="DZ128" s="901">
        <v>0</v>
      </c>
      <c r="EA128" s="710" t="s">
        <v>279</v>
      </c>
      <c r="EB128" s="710" t="s">
        <v>1031</v>
      </c>
      <c r="EC128" s="901">
        <v>0</v>
      </c>
      <c r="ED128" s="710" t="s">
        <v>278</v>
      </c>
      <c r="EE128" s="710" t="s">
        <v>1701</v>
      </c>
      <c r="EF128" s="901">
        <v>5500</v>
      </c>
      <c r="EG128" s="710" t="s">
        <v>279</v>
      </c>
      <c r="EH128" s="710" t="s">
        <v>1031</v>
      </c>
      <c r="EI128" s="901">
        <v>0</v>
      </c>
      <c r="EJ128" s="710" t="s">
        <v>279</v>
      </c>
      <c r="EK128" s="710" t="s">
        <v>1031</v>
      </c>
      <c r="EL128" s="901">
        <v>0</v>
      </c>
      <c r="EM128" s="710" t="s">
        <v>279</v>
      </c>
      <c r="EN128" s="710" t="s">
        <v>1031</v>
      </c>
      <c r="EO128" s="901">
        <v>0</v>
      </c>
      <c r="EP128" s="710" t="s">
        <v>279</v>
      </c>
      <c r="EQ128" s="710" t="s">
        <v>1031</v>
      </c>
      <c r="ER128" s="901">
        <v>0</v>
      </c>
      <c r="ES128" s="710" t="s">
        <v>279</v>
      </c>
      <c r="ET128" s="710" t="s">
        <v>1031</v>
      </c>
      <c r="EU128" s="901">
        <v>0</v>
      </c>
      <c r="EV128" s="904">
        <v>1</v>
      </c>
      <c r="EW128" s="710" t="s">
        <v>1031</v>
      </c>
      <c r="EX128" s="959">
        <v>182</v>
      </c>
      <c r="EY128" s="710" t="s">
        <v>279</v>
      </c>
      <c r="EZ128" s="710" t="s">
        <v>1031</v>
      </c>
      <c r="FA128" s="710" t="s">
        <v>279</v>
      </c>
      <c r="FB128" s="710" t="s">
        <v>1031</v>
      </c>
      <c r="FC128" s="861" t="s">
        <v>1696</v>
      </c>
      <c r="FD128" s="861" t="s">
        <v>1702</v>
      </c>
      <c r="FE128" s="994"/>
      <c r="FF128" s="861" t="s">
        <v>1703</v>
      </c>
      <c r="FG128" s="861" t="s">
        <v>1704</v>
      </c>
      <c r="FH128" s="710" t="s">
        <v>1705</v>
      </c>
      <c r="FI128" s="710">
        <v>7</v>
      </c>
      <c r="FJ128" s="710">
        <v>1100</v>
      </c>
      <c r="FM128" s="710" t="s">
        <v>1706</v>
      </c>
      <c r="FN128" s="710" t="s">
        <v>1707</v>
      </c>
      <c r="FO128" s="861" t="s">
        <v>1708</v>
      </c>
      <c r="FP128" s="710"/>
      <c r="FQ128" s="949"/>
      <c r="FR128" s="949"/>
    </row>
    <row r="129" spans="2:172" ht="100.5" customHeight="1">
      <c r="B129" s="850" t="s">
        <v>5315</v>
      </c>
      <c r="C129" s="850" t="s">
        <v>5320</v>
      </c>
      <c r="D129" s="850" t="s">
        <v>5317</v>
      </c>
      <c r="E129" s="850" t="s">
        <v>5318</v>
      </c>
      <c r="F129" s="850" t="s">
        <v>5347</v>
      </c>
      <c r="G129" s="850" t="s">
        <v>4933</v>
      </c>
      <c r="I129" s="850" t="s">
        <v>5525</v>
      </c>
      <c r="J129" s="850" t="s">
        <v>5442</v>
      </c>
      <c r="K129" s="710" t="s">
        <v>248</v>
      </c>
      <c r="L129" s="710"/>
      <c r="M129" s="710" t="s">
        <v>1854</v>
      </c>
      <c r="N129" s="710" t="s">
        <v>1854</v>
      </c>
      <c r="O129" s="895">
        <v>2017</v>
      </c>
      <c r="P129" s="896">
        <v>43570</v>
      </c>
      <c r="Q129" s="896">
        <v>43830</v>
      </c>
      <c r="R129" s="712">
        <f t="shared" si="42"/>
        <v>260</v>
      </c>
      <c r="S129" s="710" t="s">
        <v>1855</v>
      </c>
      <c r="T129" s="710" t="s">
        <v>1856</v>
      </c>
      <c r="U129" s="710" t="s">
        <v>1857</v>
      </c>
      <c r="V129" s="710" t="s">
        <v>1858</v>
      </c>
      <c r="W129" s="945" t="s">
        <v>1859</v>
      </c>
      <c r="X129" s="710" t="s">
        <v>279</v>
      </c>
      <c r="Y129" s="710"/>
      <c r="Z129" s="710" t="s">
        <v>279</v>
      </c>
      <c r="AA129" s="710"/>
      <c r="AB129" s="710"/>
      <c r="AC129" s="710"/>
      <c r="AD129" s="710" t="s">
        <v>1860</v>
      </c>
      <c r="AE129" s="710" t="s">
        <v>1860</v>
      </c>
      <c r="AF129" s="710" t="s">
        <v>277</v>
      </c>
      <c r="AG129" s="710" t="s">
        <v>1861</v>
      </c>
      <c r="AH129" s="898">
        <v>4.6500000000000004</v>
      </c>
      <c r="AI129" s="868">
        <f t="shared" si="24"/>
        <v>4.6499999999999995</v>
      </c>
      <c r="AJ129" s="867">
        <f t="shared" si="25"/>
        <v>0</v>
      </c>
      <c r="AK129" s="898">
        <v>2.1309999999999998</v>
      </c>
      <c r="AL129" s="899">
        <v>0.45829999999999999</v>
      </c>
      <c r="AM129" s="899">
        <f>AK129/57775.03518253</f>
        <v>3.6884443138242709E-5</v>
      </c>
      <c r="AN129" s="869">
        <f t="shared" si="26"/>
        <v>0.45827956989247304</v>
      </c>
      <c r="AO129" s="869">
        <f t="shared" si="27"/>
        <v>2.0430107526947516E-5</v>
      </c>
      <c r="AP129" s="899"/>
      <c r="AQ129" s="899"/>
      <c r="AR129" s="899"/>
      <c r="AS129" s="869">
        <f t="shared" si="28"/>
        <v>0</v>
      </c>
      <c r="AT129" s="869">
        <f t="shared" si="29"/>
        <v>0</v>
      </c>
      <c r="AU129" s="898">
        <v>1.526</v>
      </c>
      <c r="AV129" s="899">
        <v>0.32819999999999999</v>
      </c>
      <c r="AW129" s="869">
        <f t="shared" si="30"/>
        <v>0.32817204301075265</v>
      </c>
      <c r="AX129" s="869">
        <f t="shared" si="31"/>
        <v>2.7956989247346353E-5</v>
      </c>
      <c r="AY129" s="898">
        <v>0.19400000000000001</v>
      </c>
      <c r="AZ129" s="899">
        <v>4.1700000000000001E-2</v>
      </c>
      <c r="BA129" s="869">
        <f t="shared" si="32"/>
        <v>4.1720430107526879E-2</v>
      </c>
      <c r="BB129" s="869">
        <f t="shared" si="33"/>
        <v>-2.0430107526878127E-5</v>
      </c>
      <c r="BC129" s="898">
        <v>0.14699999999999999</v>
      </c>
      <c r="BD129" s="899">
        <v>3.1600000000000003E-2</v>
      </c>
      <c r="BE129" s="869">
        <f t="shared" si="34"/>
        <v>3.1612903225806448E-2</v>
      </c>
      <c r="BF129" s="869">
        <f t="shared" si="35"/>
        <v>-1.2903225806444596E-5</v>
      </c>
      <c r="BG129" s="898">
        <v>0.65200000000000002</v>
      </c>
      <c r="BH129" s="899">
        <v>0.14019999999999999</v>
      </c>
      <c r="BI129" s="710" t="s">
        <v>1862</v>
      </c>
      <c r="BJ129" s="710" t="s">
        <v>769</v>
      </c>
      <c r="BK129" s="710" t="s">
        <v>769</v>
      </c>
      <c r="BL129" s="714">
        <f t="shared" si="36"/>
        <v>0.14021505376344084</v>
      </c>
      <c r="BM129" s="869">
        <f t="shared" si="37"/>
        <v>-1.5053763440853185E-5</v>
      </c>
      <c r="BN129" s="898"/>
      <c r="BO129" s="899" t="s">
        <v>279</v>
      </c>
      <c r="BP129" s="869">
        <f t="shared" si="38"/>
        <v>0</v>
      </c>
      <c r="BQ129" s="869" t="e">
        <f t="shared" si="39"/>
        <v>#VALUE!</v>
      </c>
      <c r="BR129" s="898">
        <v>2.2999999999999998</v>
      </c>
      <c r="BS129" s="899">
        <f>BR129/62738.67237246</f>
        <v>3.6660004316725327E-5</v>
      </c>
      <c r="BT129" s="899"/>
      <c r="BU129" s="899"/>
      <c r="BV129" s="901">
        <v>14</v>
      </c>
      <c r="BW129" s="901">
        <v>12</v>
      </c>
      <c r="BX129" s="901">
        <v>7</v>
      </c>
      <c r="BY129" s="901"/>
      <c r="BZ129" s="901"/>
      <c r="CA129" s="901" t="s">
        <v>410</v>
      </c>
      <c r="CB129" s="901" t="s">
        <v>410</v>
      </c>
      <c r="CC129" s="901" t="s">
        <v>410</v>
      </c>
      <c r="CD129" s="901" t="s">
        <v>410</v>
      </c>
      <c r="CE129" s="901" t="s">
        <v>410</v>
      </c>
      <c r="CF129" s="901" t="s">
        <v>410</v>
      </c>
      <c r="CG129" s="901">
        <v>1</v>
      </c>
      <c r="CH129" s="901" t="s">
        <v>410</v>
      </c>
      <c r="CI129" s="901">
        <v>4</v>
      </c>
      <c r="CJ129" s="901">
        <v>2</v>
      </c>
      <c r="CK129" s="901" t="s">
        <v>410</v>
      </c>
      <c r="CL129" s="901" t="s">
        <v>410</v>
      </c>
      <c r="CM129" s="901" t="s">
        <v>410</v>
      </c>
      <c r="CN129" s="901" t="s">
        <v>410</v>
      </c>
      <c r="CO129" s="901" t="s">
        <v>410</v>
      </c>
      <c r="CP129" s="901" t="s">
        <v>410</v>
      </c>
      <c r="CQ129" s="901" t="s">
        <v>410</v>
      </c>
      <c r="CR129" s="901" t="s">
        <v>410</v>
      </c>
      <c r="CS129" s="902">
        <f t="shared" si="46"/>
        <v>7</v>
      </c>
      <c r="CT129" s="871">
        <f t="shared" si="40"/>
        <v>7</v>
      </c>
      <c r="CU129" s="871">
        <f t="shared" si="41"/>
        <v>0</v>
      </c>
      <c r="CV129" s="942">
        <v>3.738</v>
      </c>
      <c r="CW129" s="710" t="s">
        <v>1863</v>
      </c>
      <c r="CX129" s="710" t="s">
        <v>279</v>
      </c>
      <c r="CY129" s="899">
        <v>1.2E-2</v>
      </c>
      <c r="CZ129" s="899" t="s">
        <v>1864</v>
      </c>
      <c r="DA129" s="899"/>
      <c r="DB129" s="899"/>
      <c r="DC129" s="710" t="s">
        <v>279</v>
      </c>
      <c r="DD129" s="710"/>
      <c r="DE129" s="710"/>
      <c r="DF129" s="901"/>
      <c r="DG129" s="901"/>
      <c r="DH129" s="901">
        <v>7</v>
      </c>
      <c r="DI129" s="710" t="s">
        <v>279</v>
      </c>
      <c r="DJ129" s="710"/>
      <c r="DK129" s="901"/>
      <c r="DL129" s="710" t="s">
        <v>278</v>
      </c>
      <c r="DM129" s="710" t="s">
        <v>1865</v>
      </c>
      <c r="DN129" s="901">
        <v>262</v>
      </c>
      <c r="DO129" s="710" t="s">
        <v>279</v>
      </c>
      <c r="DP129" s="710"/>
      <c r="DQ129" s="901"/>
      <c r="DR129" s="710" t="s">
        <v>279</v>
      </c>
      <c r="DS129" s="710"/>
      <c r="DT129" s="901"/>
      <c r="DU129" s="710" t="s">
        <v>279</v>
      </c>
      <c r="DV129" s="710"/>
      <c r="DW129" s="901"/>
      <c r="DX129" s="710" t="s">
        <v>279</v>
      </c>
      <c r="DY129" s="710"/>
      <c r="DZ129" s="901"/>
      <c r="EA129" s="710" t="s">
        <v>279</v>
      </c>
      <c r="EB129" s="710"/>
      <c r="EC129" s="901"/>
      <c r="ED129" s="710" t="s">
        <v>278</v>
      </c>
      <c r="EE129" s="710" t="s">
        <v>1866</v>
      </c>
      <c r="EF129" s="901">
        <v>262</v>
      </c>
      <c r="EG129" s="710" t="s">
        <v>279</v>
      </c>
      <c r="EH129" s="710"/>
      <c r="EI129" s="901"/>
      <c r="EJ129" s="710" t="s">
        <v>279</v>
      </c>
      <c r="EK129" s="710"/>
      <c r="EL129" s="901"/>
      <c r="EM129" s="710" t="s">
        <v>278</v>
      </c>
      <c r="EN129" s="710" t="s">
        <v>1867</v>
      </c>
      <c r="EO129" s="901">
        <v>6</v>
      </c>
      <c r="EP129" s="710" t="s">
        <v>279</v>
      </c>
      <c r="EQ129" s="710"/>
      <c r="ER129" s="901"/>
      <c r="ES129" s="710" t="s">
        <v>279</v>
      </c>
      <c r="ET129" s="710"/>
      <c r="EU129" s="901"/>
      <c r="EV129" s="904">
        <v>1</v>
      </c>
      <c r="EW129" s="710" t="s">
        <v>279</v>
      </c>
      <c r="EX129" s="860">
        <v>14</v>
      </c>
      <c r="EY129" s="710" t="s">
        <v>279</v>
      </c>
      <c r="EZ129" s="710" t="s">
        <v>279</v>
      </c>
      <c r="FA129" s="710" t="s">
        <v>278</v>
      </c>
      <c r="FB129" s="710" t="s">
        <v>1868</v>
      </c>
      <c r="FC129" s="710" t="s">
        <v>2058</v>
      </c>
      <c r="FD129" s="710" t="s">
        <v>279</v>
      </c>
      <c r="FE129" s="710" t="s">
        <v>279</v>
      </c>
      <c r="FF129" s="710" t="s">
        <v>279</v>
      </c>
      <c r="FG129" s="710" t="s">
        <v>279</v>
      </c>
      <c r="FH129" s="710" t="s">
        <v>279</v>
      </c>
      <c r="FI129" s="710" t="s">
        <v>279</v>
      </c>
      <c r="FJ129" s="710" t="s">
        <v>279</v>
      </c>
      <c r="FK129" s="710" t="s">
        <v>1869</v>
      </c>
      <c r="FL129" s="711" t="s">
        <v>1870</v>
      </c>
      <c r="FM129" s="710" t="s">
        <v>1871</v>
      </c>
      <c r="FN129" s="710"/>
      <c r="FO129" s="710"/>
      <c r="FP129" s="710"/>
    </row>
    <row r="130" spans="2:172" ht="85.5" customHeight="1">
      <c r="B130" s="850" t="s">
        <v>5313</v>
      </c>
      <c r="C130" s="863"/>
      <c r="D130" s="850" t="s">
        <v>4933</v>
      </c>
      <c r="E130" s="850" t="s">
        <v>5314</v>
      </c>
      <c r="F130" s="879">
        <v>1</v>
      </c>
      <c r="G130" s="850" t="s">
        <v>4933</v>
      </c>
      <c r="I130" s="850" t="s">
        <v>5520</v>
      </c>
      <c r="J130" s="850" t="s">
        <v>5443</v>
      </c>
      <c r="K130" s="710" t="s">
        <v>249</v>
      </c>
      <c r="L130" s="710"/>
      <c r="M130" s="710" t="s">
        <v>1495</v>
      </c>
      <c r="N130" s="710" t="s">
        <v>1496</v>
      </c>
      <c r="O130" s="895">
        <v>2017</v>
      </c>
      <c r="P130" s="896">
        <v>43344</v>
      </c>
      <c r="Q130" s="896">
        <v>43830</v>
      </c>
      <c r="R130" s="712">
        <f t="shared" si="42"/>
        <v>486</v>
      </c>
      <c r="S130" s="710" t="s">
        <v>1495</v>
      </c>
      <c r="T130" s="710" t="s">
        <v>1497</v>
      </c>
      <c r="U130" s="710" t="s">
        <v>1498</v>
      </c>
      <c r="V130" s="710" t="s">
        <v>1499</v>
      </c>
      <c r="W130" s="710" t="s">
        <v>1498</v>
      </c>
      <c r="X130" s="710" t="s">
        <v>1500</v>
      </c>
      <c r="Y130" s="710" t="s">
        <v>1498</v>
      </c>
      <c r="Z130" s="710" t="s">
        <v>1501</v>
      </c>
      <c r="AA130" s="710" t="s">
        <v>1498</v>
      </c>
      <c r="AB130" s="710"/>
      <c r="AC130" s="710"/>
      <c r="AD130" s="710" t="s">
        <v>1502</v>
      </c>
      <c r="AE130" s="710" t="s">
        <v>1503</v>
      </c>
      <c r="AF130" s="710" t="s">
        <v>1504</v>
      </c>
      <c r="AG130" s="710" t="s">
        <v>1505</v>
      </c>
      <c r="AH130" s="898">
        <v>229.72200000000001</v>
      </c>
      <c r="AI130" s="868">
        <f t="shared" si="24"/>
        <v>229.72200000000001</v>
      </c>
      <c r="AJ130" s="867">
        <f t="shared" si="25"/>
        <v>0</v>
      </c>
      <c r="AK130" s="898">
        <v>165.10599999999999</v>
      </c>
      <c r="AL130" s="899">
        <v>0.71870000000000001</v>
      </c>
      <c r="AM130" s="899">
        <v>8.9999999999999998E-4</v>
      </c>
      <c r="AN130" s="869">
        <f t="shared" si="26"/>
        <v>0.71872088872637352</v>
      </c>
      <c r="AO130" s="869">
        <f t="shared" si="27"/>
        <v>-2.0888726373513578E-5</v>
      </c>
      <c r="AP130" s="899"/>
      <c r="AQ130" s="899"/>
      <c r="AR130" s="899"/>
      <c r="AS130" s="869">
        <f t="shared" si="28"/>
        <v>0</v>
      </c>
      <c r="AT130" s="869">
        <f t="shared" si="29"/>
        <v>0</v>
      </c>
      <c r="AU130" s="898">
        <v>35.718000000000004</v>
      </c>
      <c r="AV130" s="899">
        <v>0.1555</v>
      </c>
      <c r="AW130" s="869">
        <f t="shared" si="30"/>
        <v>0.15548358450649047</v>
      </c>
      <c r="AX130" s="869">
        <f t="shared" si="31"/>
        <v>1.6415493509530643E-5</v>
      </c>
      <c r="AY130" s="898">
        <v>14.516999999999999</v>
      </c>
      <c r="AZ130" s="899">
        <v>6.3200000000000006E-2</v>
      </c>
      <c r="BA130" s="869">
        <f t="shared" si="32"/>
        <v>6.3193773343432486E-2</v>
      </c>
      <c r="BB130" s="869">
        <f t="shared" si="33"/>
        <v>6.2266565675206387E-6</v>
      </c>
      <c r="BC130" s="898">
        <v>14.381</v>
      </c>
      <c r="BD130" s="899">
        <v>6.2600000000000003E-2</v>
      </c>
      <c r="BE130" s="869">
        <f t="shared" si="34"/>
        <v>6.260175342370343E-2</v>
      </c>
      <c r="BF130" s="869">
        <f t="shared" si="35"/>
        <v>-1.753423703426682E-6</v>
      </c>
      <c r="BG130" s="898"/>
      <c r="BH130" s="899"/>
      <c r="BI130" s="710" t="s">
        <v>410</v>
      </c>
      <c r="BJ130" s="710" t="s">
        <v>410</v>
      </c>
      <c r="BK130" s="710" t="s">
        <v>410</v>
      </c>
      <c r="BL130" s="714">
        <f t="shared" si="36"/>
        <v>0</v>
      </c>
      <c r="BM130" s="869">
        <f t="shared" si="37"/>
        <v>0</v>
      </c>
      <c r="BN130" s="898"/>
      <c r="BO130" s="899"/>
      <c r="BP130" s="869">
        <f t="shared" si="38"/>
        <v>0</v>
      </c>
      <c r="BQ130" s="869">
        <f t="shared" si="39"/>
        <v>0</v>
      </c>
      <c r="BR130" s="898">
        <v>267.25200000000001</v>
      </c>
      <c r="BS130" s="899">
        <v>1.4E-3</v>
      </c>
      <c r="BT130" s="899"/>
      <c r="BU130" s="899"/>
      <c r="BV130" s="901">
        <v>309</v>
      </c>
      <c r="BW130" s="901">
        <v>180</v>
      </c>
      <c r="BX130" s="901">
        <v>172</v>
      </c>
      <c r="BY130" s="901">
        <v>11</v>
      </c>
      <c r="BZ130" s="901">
        <v>12</v>
      </c>
      <c r="CA130" s="901">
        <v>8</v>
      </c>
      <c r="CB130" s="901">
        <v>0</v>
      </c>
      <c r="CC130" s="901">
        <v>0</v>
      </c>
      <c r="CD130" s="901">
        <v>13</v>
      </c>
      <c r="CE130" s="901">
        <v>0</v>
      </c>
      <c r="CF130" s="901">
        <v>7</v>
      </c>
      <c r="CG130" s="901">
        <v>22</v>
      </c>
      <c r="CH130" s="901">
        <v>5</v>
      </c>
      <c r="CI130" s="901">
        <v>24</v>
      </c>
      <c r="CJ130" s="901">
        <v>42</v>
      </c>
      <c r="CK130" s="901">
        <v>10</v>
      </c>
      <c r="CL130" s="901">
        <v>2</v>
      </c>
      <c r="CM130" s="901">
        <v>10</v>
      </c>
      <c r="CN130" s="901">
        <v>0</v>
      </c>
      <c r="CO130" s="901">
        <v>1</v>
      </c>
      <c r="CP130" s="901">
        <v>1</v>
      </c>
      <c r="CQ130" s="901">
        <v>0</v>
      </c>
      <c r="CR130" s="901">
        <v>4</v>
      </c>
      <c r="CS130" s="902">
        <f t="shared" si="46"/>
        <v>172</v>
      </c>
      <c r="CT130" s="871">
        <f t="shared" si="40"/>
        <v>172</v>
      </c>
      <c r="CU130" s="871">
        <f t="shared" si="41"/>
        <v>0</v>
      </c>
      <c r="CV130" s="942">
        <v>1808.498</v>
      </c>
      <c r="CW130" s="710" t="s">
        <v>1506</v>
      </c>
      <c r="CX130" s="710" t="s">
        <v>410</v>
      </c>
      <c r="CY130" s="899">
        <f>CV130/3183</f>
        <v>0.56817404963870566</v>
      </c>
      <c r="CZ130" s="899" t="s">
        <v>1507</v>
      </c>
      <c r="DA130" s="899"/>
      <c r="DB130" s="899"/>
      <c r="DC130" s="710" t="s">
        <v>389</v>
      </c>
      <c r="DD130" s="710"/>
      <c r="DE130" s="710"/>
      <c r="DF130" s="901"/>
      <c r="DG130" s="901"/>
      <c r="DH130" s="901">
        <v>9</v>
      </c>
      <c r="DI130" s="710" t="s">
        <v>278</v>
      </c>
      <c r="DJ130" s="710" t="s">
        <v>1508</v>
      </c>
      <c r="DK130" s="901">
        <v>1970</v>
      </c>
      <c r="DL130" s="710" t="s">
        <v>392</v>
      </c>
      <c r="DM130" s="710" t="s">
        <v>1041</v>
      </c>
      <c r="DN130" s="901">
        <v>12858</v>
      </c>
      <c r="DO130" s="710" t="s">
        <v>389</v>
      </c>
      <c r="DP130" s="710" t="s">
        <v>410</v>
      </c>
      <c r="DQ130" s="901" t="s">
        <v>410</v>
      </c>
      <c r="DR130" s="710" t="s">
        <v>278</v>
      </c>
      <c r="DS130" s="710" t="s">
        <v>1509</v>
      </c>
      <c r="DT130" s="901">
        <v>803</v>
      </c>
      <c r="DU130" s="710" t="s">
        <v>389</v>
      </c>
      <c r="DV130" s="710" t="s">
        <v>410</v>
      </c>
      <c r="DW130" s="901" t="s">
        <v>410</v>
      </c>
      <c r="DX130" s="710" t="s">
        <v>389</v>
      </c>
      <c r="DY130" s="710" t="s">
        <v>410</v>
      </c>
      <c r="DZ130" s="901" t="s">
        <v>410</v>
      </c>
      <c r="EA130" s="710" t="s">
        <v>279</v>
      </c>
      <c r="EB130" s="710" t="s">
        <v>410</v>
      </c>
      <c r="EC130" s="901" t="s">
        <v>410</v>
      </c>
      <c r="ED130" s="710" t="s">
        <v>389</v>
      </c>
      <c r="EE130" s="710" t="s">
        <v>410</v>
      </c>
      <c r="EF130" s="901" t="s">
        <v>410</v>
      </c>
      <c r="EG130" s="710" t="s">
        <v>392</v>
      </c>
      <c r="EH130" s="710" t="s">
        <v>1510</v>
      </c>
      <c r="EI130" s="901">
        <v>3900</v>
      </c>
      <c r="EJ130" s="710" t="s">
        <v>389</v>
      </c>
      <c r="EK130" s="710" t="s">
        <v>410</v>
      </c>
      <c r="EL130" s="901" t="s">
        <v>410</v>
      </c>
      <c r="EM130" s="710" t="s">
        <v>392</v>
      </c>
      <c r="EN130" s="710" t="s">
        <v>1511</v>
      </c>
      <c r="EO130" s="901">
        <v>25</v>
      </c>
      <c r="EP130" s="710" t="s">
        <v>392</v>
      </c>
      <c r="EQ130" s="710" t="s">
        <v>1512</v>
      </c>
      <c r="ER130" s="901">
        <v>2</v>
      </c>
      <c r="ES130" s="710" t="s">
        <v>389</v>
      </c>
      <c r="ET130" s="710" t="s">
        <v>410</v>
      </c>
      <c r="EU130" s="901" t="s">
        <v>410</v>
      </c>
      <c r="EV130" s="904">
        <v>1</v>
      </c>
      <c r="EW130" s="710" t="s">
        <v>410</v>
      </c>
      <c r="EX130" s="901">
        <v>95</v>
      </c>
      <c r="EY130" s="710" t="s">
        <v>392</v>
      </c>
      <c r="EZ130" s="710" t="s">
        <v>1513</v>
      </c>
      <c r="FA130" s="710" t="s">
        <v>392</v>
      </c>
      <c r="FB130" s="710" t="s">
        <v>1514</v>
      </c>
      <c r="FC130" s="861" t="s">
        <v>1515</v>
      </c>
      <c r="FD130" s="861" t="s">
        <v>1516</v>
      </c>
      <c r="FE130" s="861" t="s">
        <v>1517</v>
      </c>
      <c r="FF130" s="861" t="s">
        <v>1518</v>
      </c>
      <c r="FG130" s="861" t="s">
        <v>1519</v>
      </c>
      <c r="FH130" s="710" t="s">
        <v>1520</v>
      </c>
      <c r="FI130" s="710">
        <v>12</v>
      </c>
      <c r="FJ130" s="710">
        <v>700</v>
      </c>
      <c r="FK130" s="710" t="s">
        <v>1521</v>
      </c>
      <c r="FL130" s="710" t="s">
        <v>1522</v>
      </c>
      <c r="FM130" s="861" t="s">
        <v>1523</v>
      </c>
      <c r="FN130" s="710" t="s">
        <v>1524</v>
      </c>
      <c r="FO130" s="710" t="s">
        <v>1525</v>
      </c>
      <c r="FP130" s="861" t="s">
        <v>1526</v>
      </c>
    </row>
    <row r="131" spans="2:172" ht="83" customHeight="1">
      <c r="B131" s="850" t="s">
        <v>5313</v>
      </c>
      <c r="C131" s="863"/>
      <c r="D131" s="850" t="s">
        <v>4934</v>
      </c>
      <c r="E131" s="850" t="s">
        <v>5318</v>
      </c>
      <c r="F131" s="863"/>
      <c r="H131" s="850" t="s">
        <v>4934</v>
      </c>
      <c r="I131" s="850" t="s">
        <v>5520</v>
      </c>
      <c r="J131" s="850" t="s">
        <v>5443</v>
      </c>
      <c r="K131" s="710" t="s">
        <v>249</v>
      </c>
      <c r="L131" s="710" t="s">
        <v>3166</v>
      </c>
      <c r="M131" s="710" t="s">
        <v>3180</v>
      </c>
      <c r="N131" s="710" t="s">
        <v>3192</v>
      </c>
      <c r="O131" s="895">
        <v>2019</v>
      </c>
      <c r="P131" s="896">
        <v>43311</v>
      </c>
      <c r="Q131" s="896">
        <v>43830</v>
      </c>
      <c r="R131" s="712">
        <f t="shared" si="42"/>
        <v>519</v>
      </c>
      <c r="S131" s="896"/>
      <c r="T131" s="896"/>
      <c r="U131" s="896"/>
      <c r="V131" s="896"/>
      <c r="W131" s="896"/>
      <c r="X131" s="896"/>
      <c r="Y131" s="896"/>
      <c r="Z131" s="896"/>
      <c r="AA131" s="896"/>
      <c r="AB131" s="710" t="s">
        <v>3195</v>
      </c>
      <c r="AC131" s="861" t="s">
        <v>3209</v>
      </c>
      <c r="AD131" s="710" t="s">
        <v>3221</v>
      </c>
      <c r="AE131" s="710" t="s">
        <v>3235</v>
      </c>
      <c r="AF131" s="710" t="s">
        <v>454</v>
      </c>
      <c r="AG131" s="710" t="s">
        <v>3247</v>
      </c>
      <c r="AH131" s="898">
        <v>4.2</v>
      </c>
      <c r="AI131" s="868">
        <f t="shared" si="24"/>
        <v>4.2</v>
      </c>
      <c r="AJ131" s="867">
        <f t="shared" si="25"/>
        <v>0</v>
      </c>
      <c r="AK131" s="898"/>
      <c r="AL131" s="898"/>
      <c r="AM131" s="898"/>
      <c r="AN131" s="869">
        <f t="shared" si="26"/>
        <v>0</v>
      </c>
      <c r="AO131" s="869">
        <f t="shared" si="27"/>
        <v>0</v>
      </c>
      <c r="AP131" s="898"/>
      <c r="AQ131" s="899">
        <v>1</v>
      </c>
      <c r="AR131" s="899">
        <v>2.3E-2</v>
      </c>
      <c r="AS131" s="869">
        <f t="shared" si="28"/>
        <v>0</v>
      </c>
      <c r="AT131" s="869">
        <f t="shared" si="29"/>
        <v>1</v>
      </c>
      <c r="AU131" s="942">
        <v>4.2</v>
      </c>
      <c r="AV131" s="899">
        <v>1</v>
      </c>
      <c r="AW131" s="869">
        <f t="shared" si="30"/>
        <v>1</v>
      </c>
      <c r="AX131" s="869">
        <f t="shared" si="31"/>
        <v>0</v>
      </c>
      <c r="AY131" s="898">
        <v>0</v>
      </c>
      <c r="AZ131" s="899">
        <v>0</v>
      </c>
      <c r="BA131" s="869">
        <f t="shared" si="32"/>
        <v>0</v>
      </c>
      <c r="BB131" s="869">
        <f t="shared" si="33"/>
        <v>0</v>
      </c>
      <c r="BC131" s="898">
        <v>0</v>
      </c>
      <c r="BD131" s="899">
        <v>0</v>
      </c>
      <c r="BE131" s="869">
        <f t="shared" si="34"/>
        <v>0</v>
      </c>
      <c r="BF131" s="869">
        <f t="shared" si="35"/>
        <v>0</v>
      </c>
      <c r="BG131" s="899"/>
      <c r="BH131" s="899"/>
      <c r="BI131" s="899"/>
      <c r="BJ131" s="899"/>
      <c r="BK131" s="899"/>
      <c r="BL131" s="714">
        <f t="shared" si="36"/>
        <v>0</v>
      </c>
      <c r="BM131" s="869">
        <f t="shared" si="37"/>
        <v>0</v>
      </c>
      <c r="BN131" s="898">
        <v>0</v>
      </c>
      <c r="BO131" s="899">
        <v>0</v>
      </c>
      <c r="BP131" s="869">
        <f t="shared" si="38"/>
        <v>0</v>
      </c>
      <c r="BQ131" s="869">
        <f t="shared" si="39"/>
        <v>0</v>
      </c>
      <c r="BR131" s="899"/>
      <c r="BS131" s="899"/>
      <c r="BT131" s="898">
        <v>2.4</v>
      </c>
      <c r="BU131" s="899">
        <v>1.18E-2</v>
      </c>
      <c r="BV131" s="901">
        <v>378</v>
      </c>
      <c r="BW131" s="901">
        <v>378</v>
      </c>
      <c r="BX131" s="901">
        <v>42</v>
      </c>
      <c r="BY131" s="901"/>
      <c r="BZ131" s="901"/>
      <c r="CA131" s="901" t="s">
        <v>410</v>
      </c>
      <c r="CB131" s="901" t="s">
        <v>410</v>
      </c>
      <c r="CC131" s="901" t="s">
        <v>410</v>
      </c>
      <c r="CD131" s="901" t="s">
        <v>410</v>
      </c>
      <c r="CE131" s="901" t="s">
        <v>410</v>
      </c>
      <c r="CF131" s="901" t="s">
        <v>410</v>
      </c>
      <c r="CG131" s="901" t="s">
        <v>410</v>
      </c>
      <c r="CH131" s="901">
        <v>42</v>
      </c>
      <c r="CI131" s="901" t="s">
        <v>410</v>
      </c>
      <c r="CJ131" s="901" t="s">
        <v>410</v>
      </c>
      <c r="CK131" s="901" t="s">
        <v>410</v>
      </c>
      <c r="CL131" s="901" t="s">
        <v>410</v>
      </c>
      <c r="CM131" s="901" t="s">
        <v>410</v>
      </c>
      <c r="CN131" s="901" t="s">
        <v>410</v>
      </c>
      <c r="CO131" s="901" t="s">
        <v>410</v>
      </c>
      <c r="CP131" s="901" t="s">
        <v>410</v>
      </c>
      <c r="CQ131" s="901" t="s">
        <v>410</v>
      </c>
      <c r="CR131" s="901" t="s">
        <v>410</v>
      </c>
      <c r="CS131" s="902">
        <f t="shared" si="46"/>
        <v>42</v>
      </c>
      <c r="CT131" s="871">
        <f t="shared" si="40"/>
        <v>42</v>
      </c>
      <c r="CU131" s="871">
        <f t="shared" si="41"/>
        <v>0</v>
      </c>
      <c r="CV131" s="942">
        <v>9.2309999999999999</v>
      </c>
      <c r="CW131" s="710" t="s">
        <v>3260</v>
      </c>
      <c r="CX131" s="710" t="s">
        <v>3271</v>
      </c>
      <c r="CY131" s="710"/>
      <c r="CZ131" s="710"/>
      <c r="DA131" s="710">
        <v>10</v>
      </c>
      <c r="DB131" s="963" t="s">
        <v>3273</v>
      </c>
      <c r="DC131" s="710" t="s">
        <v>279</v>
      </c>
      <c r="DD131" s="710" t="s">
        <v>279</v>
      </c>
      <c r="DE131" s="710" t="s">
        <v>279</v>
      </c>
      <c r="DF131" s="901"/>
      <c r="DG131" s="901" t="s">
        <v>279</v>
      </c>
      <c r="DH131" s="901">
        <v>3</v>
      </c>
      <c r="DI131" s="710" t="s">
        <v>279</v>
      </c>
      <c r="DJ131" s="710" t="s">
        <v>410</v>
      </c>
      <c r="DK131" s="901" t="s">
        <v>410</v>
      </c>
      <c r="DL131" s="710" t="s">
        <v>278</v>
      </c>
      <c r="DM131" s="710" t="s">
        <v>3283</v>
      </c>
      <c r="DN131" s="901">
        <v>378</v>
      </c>
      <c r="DO131" s="710" t="s">
        <v>279</v>
      </c>
      <c r="DP131" s="710" t="s">
        <v>410</v>
      </c>
      <c r="DQ131" s="901" t="s">
        <v>410</v>
      </c>
      <c r="DR131" s="710" t="s">
        <v>279</v>
      </c>
      <c r="DS131" s="710" t="s">
        <v>410</v>
      </c>
      <c r="DT131" s="901" t="s">
        <v>410</v>
      </c>
      <c r="DU131" s="710" t="s">
        <v>279</v>
      </c>
      <c r="DV131" s="710" t="s">
        <v>410</v>
      </c>
      <c r="DW131" s="901" t="s">
        <v>410</v>
      </c>
      <c r="DX131" s="710" t="s">
        <v>278</v>
      </c>
      <c r="DY131" s="710" t="s">
        <v>3291</v>
      </c>
      <c r="DZ131" s="901">
        <v>378</v>
      </c>
      <c r="EA131" s="710" t="s">
        <v>279</v>
      </c>
      <c r="EB131" s="710" t="s">
        <v>410</v>
      </c>
      <c r="EC131" s="901" t="s">
        <v>410</v>
      </c>
      <c r="ED131" s="710" t="s">
        <v>279</v>
      </c>
      <c r="EE131" s="710" t="s">
        <v>410</v>
      </c>
      <c r="EF131" s="901" t="s">
        <v>410</v>
      </c>
      <c r="EG131" s="710" t="s">
        <v>279</v>
      </c>
      <c r="EH131" s="710" t="s">
        <v>410</v>
      </c>
      <c r="EI131" s="901" t="s">
        <v>410</v>
      </c>
      <c r="EJ131" s="710" t="s">
        <v>279</v>
      </c>
      <c r="EK131" s="710" t="s">
        <v>410</v>
      </c>
      <c r="EL131" s="901" t="s">
        <v>410</v>
      </c>
      <c r="EM131" s="710" t="s">
        <v>278</v>
      </c>
      <c r="EN131" s="984" t="s">
        <v>3302</v>
      </c>
      <c r="EO131" s="901">
        <v>9</v>
      </c>
      <c r="EP131" s="710" t="s">
        <v>279</v>
      </c>
      <c r="EQ131" s="710" t="s">
        <v>410</v>
      </c>
      <c r="ER131" s="901" t="s">
        <v>410</v>
      </c>
      <c r="ES131" s="710" t="s">
        <v>278</v>
      </c>
      <c r="ET131" s="964" t="s">
        <v>3309</v>
      </c>
      <c r="EU131" s="901">
        <v>16943</v>
      </c>
      <c r="EV131" s="901"/>
      <c r="EW131" s="901"/>
      <c r="EX131" s="901"/>
      <c r="EY131" s="710" t="s">
        <v>279</v>
      </c>
      <c r="EZ131" s="710" t="s">
        <v>279</v>
      </c>
      <c r="FA131" s="710" t="s">
        <v>278</v>
      </c>
      <c r="FB131" s="710" t="s">
        <v>1990</v>
      </c>
      <c r="FC131" s="861" t="s">
        <v>3318</v>
      </c>
      <c r="FD131" s="710" t="s">
        <v>3327</v>
      </c>
      <c r="FE131" s="861" t="s">
        <v>3318</v>
      </c>
      <c r="FF131" s="710" t="s">
        <v>3345</v>
      </c>
      <c r="FG131" s="710" t="s">
        <v>3357</v>
      </c>
      <c r="FH131" s="710" t="s">
        <v>3366</v>
      </c>
      <c r="FI131" s="710">
        <v>378</v>
      </c>
      <c r="FJ131" s="710">
        <v>7235</v>
      </c>
      <c r="FK131" s="710" t="s">
        <v>3377</v>
      </c>
      <c r="FL131" s="710" t="s">
        <v>3390</v>
      </c>
      <c r="FM131" s="861" t="s">
        <v>3403</v>
      </c>
      <c r="FN131" s="710" t="s">
        <v>3416</v>
      </c>
      <c r="FO131" s="710" t="s">
        <v>3428</v>
      </c>
      <c r="FP131" s="861" t="s">
        <v>3439</v>
      </c>
    </row>
    <row r="132" spans="2:172" ht="84.5" customHeight="1">
      <c r="B132" s="850" t="s">
        <v>5313</v>
      </c>
      <c r="C132" s="863"/>
      <c r="D132" s="850" t="s">
        <v>4934</v>
      </c>
      <c r="E132" s="850" t="s">
        <v>5318</v>
      </c>
      <c r="F132" s="863"/>
      <c r="H132" s="850" t="s">
        <v>4934</v>
      </c>
      <c r="I132" s="850" t="s">
        <v>5520</v>
      </c>
      <c r="J132" s="850" t="s">
        <v>5443</v>
      </c>
      <c r="K132" s="710" t="s">
        <v>249</v>
      </c>
      <c r="L132" s="710" t="s">
        <v>3167</v>
      </c>
      <c r="M132" s="710" t="s">
        <v>3181</v>
      </c>
      <c r="N132" s="710" t="s">
        <v>3181</v>
      </c>
      <c r="O132" s="895">
        <v>2019</v>
      </c>
      <c r="P132" s="896">
        <v>43293</v>
      </c>
      <c r="Q132" s="896">
        <v>43830</v>
      </c>
      <c r="R132" s="712">
        <f t="shared" si="42"/>
        <v>537</v>
      </c>
      <c r="S132" s="896"/>
      <c r="T132" s="896"/>
      <c r="U132" s="896"/>
      <c r="V132" s="896"/>
      <c r="W132" s="896"/>
      <c r="X132" s="896"/>
      <c r="Y132" s="896"/>
      <c r="Z132" s="896"/>
      <c r="AA132" s="896"/>
      <c r="AB132" s="710" t="s">
        <v>3196</v>
      </c>
      <c r="AC132" s="861" t="s">
        <v>3210</v>
      </c>
      <c r="AD132" s="710" t="s">
        <v>3222</v>
      </c>
      <c r="AE132" s="710" t="s">
        <v>3222</v>
      </c>
      <c r="AF132" s="710" t="s">
        <v>3240</v>
      </c>
      <c r="AG132" s="710" t="s">
        <v>3248</v>
      </c>
      <c r="AH132" s="898">
        <v>3.25</v>
      </c>
      <c r="AI132" s="868">
        <f t="shared" si="24"/>
        <v>3.25</v>
      </c>
      <c r="AJ132" s="867">
        <f t="shared" si="25"/>
        <v>0</v>
      </c>
      <c r="AK132" s="898"/>
      <c r="AL132" s="898"/>
      <c r="AM132" s="898"/>
      <c r="AN132" s="869">
        <f t="shared" si="26"/>
        <v>0</v>
      </c>
      <c r="AO132" s="869">
        <f t="shared" si="27"/>
        <v>0</v>
      </c>
      <c r="AP132" s="898"/>
      <c r="AQ132" s="899">
        <v>1</v>
      </c>
      <c r="AR132" s="899">
        <v>9.9000000000000008E-3</v>
      </c>
      <c r="AS132" s="869">
        <f t="shared" si="28"/>
        <v>0</v>
      </c>
      <c r="AT132" s="869">
        <f t="shared" si="29"/>
        <v>1</v>
      </c>
      <c r="AU132" s="942">
        <v>3.25</v>
      </c>
      <c r="AV132" s="899">
        <v>1</v>
      </c>
      <c r="AW132" s="869">
        <f t="shared" si="30"/>
        <v>1</v>
      </c>
      <c r="AX132" s="869">
        <f t="shared" si="31"/>
        <v>0</v>
      </c>
      <c r="AY132" s="898">
        <v>0</v>
      </c>
      <c r="AZ132" s="899">
        <v>0</v>
      </c>
      <c r="BA132" s="869">
        <f t="shared" si="32"/>
        <v>0</v>
      </c>
      <c r="BB132" s="869">
        <f t="shared" si="33"/>
        <v>0</v>
      </c>
      <c r="BC132" s="898">
        <v>0</v>
      </c>
      <c r="BD132" s="899">
        <v>0</v>
      </c>
      <c r="BE132" s="869">
        <f t="shared" si="34"/>
        <v>0</v>
      </c>
      <c r="BF132" s="869">
        <f t="shared" si="35"/>
        <v>0</v>
      </c>
      <c r="BG132" s="899"/>
      <c r="BH132" s="899"/>
      <c r="BI132" s="899"/>
      <c r="BJ132" s="899"/>
      <c r="BK132" s="899"/>
      <c r="BL132" s="714">
        <f t="shared" si="36"/>
        <v>0</v>
      </c>
      <c r="BM132" s="869">
        <f t="shared" si="37"/>
        <v>0</v>
      </c>
      <c r="BN132" s="898"/>
      <c r="BO132" s="899"/>
      <c r="BP132" s="869">
        <f t="shared" si="38"/>
        <v>0</v>
      </c>
      <c r="BQ132" s="869">
        <f t="shared" si="39"/>
        <v>0</v>
      </c>
      <c r="BR132" s="899"/>
      <c r="BS132" s="899"/>
      <c r="BT132" s="898">
        <v>2.85</v>
      </c>
      <c r="BU132" s="899">
        <v>8.5000000000000006E-3</v>
      </c>
      <c r="BV132" s="901">
        <v>46</v>
      </c>
      <c r="BW132" s="901">
        <v>46</v>
      </c>
      <c r="BX132" s="901">
        <v>46</v>
      </c>
      <c r="BY132" s="901">
        <v>0</v>
      </c>
      <c r="BZ132" s="901">
        <v>0</v>
      </c>
      <c r="CA132" s="901">
        <v>0</v>
      </c>
      <c r="CB132" s="901">
        <v>0</v>
      </c>
      <c r="CC132" s="901">
        <v>0</v>
      </c>
      <c r="CD132" s="901">
        <v>0</v>
      </c>
      <c r="CE132" s="901">
        <v>0</v>
      </c>
      <c r="CF132" s="901">
        <v>0</v>
      </c>
      <c r="CG132" s="901">
        <v>0</v>
      </c>
      <c r="CH132" s="901">
        <v>4</v>
      </c>
      <c r="CI132" s="901">
        <v>42</v>
      </c>
      <c r="CJ132" s="901">
        <v>0</v>
      </c>
      <c r="CK132" s="901">
        <v>0</v>
      </c>
      <c r="CL132" s="901">
        <v>0</v>
      </c>
      <c r="CM132" s="901">
        <v>0</v>
      </c>
      <c r="CN132" s="901">
        <v>0</v>
      </c>
      <c r="CO132" s="901">
        <v>0</v>
      </c>
      <c r="CP132" s="901">
        <v>0</v>
      </c>
      <c r="CQ132" s="901">
        <v>0</v>
      </c>
      <c r="CR132" s="901">
        <v>0</v>
      </c>
      <c r="CS132" s="902">
        <f t="shared" si="46"/>
        <v>46</v>
      </c>
      <c r="CT132" s="871">
        <f t="shared" si="40"/>
        <v>46</v>
      </c>
      <c r="CU132" s="871">
        <f t="shared" si="41"/>
        <v>0</v>
      </c>
      <c r="CV132" s="942">
        <v>53.088000000000001</v>
      </c>
      <c r="CW132" s="710" t="s">
        <v>3261</v>
      </c>
      <c r="CX132" s="710"/>
      <c r="CY132" s="710"/>
      <c r="CZ132" s="710"/>
      <c r="DA132" s="710">
        <v>29.7</v>
      </c>
      <c r="DB132" s="899"/>
      <c r="DC132" s="710" t="s">
        <v>279</v>
      </c>
      <c r="DD132" s="710" t="s">
        <v>279</v>
      </c>
      <c r="DE132" s="710" t="s">
        <v>279</v>
      </c>
      <c r="DF132" s="710"/>
      <c r="DG132" s="710" t="s">
        <v>279</v>
      </c>
      <c r="DH132" s="710" t="s">
        <v>3281</v>
      </c>
      <c r="DI132" s="710" t="s">
        <v>278</v>
      </c>
      <c r="DJ132" s="710" t="s">
        <v>3282</v>
      </c>
      <c r="DK132" s="901">
        <v>91318</v>
      </c>
      <c r="DL132" s="710" t="s">
        <v>278</v>
      </c>
      <c r="DM132" s="710" t="s">
        <v>3284</v>
      </c>
      <c r="DN132" s="901">
        <v>7971</v>
      </c>
      <c r="DO132" s="710" t="s">
        <v>279</v>
      </c>
      <c r="DP132" s="710"/>
      <c r="DQ132" s="901"/>
      <c r="DR132" s="710" t="s">
        <v>279</v>
      </c>
      <c r="DS132" s="710"/>
      <c r="DT132" s="901"/>
      <c r="DU132" s="710" t="s">
        <v>279</v>
      </c>
      <c r="DV132" s="710"/>
      <c r="DW132" s="901"/>
      <c r="DX132" s="710" t="s">
        <v>279</v>
      </c>
      <c r="DY132" s="710"/>
      <c r="DZ132" s="901"/>
      <c r="EA132" s="710" t="s">
        <v>279</v>
      </c>
      <c r="EB132" s="710"/>
      <c r="EC132" s="901"/>
      <c r="ED132" s="710" t="s">
        <v>279</v>
      </c>
      <c r="EE132" s="710"/>
      <c r="EF132" s="901"/>
      <c r="EG132" s="710" t="s">
        <v>278</v>
      </c>
      <c r="EH132" s="710" t="s">
        <v>3299</v>
      </c>
      <c r="EI132" s="901">
        <v>53088</v>
      </c>
      <c r="EJ132" s="710" t="s">
        <v>278</v>
      </c>
      <c r="EK132" s="710" t="s">
        <v>3301</v>
      </c>
      <c r="EL132" s="901">
        <v>278</v>
      </c>
      <c r="EM132" s="710" t="s">
        <v>279</v>
      </c>
      <c r="EN132" s="710"/>
      <c r="EO132" s="901"/>
      <c r="EP132" s="710" t="s">
        <v>279</v>
      </c>
      <c r="EQ132" s="710"/>
      <c r="ER132" s="901"/>
      <c r="ES132" s="710" t="s">
        <v>279</v>
      </c>
      <c r="ET132" s="710"/>
      <c r="EU132" s="901"/>
      <c r="EV132" s="901"/>
      <c r="EW132" s="901"/>
      <c r="EX132" s="901"/>
      <c r="EY132" s="710" t="s">
        <v>279</v>
      </c>
      <c r="EZ132" s="710"/>
      <c r="FA132" s="710" t="s">
        <v>278</v>
      </c>
      <c r="FB132" s="710" t="s">
        <v>1990</v>
      </c>
      <c r="FC132" s="710"/>
      <c r="FD132" s="861" t="s">
        <v>3328</v>
      </c>
      <c r="FE132" s="861" t="s">
        <v>3337</v>
      </c>
      <c r="FF132" s="710" t="s">
        <v>3346</v>
      </c>
      <c r="FG132" s="710" t="s">
        <v>3358</v>
      </c>
      <c r="FH132" s="710" t="s">
        <v>3367</v>
      </c>
      <c r="FI132" s="710">
        <v>3</v>
      </c>
      <c r="FJ132" s="710">
        <v>60</v>
      </c>
      <c r="FK132" s="710" t="s">
        <v>3378</v>
      </c>
      <c r="FL132" s="710" t="s">
        <v>3391</v>
      </c>
      <c r="FM132" s="861" t="s">
        <v>3404</v>
      </c>
      <c r="FN132" s="710" t="s">
        <v>3417</v>
      </c>
      <c r="FO132" s="710" t="s">
        <v>3429</v>
      </c>
      <c r="FP132" s="861" t="s">
        <v>3440</v>
      </c>
    </row>
    <row r="133" spans="2:172" ht="85.5" customHeight="1">
      <c r="B133" s="850" t="s">
        <v>5313</v>
      </c>
      <c r="C133" s="863"/>
      <c r="D133" s="850" t="s">
        <v>4934</v>
      </c>
      <c r="E133" s="850" t="s">
        <v>5318</v>
      </c>
      <c r="F133" s="863"/>
      <c r="H133" s="850" t="s">
        <v>4934</v>
      </c>
      <c r="I133" s="850" t="s">
        <v>5520</v>
      </c>
      <c r="J133" s="850" t="s">
        <v>5443</v>
      </c>
      <c r="K133" s="710" t="s">
        <v>249</v>
      </c>
      <c r="L133" s="710" t="s">
        <v>3168</v>
      </c>
      <c r="M133" s="710" t="s">
        <v>3182</v>
      </c>
      <c r="N133" s="710" t="s">
        <v>3183</v>
      </c>
      <c r="O133" s="895">
        <v>2019</v>
      </c>
      <c r="P133" s="896">
        <v>43676</v>
      </c>
      <c r="Q133" s="896">
        <v>43830</v>
      </c>
      <c r="R133" s="712">
        <f t="shared" si="42"/>
        <v>154</v>
      </c>
      <c r="S133" s="896"/>
      <c r="T133" s="896"/>
      <c r="U133" s="896"/>
      <c r="V133" s="896"/>
      <c r="W133" s="896"/>
      <c r="X133" s="896"/>
      <c r="Y133" s="896"/>
      <c r="Z133" s="896"/>
      <c r="AA133" s="896"/>
      <c r="AB133" s="710" t="s">
        <v>3197</v>
      </c>
      <c r="AC133" s="964" t="s">
        <v>3211</v>
      </c>
      <c r="AD133" s="710" t="s">
        <v>3223</v>
      </c>
      <c r="AE133" s="710" t="s">
        <v>3223</v>
      </c>
      <c r="AF133" s="710" t="s">
        <v>3241</v>
      </c>
      <c r="AG133" s="710" t="s">
        <v>3249</v>
      </c>
      <c r="AH133" s="898">
        <v>3.9</v>
      </c>
      <c r="AI133" s="868">
        <f t="shared" si="24"/>
        <v>3.9</v>
      </c>
      <c r="AJ133" s="867">
        <f t="shared" si="25"/>
        <v>0</v>
      </c>
      <c r="AK133" s="898"/>
      <c r="AL133" s="898"/>
      <c r="AM133" s="898"/>
      <c r="AN133" s="869">
        <f t="shared" si="26"/>
        <v>0</v>
      </c>
      <c r="AO133" s="869">
        <f t="shared" si="27"/>
        <v>0</v>
      </c>
      <c r="AP133" s="898"/>
      <c r="AQ133" s="899">
        <v>1</v>
      </c>
      <c r="AR133" s="899">
        <v>2.1000000000000001E-2</v>
      </c>
      <c r="AS133" s="869">
        <f t="shared" si="28"/>
        <v>0</v>
      </c>
      <c r="AT133" s="869">
        <f t="shared" si="29"/>
        <v>1</v>
      </c>
      <c r="AU133" s="942">
        <v>3.9</v>
      </c>
      <c r="AV133" s="899">
        <v>1</v>
      </c>
      <c r="AW133" s="869">
        <f t="shared" si="30"/>
        <v>1</v>
      </c>
      <c r="AX133" s="869">
        <f t="shared" si="31"/>
        <v>0</v>
      </c>
      <c r="AY133" s="898">
        <v>0</v>
      </c>
      <c r="AZ133" s="899">
        <v>0</v>
      </c>
      <c r="BA133" s="869">
        <f t="shared" si="32"/>
        <v>0</v>
      </c>
      <c r="BB133" s="869">
        <f t="shared" si="33"/>
        <v>0</v>
      </c>
      <c r="BC133" s="898">
        <v>0</v>
      </c>
      <c r="BD133" s="899">
        <v>0</v>
      </c>
      <c r="BE133" s="869">
        <f t="shared" si="34"/>
        <v>0</v>
      </c>
      <c r="BF133" s="869">
        <f t="shared" si="35"/>
        <v>0</v>
      </c>
      <c r="BG133" s="899"/>
      <c r="BH133" s="899"/>
      <c r="BI133" s="899"/>
      <c r="BJ133" s="899"/>
      <c r="BK133" s="899"/>
      <c r="BL133" s="714">
        <f t="shared" si="36"/>
        <v>0</v>
      </c>
      <c r="BM133" s="869">
        <f t="shared" si="37"/>
        <v>0</v>
      </c>
      <c r="BN133" s="898">
        <v>0</v>
      </c>
      <c r="BO133" s="899">
        <v>0</v>
      </c>
      <c r="BP133" s="869">
        <f t="shared" si="38"/>
        <v>0</v>
      </c>
      <c r="BQ133" s="869">
        <f t="shared" si="39"/>
        <v>0</v>
      </c>
      <c r="BR133" s="899"/>
      <c r="BS133" s="899"/>
      <c r="BT133" s="898">
        <v>3.4</v>
      </c>
      <c r="BU133" s="899">
        <v>1.7000000000000001E-2</v>
      </c>
      <c r="BV133" s="901">
        <v>327</v>
      </c>
      <c r="BW133" s="901">
        <v>327</v>
      </c>
      <c r="BX133" s="901">
        <v>41</v>
      </c>
      <c r="BY133" s="901"/>
      <c r="BZ133" s="901"/>
      <c r="CA133" s="901"/>
      <c r="CB133" s="901"/>
      <c r="CC133" s="901"/>
      <c r="CD133" s="901"/>
      <c r="CE133" s="901"/>
      <c r="CF133" s="901"/>
      <c r="CG133" s="901"/>
      <c r="CH133" s="901">
        <v>41</v>
      </c>
      <c r="CI133" s="901"/>
      <c r="CJ133" s="901"/>
      <c r="CK133" s="901"/>
      <c r="CL133" s="901"/>
      <c r="CM133" s="901"/>
      <c r="CN133" s="901"/>
      <c r="CO133" s="901"/>
      <c r="CP133" s="901"/>
      <c r="CQ133" s="901"/>
      <c r="CR133" s="901"/>
      <c r="CS133" s="902">
        <f t="shared" si="46"/>
        <v>41</v>
      </c>
      <c r="CT133" s="871">
        <f t="shared" si="40"/>
        <v>41</v>
      </c>
      <c r="CU133" s="871">
        <f t="shared" si="41"/>
        <v>0</v>
      </c>
      <c r="CV133" s="942">
        <v>14.8</v>
      </c>
      <c r="CW133" s="710" t="s">
        <v>3262</v>
      </c>
      <c r="CX133" s="710"/>
      <c r="CY133" s="710"/>
      <c r="CZ133" s="710"/>
      <c r="DA133" s="710">
        <v>15.3</v>
      </c>
      <c r="DB133" s="899"/>
      <c r="DC133" s="710" t="s">
        <v>279</v>
      </c>
      <c r="DD133" s="710" t="s">
        <v>279</v>
      </c>
      <c r="DE133" s="710" t="s">
        <v>279</v>
      </c>
      <c r="DF133" s="901"/>
      <c r="DG133" s="901" t="s">
        <v>279</v>
      </c>
      <c r="DH133" s="901">
        <v>35</v>
      </c>
      <c r="DI133" s="710"/>
      <c r="DJ133" s="710"/>
      <c r="DK133" s="901"/>
      <c r="DL133" s="710" t="s">
        <v>278</v>
      </c>
      <c r="DM133" s="710" t="s">
        <v>3283</v>
      </c>
      <c r="DN133" s="901">
        <v>327</v>
      </c>
      <c r="DO133" s="710"/>
      <c r="DP133" s="710"/>
      <c r="DQ133" s="901"/>
      <c r="DR133" s="710"/>
      <c r="DS133" s="710"/>
      <c r="DT133" s="901"/>
      <c r="DU133" s="710"/>
      <c r="DV133" s="710"/>
      <c r="DW133" s="901"/>
      <c r="DX133" s="710"/>
      <c r="DY133" s="710"/>
      <c r="DZ133" s="901"/>
      <c r="EA133" s="710" t="s">
        <v>278</v>
      </c>
      <c r="EB133" s="710"/>
      <c r="EC133" s="901"/>
      <c r="ED133" s="710"/>
      <c r="EE133" s="710"/>
      <c r="EF133" s="901"/>
      <c r="EG133" s="710"/>
      <c r="EH133" s="710"/>
      <c r="EI133" s="901"/>
      <c r="EJ133" s="710"/>
      <c r="EK133" s="710"/>
      <c r="EL133" s="901"/>
      <c r="EM133" s="710" t="s">
        <v>278</v>
      </c>
      <c r="EN133" s="710" t="s">
        <v>3303</v>
      </c>
      <c r="EO133" s="901">
        <v>10</v>
      </c>
      <c r="EP133" s="710"/>
      <c r="EQ133" s="710"/>
      <c r="ER133" s="901"/>
      <c r="ES133" s="710"/>
      <c r="ET133" s="710"/>
      <c r="EU133" s="901"/>
      <c r="EV133" s="901"/>
      <c r="EW133" s="901"/>
      <c r="EX133" s="901"/>
      <c r="EY133" s="710" t="s">
        <v>279</v>
      </c>
      <c r="EZ133" s="710" t="s">
        <v>279</v>
      </c>
      <c r="FA133" s="710" t="s">
        <v>278</v>
      </c>
      <c r="FB133" s="710" t="s">
        <v>1990</v>
      </c>
      <c r="FC133" s="710"/>
      <c r="FD133" s="710"/>
      <c r="FE133" s="710" t="s">
        <v>3338</v>
      </c>
      <c r="FF133" s="710" t="s">
        <v>3347</v>
      </c>
      <c r="FG133" s="710"/>
      <c r="FH133" s="710"/>
      <c r="FI133" s="710"/>
      <c r="FJ133" s="710"/>
      <c r="FK133" s="710" t="s">
        <v>3379</v>
      </c>
      <c r="FL133" s="710" t="s">
        <v>3392</v>
      </c>
      <c r="FM133" s="861" t="s">
        <v>3405</v>
      </c>
      <c r="FN133" s="710" t="s">
        <v>3418</v>
      </c>
      <c r="FO133" s="710" t="s">
        <v>3430</v>
      </c>
      <c r="FP133" s="861" t="s">
        <v>3441</v>
      </c>
    </row>
    <row r="134" spans="2:172" ht="110.5" customHeight="1">
      <c r="B134" s="850" t="s">
        <v>5313</v>
      </c>
      <c r="C134" s="863"/>
      <c r="D134" s="850" t="s">
        <v>4934</v>
      </c>
      <c r="E134" s="850" t="s">
        <v>5318</v>
      </c>
      <c r="F134" s="863"/>
      <c r="H134" s="850" t="s">
        <v>4934</v>
      </c>
      <c r="I134" s="850" t="s">
        <v>5520</v>
      </c>
      <c r="J134" s="850" t="s">
        <v>5443</v>
      </c>
      <c r="K134" s="710" t="s">
        <v>249</v>
      </c>
      <c r="L134" s="710" t="s">
        <v>3169</v>
      </c>
      <c r="M134" s="710" t="s">
        <v>3180</v>
      </c>
      <c r="N134" s="710" t="s">
        <v>3192</v>
      </c>
      <c r="O134" s="895">
        <v>2019</v>
      </c>
      <c r="P134" s="896">
        <v>43311</v>
      </c>
      <c r="Q134" s="896">
        <v>43830</v>
      </c>
      <c r="R134" s="712">
        <f t="shared" si="42"/>
        <v>519</v>
      </c>
      <c r="S134" s="896"/>
      <c r="T134" s="896"/>
      <c r="U134" s="896"/>
      <c r="V134" s="896"/>
      <c r="W134" s="896"/>
      <c r="X134" s="896"/>
      <c r="Y134" s="896"/>
      <c r="Z134" s="896"/>
      <c r="AA134" s="896"/>
      <c r="AB134" s="708" t="s">
        <v>3198</v>
      </c>
      <c r="AC134" s="940" t="s">
        <v>3212</v>
      </c>
      <c r="AD134" s="710" t="s">
        <v>3224</v>
      </c>
      <c r="AE134" s="710" t="s">
        <v>3236</v>
      </c>
      <c r="AF134" s="708" t="s">
        <v>3242</v>
      </c>
      <c r="AG134" s="710" t="s">
        <v>3250</v>
      </c>
      <c r="AH134" s="898">
        <v>3</v>
      </c>
      <c r="AI134" s="868">
        <f t="shared" si="24"/>
        <v>3</v>
      </c>
      <c r="AJ134" s="867">
        <f t="shared" si="25"/>
        <v>0</v>
      </c>
      <c r="AK134" s="898"/>
      <c r="AL134" s="898"/>
      <c r="AM134" s="898"/>
      <c r="AN134" s="869">
        <f t="shared" si="26"/>
        <v>0</v>
      </c>
      <c r="AO134" s="869">
        <f t="shared" si="27"/>
        <v>0</v>
      </c>
      <c r="AP134" s="898"/>
      <c r="AQ134" s="899">
        <v>1</v>
      </c>
      <c r="AR134" s="899">
        <v>1</v>
      </c>
      <c r="AS134" s="869">
        <f t="shared" si="28"/>
        <v>0</v>
      </c>
      <c r="AT134" s="869">
        <f t="shared" si="29"/>
        <v>1</v>
      </c>
      <c r="AU134" s="942">
        <v>3</v>
      </c>
      <c r="AV134" s="899">
        <v>1</v>
      </c>
      <c r="AW134" s="869">
        <f t="shared" si="30"/>
        <v>1</v>
      </c>
      <c r="AX134" s="869">
        <f t="shared" si="31"/>
        <v>0</v>
      </c>
      <c r="AY134" s="898">
        <v>0</v>
      </c>
      <c r="AZ134" s="899">
        <v>0</v>
      </c>
      <c r="BA134" s="869">
        <f t="shared" si="32"/>
        <v>0</v>
      </c>
      <c r="BB134" s="869">
        <f t="shared" si="33"/>
        <v>0</v>
      </c>
      <c r="BC134" s="898">
        <v>0</v>
      </c>
      <c r="BD134" s="899">
        <v>0</v>
      </c>
      <c r="BE134" s="869">
        <f t="shared" si="34"/>
        <v>0</v>
      </c>
      <c r="BF134" s="869">
        <f t="shared" si="35"/>
        <v>0</v>
      </c>
      <c r="BG134" s="899"/>
      <c r="BH134" s="899"/>
      <c r="BI134" s="899"/>
      <c r="BJ134" s="899"/>
      <c r="BK134" s="899"/>
      <c r="BL134" s="714">
        <f t="shared" si="36"/>
        <v>0</v>
      </c>
      <c r="BM134" s="869">
        <f t="shared" si="37"/>
        <v>0</v>
      </c>
      <c r="BN134" s="898">
        <v>0</v>
      </c>
      <c r="BO134" s="899">
        <v>0</v>
      </c>
      <c r="BP134" s="869">
        <f t="shared" si="38"/>
        <v>0</v>
      </c>
      <c r="BQ134" s="869">
        <f t="shared" si="39"/>
        <v>0</v>
      </c>
      <c r="BR134" s="899"/>
      <c r="BS134" s="899"/>
      <c r="BT134" s="898">
        <v>0.3</v>
      </c>
      <c r="BU134" s="899">
        <v>1</v>
      </c>
      <c r="BV134" s="955">
        <v>249</v>
      </c>
      <c r="BW134" s="955">
        <v>249</v>
      </c>
      <c r="BX134" s="901">
        <v>30</v>
      </c>
      <c r="BY134" s="901">
        <v>0</v>
      </c>
      <c r="BZ134" s="901">
        <v>0</v>
      </c>
      <c r="CA134" s="901">
        <v>0</v>
      </c>
      <c r="CB134" s="901">
        <v>0</v>
      </c>
      <c r="CC134" s="901">
        <v>0</v>
      </c>
      <c r="CD134" s="901">
        <v>0</v>
      </c>
      <c r="CE134" s="901">
        <v>0</v>
      </c>
      <c r="CF134" s="901">
        <v>0</v>
      </c>
      <c r="CG134" s="901">
        <v>0</v>
      </c>
      <c r="CH134" s="901">
        <v>30</v>
      </c>
      <c r="CI134" s="901">
        <v>0</v>
      </c>
      <c r="CJ134" s="901">
        <v>0</v>
      </c>
      <c r="CK134" s="901">
        <v>0</v>
      </c>
      <c r="CL134" s="901">
        <v>0</v>
      </c>
      <c r="CM134" s="901">
        <v>0</v>
      </c>
      <c r="CN134" s="901">
        <v>0</v>
      </c>
      <c r="CO134" s="901">
        <v>0</v>
      </c>
      <c r="CP134" s="901">
        <v>0</v>
      </c>
      <c r="CQ134" s="901">
        <v>0</v>
      </c>
      <c r="CR134" s="901">
        <v>0</v>
      </c>
      <c r="CS134" s="902">
        <f t="shared" si="46"/>
        <v>30</v>
      </c>
      <c r="CT134" s="871">
        <f t="shared" si="40"/>
        <v>30</v>
      </c>
      <c r="CU134" s="871">
        <f t="shared" si="41"/>
        <v>0</v>
      </c>
      <c r="CV134" s="942">
        <v>28.8</v>
      </c>
      <c r="CW134" s="710" t="s">
        <v>3263</v>
      </c>
      <c r="CX134" s="710" t="s">
        <v>410</v>
      </c>
      <c r="CY134" s="710"/>
      <c r="CZ134" s="710"/>
      <c r="DA134" s="710">
        <v>18.52</v>
      </c>
      <c r="DB134" s="963" t="s">
        <v>3274</v>
      </c>
      <c r="DC134" s="710" t="s">
        <v>279</v>
      </c>
      <c r="DD134" s="710" t="s">
        <v>279</v>
      </c>
      <c r="DE134" s="710" t="s">
        <v>279</v>
      </c>
      <c r="DF134" s="901"/>
      <c r="DG134" s="901" t="s">
        <v>279</v>
      </c>
      <c r="DH134" s="901">
        <v>2</v>
      </c>
      <c r="DI134" s="710" t="s">
        <v>279</v>
      </c>
      <c r="DJ134" s="710" t="s">
        <v>279</v>
      </c>
      <c r="DK134" s="901" t="s">
        <v>279</v>
      </c>
      <c r="DL134" s="710" t="s">
        <v>278</v>
      </c>
      <c r="DM134" s="710" t="s">
        <v>3283</v>
      </c>
      <c r="DN134" s="901">
        <v>30</v>
      </c>
      <c r="DO134" s="710" t="s">
        <v>279</v>
      </c>
      <c r="DP134" s="710" t="s">
        <v>279</v>
      </c>
      <c r="DQ134" s="901" t="s">
        <v>279</v>
      </c>
      <c r="DR134" s="710" t="s">
        <v>279</v>
      </c>
      <c r="DS134" s="710" t="s">
        <v>279</v>
      </c>
      <c r="DT134" s="901" t="s">
        <v>279</v>
      </c>
      <c r="DU134" s="710" t="s">
        <v>279</v>
      </c>
      <c r="DV134" s="710" t="s">
        <v>279</v>
      </c>
      <c r="DW134" s="901" t="s">
        <v>279</v>
      </c>
      <c r="DX134" s="710" t="s">
        <v>279</v>
      </c>
      <c r="DY134" s="710" t="s">
        <v>279</v>
      </c>
      <c r="DZ134" s="901" t="s">
        <v>279</v>
      </c>
      <c r="EA134" s="710" t="s">
        <v>279</v>
      </c>
      <c r="EB134" s="710" t="s">
        <v>279</v>
      </c>
      <c r="EC134" s="901" t="s">
        <v>279</v>
      </c>
      <c r="ED134" s="710" t="s">
        <v>278</v>
      </c>
      <c r="EE134" s="710" t="s">
        <v>3297</v>
      </c>
      <c r="EF134" s="901"/>
      <c r="EG134" s="710" t="s">
        <v>279</v>
      </c>
      <c r="EH134" s="710" t="s">
        <v>279</v>
      </c>
      <c r="EI134" s="901" t="s">
        <v>279</v>
      </c>
      <c r="EJ134" s="710" t="s">
        <v>279</v>
      </c>
      <c r="EK134" s="710" t="s">
        <v>279</v>
      </c>
      <c r="EL134" s="901" t="s">
        <v>279</v>
      </c>
      <c r="EM134" s="710" t="s">
        <v>278</v>
      </c>
      <c r="EN134" s="984" t="s">
        <v>3304</v>
      </c>
      <c r="EO134" s="901">
        <v>9</v>
      </c>
      <c r="EP134" s="710" t="s">
        <v>279</v>
      </c>
      <c r="EQ134" s="710" t="s">
        <v>279</v>
      </c>
      <c r="ER134" s="901" t="s">
        <v>279</v>
      </c>
      <c r="ES134" s="710" t="s">
        <v>279</v>
      </c>
      <c r="ET134" s="710" t="s">
        <v>279</v>
      </c>
      <c r="EU134" s="901" t="s">
        <v>279</v>
      </c>
      <c r="EV134" s="901"/>
      <c r="EW134" s="901"/>
      <c r="EX134" s="901"/>
      <c r="EY134" s="710" t="s">
        <v>279</v>
      </c>
      <c r="EZ134" s="710" t="s">
        <v>279</v>
      </c>
      <c r="FA134" s="710" t="s">
        <v>278</v>
      </c>
      <c r="FB134" s="710" t="s">
        <v>1990</v>
      </c>
      <c r="FC134" s="861" t="s">
        <v>3319</v>
      </c>
      <c r="FD134" s="994" t="s">
        <v>3329</v>
      </c>
      <c r="FE134" s="861" t="s">
        <v>3337</v>
      </c>
      <c r="FF134" s="710" t="s">
        <v>3348</v>
      </c>
      <c r="FG134" s="710" t="s">
        <v>3359</v>
      </c>
      <c r="FH134" s="710" t="s">
        <v>3368</v>
      </c>
      <c r="FI134" s="710">
        <v>13</v>
      </c>
      <c r="FJ134" s="710">
        <v>728</v>
      </c>
      <c r="FK134" s="710" t="s">
        <v>3380</v>
      </c>
      <c r="FL134" s="710" t="s">
        <v>3393</v>
      </c>
      <c r="FM134" s="861" t="s">
        <v>3406</v>
      </c>
      <c r="FN134" s="710" t="s">
        <v>3419</v>
      </c>
      <c r="FO134" s="710" t="s">
        <v>3431</v>
      </c>
      <c r="FP134" s="861" t="s">
        <v>3442</v>
      </c>
    </row>
    <row r="135" spans="2:172" ht="90.5" customHeight="1">
      <c r="B135" s="850" t="s">
        <v>5313</v>
      </c>
      <c r="C135" s="863"/>
      <c r="D135" s="850" t="s">
        <v>4934</v>
      </c>
      <c r="E135" s="850" t="s">
        <v>5318</v>
      </c>
      <c r="F135" s="863"/>
      <c r="H135" s="850" t="s">
        <v>4934</v>
      </c>
      <c r="I135" s="850" t="s">
        <v>5520</v>
      </c>
      <c r="J135" s="850" t="s">
        <v>5443</v>
      </c>
      <c r="K135" s="710" t="s">
        <v>249</v>
      </c>
      <c r="L135" s="714" t="s">
        <v>3170</v>
      </c>
      <c r="M135" s="714" t="s">
        <v>3183</v>
      </c>
      <c r="N135" s="714" t="s">
        <v>3193</v>
      </c>
      <c r="O135" s="852">
        <v>2019</v>
      </c>
      <c r="P135" s="865">
        <v>43556</v>
      </c>
      <c r="Q135" s="865">
        <v>43738</v>
      </c>
      <c r="R135" s="712">
        <f t="shared" si="42"/>
        <v>182</v>
      </c>
      <c r="S135" s="865"/>
      <c r="T135" s="865"/>
      <c r="U135" s="865"/>
      <c r="V135" s="865"/>
      <c r="W135" s="865"/>
      <c r="X135" s="865"/>
      <c r="Y135" s="865"/>
      <c r="Z135" s="865"/>
      <c r="AA135" s="865"/>
      <c r="AB135" s="999" t="s">
        <v>3199</v>
      </c>
      <c r="AC135" s="861" t="s">
        <v>3213</v>
      </c>
      <c r="AD135" s="710" t="s">
        <v>3225</v>
      </c>
      <c r="AE135" s="710" t="s">
        <v>3225</v>
      </c>
      <c r="AF135" s="710" t="s">
        <v>454</v>
      </c>
      <c r="AG135" s="710" t="s">
        <v>3251</v>
      </c>
      <c r="AH135" s="898">
        <v>2.2999999999999998</v>
      </c>
      <c r="AI135" s="868">
        <f t="shared" si="24"/>
        <v>2.2999999999999998</v>
      </c>
      <c r="AJ135" s="867">
        <f t="shared" si="25"/>
        <v>0</v>
      </c>
      <c r="AK135" s="898"/>
      <c r="AL135" s="898"/>
      <c r="AM135" s="898"/>
      <c r="AN135" s="869">
        <f t="shared" si="26"/>
        <v>0</v>
      </c>
      <c r="AO135" s="869">
        <f t="shared" si="27"/>
        <v>0</v>
      </c>
      <c r="AP135" s="898"/>
      <c r="AQ135" s="899">
        <v>1</v>
      </c>
      <c r="AR135" s="899">
        <v>1.4E-2</v>
      </c>
      <c r="AS135" s="869">
        <f t="shared" si="28"/>
        <v>0</v>
      </c>
      <c r="AT135" s="869">
        <f t="shared" si="29"/>
        <v>1</v>
      </c>
      <c r="AU135" s="942">
        <v>2.2999999999999998</v>
      </c>
      <c r="AV135" s="899">
        <v>1</v>
      </c>
      <c r="AW135" s="869">
        <f t="shared" si="30"/>
        <v>1</v>
      </c>
      <c r="AX135" s="869">
        <f t="shared" si="31"/>
        <v>0</v>
      </c>
      <c r="AY135" s="898">
        <v>0</v>
      </c>
      <c r="AZ135" s="899">
        <v>0</v>
      </c>
      <c r="BA135" s="869">
        <f t="shared" si="32"/>
        <v>0</v>
      </c>
      <c r="BB135" s="869">
        <f t="shared" si="33"/>
        <v>0</v>
      </c>
      <c r="BC135" s="898">
        <v>0</v>
      </c>
      <c r="BD135" s="899">
        <v>0</v>
      </c>
      <c r="BE135" s="869">
        <f t="shared" si="34"/>
        <v>0</v>
      </c>
      <c r="BF135" s="869">
        <f t="shared" si="35"/>
        <v>0</v>
      </c>
      <c r="BG135" s="899"/>
      <c r="BH135" s="899"/>
      <c r="BI135" s="899"/>
      <c r="BJ135" s="899"/>
      <c r="BK135" s="899"/>
      <c r="BL135" s="714">
        <f t="shared" si="36"/>
        <v>0</v>
      </c>
      <c r="BM135" s="869">
        <f t="shared" si="37"/>
        <v>0</v>
      </c>
      <c r="BN135" s="898">
        <v>0</v>
      </c>
      <c r="BO135" s="899">
        <v>0</v>
      </c>
      <c r="BP135" s="869">
        <f t="shared" si="38"/>
        <v>0</v>
      </c>
      <c r="BQ135" s="869">
        <f t="shared" si="39"/>
        <v>0</v>
      </c>
      <c r="BR135" s="899"/>
      <c r="BS135" s="899"/>
      <c r="BT135" s="898">
        <v>2.4</v>
      </c>
      <c r="BU135" s="899">
        <v>1.0999999999999999E-2</v>
      </c>
      <c r="BV135" s="901">
        <v>209</v>
      </c>
      <c r="BW135" s="901">
        <v>24</v>
      </c>
      <c r="BX135" s="901">
        <v>24</v>
      </c>
      <c r="BY135" s="901"/>
      <c r="BZ135" s="901"/>
      <c r="CA135" s="901"/>
      <c r="CB135" s="901"/>
      <c r="CC135" s="901"/>
      <c r="CD135" s="901"/>
      <c r="CE135" s="901"/>
      <c r="CF135" s="901"/>
      <c r="CG135" s="901"/>
      <c r="CH135" s="901">
        <v>24</v>
      </c>
      <c r="CI135" s="901"/>
      <c r="CJ135" s="901"/>
      <c r="CK135" s="901"/>
      <c r="CL135" s="901"/>
      <c r="CM135" s="901"/>
      <c r="CN135" s="901"/>
      <c r="CO135" s="901"/>
      <c r="CP135" s="901"/>
      <c r="CQ135" s="901"/>
      <c r="CR135" s="901"/>
      <c r="CS135" s="902">
        <f t="shared" si="46"/>
        <v>24</v>
      </c>
      <c r="CT135" s="871">
        <f t="shared" si="40"/>
        <v>24</v>
      </c>
      <c r="CU135" s="871">
        <f t="shared" si="41"/>
        <v>0</v>
      </c>
      <c r="CV135" s="942">
        <v>22</v>
      </c>
      <c r="CW135" s="710" t="s">
        <v>3264</v>
      </c>
      <c r="CX135" s="710"/>
      <c r="CY135" s="710"/>
      <c r="CZ135" s="710"/>
      <c r="DA135" s="710" t="s">
        <v>3272</v>
      </c>
      <c r="DB135" s="963" t="s">
        <v>3275</v>
      </c>
      <c r="DC135" s="710" t="s">
        <v>279</v>
      </c>
      <c r="DD135" s="710"/>
      <c r="DE135" s="710"/>
      <c r="DF135" s="901"/>
      <c r="DG135" s="901"/>
      <c r="DH135" s="901">
        <v>5</v>
      </c>
      <c r="DI135" s="710"/>
      <c r="DJ135" s="710"/>
      <c r="DK135" s="901"/>
      <c r="DL135" s="710" t="s">
        <v>278</v>
      </c>
      <c r="DM135" s="710" t="s">
        <v>3285</v>
      </c>
      <c r="DN135" s="901">
        <v>22294</v>
      </c>
      <c r="DO135" s="710"/>
      <c r="DP135" s="710"/>
      <c r="DQ135" s="901"/>
      <c r="DR135" s="710"/>
      <c r="DS135" s="710"/>
      <c r="DT135" s="901"/>
      <c r="DU135" s="710"/>
      <c r="DV135" s="710"/>
      <c r="DW135" s="901"/>
      <c r="DX135" s="710"/>
      <c r="DY135" s="710"/>
      <c r="DZ135" s="901"/>
      <c r="EA135" s="710"/>
      <c r="EB135" s="710"/>
      <c r="EC135" s="901"/>
      <c r="ED135" s="710" t="s">
        <v>278</v>
      </c>
      <c r="EE135" s="710" t="s">
        <v>3298</v>
      </c>
      <c r="EF135" s="901">
        <v>22294</v>
      </c>
      <c r="EG135" s="710"/>
      <c r="EH135" s="710"/>
      <c r="EI135" s="901"/>
      <c r="EJ135" s="710"/>
      <c r="EK135" s="710"/>
      <c r="EL135" s="901"/>
      <c r="EM135" s="710"/>
      <c r="EN135" s="710"/>
      <c r="EO135" s="901"/>
      <c r="EP135" s="710"/>
      <c r="EQ135" s="710"/>
      <c r="ER135" s="901"/>
      <c r="ES135" s="710"/>
      <c r="ET135" s="710"/>
      <c r="EU135" s="901"/>
      <c r="EV135" s="901"/>
      <c r="EW135" s="901"/>
      <c r="EX135" s="901"/>
      <c r="EY135" s="710" t="s">
        <v>279</v>
      </c>
      <c r="EZ135" s="710"/>
      <c r="FA135" s="710" t="s">
        <v>279</v>
      </c>
      <c r="FB135" s="710"/>
      <c r="FC135" s="948" t="s">
        <v>3320</v>
      </c>
      <c r="FD135" s="940" t="s">
        <v>3330</v>
      </c>
      <c r="FE135" s="710" t="s">
        <v>3339</v>
      </c>
      <c r="FF135" s="710" t="s">
        <v>3349</v>
      </c>
      <c r="FG135" s="710" t="s">
        <v>3360</v>
      </c>
      <c r="FH135" s="710" t="s">
        <v>3369</v>
      </c>
      <c r="FI135" s="710">
        <v>10</v>
      </c>
      <c r="FJ135" s="710">
        <v>245</v>
      </c>
      <c r="FK135" s="710" t="s">
        <v>3381</v>
      </c>
      <c r="FL135" s="710" t="s">
        <v>3394</v>
      </c>
      <c r="FM135" s="861" t="s">
        <v>3407</v>
      </c>
      <c r="FN135" s="710" t="s">
        <v>3420</v>
      </c>
      <c r="FO135" s="710" t="s">
        <v>3432</v>
      </c>
      <c r="FP135" s="861" t="s">
        <v>3443</v>
      </c>
    </row>
    <row r="136" spans="2:172" ht="88" customHeight="1">
      <c r="B136" s="850" t="s">
        <v>5313</v>
      </c>
      <c r="C136" s="863"/>
      <c r="D136" s="850" t="s">
        <v>4934</v>
      </c>
      <c r="E136" s="850" t="s">
        <v>5323</v>
      </c>
      <c r="F136" s="863"/>
      <c r="H136" s="850" t="s">
        <v>4934</v>
      </c>
      <c r="I136" s="850" t="s">
        <v>5520</v>
      </c>
      <c r="J136" s="850" t="s">
        <v>5443</v>
      </c>
      <c r="K136" s="710" t="s">
        <v>249</v>
      </c>
      <c r="L136" s="710" t="s">
        <v>3171</v>
      </c>
      <c r="M136" s="710" t="s">
        <v>3184</v>
      </c>
      <c r="N136" s="710"/>
      <c r="O136" s="895">
        <v>2019</v>
      </c>
      <c r="P136" s="896">
        <v>43293</v>
      </c>
      <c r="Q136" s="896">
        <v>43830</v>
      </c>
      <c r="R136" s="712">
        <f t="shared" si="42"/>
        <v>537</v>
      </c>
      <c r="S136" s="896"/>
      <c r="T136" s="896"/>
      <c r="U136" s="896"/>
      <c r="V136" s="896"/>
      <c r="W136" s="896"/>
      <c r="X136" s="896"/>
      <c r="Y136" s="896"/>
      <c r="Z136" s="896"/>
      <c r="AA136" s="896"/>
      <c r="AB136" s="710" t="s">
        <v>3200</v>
      </c>
      <c r="AC136" s="710" t="s">
        <v>3214</v>
      </c>
      <c r="AD136" s="710" t="s">
        <v>3226</v>
      </c>
      <c r="AE136" s="710" t="s">
        <v>3226</v>
      </c>
      <c r="AF136" s="710" t="s">
        <v>454</v>
      </c>
      <c r="AG136" s="710" t="s">
        <v>3252</v>
      </c>
      <c r="AH136" s="898">
        <v>4.5999999999999996</v>
      </c>
      <c r="AI136" s="868">
        <f t="shared" si="24"/>
        <v>4.5999999999999996</v>
      </c>
      <c r="AJ136" s="867">
        <f t="shared" si="25"/>
        <v>0</v>
      </c>
      <c r="AK136" s="898"/>
      <c r="AL136" s="898"/>
      <c r="AM136" s="898"/>
      <c r="AN136" s="869">
        <f t="shared" si="26"/>
        <v>0</v>
      </c>
      <c r="AO136" s="869">
        <f t="shared" si="27"/>
        <v>0</v>
      </c>
      <c r="AP136" s="898"/>
      <c r="AQ136" s="899">
        <v>1</v>
      </c>
      <c r="AR136" s="899">
        <v>2.3E-2</v>
      </c>
      <c r="AS136" s="869">
        <f t="shared" si="28"/>
        <v>0</v>
      </c>
      <c r="AT136" s="869">
        <f t="shared" si="29"/>
        <v>1</v>
      </c>
      <c r="AU136" s="942">
        <v>4.5999999999999996</v>
      </c>
      <c r="AV136" s="899">
        <v>1</v>
      </c>
      <c r="AW136" s="869">
        <f t="shared" si="30"/>
        <v>1</v>
      </c>
      <c r="AX136" s="869">
        <f t="shared" si="31"/>
        <v>0</v>
      </c>
      <c r="AY136" s="898">
        <v>0</v>
      </c>
      <c r="AZ136" s="899">
        <v>0</v>
      </c>
      <c r="BA136" s="869">
        <f t="shared" si="32"/>
        <v>0</v>
      </c>
      <c r="BB136" s="869">
        <f t="shared" si="33"/>
        <v>0</v>
      </c>
      <c r="BC136" s="898">
        <v>0</v>
      </c>
      <c r="BD136" s="899">
        <v>0</v>
      </c>
      <c r="BE136" s="869">
        <f t="shared" si="34"/>
        <v>0</v>
      </c>
      <c r="BF136" s="869">
        <f t="shared" si="35"/>
        <v>0</v>
      </c>
      <c r="BG136" s="899"/>
      <c r="BH136" s="899"/>
      <c r="BI136" s="899"/>
      <c r="BJ136" s="899"/>
      <c r="BK136" s="899"/>
      <c r="BL136" s="714">
        <f t="shared" si="36"/>
        <v>0</v>
      </c>
      <c r="BM136" s="869">
        <f t="shared" si="37"/>
        <v>0</v>
      </c>
      <c r="BN136" s="898">
        <v>0</v>
      </c>
      <c r="BO136" s="899">
        <v>0</v>
      </c>
      <c r="BP136" s="869">
        <f t="shared" si="38"/>
        <v>0</v>
      </c>
      <c r="BQ136" s="869">
        <f t="shared" si="39"/>
        <v>0</v>
      </c>
      <c r="BR136" s="899"/>
      <c r="BS136" s="899"/>
      <c r="BT136" s="898">
        <v>5.0999999999999996</v>
      </c>
      <c r="BU136" s="899">
        <v>1.9E-2</v>
      </c>
      <c r="BV136" s="901">
        <v>439</v>
      </c>
      <c r="BW136" s="901">
        <v>439</v>
      </c>
      <c r="BX136" s="901">
        <v>47</v>
      </c>
      <c r="BY136" s="901"/>
      <c r="BZ136" s="901"/>
      <c r="CA136" s="901"/>
      <c r="CB136" s="901"/>
      <c r="CC136" s="901"/>
      <c r="CD136" s="901"/>
      <c r="CE136" s="901"/>
      <c r="CF136" s="901"/>
      <c r="CG136" s="901"/>
      <c r="CH136" s="901">
        <v>33</v>
      </c>
      <c r="CI136" s="901">
        <v>14</v>
      </c>
      <c r="CJ136" s="901"/>
      <c r="CK136" s="901"/>
      <c r="CL136" s="901"/>
      <c r="CM136" s="901"/>
      <c r="CN136" s="901"/>
      <c r="CO136" s="901"/>
      <c r="CP136" s="901"/>
      <c r="CQ136" s="901"/>
      <c r="CR136" s="901"/>
      <c r="CS136" s="902">
        <f t="shared" si="46"/>
        <v>47</v>
      </c>
      <c r="CT136" s="871">
        <f t="shared" si="40"/>
        <v>47</v>
      </c>
      <c r="CU136" s="871">
        <f t="shared" si="41"/>
        <v>0</v>
      </c>
      <c r="CV136" s="942">
        <v>3.7</v>
      </c>
      <c r="CW136" s="710" t="s">
        <v>3265</v>
      </c>
      <c r="CX136" s="710"/>
      <c r="CY136" s="710"/>
      <c r="CZ136" s="710"/>
      <c r="DA136" s="899">
        <v>3.0800000000000001E-2</v>
      </c>
      <c r="DB136" s="940" t="s">
        <v>1507</v>
      </c>
      <c r="DC136" s="710" t="s">
        <v>279</v>
      </c>
      <c r="DD136" s="710"/>
      <c r="DE136" s="710"/>
      <c r="DF136" s="901"/>
      <c r="DG136" s="901"/>
      <c r="DH136" s="901">
        <v>52</v>
      </c>
      <c r="DI136" s="710" t="s">
        <v>279</v>
      </c>
      <c r="DJ136" s="710"/>
      <c r="DK136" s="901"/>
      <c r="DL136" s="710" t="s">
        <v>278</v>
      </c>
      <c r="DM136" s="710" t="s">
        <v>3286</v>
      </c>
      <c r="DN136" s="901">
        <v>5489</v>
      </c>
      <c r="DO136" s="710" t="s">
        <v>279</v>
      </c>
      <c r="DP136" s="710"/>
      <c r="DQ136" s="901"/>
      <c r="DR136" s="710" t="s">
        <v>279</v>
      </c>
      <c r="DS136" s="710"/>
      <c r="DT136" s="901"/>
      <c r="DU136" s="710" t="s">
        <v>279</v>
      </c>
      <c r="DV136" s="710"/>
      <c r="DW136" s="901"/>
      <c r="DX136" s="710" t="s">
        <v>279</v>
      </c>
      <c r="DY136" s="710"/>
      <c r="DZ136" s="901"/>
      <c r="EA136" s="710" t="s">
        <v>279</v>
      </c>
      <c r="EB136" s="710"/>
      <c r="EC136" s="901"/>
      <c r="ED136" s="710" t="s">
        <v>279</v>
      </c>
      <c r="EE136" s="710"/>
      <c r="EF136" s="901"/>
      <c r="EG136" s="710" t="s">
        <v>278</v>
      </c>
      <c r="EH136" s="710" t="s">
        <v>3300</v>
      </c>
      <c r="EI136" s="901">
        <v>22415</v>
      </c>
      <c r="EJ136" s="710" t="s">
        <v>279</v>
      </c>
      <c r="EK136" s="710"/>
      <c r="EL136" s="901"/>
      <c r="EM136" s="710" t="s">
        <v>279</v>
      </c>
      <c r="EN136" s="710"/>
      <c r="EO136" s="901"/>
      <c r="EP136" s="710" t="s">
        <v>279</v>
      </c>
      <c r="EQ136" s="710"/>
      <c r="ER136" s="901"/>
      <c r="ES136" s="710" t="s">
        <v>279</v>
      </c>
      <c r="ET136" s="710"/>
      <c r="EU136" s="901"/>
      <c r="EV136" s="901"/>
      <c r="EW136" s="901"/>
      <c r="EX136" s="901"/>
      <c r="EY136" s="710" t="s">
        <v>279</v>
      </c>
      <c r="EZ136" s="710"/>
      <c r="FA136" s="710" t="s">
        <v>278</v>
      </c>
      <c r="FB136" s="710" t="s">
        <v>1990</v>
      </c>
      <c r="FC136" s="861" t="s">
        <v>3214</v>
      </c>
      <c r="FD136" s="861" t="s">
        <v>3331</v>
      </c>
      <c r="FE136" s="861" t="s">
        <v>3340</v>
      </c>
      <c r="FF136" s="710" t="s">
        <v>3350</v>
      </c>
      <c r="FG136" s="710" t="s">
        <v>3361</v>
      </c>
      <c r="FH136" s="710" t="s">
        <v>3370</v>
      </c>
      <c r="FI136" s="710">
        <v>8</v>
      </c>
      <c r="FJ136" s="710">
        <v>1200</v>
      </c>
      <c r="FK136" s="710" t="s">
        <v>3382</v>
      </c>
      <c r="FL136" s="710" t="s">
        <v>3395</v>
      </c>
      <c r="FM136" s="861" t="s">
        <v>3408</v>
      </c>
      <c r="FN136" s="710" t="s">
        <v>3421</v>
      </c>
      <c r="FO136" s="710" t="s">
        <v>3433</v>
      </c>
      <c r="FP136" s="861" t="s">
        <v>3408</v>
      </c>
    </row>
    <row r="137" spans="2:172" ht="102" customHeight="1">
      <c r="B137" s="850" t="s">
        <v>5313</v>
      </c>
      <c r="C137" s="863"/>
      <c r="D137" s="850" t="s">
        <v>4934</v>
      </c>
      <c r="E137" s="850" t="s">
        <v>5318</v>
      </c>
      <c r="F137" s="863"/>
      <c r="H137" s="850" t="s">
        <v>4934</v>
      </c>
      <c r="I137" s="850" t="s">
        <v>5520</v>
      </c>
      <c r="J137" s="850" t="s">
        <v>5443</v>
      </c>
      <c r="K137" s="710" t="s">
        <v>249</v>
      </c>
      <c r="L137" s="710" t="s">
        <v>3172</v>
      </c>
      <c r="M137" s="710" t="s">
        <v>3185</v>
      </c>
      <c r="N137" s="710" t="s">
        <v>3183</v>
      </c>
      <c r="O137" s="895">
        <v>2019</v>
      </c>
      <c r="P137" s="896">
        <v>43293</v>
      </c>
      <c r="Q137" s="896">
        <v>44075</v>
      </c>
      <c r="R137" s="712">
        <f t="shared" si="42"/>
        <v>782</v>
      </c>
      <c r="S137" s="896"/>
      <c r="T137" s="896"/>
      <c r="U137" s="896"/>
      <c r="V137" s="896"/>
      <c r="W137" s="896"/>
      <c r="X137" s="896"/>
      <c r="Y137" s="896"/>
      <c r="Z137" s="896"/>
      <c r="AA137" s="896"/>
      <c r="AB137" s="710" t="s">
        <v>3201</v>
      </c>
      <c r="AC137" s="861" t="s">
        <v>3215</v>
      </c>
      <c r="AD137" s="710" t="s">
        <v>3227</v>
      </c>
      <c r="AE137" s="710" t="s">
        <v>3227</v>
      </c>
      <c r="AF137" s="710" t="s">
        <v>3243</v>
      </c>
      <c r="AG137" s="710" t="s">
        <v>3253</v>
      </c>
      <c r="AH137" s="898">
        <v>6.2</v>
      </c>
      <c r="AI137" s="868">
        <f t="shared" ref="AI137:AI200" si="47">AK137+AU137+AY137+BC137+BG137+AP137+BN137</f>
        <v>6.2</v>
      </c>
      <c r="AJ137" s="867">
        <f t="shared" si="25"/>
        <v>0</v>
      </c>
      <c r="AK137" s="898"/>
      <c r="AL137" s="898"/>
      <c r="AM137" s="898"/>
      <c r="AN137" s="869">
        <f t="shared" si="26"/>
        <v>0</v>
      </c>
      <c r="AO137" s="869">
        <f t="shared" si="27"/>
        <v>0</v>
      </c>
      <c r="AP137" s="898"/>
      <c r="AQ137" s="899">
        <v>1</v>
      </c>
      <c r="AR137" s="899">
        <v>2.3E-2</v>
      </c>
      <c r="AS137" s="869">
        <f t="shared" si="28"/>
        <v>0</v>
      </c>
      <c r="AT137" s="869">
        <f t="shared" si="29"/>
        <v>1</v>
      </c>
      <c r="AU137" s="942">
        <v>6.2</v>
      </c>
      <c r="AV137" s="899">
        <v>1</v>
      </c>
      <c r="AW137" s="869">
        <f t="shared" si="30"/>
        <v>1</v>
      </c>
      <c r="AX137" s="869">
        <f t="shared" si="31"/>
        <v>0</v>
      </c>
      <c r="AY137" s="898">
        <v>0</v>
      </c>
      <c r="AZ137" s="899">
        <v>0</v>
      </c>
      <c r="BA137" s="869">
        <f t="shared" si="32"/>
        <v>0</v>
      </c>
      <c r="BB137" s="869">
        <f t="shared" si="33"/>
        <v>0</v>
      </c>
      <c r="BC137" s="898">
        <v>0</v>
      </c>
      <c r="BD137" s="899">
        <v>0</v>
      </c>
      <c r="BE137" s="869">
        <f t="shared" si="34"/>
        <v>0</v>
      </c>
      <c r="BF137" s="869">
        <f t="shared" si="35"/>
        <v>0</v>
      </c>
      <c r="BG137" s="899"/>
      <c r="BH137" s="899"/>
      <c r="BI137" s="899"/>
      <c r="BJ137" s="899"/>
      <c r="BK137" s="899"/>
      <c r="BL137" s="714">
        <f t="shared" si="36"/>
        <v>0</v>
      </c>
      <c r="BM137" s="869">
        <f t="shared" si="37"/>
        <v>0</v>
      </c>
      <c r="BN137" s="898">
        <v>0</v>
      </c>
      <c r="BO137" s="899">
        <v>0</v>
      </c>
      <c r="BP137" s="869">
        <f t="shared" si="38"/>
        <v>0</v>
      </c>
      <c r="BQ137" s="869">
        <f t="shared" si="39"/>
        <v>0</v>
      </c>
      <c r="BR137" s="899"/>
      <c r="BS137" s="899"/>
      <c r="BT137" s="898">
        <v>9</v>
      </c>
      <c r="BU137" s="899">
        <v>2.1999999999999999E-2</v>
      </c>
      <c r="BV137" s="955">
        <v>793</v>
      </c>
      <c r="BW137" s="955">
        <v>793</v>
      </c>
      <c r="BX137" s="901">
        <v>100</v>
      </c>
      <c r="BY137" s="901">
        <v>0</v>
      </c>
      <c r="BZ137" s="901">
        <v>0</v>
      </c>
      <c r="CA137" s="901">
        <v>0</v>
      </c>
      <c r="CB137" s="901">
        <v>0</v>
      </c>
      <c r="CC137" s="901">
        <v>0</v>
      </c>
      <c r="CD137" s="901">
        <v>0</v>
      </c>
      <c r="CE137" s="901">
        <v>0</v>
      </c>
      <c r="CF137" s="901">
        <v>0</v>
      </c>
      <c r="CG137" s="901">
        <v>14</v>
      </c>
      <c r="CH137" s="901">
        <v>0</v>
      </c>
      <c r="CI137" s="901">
        <v>38</v>
      </c>
      <c r="CJ137" s="901">
        <v>48</v>
      </c>
      <c r="CK137" s="901">
        <v>0</v>
      </c>
      <c r="CL137" s="901">
        <v>0</v>
      </c>
      <c r="CM137" s="901">
        <v>0</v>
      </c>
      <c r="CN137" s="901">
        <v>0</v>
      </c>
      <c r="CO137" s="901">
        <v>0</v>
      </c>
      <c r="CP137" s="901">
        <v>0</v>
      </c>
      <c r="CQ137" s="901">
        <v>0</v>
      </c>
      <c r="CR137" s="901">
        <v>0</v>
      </c>
      <c r="CS137" s="902">
        <f t="shared" si="46"/>
        <v>100</v>
      </c>
      <c r="CT137" s="871">
        <f t="shared" si="40"/>
        <v>100</v>
      </c>
      <c r="CU137" s="871">
        <f t="shared" si="41"/>
        <v>0</v>
      </c>
      <c r="CV137" s="942">
        <v>15.286</v>
      </c>
      <c r="CW137" s="710" t="s">
        <v>3266</v>
      </c>
      <c r="CX137" s="710"/>
      <c r="CY137" s="710"/>
      <c r="CZ137" s="710"/>
      <c r="DA137" s="942">
        <v>5.57</v>
      </c>
      <c r="DB137" s="940" t="s">
        <v>1507</v>
      </c>
      <c r="DC137" s="710" t="s">
        <v>279</v>
      </c>
      <c r="DD137" s="710"/>
      <c r="DE137" s="710"/>
      <c r="DF137" s="901"/>
      <c r="DG137" s="901"/>
      <c r="DH137" s="901">
        <v>6</v>
      </c>
      <c r="DI137" s="710"/>
      <c r="DJ137" s="710"/>
      <c r="DK137" s="901"/>
      <c r="DL137" s="710" t="s">
        <v>278</v>
      </c>
      <c r="DM137" s="710" t="s">
        <v>3287</v>
      </c>
      <c r="DN137" s="901">
        <v>793</v>
      </c>
      <c r="DO137" s="710"/>
      <c r="DP137" s="710" t="s">
        <v>279</v>
      </c>
      <c r="DQ137" s="901"/>
      <c r="DR137" s="710" t="s">
        <v>279</v>
      </c>
      <c r="DS137" s="710"/>
      <c r="DT137" s="901"/>
      <c r="DU137" s="710" t="s">
        <v>279</v>
      </c>
      <c r="DV137" s="710"/>
      <c r="DW137" s="901"/>
      <c r="DX137" s="710" t="s">
        <v>278</v>
      </c>
      <c r="DY137" s="710" t="s">
        <v>3292</v>
      </c>
      <c r="DZ137" s="901"/>
      <c r="EA137" s="710" t="s">
        <v>279</v>
      </c>
      <c r="EB137" s="710" t="s">
        <v>279</v>
      </c>
      <c r="EC137" s="901"/>
      <c r="ED137" s="710" t="s">
        <v>279</v>
      </c>
      <c r="EE137" s="710"/>
      <c r="EF137" s="901"/>
      <c r="EG137" s="710" t="s">
        <v>279</v>
      </c>
      <c r="EH137" s="710"/>
      <c r="EI137" s="901"/>
      <c r="EJ137" s="710" t="s">
        <v>279</v>
      </c>
      <c r="EK137" s="710"/>
      <c r="EL137" s="901"/>
      <c r="EM137" s="710" t="s">
        <v>278</v>
      </c>
      <c r="EN137" s="710" t="s">
        <v>3305</v>
      </c>
      <c r="EO137" s="901">
        <v>11</v>
      </c>
      <c r="EP137" s="710" t="s">
        <v>279</v>
      </c>
      <c r="EQ137" s="710"/>
      <c r="ER137" s="901"/>
      <c r="ES137" s="710" t="s">
        <v>278</v>
      </c>
      <c r="ET137" s="710" t="s">
        <v>3310</v>
      </c>
      <c r="EU137" s="901">
        <v>8126</v>
      </c>
      <c r="EV137" s="901"/>
      <c r="EW137" s="901"/>
      <c r="EX137" s="901"/>
      <c r="EY137" s="710" t="s">
        <v>279</v>
      </c>
      <c r="EZ137" s="710"/>
      <c r="FA137" s="710" t="s">
        <v>278</v>
      </c>
      <c r="FB137" s="710" t="s">
        <v>3313</v>
      </c>
      <c r="FC137" s="861" t="s">
        <v>3321</v>
      </c>
      <c r="FD137" s="861"/>
      <c r="FE137" s="861" t="s">
        <v>3341</v>
      </c>
      <c r="FF137" s="710" t="s">
        <v>3351</v>
      </c>
      <c r="FG137" s="861" t="s">
        <v>3362</v>
      </c>
      <c r="FH137" s="710" t="s">
        <v>279</v>
      </c>
      <c r="FI137" s="710"/>
      <c r="FJ137" s="710"/>
      <c r="FK137" s="710" t="s">
        <v>3383</v>
      </c>
      <c r="FL137" s="710" t="s">
        <v>3396</v>
      </c>
      <c r="FM137" s="861" t="s">
        <v>3409</v>
      </c>
      <c r="FN137" s="710" t="s">
        <v>3422</v>
      </c>
      <c r="FO137" s="710" t="s">
        <v>3434</v>
      </c>
      <c r="FP137" s="861" t="s">
        <v>3444</v>
      </c>
    </row>
    <row r="138" spans="2:172" ht="99.5" customHeight="1">
      <c r="B138" s="850" t="s">
        <v>5313</v>
      </c>
      <c r="C138" s="863"/>
      <c r="D138" s="850" t="s">
        <v>4934</v>
      </c>
      <c r="E138" s="850" t="s">
        <v>5318</v>
      </c>
      <c r="F138" s="863"/>
      <c r="H138" s="850" t="s">
        <v>4934</v>
      </c>
      <c r="I138" s="850" t="s">
        <v>5520</v>
      </c>
      <c r="J138" s="850" t="s">
        <v>5443</v>
      </c>
      <c r="K138" s="710" t="s">
        <v>249</v>
      </c>
      <c r="L138" s="710" t="s">
        <v>3173</v>
      </c>
      <c r="M138" s="710" t="s">
        <v>3186</v>
      </c>
      <c r="N138" s="710" t="s">
        <v>3183</v>
      </c>
      <c r="O138" s="895">
        <v>2019</v>
      </c>
      <c r="P138" s="896">
        <v>43294</v>
      </c>
      <c r="Q138" s="896">
        <v>43777</v>
      </c>
      <c r="R138" s="712">
        <f t="shared" si="42"/>
        <v>483</v>
      </c>
      <c r="S138" s="896"/>
      <c r="T138" s="896"/>
      <c r="U138" s="896"/>
      <c r="V138" s="896"/>
      <c r="W138" s="896"/>
      <c r="X138" s="896"/>
      <c r="Y138" s="896"/>
      <c r="Z138" s="896"/>
      <c r="AA138" s="896"/>
      <c r="AB138" s="710" t="s">
        <v>3202</v>
      </c>
      <c r="AC138" s="710" t="s">
        <v>3216</v>
      </c>
      <c r="AD138" s="710" t="s">
        <v>3228</v>
      </c>
      <c r="AE138" s="710" t="s">
        <v>3228</v>
      </c>
      <c r="AF138" s="710" t="s">
        <v>277</v>
      </c>
      <c r="AG138" s="710" t="s">
        <v>3254</v>
      </c>
      <c r="AH138" s="898">
        <v>1.3</v>
      </c>
      <c r="AI138" s="868">
        <f t="shared" si="47"/>
        <v>1.3</v>
      </c>
      <c r="AJ138" s="867">
        <f t="shared" ref="AJ138:AJ201" si="48">AI138-AH138</f>
        <v>0</v>
      </c>
      <c r="AK138" s="898"/>
      <c r="AL138" s="898"/>
      <c r="AM138" s="898"/>
      <c r="AN138" s="869">
        <f t="shared" ref="AN138:AN201" si="49">AK138/AH138</f>
        <v>0</v>
      </c>
      <c r="AO138" s="869">
        <f t="shared" ref="AO138:AO201" si="50">AL138-AN138</f>
        <v>0</v>
      </c>
      <c r="AP138" s="898"/>
      <c r="AQ138" s="899">
        <v>1</v>
      </c>
      <c r="AR138" s="899">
        <v>1.0999999999999999E-2</v>
      </c>
      <c r="AS138" s="869">
        <f t="shared" ref="AS138:AS201" si="51">AP138/AH138</f>
        <v>0</v>
      </c>
      <c r="AT138" s="869">
        <f t="shared" ref="AT138:AT201" si="52">AQ138-AS138</f>
        <v>1</v>
      </c>
      <c r="AU138" s="942">
        <v>1.3</v>
      </c>
      <c r="AV138" s="899">
        <v>1</v>
      </c>
      <c r="AW138" s="869">
        <f t="shared" ref="AW138:AW201" si="53">AU138/AH138</f>
        <v>1</v>
      </c>
      <c r="AX138" s="869">
        <f t="shared" ref="AX138:AX201" si="54">AV138-AW138</f>
        <v>0</v>
      </c>
      <c r="AY138" s="898">
        <v>0</v>
      </c>
      <c r="AZ138" s="899"/>
      <c r="BA138" s="869">
        <f t="shared" ref="BA138:BA201" si="55">AY138/AH138</f>
        <v>0</v>
      </c>
      <c r="BB138" s="869">
        <f t="shared" ref="BB138:BB201" si="56">AZ138-BA138</f>
        <v>0</v>
      </c>
      <c r="BC138" s="898">
        <v>0</v>
      </c>
      <c r="BD138" s="899"/>
      <c r="BE138" s="869">
        <f t="shared" ref="BE138:BE201" si="57">BC138/AH138</f>
        <v>0</v>
      </c>
      <c r="BF138" s="869">
        <f t="shared" ref="BF138:BF201" si="58">BD138-BE138</f>
        <v>0</v>
      </c>
      <c r="BG138" s="899"/>
      <c r="BH138" s="899"/>
      <c r="BI138" s="899"/>
      <c r="BJ138" s="899"/>
      <c r="BK138" s="899"/>
      <c r="BL138" s="714">
        <f t="shared" ref="BL138:BL201" si="59">BG138/AH138</f>
        <v>0</v>
      </c>
      <c r="BM138" s="869">
        <f t="shared" ref="BM138:BM201" si="60">BH138-BL138</f>
        <v>0</v>
      </c>
      <c r="BN138" s="898">
        <v>0</v>
      </c>
      <c r="BO138" s="899"/>
      <c r="BP138" s="869">
        <f t="shared" ref="BP138:BP201" si="61">BN138/AH138</f>
        <v>0</v>
      </c>
      <c r="BQ138" s="869">
        <f t="shared" ref="BQ138:BQ201" si="62">BO138-BP138</f>
        <v>0</v>
      </c>
      <c r="BR138" s="899"/>
      <c r="BS138" s="899"/>
      <c r="BT138" s="898">
        <v>1.35</v>
      </c>
      <c r="BU138" s="899">
        <v>1.0999999999999999E-2</v>
      </c>
      <c r="BV138" s="901">
        <v>171</v>
      </c>
      <c r="BW138" s="901">
        <v>171</v>
      </c>
      <c r="BX138" s="901">
        <v>13</v>
      </c>
      <c r="BY138" s="901"/>
      <c r="BZ138" s="901"/>
      <c r="CA138" s="901"/>
      <c r="CB138" s="901"/>
      <c r="CC138" s="901"/>
      <c r="CD138" s="901"/>
      <c r="CE138" s="901"/>
      <c r="CF138" s="901"/>
      <c r="CG138" s="901">
        <v>1</v>
      </c>
      <c r="CH138" s="901">
        <v>6</v>
      </c>
      <c r="CI138" s="901">
        <v>4</v>
      </c>
      <c r="CJ138" s="901">
        <v>2</v>
      </c>
      <c r="CK138" s="901"/>
      <c r="CL138" s="901"/>
      <c r="CM138" s="901"/>
      <c r="CN138" s="901"/>
      <c r="CO138" s="901"/>
      <c r="CP138" s="901"/>
      <c r="CQ138" s="901"/>
      <c r="CR138" s="901"/>
      <c r="CS138" s="902">
        <f t="shared" si="46"/>
        <v>13</v>
      </c>
      <c r="CT138" s="871">
        <f t="shared" ref="CT138:CT201" si="63">SUM(BY138:CR138)</f>
        <v>13</v>
      </c>
      <c r="CU138" s="871">
        <f t="shared" ref="CU138:CU201" si="64">CS138-CT138</f>
        <v>0</v>
      </c>
      <c r="CV138" s="942">
        <v>2.129</v>
      </c>
      <c r="CW138" s="710" t="s">
        <v>3266</v>
      </c>
      <c r="CX138" s="710"/>
      <c r="CY138" s="710"/>
      <c r="CZ138" s="710"/>
      <c r="DA138" s="710">
        <v>6.9</v>
      </c>
      <c r="DB138" s="940" t="s">
        <v>1507</v>
      </c>
      <c r="DC138" s="710" t="s">
        <v>279</v>
      </c>
      <c r="DD138" s="710"/>
      <c r="DE138" s="710"/>
      <c r="DF138" s="901"/>
      <c r="DG138" s="901"/>
      <c r="DH138" s="901">
        <v>16</v>
      </c>
      <c r="DI138" s="710"/>
      <c r="DJ138" s="710"/>
      <c r="DK138" s="901"/>
      <c r="DL138" s="710" t="s">
        <v>278</v>
      </c>
      <c r="DM138" s="710" t="s">
        <v>3288</v>
      </c>
      <c r="DN138" s="901">
        <v>12904</v>
      </c>
      <c r="DO138" s="710"/>
      <c r="DP138" s="710"/>
      <c r="DQ138" s="901"/>
      <c r="DR138" s="710" t="s">
        <v>279</v>
      </c>
      <c r="DS138" s="710"/>
      <c r="DT138" s="901"/>
      <c r="DU138" s="710" t="s">
        <v>279</v>
      </c>
      <c r="DV138" s="710"/>
      <c r="DW138" s="901"/>
      <c r="DX138" s="710" t="s">
        <v>278</v>
      </c>
      <c r="DY138" s="710" t="s">
        <v>3293</v>
      </c>
      <c r="DZ138" s="901">
        <v>3</v>
      </c>
      <c r="EA138" s="710"/>
      <c r="EB138" s="710"/>
      <c r="EC138" s="901"/>
      <c r="ED138" s="710"/>
      <c r="EE138" s="710"/>
      <c r="EF138" s="901"/>
      <c r="EG138" s="710"/>
      <c r="EH138" s="710"/>
      <c r="EI138" s="901"/>
      <c r="EJ138" s="710"/>
      <c r="EK138" s="710"/>
      <c r="EL138" s="901"/>
      <c r="EM138" s="710" t="s">
        <v>278</v>
      </c>
      <c r="EN138" s="710" t="s">
        <v>3305</v>
      </c>
      <c r="EO138" s="901">
        <v>11</v>
      </c>
      <c r="EP138" s="710"/>
      <c r="EQ138" s="710"/>
      <c r="ER138" s="901"/>
      <c r="ES138" s="710" t="s">
        <v>278</v>
      </c>
      <c r="ET138" s="710" t="s">
        <v>3311</v>
      </c>
      <c r="EU138" s="901">
        <v>3123</v>
      </c>
      <c r="EV138" s="901"/>
      <c r="EW138" s="901"/>
      <c r="EX138" s="901"/>
      <c r="EY138" s="710" t="s">
        <v>279</v>
      </c>
      <c r="EZ138" s="710"/>
      <c r="FA138" s="710" t="s">
        <v>278</v>
      </c>
      <c r="FB138" s="710" t="s">
        <v>3313</v>
      </c>
      <c r="FC138" s="861" t="s">
        <v>3322</v>
      </c>
      <c r="FD138" s="861" t="s">
        <v>3332</v>
      </c>
      <c r="FE138" s="861" t="s">
        <v>3342</v>
      </c>
      <c r="FF138" s="710" t="s">
        <v>3352</v>
      </c>
      <c r="FG138" s="710" t="s">
        <v>410</v>
      </c>
      <c r="FH138" s="710" t="s">
        <v>3371</v>
      </c>
      <c r="FI138" s="710">
        <v>187</v>
      </c>
      <c r="FJ138" s="710">
        <v>6545</v>
      </c>
      <c r="FK138" s="710" t="s">
        <v>3384</v>
      </c>
      <c r="FL138" s="710" t="s">
        <v>3397</v>
      </c>
      <c r="FM138" s="861" t="s">
        <v>3410</v>
      </c>
      <c r="FN138" s="710" t="s">
        <v>3423</v>
      </c>
      <c r="FO138" s="710" t="s">
        <v>3435</v>
      </c>
      <c r="FP138" s="861" t="s">
        <v>3445</v>
      </c>
    </row>
    <row r="139" spans="2:172" ht="88" customHeight="1">
      <c r="B139" s="850" t="s">
        <v>5313</v>
      </c>
      <c r="C139" s="863"/>
      <c r="D139" s="850" t="s">
        <v>4934</v>
      </c>
      <c r="E139" s="850" t="s">
        <v>5318</v>
      </c>
      <c r="F139" s="863"/>
      <c r="H139" s="850" t="s">
        <v>4934</v>
      </c>
      <c r="I139" s="850" t="s">
        <v>5520</v>
      </c>
      <c r="J139" s="850" t="s">
        <v>5443</v>
      </c>
      <c r="K139" s="710" t="s">
        <v>249</v>
      </c>
      <c r="L139" s="710" t="s">
        <v>3174</v>
      </c>
      <c r="M139" s="710" t="s">
        <v>3186</v>
      </c>
      <c r="N139" s="710" t="s">
        <v>3183</v>
      </c>
      <c r="O139" s="895">
        <v>2019</v>
      </c>
      <c r="P139" s="896">
        <v>43293</v>
      </c>
      <c r="Q139" s="896">
        <v>43768</v>
      </c>
      <c r="R139" s="712">
        <f t="shared" si="42"/>
        <v>475</v>
      </c>
      <c r="S139" s="896"/>
      <c r="T139" s="896"/>
      <c r="U139" s="896"/>
      <c r="V139" s="896"/>
      <c r="W139" s="896"/>
      <c r="X139" s="896"/>
      <c r="Y139" s="896"/>
      <c r="Z139" s="896"/>
      <c r="AA139" s="896"/>
      <c r="AB139" s="710" t="s">
        <v>3203</v>
      </c>
      <c r="AC139" s="710" t="s">
        <v>3217</v>
      </c>
      <c r="AD139" s="710" t="s">
        <v>3229</v>
      </c>
      <c r="AE139" s="710" t="s">
        <v>3229</v>
      </c>
      <c r="AF139" s="710" t="s">
        <v>454</v>
      </c>
      <c r="AG139" s="710" t="s">
        <v>3255</v>
      </c>
      <c r="AH139" s="898">
        <v>4.1840000000000002</v>
      </c>
      <c r="AI139" s="868">
        <f t="shared" si="47"/>
        <v>4.1840000000000002</v>
      </c>
      <c r="AJ139" s="867">
        <f t="shared" si="48"/>
        <v>0</v>
      </c>
      <c r="AK139" s="898"/>
      <c r="AL139" s="898"/>
      <c r="AM139" s="898"/>
      <c r="AN139" s="869">
        <f t="shared" si="49"/>
        <v>0</v>
      </c>
      <c r="AO139" s="869">
        <f t="shared" si="50"/>
        <v>0</v>
      </c>
      <c r="AP139" s="898"/>
      <c r="AQ139" s="899">
        <v>1</v>
      </c>
      <c r="AR139" s="899">
        <v>1.7000000000000001E-2</v>
      </c>
      <c r="AS139" s="869">
        <f t="shared" si="51"/>
        <v>0</v>
      </c>
      <c r="AT139" s="869">
        <f t="shared" si="52"/>
        <v>1</v>
      </c>
      <c r="AU139" s="942">
        <v>4.1840000000000002</v>
      </c>
      <c r="AV139" s="899">
        <v>1</v>
      </c>
      <c r="AW139" s="869">
        <f t="shared" si="53"/>
        <v>1</v>
      </c>
      <c r="AX139" s="869">
        <f t="shared" si="54"/>
        <v>0</v>
      </c>
      <c r="AY139" s="898">
        <v>0</v>
      </c>
      <c r="AZ139" s="899">
        <v>0</v>
      </c>
      <c r="BA139" s="869">
        <f t="shared" si="55"/>
        <v>0</v>
      </c>
      <c r="BB139" s="869">
        <f t="shared" si="56"/>
        <v>0</v>
      </c>
      <c r="BC139" s="898">
        <v>0</v>
      </c>
      <c r="BD139" s="899">
        <v>0</v>
      </c>
      <c r="BE139" s="869">
        <f t="shared" si="57"/>
        <v>0</v>
      </c>
      <c r="BF139" s="869">
        <f t="shared" si="58"/>
        <v>0</v>
      </c>
      <c r="BG139" s="899"/>
      <c r="BH139" s="899"/>
      <c r="BI139" s="899"/>
      <c r="BJ139" s="899"/>
      <c r="BK139" s="899"/>
      <c r="BL139" s="714">
        <f t="shared" si="59"/>
        <v>0</v>
      </c>
      <c r="BM139" s="869">
        <f t="shared" si="60"/>
        <v>0</v>
      </c>
      <c r="BN139" s="898">
        <v>0</v>
      </c>
      <c r="BO139" s="899">
        <v>0</v>
      </c>
      <c r="BP139" s="869">
        <f t="shared" si="61"/>
        <v>0</v>
      </c>
      <c r="BQ139" s="869">
        <f t="shared" si="62"/>
        <v>0</v>
      </c>
      <c r="BR139" s="899"/>
      <c r="BS139" s="899"/>
      <c r="BT139" s="898">
        <v>1.7</v>
      </c>
      <c r="BU139" s="899">
        <v>6.0000000000000001E-3</v>
      </c>
      <c r="BV139" s="901">
        <v>561</v>
      </c>
      <c r="BW139" s="901">
        <v>561</v>
      </c>
      <c r="BX139" s="901">
        <v>42</v>
      </c>
      <c r="BY139" s="901"/>
      <c r="BZ139" s="901"/>
      <c r="CA139" s="901"/>
      <c r="CB139" s="901"/>
      <c r="CC139" s="901"/>
      <c r="CD139" s="901"/>
      <c r="CE139" s="901"/>
      <c r="CF139" s="901"/>
      <c r="CG139" s="901"/>
      <c r="CH139" s="901">
        <v>19</v>
      </c>
      <c r="CI139" s="901">
        <v>23</v>
      </c>
      <c r="CJ139" s="901"/>
      <c r="CK139" s="901"/>
      <c r="CL139" s="901"/>
      <c r="CM139" s="901"/>
      <c r="CN139" s="901"/>
      <c r="CO139" s="901"/>
      <c r="CP139" s="901"/>
      <c r="CQ139" s="901"/>
      <c r="CR139" s="901"/>
      <c r="CS139" s="902">
        <f t="shared" si="46"/>
        <v>42</v>
      </c>
      <c r="CT139" s="871">
        <f t="shared" si="63"/>
        <v>42</v>
      </c>
      <c r="CU139" s="871">
        <f t="shared" si="64"/>
        <v>0</v>
      </c>
      <c r="CV139" s="942">
        <v>15.116</v>
      </c>
      <c r="CW139" s="710" t="s">
        <v>3266</v>
      </c>
      <c r="CX139" s="710"/>
      <c r="CY139" s="710"/>
      <c r="CZ139" s="710"/>
      <c r="DA139" s="710">
        <v>6.9</v>
      </c>
      <c r="DB139" s="940"/>
      <c r="DC139" s="710" t="s">
        <v>279</v>
      </c>
      <c r="DD139" s="710"/>
      <c r="DE139" s="710"/>
      <c r="DF139" s="901"/>
      <c r="DG139" s="901"/>
      <c r="DH139" s="901"/>
      <c r="DI139" s="710"/>
      <c r="DJ139" s="710"/>
      <c r="DK139" s="901"/>
      <c r="DL139" s="710" t="s">
        <v>278</v>
      </c>
      <c r="DM139" s="710" t="s">
        <v>3288</v>
      </c>
      <c r="DN139" s="901">
        <v>72727</v>
      </c>
      <c r="DO139" s="710"/>
      <c r="DP139" s="710"/>
      <c r="DQ139" s="901"/>
      <c r="DR139" s="710" t="s">
        <v>279</v>
      </c>
      <c r="DS139" s="710"/>
      <c r="DT139" s="901"/>
      <c r="DU139" s="710" t="s">
        <v>279</v>
      </c>
      <c r="DV139" s="710"/>
      <c r="DW139" s="901"/>
      <c r="DX139" s="710" t="s">
        <v>278</v>
      </c>
      <c r="DY139" s="710" t="s">
        <v>3294</v>
      </c>
      <c r="DZ139" s="901">
        <v>561</v>
      </c>
      <c r="EA139" s="710" t="s">
        <v>279</v>
      </c>
      <c r="EB139" s="710"/>
      <c r="EC139" s="901"/>
      <c r="ED139" s="710" t="s">
        <v>279</v>
      </c>
      <c r="EE139" s="710"/>
      <c r="EF139" s="901"/>
      <c r="EG139" s="710" t="s">
        <v>279</v>
      </c>
      <c r="EH139" s="710"/>
      <c r="EI139" s="901"/>
      <c r="EJ139" s="710" t="s">
        <v>279</v>
      </c>
      <c r="EK139" s="710"/>
      <c r="EL139" s="901"/>
      <c r="EM139" s="710" t="s">
        <v>279</v>
      </c>
      <c r="EN139" s="710"/>
      <c r="EO139" s="901"/>
      <c r="EP139" s="710" t="s">
        <v>279</v>
      </c>
      <c r="EQ139" s="710"/>
      <c r="ER139" s="901"/>
      <c r="ES139" s="710" t="s">
        <v>278</v>
      </c>
      <c r="ET139" s="710" t="s">
        <v>3312</v>
      </c>
      <c r="EU139" s="901">
        <v>27780</v>
      </c>
      <c r="EV139" s="901"/>
      <c r="EW139" s="901"/>
      <c r="EX139" s="901"/>
      <c r="EY139" s="710" t="s">
        <v>279</v>
      </c>
      <c r="EZ139" s="710"/>
      <c r="FA139" s="710" t="s">
        <v>278</v>
      </c>
      <c r="FB139" s="710" t="s">
        <v>3313</v>
      </c>
      <c r="FC139" s="940" t="s">
        <v>3323</v>
      </c>
      <c r="FD139" s="861"/>
      <c r="FE139" s="861"/>
      <c r="FF139" s="710"/>
      <c r="FG139" s="710" t="s">
        <v>410</v>
      </c>
      <c r="FH139" s="710" t="s">
        <v>3372</v>
      </c>
      <c r="FI139" s="710">
        <v>1</v>
      </c>
      <c r="FJ139" s="710">
        <v>42</v>
      </c>
      <c r="FK139" s="710" t="s">
        <v>3385</v>
      </c>
      <c r="FL139" s="710" t="s">
        <v>3398</v>
      </c>
      <c r="FM139" s="861" t="s">
        <v>3411</v>
      </c>
      <c r="FN139" s="710" t="s">
        <v>3424</v>
      </c>
      <c r="FO139" s="710" t="s">
        <v>3436</v>
      </c>
      <c r="FP139" s="861" t="s">
        <v>3446</v>
      </c>
    </row>
    <row r="140" spans="2:172" ht="119.5" customHeight="1">
      <c r="B140" s="850" t="s">
        <v>5315</v>
      </c>
      <c r="C140" s="850" t="s">
        <v>5330</v>
      </c>
      <c r="D140" s="850" t="s">
        <v>4934</v>
      </c>
      <c r="E140" s="850" t="s">
        <v>5314</v>
      </c>
      <c r="F140" s="863"/>
      <c r="H140" s="850" t="s">
        <v>4934</v>
      </c>
      <c r="I140" s="850" t="s">
        <v>5520</v>
      </c>
      <c r="J140" s="850" t="s">
        <v>5443</v>
      </c>
      <c r="K140" s="710" t="s">
        <v>249</v>
      </c>
      <c r="L140" s="710" t="s">
        <v>3175</v>
      </c>
      <c r="M140" s="710" t="s">
        <v>3187</v>
      </c>
      <c r="N140" s="710" t="s">
        <v>3187</v>
      </c>
      <c r="O140" s="895">
        <v>2018</v>
      </c>
      <c r="P140" s="896">
        <v>43466</v>
      </c>
      <c r="Q140" s="896">
        <v>43830</v>
      </c>
      <c r="R140" s="712">
        <f t="shared" si="42"/>
        <v>364</v>
      </c>
      <c r="S140" s="896"/>
      <c r="T140" s="896"/>
      <c r="U140" s="896"/>
      <c r="V140" s="896"/>
      <c r="W140" s="896"/>
      <c r="X140" s="896"/>
      <c r="Y140" s="896"/>
      <c r="Z140" s="896"/>
      <c r="AA140" s="896"/>
      <c r="AB140" s="710" t="s">
        <v>3204</v>
      </c>
      <c r="AC140" s="710" t="s">
        <v>3218</v>
      </c>
      <c r="AD140" s="710" t="s">
        <v>3230</v>
      </c>
      <c r="AE140" s="710" t="s">
        <v>3230</v>
      </c>
      <c r="AF140" s="898" t="s">
        <v>2283</v>
      </c>
      <c r="AG140" s="710" t="s">
        <v>3256</v>
      </c>
      <c r="AH140" s="898">
        <v>0.15</v>
      </c>
      <c r="AI140" s="868">
        <f t="shared" si="47"/>
        <v>0.15</v>
      </c>
      <c r="AJ140" s="867">
        <f t="shared" si="48"/>
        <v>0</v>
      </c>
      <c r="AK140" s="898"/>
      <c r="AL140" s="898"/>
      <c r="AM140" s="898"/>
      <c r="AN140" s="869">
        <f t="shared" si="49"/>
        <v>0</v>
      </c>
      <c r="AO140" s="869">
        <f t="shared" si="50"/>
        <v>0</v>
      </c>
      <c r="AP140" s="898"/>
      <c r="AQ140" s="899">
        <v>1</v>
      </c>
      <c r="AR140" s="899">
        <v>5.0000000000000002E-5</v>
      </c>
      <c r="AS140" s="869">
        <f t="shared" si="51"/>
        <v>0</v>
      </c>
      <c r="AT140" s="869">
        <f t="shared" si="52"/>
        <v>1</v>
      </c>
      <c r="AU140" s="942">
        <v>0.15</v>
      </c>
      <c r="AV140" s="899">
        <v>1</v>
      </c>
      <c r="AW140" s="869">
        <f t="shared" si="53"/>
        <v>1</v>
      </c>
      <c r="AX140" s="869">
        <f t="shared" si="54"/>
        <v>0</v>
      </c>
      <c r="AY140" s="899"/>
      <c r="AZ140" s="899"/>
      <c r="BA140" s="869">
        <f t="shared" si="55"/>
        <v>0</v>
      </c>
      <c r="BB140" s="869">
        <f t="shared" si="56"/>
        <v>0</v>
      </c>
      <c r="BC140" s="898">
        <v>0</v>
      </c>
      <c r="BD140" s="899">
        <v>0</v>
      </c>
      <c r="BE140" s="869">
        <f t="shared" si="57"/>
        <v>0</v>
      </c>
      <c r="BF140" s="869">
        <f t="shared" si="58"/>
        <v>0</v>
      </c>
      <c r="BG140" s="899"/>
      <c r="BH140" s="899"/>
      <c r="BI140" s="899"/>
      <c r="BJ140" s="899"/>
      <c r="BK140" s="899"/>
      <c r="BL140" s="714">
        <f t="shared" si="59"/>
        <v>0</v>
      </c>
      <c r="BM140" s="869">
        <f t="shared" si="60"/>
        <v>0</v>
      </c>
      <c r="BN140" s="898"/>
      <c r="BO140" s="899"/>
      <c r="BP140" s="869">
        <f t="shared" si="61"/>
        <v>0</v>
      </c>
      <c r="BQ140" s="869">
        <f t="shared" si="62"/>
        <v>0</v>
      </c>
      <c r="BR140" s="899"/>
      <c r="BS140" s="899"/>
      <c r="BT140" s="898">
        <v>0.3</v>
      </c>
      <c r="BU140" s="899">
        <v>9.0000000000000006E-5</v>
      </c>
      <c r="BV140" s="901">
        <v>19</v>
      </c>
      <c r="BW140" s="901">
        <v>19</v>
      </c>
      <c r="BX140" s="901">
        <v>10</v>
      </c>
      <c r="BY140" s="901"/>
      <c r="BZ140" s="901"/>
      <c r="CA140" s="901"/>
      <c r="CB140" s="901"/>
      <c r="CC140" s="901"/>
      <c r="CD140" s="901"/>
      <c r="CE140" s="901"/>
      <c r="CF140" s="901"/>
      <c r="CG140" s="901">
        <v>2</v>
      </c>
      <c r="CH140" s="901"/>
      <c r="CI140" s="901">
        <v>4</v>
      </c>
      <c r="CJ140" s="901">
        <v>3</v>
      </c>
      <c r="CK140" s="901"/>
      <c r="CL140" s="901"/>
      <c r="CM140" s="901"/>
      <c r="CN140" s="901"/>
      <c r="CO140" s="901"/>
      <c r="CP140" s="901"/>
      <c r="CQ140" s="901"/>
      <c r="CR140" s="901">
        <v>1</v>
      </c>
      <c r="CS140" s="902">
        <f t="shared" si="46"/>
        <v>10</v>
      </c>
      <c r="CT140" s="871">
        <f t="shared" si="63"/>
        <v>10</v>
      </c>
      <c r="CU140" s="871">
        <f t="shared" si="64"/>
        <v>0</v>
      </c>
      <c r="CV140" s="942">
        <v>4.2709999999999999</v>
      </c>
      <c r="CW140" s="710" t="s">
        <v>3267</v>
      </c>
      <c r="CX140" s="710"/>
      <c r="CY140" s="710"/>
      <c r="CZ140" s="710"/>
      <c r="DA140" s="904">
        <v>2.53E-2</v>
      </c>
      <c r="DB140" s="899" t="s">
        <v>5697</v>
      </c>
      <c r="DC140" s="710" t="s">
        <v>278</v>
      </c>
      <c r="DD140" s="710" t="s">
        <v>3277</v>
      </c>
      <c r="DE140" s="710" t="s">
        <v>3279</v>
      </c>
      <c r="DF140" s="901">
        <v>18</v>
      </c>
      <c r="DG140" s="901">
        <v>50</v>
      </c>
      <c r="DH140" s="901"/>
      <c r="DI140" s="710" t="s">
        <v>279</v>
      </c>
      <c r="DJ140" s="710"/>
      <c r="DK140" s="901"/>
      <c r="DL140" s="710" t="s">
        <v>279</v>
      </c>
      <c r="DM140" s="710"/>
      <c r="DN140" s="901"/>
      <c r="DO140" s="710" t="s">
        <v>279</v>
      </c>
      <c r="DP140" s="710"/>
      <c r="DQ140" s="901"/>
      <c r="DR140" s="710" t="s">
        <v>279</v>
      </c>
      <c r="DS140" s="710"/>
      <c r="DT140" s="901"/>
      <c r="DU140" s="710" t="s">
        <v>279</v>
      </c>
      <c r="DV140" s="710"/>
      <c r="DW140" s="901"/>
      <c r="DX140" s="710" t="s">
        <v>278</v>
      </c>
      <c r="DY140" s="710" t="s">
        <v>3295</v>
      </c>
      <c r="DZ140" s="901">
        <v>70</v>
      </c>
      <c r="EA140" s="710" t="s">
        <v>279</v>
      </c>
      <c r="EB140" s="710"/>
      <c r="EC140" s="901"/>
      <c r="ED140" s="710" t="s">
        <v>279</v>
      </c>
      <c r="EE140" s="710"/>
      <c r="EF140" s="901"/>
      <c r="EG140" s="710" t="s">
        <v>279</v>
      </c>
      <c r="EH140" s="710"/>
      <c r="EI140" s="901"/>
      <c r="EJ140" s="710" t="s">
        <v>279</v>
      </c>
      <c r="EK140" s="710"/>
      <c r="EL140" s="901"/>
      <c r="EM140" s="710" t="s">
        <v>278</v>
      </c>
      <c r="EN140" s="710" t="s">
        <v>3306</v>
      </c>
      <c r="EO140" s="901">
        <v>14</v>
      </c>
      <c r="EP140" s="710" t="s">
        <v>279</v>
      </c>
      <c r="EQ140" s="710"/>
      <c r="ER140" s="901"/>
      <c r="ES140" s="710" t="s">
        <v>279</v>
      </c>
      <c r="ET140" s="710"/>
      <c r="EU140" s="901"/>
      <c r="EV140" s="901"/>
      <c r="EW140" s="901"/>
      <c r="EX140" s="901"/>
      <c r="EY140" s="710" t="s">
        <v>279</v>
      </c>
      <c r="EZ140" s="710"/>
      <c r="FA140" s="710" t="s">
        <v>278</v>
      </c>
      <c r="FB140" s="710" t="s">
        <v>3314</v>
      </c>
      <c r="FC140" s="945" t="s">
        <v>3324</v>
      </c>
      <c r="FD140" s="710" t="s">
        <v>3333</v>
      </c>
      <c r="FE140" s="945" t="s">
        <v>3343</v>
      </c>
      <c r="FF140" s="710" t="s">
        <v>3353</v>
      </c>
      <c r="FG140" s="710" t="s">
        <v>3363</v>
      </c>
      <c r="FH140" s="710" t="s">
        <v>3373</v>
      </c>
      <c r="FI140" s="710">
        <v>9</v>
      </c>
      <c r="FJ140" s="710">
        <v>182</v>
      </c>
      <c r="FK140" s="710" t="s">
        <v>3386</v>
      </c>
      <c r="FL140" s="710" t="s">
        <v>3399</v>
      </c>
      <c r="FM140" s="945" t="s">
        <v>3412</v>
      </c>
      <c r="FN140" s="710"/>
      <c r="FO140" s="710"/>
      <c r="FP140" s="710"/>
    </row>
    <row r="141" spans="2:172" ht="92" customHeight="1">
      <c r="B141" s="850" t="s">
        <v>5315</v>
      </c>
      <c r="C141" s="850" t="s">
        <v>5348</v>
      </c>
      <c r="D141" s="850" t="s">
        <v>4934</v>
      </c>
      <c r="E141" s="850" t="s">
        <v>5318</v>
      </c>
      <c r="F141" s="863"/>
      <c r="H141" s="850" t="s">
        <v>4934</v>
      </c>
      <c r="I141" s="850" t="s">
        <v>5520</v>
      </c>
      <c r="J141" s="850" t="s">
        <v>5443</v>
      </c>
      <c r="K141" s="710" t="s">
        <v>249</v>
      </c>
      <c r="L141" s="710" t="s">
        <v>3176</v>
      </c>
      <c r="M141" s="710" t="s">
        <v>3188</v>
      </c>
      <c r="N141" s="710"/>
      <c r="O141" s="895">
        <v>2012</v>
      </c>
      <c r="P141" s="896">
        <v>43586</v>
      </c>
      <c r="Q141" s="896">
        <v>43748</v>
      </c>
      <c r="R141" s="712">
        <f t="shared" si="42"/>
        <v>162</v>
      </c>
      <c r="S141" s="896"/>
      <c r="T141" s="896"/>
      <c r="U141" s="896"/>
      <c r="V141" s="896"/>
      <c r="W141" s="896"/>
      <c r="X141" s="896"/>
      <c r="Y141" s="896"/>
      <c r="Z141" s="896"/>
      <c r="AA141" s="896"/>
      <c r="AB141" s="710" t="s">
        <v>3205</v>
      </c>
      <c r="AC141" s="710"/>
      <c r="AD141" s="710" t="s">
        <v>3231</v>
      </c>
      <c r="AE141" s="710" t="s">
        <v>3237</v>
      </c>
      <c r="AF141" s="710" t="s">
        <v>3244</v>
      </c>
      <c r="AG141" s="710" t="s">
        <v>3231</v>
      </c>
      <c r="AH141" s="898">
        <v>9.8770000000000007</v>
      </c>
      <c r="AI141" s="868">
        <f t="shared" si="47"/>
        <v>9.8770000000000007</v>
      </c>
      <c r="AJ141" s="867">
        <f t="shared" si="48"/>
        <v>0</v>
      </c>
      <c r="AK141" s="898"/>
      <c r="AL141" s="898"/>
      <c r="AM141" s="898"/>
      <c r="AN141" s="869">
        <f t="shared" si="49"/>
        <v>0</v>
      </c>
      <c r="AO141" s="869">
        <f t="shared" si="50"/>
        <v>0</v>
      </c>
      <c r="AP141" s="898"/>
      <c r="AQ141" s="899">
        <v>1</v>
      </c>
      <c r="AR141" s="899">
        <v>1</v>
      </c>
      <c r="AS141" s="869">
        <f t="shared" si="51"/>
        <v>0</v>
      </c>
      <c r="AT141" s="869">
        <f t="shared" si="52"/>
        <v>1</v>
      </c>
      <c r="AU141" s="942">
        <v>9.8770000000000007</v>
      </c>
      <c r="AV141" s="899">
        <v>1</v>
      </c>
      <c r="AW141" s="869">
        <f t="shared" si="53"/>
        <v>1</v>
      </c>
      <c r="AX141" s="869">
        <f t="shared" si="54"/>
        <v>0</v>
      </c>
      <c r="AY141" s="898">
        <v>0</v>
      </c>
      <c r="AZ141" s="899">
        <v>0</v>
      </c>
      <c r="BA141" s="869">
        <f t="shared" si="55"/>
        <v>0</v>
      </c>
      <c r="BB141" s="869">
        <f t="shared" si="56"/>
        <v>0</v>
      </c>
      <c r="BC141" s="898">
        <v>0</v>
      </c>
      <c r="BD141" s="899">
        <v>0</v>
      </c>
      <c r="BE141" s="869">
        <f t="shared" si="57"/>
        <v>0</v>
      </c>
      <c r="BF141" s="869">
        <f t="shared" si="58"/>
        <v>0</v>
      </c>
      <c r="BG141" s="899"/>
      <c r="BH141" s="899"/>
      <c r="BI141" s="899"/>
      <c r="BJ141" s="899"/>
      <c r="BK141" s="899"/>
      <c r="BL141" s="714">
        <f t="shared" si="59"/>
        <v>0</v>
      </c>
      <c r="BM141" s="869">
        <f t="shared" si="60"/>
        <v>0</v>
      </c>
      <c r="BN141" s="898">
        <v>0</v>
      </c>
      <c r="BO141" s="899">
        <v>0</v>
      </c>
      <c r="BP141" s="869">
        <f t="shared" si="61"/>
        <v>0</v>
      </c>
      <c r="BQ141" s="869">
        <f t="shared" si="62"/>
        <v>0</v>
      </c>
      <c r="BR141" s="899"/>
      <c r="BS141" s="899"/>
      <c r="BT141" s="898">
        <v>13</v>
      </c>
      <c r="BU141" s="899">
        <v>1</v>
      </c>
      <c r="BV141" s="901">
        <v>15</v>
      </c>
      <c r="BW141" s="901">
        <v>9</v>
      </c>
      <c r="BX141" s="901">
        <v>9</v>
      </c>
      <c r="BY141" s="901"/>
      <c r="BZ141" s="901">
        <v>12</v>
      </c>
      <c r="CA141" s="901"/>
      <c r="CB141" s="901"/>
      <c r="CC141" s="901"/>
      <c r="CD141" s="901"/>
      <c r="CE141" s="901"/>
      <c r="CF141" s="901"/>
      <c r="CG141" s="901"/>
      <c r="CH141" s="901"/>
      <c r="CI141" s="901">
        <v>2</v>
      </c>
      <c r="CJ141" s="901"/>
      <c r="CK141" s="901"/>
      <c r="CL141" s="901"/>
      <c r="CM141" s="901"/>
      <c r="CN141" s="901"/>
      <c r="CO141" s="901"/>
      <c r="CP141" s="901"/>
      <c r="CQ141" s="901"/>
      <c r="CR141" s="901"/>
      <c r="CS141" s="902">
        <f t="shared" si="46"/>
        <v>14</v>
      </c>
      <c r="CT141" s="871">
        <f t="shared" si="63"/>
        <v>14</v>
      </c>
      <c r="CU141" s="871">
        <f t="shared" si="64"/>
        <v>0</v>
      </c>
      <c r="CV141" s="942">
        <v>12</v>
      </c>
      <c r="CW141" s="710"/>
      <c r="CX141" s="710"/>
      <c r="CY141" s="710"/>
      <c r="CZ141" s="710"/>
      <c r="DA141" s="710">
        <v>12</v>
      </c>
      <c r="DB141" s="899"/>
      <c r="DC141" s="710" t="s">
        <v>279</v>
      </c>
      <c r="DD141" s="710"/>
      <c r="DE141" s="710"/>
      <c r="DF141" s="901"/>
      <c r="DG141" s="901"/>
      <c r="DH141" s="901"/>
      <c r="DI141" s="710" t="s">
        <v>279</v>
      </c>
      <c r="DJ141" s="710"/>
      <c r="DK141" s="901"/>
      <c r="DL141" s="710" t="s">
        <v>278</v>
      </c>
      <c r="DM141" s="710" t="s">
        <v>3289</v>
      </c>
      <c r="DN141" s="901">
        <v>850</v>
      </c>
      <c r="DO141" s="710" t="s">
        <v>279</v>
      </c>
      <c r="DP141" s="710"/>
      <c r="DQ141" s="901"/>
      <c r="DR141" s="710" t="s">
        <v>279</v>
      </c>
      <c r="DS141" s="710"/>
      <c r="DT141" s="901"/>
      <c r="DU141" s="710" t="s">
        <v>279</v>
      </c>
      <c r="DV141" s="710"/>
      <c r="DW141" s="901"/>
      <c r="DX141" s="710"/>
      <c r="DY141" s="710"/>
      <c r="DZ141" s="901"/>
      <c r="EA141" s="710" t="s">
        <v>279</v>
      </c>
      <c r="EB141" s="710"/>
      <c r="EC141" s="901"/>
      <c r="ED141" s="710" t="s">
        <v>278</v>
      </c>
      <c r="EE141" s="710" t="s">
        <v>3289</v>
      </c>
      <c r="EF141" s="901">
        <v>850</v>
      </c>
      <c r="EG141" s="710" t="s">
        <v>279</v>
      </c>
      <c r="EH141" s="710"/>
      <c r="EI141" s="901"/>
      <c r="EJ141" s="710" t="s">
        <v>279</v>
      </c>
      <c r="EK141" s="710"/>
      <c r="EL141" s="901"/>
      <c r="EM141" s="710" t="s">
        <v>279</v>
      </c>
      <c r="EN141" s="710"/>
      <c r="EO141" s="901"/>
      <c r="EP141" s="710" t="s">
        <v>279</v>
      </c>
      <c r="EQ141" s="710"/>
      <c r="ER141" s="901"/>
      <c r="ES141" s="710"/>
      <c r="ET141" s="710"/>
      <c r="EU141" s="901"/>
      <c r="EV141" s="901"/>
      <c r="EW141" s="901"/>
      <c r="EX141" s="901"/>
      <c r="EY141" s="710" t="s">
        <v>279</v>
      </c>
      <c r="EZ141" s="710" t="s">
        <v>279</v>
      </c>
      <c r="FA141" s="710" t="s">
        <v>278</v>
      </c>
      <c r="FB141" s="710" t="s">
        <v>3315</v>
      </c>
      <c r="FC141" s="1000" t="s">
        <v>3325</v>
      </c>
      <c r="FD141" s="995" t="s">
        <v>3334</v>
      </c>
      <c r="FE141" s="1000" t="s">
        <v>3344</v>
      </c>
      <c r="FF141" s="710" t="s">
        <v>3354</v>
      </c>
      <c r="FG141" s="710" t="s">
        <v>3364</v>
      </c>
      <c r="FH141" s="710" t="s">
        <v>3374</v>
      </c>
      <c r="FI141" s="710">
        <v>8</v>
      </c>
      <c r="FJ141" s="710">
        <v>144</v>
      </c>
      <c r="FK141" s="710" t="s">
        <v>3387</v>
      </c>
      <c r="FL141" s="710" t="s">
        <v>3400</v>
      </c>
      <c r="FM141" s="995" t="s">
        <v>3413</v>
      </c>
      <c r="FN141" s="710" t="s">
        <v>3425</v>
      </c>
      <c r="FO141" s="901">
        <v>8463560326</v>
      </c>
      <c r="FP141" s="995" t="s">
        <v>3447</v>
      </c>
    </row>
    <row r="142" spans="2:172" ht="79.5" customHeight="1">
      <c r="B142" s="850" t="s">
        <v>5315</v>
      </c>
      <c r="C142" s="850" t="s">
        <v>5345</v>
      </c>
      <c r="D142" s="850" t="s">
        <v>4934</v>
      </c>
      <c r="E142" s="850" t="s">
        <v>5314</v>
      </c>
      <c r="F142" s="863"/>
      <c r="H142" s="850" t="s">
        <v>4934</v>
      </c>
      <c r="I142" s="850" t="s">
        <v>5520</v>
      </c>
      <c r="J142" s="850" t="s">
        <v>5443</v>
      </c>
      <c r="K142" s="710" t="s">
        <v>249</v>
      </c>
      <c r="L142" s="710" t="s">
        <v>3177</v>
      </c>
      <c r="M142" s="710" t="s">
        <v>3189</v>
      </c>
      <c r="N142" s="710" t="s">
        <v>3194</v>
      </c>
      <c r="O142" s="895">
        <v>2016</v>
      </c>
      <c r="P142" s="896">
        <v>43501</v>
      </c>
      <c r="Q142" s="896">
        <v>43830</v>
      </c>
      <c r="R142" s="712">
        <f t="shared" si="42"/>
        <v>329</v>
      </c>
      <c r="S142" s="896"/>
      <c r="T142" s="896"/>
      <c r="U142" s="896"/>
      <c r="V142" s="896"/>
      <c r="W142" s="896"/>
      <c r="X142" s="896"/>
      <c r="Y142" s="896"/>
      <c r="Z142" s="896"/>
      <c r="AA142" s="896"/>
      <c r="AB142" s="710" t="s">
        <v>3206</v>
      </c>
      <c r="AC142" s="945" t="s">
        <v>4917</v>
      </c>
      <c r="AD142" s="710" t="s">
        <v>3232</v>
      </c>
      <c r="AE142" s="710" t="s">
        <v>3238</v>
      </c>
      <c r="AF142" s="710" t="s">
        <v>277</v>
      </c>
      <c r="AG142" s="710" t="s">
        <v>3257</v>
      </c>
      <c r="AH142" s="898">
        <v>0.67100000000000004</v>
      </c>
      <c r="AI142" s="868">
        <f t="shared" si="47"/>
        <v>0.67100000000000004</v>
      </c>
      <c r="AJ142" s="867">
        <f t="shared" si="48"/>
        <v>0</v>
      </c>
      <c r="AK142" s="898"/>
      <c r="AL142" s="898"/>
      <c r="AM142" s="898"/>
      <c r="AN142" s="869">
        <f t="shared" si="49"/>
        <v>0</v>
      </c>
      <c r="AO142" s="869">
        <f t="shared" si="50"/>
        <v>0</v>
      </c>
      <c r="AP142" s="898"/>
      <c r="AQ142" s="899">
        <v>0.38700000000000001</v>
      </c>
      <c r="AR142" s="899">
        <v>2.7999999999999998E-4</v>
      </c>
      <c r="AS142" s="869">
        <f t="shared" si="51"/>
        <v>0</v>
      </c>
      <c r="AT142" s="869">
        <f t="shared" si="52"/>
        <v>0.38700000000000001</v>
      </c>
      <c r="AU142" s="942">
        <v>0.26</v>
      </c>
      <c r="AV142" s="899">
        <v>0.38700000000000001</v>
      </c>
      <c r="AW142" s="869">
        <f t="shared" si="53"/>
        <v>0.38748137108792846</v>
      </c>
      <c r="AX142" s="869">
        <f t="shared" si="54"/>
        <v>-4.8137108792845051E-4</v>
      </c>
      <c r="AY142" s="898"/>
      <c r="AZ142" s="899"/>
      <c r="BA142" s="869">
        <f t="shared" si="55"/>
        <v>0</v>
      </c>
      <c r="BB142" s="869">
        <f t="shared" si="56"/>
        <v>0</v>
      </c>
      <c r="BC142" s="898">
        <v>7.2999999999999995E-2</v>
      </c>
      <c r="BD142" s="899">
        <v>0.109</v>
      </c>
      <c r="BE142" s="869">
        <f t="shared" si="57"/>
        <v>0.10879284649776452</v>
      </c>
      <c r="BF142" s="869">
        <f t="shared" si="58"/>
        <v>2.0715350223547702E-4</v>
      </c>
      <c r="BG142" s="899"/>
      <c r="BH142" s="899"/>
      <c r="BI142" s="899"/>
      <c r="BJ142" s="899"/>
      <c r="BK142" s="899"/>
      <c r="BL142" s="714">
        <f t="shared" si="59"/>
        <v>0</v>
      </c>
      <c r="BM142" s="869">
        <f t="shared" si="60"/>
        <v>0</v>
      </c>
      <c r="BN142" s="898">
        <v>0.33800000000000002</v>
      </c>
      <c r="BO142" s="899">
        <v>0.504</v>
      </c>
      <c r="BP142" s="869">
        <f t="shared" si="61"/>
        <v>0.50372578241430699</v>
      </c>
      <c r="BQ142" s="869">
        <f t="shared" si="62"/>
        <v>2.7421758569301513E-4</v>
      </c>
      <c r="BR142" s="899"/>
      <c r="BS142" s="899"/>
      <c r="BT142" s="898">
        <v>0.2</v>
      </c>
      <c r="BU142" s="899">
        <v>2.7999999999999998E-4</v>
      </c>
      <c r="BV142" s="901">
        <v>18</v>
      </c>
      <c r="BW142" s="901">
        <v>1</v>
      </c>
      <c r="BX142" s="901">
        <v>7</v>
      </c>
      <c r="BY142" s="901"/>
      <c r="BZ142" s="901"/>
      <c r="CA142" s="901"/>
      <c r="CB142" s="901"/>
      <c r="CC142" s="901"/>
      <c r="CD142" s="901"/>
      <c r="CE142" s="901"/>
      <c r="CF142" s="901">
        <v>2</v>
      </c>
      <c r="CG142" s="901">
        <v>1</v>
      </c>
      <c r="CH142" s="901"/>
      <c r="CI142" s="901"/>
      <c r="CJ142" s="901"/>
      <c r="CK142" s="901"/>
      <c r="CL142" s="901"/>
      <c r="CM142" s="901">
        <v>1</v>
      </c>
      <c r="CN142" s="901"/>
      <c r="CO142" s="901"/>
      <c r="CP142" s="901"/>
      <c r="CQ142" s="901">
        <v>3</v>
      </c>
      <c r="CR142" s="901"/>
      <c r="CS142" s="902">
        <f t="shared" si="46"/>
        <v>7</v>
      </c>
      <c r="CT142" s="871">
        <f t="shared" si="63"/>
        <v>7</v>
      </c>
      <c r="CU142" s="871">
        <f t="shared" si="64"/>
        <v>0</v>
      </c>
      <c r="CV142" s="942">
        <v>2047</v>
      </c>
      <c r="CW142" s="710" t="s">
        <v>3268</v>
      </c>
      <c r="CX142" s="710"/>
      <c r="CY142" s="710"/>
      <c r="CZ142" s="710"/>
      <c r="DA142" s="710">
        <v>7.07</v>
      </c>
      <c r="DB142" s="899"/>
      <c r="DC142" s="710" t="s">
        <v>279</v>
      </c>
      <c r="DD142" s="710"/>
      <c r="DE142" s="710"/>
      <c r="DF142" s="901"/>
      <c r="DG142" s="901"/>
      <c r="DH142" s="901">
        <v>1</v>
      </c>
      <c r="DI142" s="710" t="s">
        <v>279</v>
      </c>
      <c r="DJ142" s="710"/>
      <c r="DK142" s="901"/>
      <c r="DL142" s="710" t="s">
        <v>278</v>
      </c>
      <c r="DM142" s="710" t="s">
        <v>3290</v>
      </c>
      <c r="DN142" s="901">
        <v>70</v>
      </c>
      <c r="DO142" s="710" t="s">
        <v>279</v>
      </c>
      <c r="DP142" s="710"/>
      <c r="DQ142" s="901"/>
      <c r="DR142" s="710" t="s">
        <v>279</v>
      </c>
      <c r="DS142" s="710"/>
      <c r="DT142" s="901"/>
      <c r="DU142" s="710" t="s">
        <v>279</v>
      </c>
      <c r="DV142" s="710"/>
      <c r="DW142" s="901"/>
      <c r="DX142" s="710" t="s">
        <v>279</v>
      </c>
      <c r="DY142" s="710"/>
      <c r="DZ142" s="901"/>
      <c r="EA142" s="710" t="s">
        <v>279</v>
      </c>
      <c r="EB142" s="710"/>
      <c r="EC142" s="901"/>
      <c r="ED142" s="710" t="s">
        <v>279</v>
      </c>
      <c r="EE142" s="710"/>
      <c r="EF142" s="901"/>
      <c r="EG142" s="710" t="s">
        <v>279</v>
      </c>
      <c r="EH142" s="710"/>
      <c r="EI142" s="901"/>
      <c r="EJ142" s="710" t="s">
        <v>279</v>
      </c>
      <c r="EK142" s="710"/>
      <c r="EL142" s="901"/>
      <c r="EM142" s="710" t="s">
        <v>278</v>
      </c>
      <c r="EN142" s="710" t="s">
        <v>3307</v>
      </c>
      <c r="EO142" s="901">
        <v>12</v>
      </c>
      <c r="EP142" s="710" t="s">
        <v>278</v>
      </c>
      <c r="EQ142" s="710" t="s">
        <v>3307</v>
      </c>
      <c r="ER142" s="901">
        <v>12</v>
      </c>
      <c r="ES142" s="710" t="s">
        <v>279</v>
      </c>
      <c r="ET142" s="710"/>
      <c r="EU142" s="901"/>
      <c r="EV142" s="901"/>
      <c r="EW142" s="901"/>
      <c r="EX142" s="901"/>
      <c r="EY142" s="710" t="s">
        <v>279</v>
      </c>
      <c r="EZ142" s="710"/>
      <c r="FA142" s="710" t="s">
        <v>278</v>
      </c>
      <c r="FB142" s="710" t="s">
        <v>3316</v>
      </c>
      <c r="FC142" s="945" t="s">
        <v>3326</v>
      </c>
      <c r="FD142" s="945" t="s">
        <v>3326</v>
      </c>
      <c r="FE142" s="945" t="s">
        <v>3326</v>
      </c>
      <c r="FF142" s="710" t="s">
        <v>3355</v>
      </c>
      <c r="FG142" s="710" t="s">
        <v>3365</v>
      </c>
      <c r="FH142" s="710" t="s">
        <v>3375</v>
      </c>
      <c r="FI142" s="710">
        <v>4</v>
      </c>
      <c r="FJ142" s="710">
        <v>63</v>
      </c>
      <c r="FK142" s="710" t="s">
        <v>3388</v>
      </c>
      <c r="FL142" s="710" t="s">
        <v>3401</v>
      </c>
      <c r="FM142" s="945" t="s">
        <v>3414</v>
      </c>
      <c r="FN142" s="710" t="s">
        <v>3426</v>
      </c>
      <c r="FO142" s="710" t="s">
        <v>3437</v>
      </c>
      <c r="FP142" s="945" t="s">
        <v>3448</v>
      </c>
    </row>
    <row r="143" spans="2:172" ht="100.5" customHeight="1">
      <c r="B143" s="850" t="s">
        <v>5315</v>
      </c>
      <c r="C143" s="850" t="s">
        <v>5345</v>
      </c>
      <c r="D143" s="850" t="s">
        <v>4934</v>
      </c>
      <c r="E143" s="850" t="s">
        <v>5314</v>
      </c>
      <c r="F143" s="863"/>
      <c r="H143" s="850" t="s">
        <v>4934</v>
      </c>
      <c r="I143" s="850" t="s">
        <v>5520</v>
      </c>
      <c r="J143" s="850" t="s">
        <v>5443</v>
      </c>
      <c r="K143" s="710" t="s">
        <v>249</v>
      </c>
      <c r="L143" s="710" t="s">
        <v>3178</v>
      </c>
      <c r="M143" s="710" t="s">
        <v>3190</v>
      </c>
      <c r="N143" s="710" t="s">
        <v>3190</v>
      </c>
      <c r="O143" s="895">
        <v>2013</v>
      </c>
      <c r="P143" s="896">
        <v>43497</v>
      </c>
      <c r="Q143" s="896">
        <v>43830</v>
      </c>
      <c r="R143" s="712">
        <f t="shared" si="42"/>
        <v>333</v>
      </c>
      <c r="S143" s="896"/>
      <c r="T143" s="896"/>
      <c r="U143" s="896"/>
      <c r="V143" s="896"/>
      <c r="W143" s="896"/>
      <c r="X143" s="896"/>
      <c r="Y143" s="896"/>
      <c r="Z143" s="896"/>
      <c r="AA143" s="896"/>
      <c r="AB143" s="710" t="s">
        <v>3207</v>
      </c>
      <c r="AC143" s="990" t="s">
        <v>3219</v>
      </c>
      <c r="AD143" s="710" t="s">
        <v>3233</v>
      </c>
      <c r="AE143" s="710" t="s">
        <v>3239</v>
      </c>
      <c r="AF143" s="710" t="s">
        <v>3245</v>
      </c>
      <c r="AG143" s="710" t="s">
        <v>3258</v>
      </c>
      <c r="AH143" s="898">
        <v>1.31752</v>
      </c>
      <c r="AI143" s="868">
        <f t="shared" si="47"/>
        <v>1.31752</v>
      </c>
      <c r="AJ143" s="867">
        <f t="shared" si="48"/>
        <v>0</v>
      </c>
      <c r="AK143" s="898"/>
      <c r="AL143" s="898"/>
      <c r="AM143" s="898"/>
      <c r="AN143" s="869">
        <f t="shared" si="49"/>
        <v>0</v>
      </c>
      <c r="AO143" s="869">
        <f t="shared" si="50"/>
        <v>0</v>
      </c>
      <c r="AP143" s="898"/>
      <c r="AQ143" s="899">
        <v>0.75900000000000001</v>
      </c>
      <c r="AR143" s="899">
        <v>1.1999999999999999E-3</v>
      </c>
      <c r="AS143" s="869">
        <f t="shared" si="51"/>
        <v>0</v>
      </c>
      <c r="AT143" s="869">
        <f t="shared" si="52"/>
        <v>0.75900000000000001</v>
      </c>
      <c r="AU143" s="942">
        <v>1</v>
      </c>
      <c r="AV143" s="899">
        <v>0.75900000000000001</v>
      </c>
      <c r="AW143" s="869">
        <f t="shared" si="53"/>
        <v>0.75900176088408522</v>
      </c>
      <c r="AX143" s="869">
        <f t="shared" si="54"/>
        <v>-1.7608840852112451E-6</v>
      </c>
      <c r="AY143" s="898">
        <v>0</v>
      </c>
      <c r="AZ143" s="899">
        <v>0</v>
      </c>
      <c r="BA143" s="869">
        <f t="shared" si="55"/>
        <v>0</v>
      </c>
      <c r="BB143" s="869">
        <f t="shared" si="56"/>
        <v>0</v>
      </c>
      <c r="BC143" s="898">
        <v>0</v>
      </c>
      <c r="BD143" s="899">
        <v>0</v>
      </c>
      <c r="BE143" s="869">
        <f t="shared" si="57"/>
        <v>0</v>
      </c>
      <c r="BF143" s="869">
        <f t="shared" si="58"/>
        <v>0</v>
      </c>
      <c r="BG143" s="899"/>
      <c r="BH143" s="899"/>
      <c r="BI143" s="899"/>
      <c r="BJ143" s="899"/>
      <c r="BK143" s="899"/>
      <c r="BL143" s="714">
        <f t="shared" si="59"/>
        <v>0</v>
      </c>
      <c r="BM143" s="869">
        <f t="shared" si="60"/>
        <v>0</v>
      </c>
      <c r="BN143" s="898">
        <v>0.31752000000000002</v>
      </c>
      <c r="BO143" s="899">
        <v>0.24099999999999999</v>
      </c>
      <c r="BP143" s="869">
        <f t="shared" si="61"/>
        <v>0.24099823911591475</v>
      </c>
      <c r="BQ143" s="869">
        <f t="shared" si="62"/>
        <v>1.7608840852390006E-6</v>
      </c>
      <c r="BR143" s="899"/>
      <c r="BS143" s="899"/>
      <c r="BT143" s="898">
        <v>1</v>
      </c>
      <c r="BU143" s="899">
        <v>1E-3</v>
      </c>
      <c r="BV143" s="901">
        <v>31</v>
      </c>
      <c r="BW143" s="901">
        <v>31</v>
      </c>
      <c r="BX143" s="901">
        <v>20</v>
      </c>
      <c r="BY143" s="901">
        <v>0</v>
      </c>
      <c r="BZ143" s="901">
        <v>0</v>
      </c>
      <c r="CA143" s="901">
        <v>0</v>
      </c>
      <c r="CB143" s="901">
        <v>0</v>
      </c>
      <c r="CC143" s="901">
        <v>0</v>
      </c>
      <c r="CD143" s="901">
        <v>1</v>
      </c>
      <c r="CE143" s="901">
        <v>1</v>
      </c>
      <c r="CF143" s="901">
        <v>2</v>
      </c>
      <c r="CG143" s="901">
        <v>2</v>
      </c>
      <c r="CH143" s="901">
        <v>0</v>
      </c>
      <c r="CI143" s="901">
        <v>1</v>
      </c>
      <c r="CJ143" s="901">
        <v>2</v>
      </c>
      <c r="CK143" s="901">
        <v>0</v>
      </c>
      <c r="CL143" s="901">
        <v>0</v>
      </c>
      <c r="CM143" s="901">
        <v>0</v>
      </c>
      <c r="CN143" s="901">
        <v>0</v>
      </c>
      <c r="CO143" s="901">
        <v>0</v>
      </c>
      <c r="CP143" s="901">
        <v>0</v>
      </c>
      <c r="CQ143" s="901">
        <v>11</v>
      </c>
      <c r="CR143" s="901"/>
      <c r="CS143" s="902">
        <f t="shared" si="46"/>
        <v>20</v>
      </c>
      <c r="CT143" s="871">
        <f t="shared" si="63"/>
        <v>20</v>
      </c>
      <c r="CU143" s="871">
        <f t="shared" si="64"/>
        <v>0</v>
      </c>
      <c r="CV143" s="942">
        <v>2000</v>
      </c>
      <c r="CW143" s="710" t="s">
        <v>3269</v>
      </c>
      <c r="CX143" s="710"/>
      <c r="CY143" s="710"/>
      <c r="CZ143" s="710"/>
      <c r="DA143" s="899">
        <v>0.28570000000000001</v>
      </c>
      <c r="DB143" s="1001" t="s">
        <v>3276</v>
      </c>
      <c r="DC143" s="710" t="s">
        <v>278</v>
      </c>
      <c r="DD143" s="710" t="s">
        <v>3278</v>
      </c>
      <c r="DE143" s="710" t="s">
        <v>3280</v>
      </c>
      <c r="DF143" s="901">
        <v>1</v>
      </c>
      <c r="DG143" s="901">
        <v>0</v>
      </c>
      <c r="DH143" s="901"/>
      <c r="DI143" s="710" t="s">
        <v>279</v>
      </c>
      <c r="DJ143" s="710"/>
      <c r="DK143" s="901"/>
      <c r="DL143" s="710" t="s">
        <v>279</v>
      </c>
      <c r="DM143" s="710"/>
      <c r="DN143" s="901"/>
      <c r="DO143" s="710" t="s">
        <v>279</v>
      </c>
      <c r="DP143" s="710"/>
      <c r="DQ143" s="901"/>
      <c r="DR143" s="710" t="s">
        <v>279</v>
      </c>
      <c r="DS143" s="710"/>
      <c r="DT143" s="901"/>
      <c r="DU143" s="710" t="s">
        <v>279</v>
      </c>
      <c r="DV143" s="710"/>
      <c r="DW143" s="901"/>
      <c r="DX143" s="710" t="s">
        <v>278</v>
      </c>
      <c r="DY143" s="710" t="s">
        <v>3296</v>
      </c>
      <c r="DZ143" s="901">
        <v>31</v>
      </c>
      <c r="EA143" s="710" t="s">
        <v>279</v>
      </c>
      <c r="EB143" s="710"/>
      <c r="EC143" s="901"/>
      <c r="ED143" s="710" t="s">
        <v>279</v>
      </c>
      <c r="EE143" s="710"/>
      <c r="EF143" s="901"/>
      <c r="EG143" s="710" t="s">
        <v>279</v>
      </c>
      <c r="EH143" s="710"/>
      <c r="EI143" s="901"/>
      <c r="EJ143" s="710" t="s">
        <v>279</v>
      </c>
      <c r="EK143" s="710"/>
      <c r="EL143" s="901"/>
      <c r="EM143" s="710" t="s">
        <v>278</v>
      </c>
      <c r="EN143" s="710" t="s">
        <v>3308</v>
      </c>
      <c r="EO143" s="901"/>
      <c r="EP143" s="710" t="s">
        <v>279</v>
      </c>
      <c r="EQ143" s="710"/>
      <c r="ER143" s="901"/>
      <c r="ES143" s="710" t="s">
        <v>279</v>
      </c>
      <c r="ET143" s="710"/>
      <c r="EU143" s="901"/>
      <c r="EV143" s="901"/>
      <c r="EW143" s="901"/>
      <c r="EX143" s="901"/>
      <c r="EY143" s="710" t="s">
        <v>279</v>
      </c>
      <c r="EZ143" s="710"/>
      <c r="FA143" s="710" t="s">
        <v>278</v>
      </c>
      <c r="FB143" s="710" t="s">
        <v>3317</v>
      </c>
      <c r="FC143" s="710" t="s">
        <v>279</v>
      </c>
      <c r="FD143" s="990" t="s">
        <v>3335</v>
      </c>
      <c r="FE143" s="710" t="s">
        <v>279</v>
      </c>
      <c r="FF143" s="994" t="s">
        <v>3356</v>
      </c>
      <c r="FG143" s="710" t="s">
        <v>279</v>
      </c>
      <c r="FH143" s="710" t="s">
        <v>3376</v>
      </c>
      <c r="FI143" s="710">
        <v>3</v>
      </c>
      <c r="FJ143" s="710">
        <v>100</v>
      </c>
      <c r="FK143" s="710" t="s">
        <v>3389</v>
      </c>
      <c r="FL143" s="710" t="s">
        <v>3402</v>
      </c>
      <c r="FM143" s="990" t="s">
        <v>3415</v>
      </c>
      <c r="FN143" s="710"/>
      <c r="FO143" s="710"/>
      <c r="FP143" s="710"/>
    </row>
    <row r="144" spans="2:172" ht="98" customHeight="1">
      <c r="B144" s="850" t="s">
        <v>5315</v>
      </c>
      <c r="C144" s="850" t="s">
        <v>5348</v>
      </c>
      <c r="D144" s="850" t="s">
        <v>4934</v>
      </c>
      <c r="E144" s="850" t="s">
        <v>5323</v>
      </c>
      <c r="F144" s="863"/>
      <c r="H144" s="850" t="s">
        <v>4934</v>
      </c>
      <c r="I144" s="850" t="s">
        <v>5520</v>
      </c>
      <c r="J144" s="850" t="s">
        <v>5443</v>
      </c>
      <c r="K144" s="710" t="s">
        <v>249</v>
      </c>
      <c r="L144" s="710" t="s">
        <v>3179</v>
      </c>
      <c r="M144" s="710" t="s">
        <v>3191</v>
      </c>
      <c r="N144" s="710" t="s">
        <v>3191</v>
      </c>
      <c r="O144" s="895">
        <v>2019</v>
      </c>
      <c r="P144" s="896">
        <v>43466</v>
      </c>
      <c r="Q144" s="896">
        <v>43830</v>
      </c>
      <c r="R144" s="712">
        <f t="shared" si="42"/>
        <v>364</v>
      </c>
      <c r="S144" s="896"/>
      <c r="T144" s="896"/>
      <c r="U144" s="896"/>
      <c r="V144" s="896"/>
      <c r="W144" s="896"/>
      <c r="X144" s="896"/>
      <c r="Y144" s="896"/>
      <c r="Z144" s="896"/>
      <c r="AA144" s="896"/>
      <c r="AB144" s="710" t="s">
        <v>3208</v>
      </c>
      <c r="AC144" s="992" t="s">
        <v>3220</v>
      </c>
      <c r="AD144" s="710" t="s">
        <v>3234</v>
      </c>
      <c r="AE144" s="710" t="s">
        <v>3234</v>
      </c>
      <c r="AF144" s="710" t="s">
        <v>3246</v>
      </c>
      <c r="AG144" s="710" t="s">
        <v>3259</v>
      </c>
      <c r="AH144" s="898">
        <v>0.57499999999999996</v>
      </c>
      <c r="AI144" s="868">
        <f t="shared" si="47"/>
        <v>1.7249999999999999</v>
      </c>
      <c r="AJ144" s="875">
        <f t="shared" si="48"/>
        <v>1.1499999999999999</v>
      </c>
      <c r="AK144" s="898"/>
      <c r="AL144" s="898"/>
      <c r="AM144" s="898"/>
      <c r="AN144" s="869">
        <f t="shared" si="49"/>
        <v>0</v>
      </c>
      <c r="AO144" s="869">
        <f t="shared" si="50"/>
        <v>0</v>
      </c>
      <c r="AP144" s="898"/>
      <c r="AQ144" s="899">
        <v>0.5</v>
      </c>
      <c r="AR144" s="899">
        <v>0.5</v>
      </c>
      <c r="AS144" s="869">
        <f t="shared" si="51"/>
        <v>0</v>
      </c>
      <c r="AT144" s="869">
        <f t="shared" si="52"/>
        <v>0.5</v>
      </c>
      <c r="AU144" s="942">
        <v>1.1499999999999999</v>
      </c>
      <c r="AV144" s="899">
        <v>0.5</v>
      </c>
      <c r="AW144" s="869">
        <f t="shared" si="53"/>
        <v>2</v>
      </c>
      <c r="AX144" s="869">
        <f t="shared" si="54"/>
        <v>-1.5</v>
      </c>
      <c r="AY144" s="898">
        <v>0.57499999999999996</v>
      </c>
      <c r="AZ144" s="899">
        <v>0.5</v>
      </c>
      <c r="BA144" s="869">
        <f t="shared" si="55"/>
        <v>1</v>
      </c>
      <c r="BB144" s="869">
        <f t="shared" si="56"/>
        <v>-0.5</v>
      </c>
      <c r="BC144" s="898">
        <v>0</v>
      </c>
      <c r="BD144" s="899">
        <v>0</v>
      </c>
      <c r="BE144" s="869">
        <f t="shared" si="57"/>
        <v>0</v>
      </c>
      <c r="BF144" s="869">
        <f t="shared" si="58"/>
        <v>0</v>
      </c>
      <c r="BG144" s="899"/>
      <c r="BH144" s="899"/>
      <c r="BI144" s="899"/>
      <c r="BJ144" s="899"/>
      <c r="BK144" s="899"/>
      <c r="BL144" s="714">
        <f t="shared" si="59"/>
        <v>0</v>
      </c>
      <c r="BM144" s="869">
        <f t="shared" si="60"/>
        <v>0</v>
      </c>
      <c r="BN144" s="898">
        <v>0</v>
      </c>
      <c r="BO144" s="899">
        <v>0</v>
      </c>
      <c r="BP144" s="869">
        <f t="shared" si="61"/>
        <v>0</v>
      </c>
      <c r="BQ144" s="869">
        <f t="shared" si="62"/>
        <v>0</v>
      </c>
      <c r="BR144" s="899"/>
      <c r="BS144" s="899"/>
      <c r="BT144" s="898">
        <v>0.5</v>
      </c>
      <c r="BU144" s="899"/>
      <c r="BV144" s="901">
        <v>2</v>
      </c>
      <c r="BW144" s="901">
        <v>2</v>
      </c>
      <c r="BX144" s="901">
        <v>2</v>
      </c>
      <c r="BY144" s="901"/>
      <c r="BZ144" s="901"/>
      <c r="CA144" s="901"/>
      <c r="CB144" s="901"/>
      <c r="CC144" s="901"/>
      <c r="CD144" s="901"/>
      <c r="CE144" s="901"/>
      <c r="CF144" s="901"/>
      <c r="CG144" s="901"/>
      <c r="CH144" s="901"/>
      <c r="CI144" s="901">
        <v>2</v>
      </c>
      <c r="CJ144" s="901"/>
      <c r="CK144" s="901"/>
      <c r="CL144" s="901"/>
      <c r="CM144" s="901"/>
      <c r="CN144" s="901"/>
      <c r="CO144" s="901"/>
      <c r="CP144" s="901"/>
      <c r="CQ144" s="901"/>
      <c r="CR144" s="901"/>
      <c r="CS144" s="902">
        <f t="shared" si="46"/>
        <v>2</v>
      </c>
      <c r="CT144" s="871">
        <f t="shared" si="63"/>
        <v>2</v>
      </c>
      <c r="CU144" s="871">
        <f t="shared" si="64"/>
        <v>0</v>
      </c>
      <c r="CV144" s="942">
        <v>2</v>
      </c>
      <c r="CW144" s="710" t="s">
        <v>3270</v>
      </c>
      <c r="CX144" s="710"/>
      <c r="CY144" s="710"/>
      <c r="CZ144" s="710"/>
      <c r="DA144" s="899">
        <v>0.125</v>
      </c>
      <c r="DB144" s="899"/>
      <c r="DC144" s="710" t="s">
        <v>278</v>
      </c>
      <c r="DD144" s="710" t="s">
        <v>279</v>
      </c>
      <c r="DE144" s="710" t="s">
        <v>279</v>
      </c>
      <c r="DF144" s="901">
        <v>0</v>
      </c>
      <c r="DG144" s="901">
        <v>0</v>
      </c>
      <c r="DH144" s="901">
        <v>1</v>
      </c>
      <c r="DI144" s="710"/>
      <c r="DJ144" s="710"/>
      <c r="DK144" s="901"/>
      <c r="DL144" s="710"/>
      <c r="DM144" s="710"/>
      <c r="DN144" s="901"/>
      <c r="DO144" s="710"/>
      <c r="DP144" s="710"/>
      <c r="DQ144" s="901"/>
      <c r="DR144" s="710"/>
      <c r="DS144" s="710"/>
      <c r="DT144" s="901"/>
      <c r="DU144" s="710" t="s">
        <v>278</v>
      </c>
      <c r="DV144" s="710"/>
      <c r="DW144" s="901"/>
      <c r="DX144" s="710"/>
      <c r="DY144" s="710"/>
      <c r="DZ144" s="901"/>
      <c r="EA144" s="710"/>
      <c r="EB144" s="710"/>
      <c r="EC144" s="901"/>
      <c r="ED144" s="710"/>
      <c r="EE144" s="710"/>
      <c r="EF144" s="901"/>
      <c r="EG144" s="710"/>
      <c r="EH144" s="710"/>
      <c r="EI144" s="901"/>
      <c r="EJ144" s="710"/>
      <c r="EK144" s="710"/>
      <c r="EL144" s="901"/>
      <c r="EM144" s="710"/>
      <c r="EN144" s="710"/>
      <c r="EO144" s="901"/>
      <c r="EP144" s="710"/>
      <c r="EQ144" s="710"/>
      <c r="ER144" s="901"/>
      <c r="ES144" s="710"/>
      <c r="ET144" s="710"/>
      <c r="EU144" s="901"/>
      <c r="EV144" s="901"/>
      <c r="EW144" s="901"/>
      <c r="EX144" s="901"/>
      <c r="EY144" s="710" t="s">
        <v>279</v>
      </c>
      <c r="EZ144" s="710"/>
      <c r="FA144" s="710" t="s">
        <v>279</v>
      </c>
      <c r="FB144" s="710"/>
      <c r="FC144" s="710"/>
      <c r="FD144" s="710" t="s">
        <v>3336</v>
      </c>
      <c r="FE144" s="710"/>
      <c r="FF144" s="710"/>
      <c r="FG144" s="710"/>
      <c r="FH144" s="710"/>
      <c r="FI144" s="710"/>
      <c r="FJ144" s="710"/>
      <c r="FK144" s="710"/>
      <c r="FL144" s="710"/>
      <c r="FM144" s="710"/>
      <c r="FN144" s="710" t="s">
        <v>3427</v>
      </c>
      <c r="FO144" s="710" t="s">
        <v>3438</v>
      </c>
      <c r="FP144" s="1002" t="s">
        <v>3449</v>
      </c>
    </row>
    <row r="145" spans="2:172" ht="99.5" customHeight="1">
      <c r="B145" s="850" t="s">
        <v>5313</v>
      </c>
      <c r="C145" s="863"/>
      <c r="D145" s="850" t="s">
        <v>4933</v>
      </c>
      <c r="E145" s="850" t="s">
        <v>5314</v>
      </c>
      <c r="F145" s="850" t="s">
        <v>5349</v>
      </c>
      <c r="G145" s="850" t="s">
        <v>4933</v>
      </c>
      <c r="I145" s="850" t="s">
        <v>5524</v>
      </c>
      <c r="J145" s="850" t="s">
        <v>5444</v>
      </c>
      <c r="K145" s="710" t="s">
        <v>250</v>
      </c>
      <c r="L145" s="710"/>
      <c r="M145" s="710" t="s">
        <v>2354</v>
      </c>
      <c r="N145" s="710" t="s">
        <v>2355</v>
      </c>
      <c r="O145" s="895">
        <v>2016</v>
      </c>
      <c r="P145" s="896">
        <v>43132</v>
      </c>
      <c r="Q145" s="896">
        <v>43830</v>
      </c>
      <c r="R145" s="712">
        <f t="shared" si="42"/>
        <v>698</v>
      </c>
      <c r="S145" s="710" t="s">
        <v>2356</v>
      </c>
      <c r="T145" s="710" t="s">
        <v>2357</v>
      </c>
      <c r="U145" s="861" t="s">
        <v>2358</v>
      </c>
      <c r="V145" s="710" t="s">
        <v>279</v>
      </c>
      <c r="W145" s="710"/>
      <c r="X145" s="710" t="s">
        <v>279</v>
      </c>
      <c r="Y145" s="710"/>
      <c r="Z145" s="710" t="s">
        <v>279</v>
      </c>
      <c r="AA145" s="710"/>
      <c r="AB145" s="710"/>
      <c r="AC145" s="710"/>
      <c r="AD145" s="710" t="s">
        <v>2359</v>
      </c>
      <c r="AE145" s="710" t="s">
        <v>2360</v>
      </c>
      <c r="AF145" s="710" t="s">
        <v>2361</v>
      </c>
      <c r="AG145" s="710" t="s">
        <v>2362</v>
      </c>
      <c r="AH145" s="898">
        <f>42.3695+44.69865+94.43109</f>
        <v>181.49923999999999</v>
      </c>
      <c r="AI145" s="868">
        <f t="shared" si="47"/>
        <v>181.49923999999999</v>
      </c>
      <c r="AJ145" s="867">
        <f t="shared" si="48"/>
        <v>0</v>
      </c>
      <c r="AK145" s="898">
        <f>42.3695+44.69865+94.43109</f>
        <v>181.49923999999999</v>
      </c>
      <c r="AL145" s="899">
        <f>AK145/AH145*100%</f>
        <v>1</v>
      </c>
      <c r="AM145" s="900">
        <f>AK145/649697.6867*100%</f>
        <v>2.7935952938648503E-4</v>
      </c>
      <c r="AN145" s="869">
        <f t="shared" si="49"/>
        <v>1</v>
      </c>
      <c r="AO145" s="869">
        <f t="shared" si="50"/>
        <v>0</v>
      </c>
      <c r="AP145" s="946">
        <v>0</v>
      </c>
      <c r="AQ145" s="900"/>
      <c r="AR145" s="900"/>
      <c r="AS145" s="869">
        <f t="shared" si="51"/>
        <v>0</v>
      </c>
      <c r="AT145" s="869">
        <f t="shared" si="52"/>
        <v>0</v>
      </c>
      <c r="AU145" s="898">
        <v>0</v>
      </c>
      <c r="AV145" s="899">
        <v>0</v>
      </c>
      <c r="AW145" s="869">
        <f t="shared" si="53"/>
        <v>0</v>
      </c>
      <c r="AX145" s="869">
        <f t="shared" si="54"/>
        <v>0</v>
      </c>
      <c r="AY145" s="898">
        <v>0</v>
      </c>
      <c r="AZ145" s="899">
        <v>0</v>
      </c>
      <c r="BA145" s="869">
        <f t="shared" si="55"/>
        <v>0</v>
      </c>
      <c r="BB145" s="869">
        <f t="shared" si="56"/>
        <v>0</v>
      </c>
      <c r="BC145" s="898">
        <v>0</v>
      </c>
      <c r="BD145" s="899">
        <v>0</v>
      </c>
      <c r="BE145" s="869">
        <f t="shared" si="57"/>
        <v>0</v>
      </c>
      <c r="BF145" s="869">
        <f t="shared" si="58"/>
        <v>0</v>
      </c>
      <c r="BG145" s="898">
        <v>0</v>
      </c>
      <c r="BH145" s="899">
        <v>0</v>
      </c>
      <c r="BI145" s="710"/>
      <c r="BJ145" s="710"/>
      <c r="BK145" s="710"/>
      <c r="BL145" s="714">
        <f t="shared" si="59"/>
        <v>0</v>
      </c>
      <c r="BM145" s="869">
        <f t="shared" si="60"/>
        <v>0</v>
      </c>
      <c r="BN145" s="898">
        <v>0</v>
      </c>
      <c r="BO145" s="899">
        <v>0</v>
      </c>
      <c r="BP145" s="869">
        <f t="shared" si="61"/>
        <v>0</v>
      </c>
      <c r="BQ145" s="869">
        <f t="shared" si="62"/>
        <v>0</v>
      </c>
      <c r="BR145" s="942">
        <f>90</f>
        <v>90</v>
      </c>
      <c r="BS145" s="900">
        <f>BR145/727722.93*100%</f>
        <v>1.2367344258342938E-4</v>
      </c>
      <c r="BT145" s="900"/>
      <c r="BU145" s="900"/>
      <c r="BV145" s="902">
        <v>7646</v>
      </c>
      <c r="BW145" s="901">
        <v>52</v>
      </c>
      <c r="BX145" s="901">
        <v>17</v>
      </c>
      <c r="BY145" s="901"/>
      <c r="BZ145" s="901">
        <f>1+1+2</f>
        <v>4</v>
      </c>
      <c r="CA145" s="901"/>
      <c r="CB145" s="901"/>
      <c r="CC145" s="901"/>
      <c r="CD145" s="901"/>
      <c r="CE145" s="901"/>
      <c r="CF145" s="901"/>
      <c r="CG145" s="901">
        <f>1+1+2</f>
        <v>4</v>
      </c>
      <c r="CH145" s="901"/>
      <c r="CI145" s="901"/>
      <c r="CJ145" s="901">
        <f>1+1+1</f>
        <v>3</v>
      </c>
      <c r="CK145" s="901"/>
      <c r="CL145" s="901">
        <v>1</v>
      </c>
      <c r="CM145" s="901"/>
      <c r="CN145" s="901"/>
      <c r="CO145" s="901"/>
      <c r="CP145" s="901"/>
      <c r="CQ145" s="901">
        <f>1+1+1</f>
        <v>3</v>
      </c>
      <c r="CR145" s="901">
        <f>1+1</f>
        <v>2</v>
      </c>
      <c r="CS145" s="902">
        <f t="shared" si="46"/>
        <v>17</v>
      </c>
      <c r="CT145" s="871">
        <f t="shared" si="63"/>
        <v>17</v>
      </c>
      <c r="CU145" s="871">
        <f t="shared" si="64"/>
        <v>0</v>
      </c>
      <c r="CV145" s="942">
        <v>382.63195000000002</v>
      </c>
      <c r="CW145" s="710" t="s">
        <v>5516</v>
      </c>
      <c r="CX145" s="710"/>
      <c r="CY145" s="942">
        <f>CV145/5383.89*100</f>
        <v>7.1069793402168315</v>
      </c>
      <c r="CZ145" s="963" t="s">
        <v>2364</v>
      </c>
      <c r="DA145" s="963"/>
      <c r="DB145" s="963"/>
      <c r="DC145" s="710" t="s">
        <v>278</v>
      </c>
      <c r="DD145" s="710" t="s">
        <v>2365</v>
      </c>
      <c r="DE145" s="710" t="s">
        <v>2366</v>
      </c>
      <c r="DF145" s="901">
        <v>9</v>
      </c>
      <c r="DG145" s="901">
        <v>3</v>
      </c>
      <c r="DH145" s="901" t="s">
        <v>2367</v>
      </c>
      <c r="DI145" s="710" t="s">
        <v>279</v>
      </c>
      <c r="DJ145" s="710"/>
      <c r="DK145" s="901"/>
      <c r="DL145" s="710" t="s">
        <v>279</v>
      </c>
      <c r="DM145" s="710"/>
      <c r="DN145" s="901"/>
      <c r="DO145" s="710" t="s">
        <v>279</v>
      </c>
      <c r="DP145" s="710"/>
      <c r="DQ145" s="901"/>
      <c r="DR145" s="710" t="s">
        <v>278</v>
      </c>
      <c r="DS145" s="708" t="s">
        <v>2368</v>
      </c>
      <c r="DT145" s="708">
        <v>7242</v>
      </c>
      <c r="DU145" s="710" t="s">
        <v>279</v>
      </c>
      <c r="DV145" s="710"/>
      <c r="DW145" s="901"/>
      <c r="DX145" s="710" t="s">
        <v>279</v>
      </c>
      <c r="DY145" s="710"/>
      <c r="DZ145" s="901"/>
      <c r="EA145" s="710"/>
      <c r="EB145" s="710"/>
      <c r="EC145" s="901"/>
      <c r="ED145" s="710" t="s">
        <v>279</v>
      </c>
      <c r="EE145" s="710"/>
      <c r="EF145" s="901"/>
      <c r="EG145" s="710" t="s">
        <v>279</v>
      </c>
      <c r="EH145" s="710"/>
      <c r="EI145" s="901"/>
      <c r="EJ145" s="710" t="s">
        <v>278</v>
      </c>
      <c r="EK145" s="710" t="s">
        <v>2369</v>
      </c>
      <c r="EL145" s="901">
        <v>240</v>
      </c>
      <c r="EM145" s="710" t="s">
        <v>279</v>
      </c>
      <c r="EN145" s="710"/>
      <c r="EO145" s="901"/>
      <c r="EP145" s="710" t="s">
        <v>279</v>
      </c>
      <c r="EQ145" s="710"/>
      <c r="ER145" s="901"/>
      <c r="ES145" s="710" t="s">
        <v>279</v>
      </c>
      <c r="ET145" s="710"/>
      <c r="EU145" s="901"/>
      <c r="EV145" s="710" t="s">
        <v>2370</v>
      </c>
      <c r="EW145" s="710" t="s">
        <v>2371</v>
      </c>
      <c r="EX145" s="860" t="s">
        <v>2372</v>
      </c>
      <c r="EY145" s="710" t="s">
        <v>278</v>
      </c>
      <c r="EZ145" s="708" t="s">
        <v>2373</v>
      </c>
      <c r="FA145" s="710" t="s">
        <v>279</v>
      </c>
      <c r="FB145" s="710" t="s">
        <v>2374</v>
      </c>
      <c r="FC145" s="710" t="s">
        <v>2375</v>
      </c>
      <c r="FD145" s="708" t="s">
        <v>2376</v>
      </c>
      <c r="FE145" s="861" t="s">
        <v>2377</v>
      </c>
      <c r="FF145" s="708" t="s">
        <v>4918</v>
      </c>
      <c r="FG145" s="708" t="s">
        <v>2378</v>
      </c>
      <c r="FH145" s="710" t="s">
        <v>2379</v>
      </c>
      <c r="FI145" s="710">
        <f>18+1+1</f>
        <v>20</v>
      </c>
      <c r="FJ145" s="710" t="s">
        <v>2380</v>
      </c>
      <c r="FK145" s="710" t="s">
        <v>2381</v>
      </c>
      <c r="FL145" s="710" t="s">
        <v>2382</v>
      </c>
      <c r="FM145" s="861" t="s">
        <v>2383</v>
      </c>
      <c r="FN145" s="710" t="s">
        <v>2384</v>
      </c>
      <c r="FO145" s="710" t="s">
        <v>2385</v>
      </c>
      <c r="FP145" s="861" t="s">
        <v>2386</v>
      </c>
    </row>
    <row r="146" spans="2:172" ht="110.5" customHeight="1">
      <c r="B146" s="850" t="s">
        <v>5313</v>
      </c>
      <c r="C146" s="863"/>
      <c r="D146" s="850" t="s">
        <v>4933</v>
      </c>
      <c r="E146" s="850" t="s">
        <v>5314</v>
      </c>
      <c r="F146" s="850" t="s">
        <v>5350</v>
      </c>
      <c r="G146" s="850" t="s">
        <v>4933</v>
      </c>
      <c r="I146" s="850" t="s">
        <v>5520</v>
      </c>
      <c r="J146" s="850" t="s">
        <v>5445</v>
      </c>
      <c r="K146" s="710" t="s">
        <v>251</v>
      </c>
      <c r="L146" s="710"/>
      <c r="M146" s="710" t="s">
        <v>1709</v>
      </c>
      <c r="N146" s="710" t="s">
        <v>1710</v>
      </c>
      <c r="O146" s="895">
        <v>2017</v>
      </c>
      <c r="P146" s="896">
        <v>43483</v>
      </c>
      <c r="Q146" s="896">
        <v>43823</v>
      </c>
      <c r="R146" s="712">
        <f t="shared" si="42"/>
        <v>340</v>
      </c>
      <c r="S146" s="710" t="s">
        <v>1711</v>
      </c>
      <c r="T146" s="710" t="s">
        <v>1712</v>
      </c>
      <c r="U146" s="861" t="s">
        <v>1713</v>
      </c>
      <c r="V146" s="710"/>
      <c r="W146" s="710"/>
      <c r="X146" s="710"/>
      <c r="Y146" s="710"/>
      <c r="Z146" s="710" t="s">
        <v>1714</v>
      </c>
      <c r="AA146" s="861" t="s">
        <v>1715</v>
      </c>
      <c r="AB146" s="861"/>
      <c r="AC146" s="861"/>
      <c r="AD146" s="710" t="s">
        <v>1716</v>
      </c>
      <c r="AE146" s="710" t="s">
        <v>1717</v>
      </c>
      <c r="AF146" s="710" t="s">
        <v>633</v>
      </c>
      <c r="AG146" s="710" t="s">
        <v>1718</v>
      </c>
      <c r="AH146" s="898">
        <v>108.22629999999999</v>
      </c>
      <c r="AI146" s="868">
        <f t="shared" si="47"/>
        <v>108.22629999999999</v>
      </c>
      <c r="AJ146" s="867">
        <f t="shared" si="48"/>
        <v>0</v>
      </c>
      <c r="AK146" s="898">
        <v>75.990099999999998</v>
      </c>
      <c r="AL146" s="899">
        <v>0.70209999999999995</v>
      </c>
      <c r="AM146" s="899">
        <v>7.2900000000000005E-4</v>
      </c>
      <c r="AN146" s="869">
        <f t="shared" si="49"/>
        <v>0.7021407920255982</v>
      </c>
      <c r="AO146" s="869">
        <f t="shared" si="50"/>
        <v>-4.0792025598257453E-5</v>
      </c>
      <c r="AP146" s="899"/>
      <c r="AQ146" s="899"/>
      <c r="AR146" s="899"/>
      <c r="AS146" s="869">
        <f t="shared" si="51"/>
        <v>0</v>
      </c>
      <c r="AT146" s="869">
        <f t="shared" si="52"/>
        <v>0</v>
      </c>
      <c r="AU146" s="898">
        <v>17.645600000000002</v>
      </c>
      <c r="AV146" s="899">
        <v>0.16298000000000001</v>
      </c>
      <c r="AW146" s="869">
        <f t="shared" si="53"/>
        <v>0.16304354856444322</v>
      </c>
      <c r="AX146" s="869">
        <f t="shared" si="54"/>
        <v>-6.3548564443210998E-5</v>
      </c>
      <c r="AY146" s="898">
        <v>6.1233000000000004</v>
      </c>
      <c r="AZ146" s="899">
        <v>5.6550000000000003E-2</v>
      </c>
      <c r="BA146" s="869">
        <f t="shared" si="55"/>
        <v>5.6578668955697464E-2</v>
      </c>
      <c r="BB146" s="869">
        <f t="shared" si="56"/>
        <v>-2.8668955697461196E-5</v>
      </c>
      <c r="BC146" s="898">
        <v>8.4672999999999998</v>
      </c>
      <c r="BD146" s="899">
        <v>7.8200000000000006E-2</v>
      </c>
      <c r="BE146" s="869">
        <f t="shared" si="57"/>
        <v>7.8236990454261121E-2</v>
      </c>
      <c r="BF146" s="869">
        <f t="shared" si="58"/>
        <v>-3.6990454261115469E-5</v>
      </c>
      <c r="BG146" s="898"/>
      <c r="BH146" s="899"/>
      <c r="BI146" s="710"/>
      <c r="BJ146" s="710"/>
      <c r="BK146" s="710"/>
      <c r="BL146" s="714">
        <f t="shared" si="59"/>
        <v>0</v>
      </c>
      <c r="BM146" s="869">
        <f t="shared" si="60"/>
        <v>0</v>
      </c>
      <c r="BN146" s="898"/>
      <c r="BO146" s="899"/>
      <c r="BP146" s="869">
        <f t="shared" si="61"/>
        <v>0</v>
      </c>
      <c r="BQ146" s="869">
        <f t="shared" si="62"/>
        <v>0</v>
      </c>
      <c r="BR146" s="898">
        <v>120</v>
      </c>
      <c r="BS146" s="899">
        <v>1.15E-3</v>
      </c>
      <c r="BT146" s="899"/>
      <c r="BU146" s="899"/>
      <c r="BV146" s="901">
        <v>346</v>
      </c>
      <c r="BW146" s="901">
        <v>160</v>
      </c>
      <c r="BX146" s="901">
        <v>110</v>
      </c>
      <c r="BY146" s="901">
        <v>51</v>
      </c>
      <c r="BZ146" s="901"/>
      <c r="CA146" s="901">
        <v>5</v>
      </c>
      <c r="CB146" s="901">
        <v>1</v>
      </c>
      <c r="CC146" s="901"/>
      <c r="CD146" s="901"/>
      <c r="CE146" s="901"/>
      <c r="CF146" s="901">
        <v>7</v>
      </c>
      <c r="CG146" s="901">
        <v>9</v>
      </c>
      <c r="CH146" s="901"/>
      <c r="CI146" s="901">
        <v>13</v>
      </c>
      <c r="CJ146" s="901">
        <v>21</v>
      </c>
      <c r="CK146" s="901">
        <v>3</v>
      </c>
      <c r="CL146" s="901"/>
      <c r="CM146" s="901"/>
      <c r="CN146" s="901"/>
      <c r="CO146" s="901"/>
      <c r="CP146" s="901"/>
      <c r="CQ146" s="901"/>
      <c r="CR146" s="901"/>
      <c r="CS146" s="902">
        <f t="shared" si="46"/>
        <v>110</v>
      </c>
      <c r="CT146" s="871">
        <f t="shared" si="63"/>
        <v>110</v>
      </c>
      <c r="CU146" s="871">
        <f t="shared" si="64"/>
        <v>0</v>
      </c>
      <c r="CV146" s="942">
        <v>403.66899999999998</v>
      </c>
      <c r="CW146" s="710" t="s">
        <v>1719</v>
      </c>
      <c r="CX146" s="710"/>
      <c r="CY146" s="710">
        <v>16.5</v>
      </c>
      <c r="CZ146" s="963" t="s">
        <v>1720</v>
      </c>
      <c r="DA146" s="963"/>
      <c r="DB146" s="963"/>
      <c r="DC146" s="710" t="s">
        <v>279</v>
      </c>
      <c r="DD146" s="710"/>
      <c r="DE146" s="710"/>
      <c r="DF146" s="901"/>
      <c r="DG146" s="901"/>
      <c r="DH146" s="901">
        <v>5</v>
      </c>
      <c r="DI146" s="710"/>
      <c r="DJ146" s="710"/>
      <c r="DK146" s="901"/>
      <c r="DL146" s="710"/>
      <c r="DM146" s="710"/>
      <c r="DN146" s="901"/>
      <c r="DO146" s="710"/>
      <c r="DP146" s="710"/>
      <c r="DQ146" s="901"/>
      <c r="DR146" s="710"/>
      <c r="DS146" s="710"/>
      <c r="DT146" s="901"/>
      <c r="DU146" s="710"/>
      <c r="DV146" s="710"/>
      <c r="DW146" s="901"/>
      <c r="DX146" s="710"/>
      <c r="DY146" s="710"/>
      <c r="DZ146" s="901"/>
      <c r="EA146" s="710" t="s">
        <v>279</v>
      </c>
      <c r="EB146" s="710"/>
      <c r="EC146" s="901"/>
      <c r="ED146" s="710" t="s">
        <v>278</v>
      </c>
      <c r="EE146" s="710" t="s">
        <v>1721</v>
      </c>
      <c r="EF146" s="901">
        <v>42122</v>
      </c>
      <c r="EG146" s="710" t="s">
        <v>279</v>
      </c>
      <c r="EH146" s="710"/>
      <c r="EI146" s="901"/>
      <c r="EJ146" s="710" t="s">
        <v>279</v>
      </c>
      <c r="EK146" s="710"/>
      <c r="EL146" s="901"/>
      <c r="EM146" s="710" t="s">
        <v>278</v>
      </c>
      <c r="EN146" s="710" t="s">
        <v>1722</v>
      </c>
      <c r="EO146" s="901">
        <v>17</v>
      </c>
      <c r="EP146" s="710" t="s">
        <v>279</v>
      </c>
      <c r="EQ146" s="710"/>
      <c r="ER146" s="901"/>
      <c r="ES146" s="710" t="s">
        <v>279</v>
      </c>
      <c r="ET146" s="710"/>
      <c r="EU146" s="901"/>
      <c r="EV146" s="710" t="s">
        <v>1723</v>
      </c>
      <c r="EW146" s="710" t="s">
        <v>1724</v>
      </c>
      <c r="EX146" s="860">
        <v>160</v>
      </c>
      <c r="EY146" s="710" t="s">
        <v>279</v>
      </c>
      <c r="EZ146" s="710"/>
      <c r="FA146" s="710" t="s">
        <v>278</v>
      </c>
      <c r="FB146" s="710" t="s">
        <v>1725</v>
      </c>
      <c r="FC146" s="861" t="s">
        <v>1726</v>
      </c>
      <c r="FD146" s="861" t="s">
        <v>1727</v>
      </c>
      <c r="FE146" s="861" t="s">
        <v>1726</v>
      </c>
      <c r="FF146" s="861" t="s">
        <v>1728</v>
      </c>
      <c r="FG146" s="710" t="s">
        <v>279</v>
      </c>
      <c r="FH146" s="710" t="s">
        <v>1729</v>
      </c>
      <c r="FI146" s="710">
        <v>3</v>
      </c>
      <c r="FJ146" s="710">
        <v>220</v>
      </c>
      <c r="FK146" s="710" t="s">
        <v>1730</v>
      </c>
      <c r="FL146" s="711" t="s">
        <v>1731</v>
      </c>
      <c r="FM146" s="861" t="s">
        <v>1732</v>
      </c>
      <c r="FN146" s="710"/>
      <c r="FO146" s="710"/>
      <c r="FP146" s="710"/>
    </row>
    <row r="147" spans="2:172" ht="109.5" customHeight="1">
      <c r="B147" s="850" t="s">
        <v>5313</v>
      </c>
      <c r="C147" s="863"/>
      <c r="D147" s="850" t="s">
        <v>4933</v>
      </c>
      <c r="E147" s="850" t="s">
        <v>5314</v>
      </c>
      <c r="F147" s="879">
        <v>1</v>
      </c>
      <c r="G147" s="850" t="s">
        <v>4933</v>
      </c>
      <c r="I147" s="850" t="s">
        <v>5522</v>
      </c>
      <c r="J147" s="850" t="s">
        <v>5446</v>
      </c>
      <c r="K147" s="710" t="s">
        <v>252</v>
      </c>
      <c r="L147" s="710"/>
      <c r="M147" s="710" t="s">
        <v>1367</v>
      </c>
      <c r="N147" s="710" t="s">
        <v>1368</v>
      </c>
      <c r="O147" s="895">
        <v>2017</v>
      </c>
      <c r="P147" s="896">
        <v>43466</v>
      </c>
      <c r="Q147" s="896">
        <v>43830</v>
      </c>
      <c r="R147" s="712">
        <f t="shared" si="42"/>
        <v>364</v>
      </c>
      <c r="S147" s="710" t="s">
        <v>1369</v>
      </c>
      <c r="T147" s="710" t="s">
        <v>1370</v>
      </c>
      <c r="U147" s="861" t="s">
        <v>1371</v>
      </c>
      <c r="V147" s="710" t="s">
        <v>1372</v>
      </c>
      <c r="W147" s="861" t="s">
        <v>1373</v>
      </c>
      <c r="X147" s="710" t="s">
        <v>1367</v>
      </c>
      <c r="Y147" s="861" t="s">
        <v>1374</v>
      </c>
      <c r="Z147" s="710" t="s">
        <v>1375</v>
      </c>
      <c r="AA147" s="861" t="s">
        <v>1374</v>
      </c>
      <c r="AB147" s="861"/>
      <c r="AC147" s="861"/>
      <c r="AD147" s="710" t="s">
        <v>1376</v>
      </c>
      <c r="AE147" s="710" t="s">
        <v>1376</v>
      </c>
      <c r="AF147" s="710" t="s">
        <v>277</v>
      </c>
      <c r="AG147" s="710" t="s">
        <v>767</v>
      </c>
      <c r="AH147" s="867">
        <v>807.07</v>
      </c>
      <c r="AI147" s="868">
        <f t="shared" si="47"/>
        <v>807.06999999999994</v>
      </c>
      <c r="AJ147" s="875">
        <f t="shared" si="48"/>
        <v>0</v>
      </c>
      <c r="AK147" s="898">
        <v>499.45</v>
      </c>
      <c r="AL147" s="899">
        <v>0.68789999999999996</v>
      </c>
      <c r="AM147" s="899">
        <v>2.3E-3</v>
      </c>
      <c r="AN147" s="869">
        <f t="shared" si="49"/>
        <v>0.6188434708265701</v>
      </c>
      <c r="AO147" s="869">
        <f t="shared" si="50"/>
        <v>6.9056529173429859E-2</v>
      </c>
      <c r="AP147" s="899"/>
      <c r="AQ147" s="899"/>
      <c r="AR147" s="899"/>
      <c r="AS147" s="869">
        <f t="shared" si="51"/>
        <v>0</v>
      </c>
      <c r="AT147" s="869">
        <f t="shared" si="52"/>
        <v>0</v>
      </c>
      <c r="AU147" s="898">
        <v>137.1</v>
      </c>
      <c r="AV147" s="899">
        <v>0.1888</v>
      </c>
      <c r="AW147" s="869">
        <f t="shared" si="53"/>
        <v>0.16987374081554263</v>
      </c>
      <c r="AX147" s="869">
        <f t="shared" si="54"/>
        <v>1.8926259184457367E-2</v>
      </c>
      <c r="AY147" s="898">
        <v>49.4</v>
      </c>
      <c r="AZ147" s="899">
        <v>6.8000000000000005E-2</v>
      </c>
      <c r="BA147" s="869">
        <f t="shared" si="55"/>
        <v>6.1209064889043076E-2</v>
      </c>
      <c r="BB147" s="869">
        <f t="shared" si="56"/>
        <v>6.7909351109569291E-3</v>
      </c>
      <c r="BC147" s="898">
        <v>40.4</v>
      </c>
      <c r="BD147" s="899">
        <v>5.5599999999999997E-2</v>
      </c>
      <c r="BE147" s="869">
        <f t="shared" si="57"/>
        <v>5.0057615820189076E-2</v>
      </c>
      <c r="BF147" s="869">
        <f t="shared" si="58"/>
        <v>5.5423841798109205E-3</v>
      </c>
      <c r="BG147" s="898">
        <v>0</v>
      </c>
      <c r="BH147" s="899">
        <v>0</v>
      </c>
      <c r="BI147" s="710" t="s">
        <v>279</v>
      </c>
      <c r="BJ147" s="710" t="s">
        <v>279</v>
      </c>
      <c r="BK147" s="710" t="s">
        <v>279</v>
      </c>
      <c r="BL147" s="714">
        <f t="shared" si="59"/>
        <v>0</v>
      </c>
      <c r="BM147" s="869">
        <f t="shared" si="60"/>
        <v>0</v>
      </c>
      <c r="BN147" s="898">
        <v>80.72</v>
      </c>
      <c r="BO147" s="899">
        <v>0.1111</v>
      </c>
      <c r="BP147" s="869">
        <f t="shared" si="61"/>
        <v>0.100016107648655</v>
      </c>
      <c r="BQ147" s="869">
        <f t="shared" si="62"/>
        <v>1.1083892351345007E-2</v>
      </c>
      <c r="BR147" s="898">
        <v>500</v>
      </c>
      <c r="BS147" s="899">
        <v>2.3E-3</v>
      </c>
      <c r="BT147" s="899"/>
      <c r="BU147" s="899"/>
      <c r="BV147" s="901" t="s">
        <v>1377</v>
      </c>
      <c r="BW147" s="901">
        <v>565</v>
      </c>
      <c r="BX147" s="901">
        <v>443</v>
      </c>
      <c r="BY147" s="901">
        <v>103</v>
      </c>
      <c r="BZ147" s="901">
        <v>39</v>
      </c>
      <c r="CA147" s="901">
        <v>29</v>
      </c>
      <c r="CB147" s="901">
        <v>2</v>
      </c>
      <c r="CC147" s="901"/>
      <c r="CD147" s="901">
        <v>10</v>
      </c>
      <c r="CE147" s="901">
        <v>12</v>
      </c>
      <c r="CF147" s="901">
        <v>44</v>
      </c>
      <c r="CG147" s="901">
        <v>39</v>
      </c>
      <c r="CH147" s="901">
        <v>86</v>
      </c>
      <c r="CI147" s="901">
        <v>9</v>
      </c>
      <c r="CJ147" s="901">
        <v>37</v>
      </c>
      <c r="CK147" s="901">
        <v>5</v>
      </c>
      <c r="CL147" s="901">
        <v>8</v>
      </c>
      <c r="CM147" s="901"/>
      <c r="CN147" s="901"/>
      <c r="CO147" s="901"/>
      <c r="CP147" s="901">
        <v>16</v>
      </c>
      <c r="CQ147" s="901"/>
      <c r="CR147" s="901">
        <v>4</v>
      </c>
      <c r="CS147" s="902">
        <f t="shared" si="46"/>
        <v>443</v>
      </c>
      <c r="CT147" s="871">
        <f t="shared" si="63"/>
        <v>443</v>
      </c>
      <c r="CU147" s="871">
        <f t="shared" si="64"/>
        <v>0</v>
      </c>
      <c r="CV147" s="942">
        <v>926.4</v>
      </c>
      <c r="CW147" s="710" t="s">
        <v>1378</v>
      </c>
      <c r="CX147" s="861" t="s">
        <v>1371</v>
      </c>
      <c r="CY147" s="710">
        <v>99.89</v>
      </c>
      <c r="CZ147" s="963" t="s">
        <v>1379</v>
      </c>
      <c r="DA147" s="963"/>
      <c r="DB147" s="963"/>
      <c r="DD147" s="710" t="s">
        <v>1380</v>
      </c>
      <c r="DE147" s="710" t="s">
        <v>279</v>
      </c>
      <c r="DF147" s="901">
        <v>1</v>
      </c>
      <c r="DG147" s="901" t="s">
        <v>279</v>
      </c>
      <c r="DH147" s="901" t="s">
        <v>1381</v>
      </c>
      <c r="DI147" s="710" t="s">
        <v>278</v>
      </c>
      <c r="DJ147" s="710" t="s">
        <v>1382</v>
      </c>
      <c r="DK147" s="901">
        <v>191300</v>
      </c>
      <c r="DL147" s="710" t="s">
        <v>278</v>
      </c>
      <c r="DM147" s="710" t="s">
        <v>1383</v>
      </c>
      <c r="DN147" s="901">
        <v>82000</v>
      </c>
      <c r="DO147" s="710" t="s">
        <v>279</v>
      </c>
      <c r="DP147" s="710"/>
      <c r="DQ147" s="901"/>
      <c r="DR147" s="710" t="s">
        <v>278</v>
      </c>
      <c r="DS147" s="710" t="s">
        <v>1384</v>
      </c>
      <c r="DT147" s="901">
        <v>400</v>
      </c>
      <c r="DU147" s="710" t="s">
        <v>392</v>
      </c>
      <c r="DV147" s="710" t="s">
        <v>575</v>
      </c>
      <c r="DW147" s="901">
        <v>400</v>
      </c>
      <c r="DX147" s="710" t="s">
        <v>392</v>
      </c>
      <c r="DY147" s="710" t="s">
        <v>1385</v>
      </c>
      <c r="DZ147" s="901" t="s">
        <v>1386</v>
      </c>
      <c r="EA147" s="710" t="s">
        <v>279</v>
      </c>
      <c r="EB147" s="710"/>
      <c r="EC147" s="901"/>
      <c r="ED147" s="710" t="s">
        <v>279</v>
      </c>
      <c r="EE147" s="710"/>
      <c r="EF147" s="901"/>
      <c r="EG147" s="710" t="s">
        <v>279</v>
      </c>
      <c r="EH147" s="710"/>
      <c r="EI147" s="901"/>
      <c r="EJ147" s="710" t="s">
        <v>279</v>
      </c>
      <c r="EK147" s="710"/>
      <c r="EL147" s="901"/>
      <c r="EM147" s="710" t="s">
        <v>392</v>
      </c>
      <c r="EN147" s="710" t="s">
        <v>1387</v>
      </c>
      <c r="EO147" s="901">
        <v>15</v>
      </c>
      <c r="EP147" s="710" t="s">
        <v>392</v>
      </c>
      <c r="EQ147" s="861" t="s">
        <v>1388</v>
      </c>
      <c r="ER147" s="901">
        <v>15</v>
      </c>
      <c r="ES147" s="710" t="s">
        <v>279</v>
      </c>
      <c r="ET147" s="710" t="s">
        <v>279</v>
      </c>
      <c r="EU147" s="901" t="s">
        <v>279</v>
      </c>
      <c r="EV147" s="904">
        <v>1</v>
      </c>
      <c r="EW147" s="710" t="s">
        <v>1389</v>
      </c>
      <c r="EX147" s="860">
        <v>400</v>
      </c>
      <c r="EY147" s="710" t="s">
        <v>392</v>
      </c>
      <c r="EZ147" s="710" t="s">
        <v>1390</v>
      </c>
      <c r="FA147" s="710" t="s">
        <v>392</v>
      </c>
      <c r="FB147" s="710" t="s">
        <v>5665</v>
      </c>
      <c r="FC147" s="861" t="s">
        <v>1391</v>
      </c>
      <c r="FD147" s="861" t="s">
        <v>1392</v>
      </c>
      <c r="FE147" s="861" t="s">
        <v>1393</v>
      </c>
      <c r="FF147" s="710" t="s">
        <v>1394</v>
      </c>
      <c r="FG147" s="861" t="s">
        <v>1395</v>
      </c>
      <c r="FH147" s="710" t="s">
        <v>1396</v>
      </c>
      <c r="FI147" s="710">
        <v>23</v>
      </c>
      <c r="FJ147" s="710" t="s">
        <v>1397</v>
      </c>
      <c r="FK147" s="710" t="s">
        <v>1398</v>
      </c>
      <c r="FL147" s="710" t="s">
        <v>1399</v>
      </c>
      <c r="FM147" s="861" t="s">
        <v>1400</v>
      </c>
      <c r="FN147" s="710" t="s">
        <v>1401</v>
      </c>
      <c r="FO147" s="710" t="s">
        <v>1402</v>
      </c>
      <c r="FP147" s="861" t="s">
        <v>1403</v>
      </c>
    </row>
    <row r="148" spans="2:172" ht="95.5" customHeight="1">
      <c r="B148" s="850" t="s">
        <v>5313</v>
      </c>
      <c r="C148" s="863"/>
      <c r="D148" s="850" t="s">
        <v>4933</v>
      </c>
      <c r="E148" s="850" t="s">
        <v>5314</v>
      </c>
      <c r="F148" s="879">
        <v>1</v>
      </c>
      <c r="G148" s="850" t="s">
        <v>4933</v>
      </c>
      <c r="I148" s="850" t="s">
        <v>5522</v>
      </c>
      <c r="J148" s="850" t="s">
        <v>5447</v>
      </c>
      <c r="K148" s="710" t="s">
        <v>253</v>
      </c>
      <c r="L148" s="710"/>
      <c r="M148" s="710" t="s">
        <v>2082</v>
      </c>
      <c r="N148" s="710" t="s">
        <v>2083</v>
      </c>
      <c r="O148" s="710">
        <v>2018</v>
      </c>
      <c r="P148" s="1003">
        <v>43344</v>
      </c>
      <c r="Q148" s="1003">
        <v>43830</v>
      </c>
      <c r="R148" s="712">
        <f t="shared" si="42"/>
        <v>486</v>
      </c>
      <c r="S148" s="710" t="s">
        <v>2084</v>
      </c>
      <c r="T148" s="710" t="s">
        <v>2085</v>
      </c>
      <c r="U148" s="940" t="s">
        <v>2086</v>
      </c>
      <c r="V148" s="710" t="s">
        <v>279</v>
      </c>
      <c r="W148" s="710"/>
      <c r="X148" s="710" t="s">
        <v>2087</v>
      </c>
      <c r="Y148" s="861" t="s">
        <v>2088</v>
      </c>
      <c r="Z148" s="710" t="s">
        <v>279</v>
      </c>
      <c r="AA148" s="710"/>
      <c r="AB148" s="710"/>
      <c r="AC148" s="710"/>
      <c r="AD148" s="710" t="s">
        <v>2089</v>
      </c>
      <c r="AE148" s="710" t="s">
        <v>2089</v>
      </c>
      <c r="AF148" s="710" t="s">
        <v>1504</v>
      </c>
      <c r="AG148" s="710" t="s">
        <v>1082</v>
      </c>
      <c r="AH148" s="898">
        <v>352.3</v>
      </c>
      <c r="AI148" s="868">
        <f t="shared" si="47"/>
        <v>352.3</v>
      </c>
      <c r="AJ148" s="867">
        <f t="shared" si="48"/>
        <v>0</v>
      </c>
      <c r="AK148" s="898">
        <v>344.7</v>
      </c>
      <c r="AL148" s="899">
        <v>0.97840000000000005</v>
      </c>
      <c r="AM148" s="899">
        <v>1.9E-3</v>
      </c>
      <c r="AN148" s="869">
        <f t="shared" si="49"/>
        <v>0.9784274765824581</v>
      </c>
      <c r="AO148" s="869">
        <f t="shared" si="50"/>
        <v>-2.7476582458052512E-5</v>
      </c>
      <c r="AP148" s="899"/>
      <c r="AQ148" s="899"/>
      <c r="AR148" s="899"/>
      <c r="AS148" s="869">
        <f t="shared" si="51"/>
        <v>0</v>
      </c>
      <c r="AT148" s="869">
        <f t="shared" si="52"/>
        <v>0</v>
      </c>
      <c r="AU148" s="898">
        <v>7.6</v>
      </c>
      <c r="AV148" s="899">
        <v>2.1600000000000001E-2</v>
      </c>
      <c r="AW148" s="869">
        <f t="shared" si="53"/>
        <v>2.1572523417541865E-2</v>
      </c>
      <c r="AX148" s="869">
        <f t="shared" si="54"/>
        <v>2.7476582458135779E-5</v>
      </c>
      <c r="AY148" s="898">
        <v>0</v>
      </c>
      <c r="AZ148" s="899">
        <v>0</v>
      </c>
      <c r="BA148" s="869">
        <f t="shared" si="55"/>
        <v>0</v>
      </c>
      <c r="BB148" s="869">
        <f t="shared" si="56"/>
        <v>0</v>
      </c>
      <c r="BC148" s="898">
        <v>0</v>
      </c>
      <c r="BD148" s="899">
        <v>0</v>
      </c>
      <c r="BE148" s="869">
        <f t="shared" si="57"/>
        <v>0</v>
      </c>
      <c r="BF148" s="869">
        <f t="shared" si="58"/>
        <v>0</v>
      </c>
      <c r="BG148" s="898">
        <v>0</v>
      </c>
      <c r="BH148" s="899">
        <v>0</v>
      </c>
      <c r="BI148" s="710" t="s">
        <v>279</v>
      </c>
      <c r="BJ148" s="710" t="s">
        <v>279</v>
      </c>
      <c r="BK148" s="710" t="s">
        <v>279</v>
      </c>
      <c r="BL148" s="714">
        <f t="shared" si="59"/>
        <v>0</v>
      </c>
      <c r="BM148" s="869">
        <f t="shared" si="60"/>
        <v>0</v>
      </c>
      <c r="BN148" s="898">
        <v>0</v>
      </c>
      <c r="BO148" s="899">
        <v>0</v>
      </c>
      <c r="BP148" s="869">
        <f t="shared" si="61"/>
        <v>0</v>
      </c>
      <c r="BQ148" s="869">
        <f t="shared" si="62"/>
        <v>0</v>
      </c>
      <c r="BR148" s="898">
        <v>375</v>
      </c>
      <c r="BS148" s="899">
        <v>2.3E-3</v>
      </c>
      <c r="BT148" s="899"/>
      <c r="BU148" s="899"/>
      <c r="BV148" s="901"/>
      <c r="BW148" s="901">
        <v>131</v>
      </c>
      <c r="BX148" s="901">
        <v>131</v>
      </c>
      <c r="BY148" s="901"/>
      <c r="BZ148" s="901">
        <v>5</v>
      </c>
      <c r="CA148" s="901">
        <v>2</v>
      </c>
      <c r="CB148" s="901"/>
      <c r="CC148" s="901">
        <v>1</v>
      </c>
      <c r="CD148" s="901">
        <v>5</v>
      </c>
      <c r="CE148" s="901">
        <v>33</v>
      </c>
      <c r="CF148" s="901">
        <v>1</v>
      </c>
      <c r="CG148" s="901">
        <v>50</v>
      </c>
      <c r="CH148" s="901"/>
      <c r="CI148" s="901">
        <v>3</v>
      </c>
      <c r="CJ148" s="901">
        <v>31</v>
      </c>
      <c r="CK148" s="901"/>
      <c r="CL148" s="901"/>
      <c r="CM148" s="901"/>
      <c r="CN148" s="901"/>
      <c r="CO148" s="901"/>
      <c r="CP148" s="901"/>
      <c r="CQ148" s="901"/>
      <c r="CR148" s="901"/>
      <c r="CS148" s="902">
        <f t="shared" si="46"/>
        <v>131</v>
      </c>
      <c r="CT148" s="871">
        <f t="shared" si="63"/>
        <v>131</v>
      </c>
      <c r="CU148" s="871">
        <f t="shared" si="64"/>
        <v>0</v>
      </c>
      <c r="CV148" s="942"/>
      <c r="CW148" s="710"/>
      <c r="CX148" s="710"/>
      <c r="CY148" s="710"/>
      <c r="CZ148" s="899"/>
      <c r="DA148" s="899"/>
      <c r="DB148" s="899"/>
      <c r="DC148" s="710" t="s">
        <v>279</v>
      </c>
      <c r="DD148" s="710"/>
      <c r="DE148" s="710"/>
      <c r="DF148" s="901"/>
      <c r="DG148" s="901"/>
      <c r="DH148" s="901">
        <v>8</v>
      </c>
      <c r="DI148" s="710" t="s">
        <v>278</v>
      </c>
      <c r="DJ148" s="710"/>
      <c r="DK148" s="901"/>
      <c r="DL148" s="710" t="s">
        <v>278</v>
      </c>
      <c r="DM148" s="710"/>
      <c r="DN148" s="901"/>
      <c r="DO148" s="710" t="s">
        <v>278</v>
      </c>
      <c r="DP148" s="710"/>
      <c r="DQ148" s="901"/>
      <c r="DR148" s="710" t="s">
        <v>279</v>
      </c>
      <c r="DS148" s="710"/>
      <c r="DT148" s="901"/>
      <c r="DU148" s="710" t="s">
        <v>279</v>
      </c>
      <c r="DV148" s="710"/>
      <c r="DW148" s="901"/>
      <c r="DX148" s="710"/>
      <c r="DY148" s="710"/>
      <c r="DZ148" s="901"/>
      <c r="EA148" s="710" t="s">
        <v>279</v>
      </c>
      <c r="EB148" s="710"/>
      <c r="EC148" s="901"/>
      <c r="ED148" s="710" t="s">
        <v>279</v>
      </c>
      <c r="EE148" s="710"/>
      <c r="EF148" s="901"/>
      <c r="EG148" s="710" t="s">
        <v>279</v>
      </c>
      <c r="EH148" s="710"/>
      <c r="EI148" s="901"/>
      <c r="EJ148" s="710" t="s">
        <v>279</v>
      </c>
      <c r="EK148" s="710"/>
      <c r="EL148" s="901"/>
      <c r="EM148" s="710" t="s">
        <v>279</v>
      </c>
      <c r="EN148" s="710"/>
      <c r="EO148" s="901"/>
      <c r="EP148" s="710" t="s">
        <v>279</v>
      </c>
      <c r="EQ148" s="710"/>
      <c r="ER148" s="901"/>
      <c r="ES148" s="710" t="s">
        <v>278</v>
      </c>
      <c r="ET148" s="710" t="s">
        <v>2090</v>
      </c>
      <c r="EU148" s="901">
        <v>7778</v>
      </c>
      <c r="EV148" s="904">
        <v>1</v>
      </c>
      <c r="EW148" s="710"/>
      <c r="EX148" s="860">
        <v>18</v>
      </c>
      <c r="EY148" s="710" t="s">
        <v>278</v>
      </c>
      <c r="EZ148" s="710" t="s">
        <v>2091</v>
      </c>
      <c r="FA148" s="710" t="s">
        <v>279</v>
      </c>
      <c r="FB148" s="710"/>
      <c r="FC148" s="861" t="s">
        <v>2092</v>
      </c>
      <c r="FD148" s="861" t="s">
        <v>2093</v>
      </c>
      <c r="FE148" s="710"/>
      <c r="FF148" s="940" t="s">
        <v>2094</v>
      </c>
      <c r="FG148" s="861" t="s">
        <v>2095</v>
      </c>
      <c r="FH148" s="710" t="s">
        <v>2096</v>
      </c>
      <c r="FI148" s="710">
        <v>17</v>
      </c>
      <c r="FJ148" s="710">
        <v>550</v>
      </c>
      <c r="FK148" s="710" t="s">
        <v>2097</v>
      </c>
      <c r="FL148" s="710" t="s">
        <v>2098</v>
      </c>
      <c r="FM148" s="861" t="s">
        <v>2099</v>
      </c>
      <c r="FN148" s="710"/>
      <c r="FO148" s="710"/>
      <c r="FP148" s="710"/>
    </row>
    <row r="149" spans="2:172" ht="88" customHeight="1">
      <c r="B149" s="850" t="s">
        <v>5313</v>
      </c>
      <c r="C149" s="863"/>
      <c r="D149" s="850" t="s">
        <v>4933</v>
      </c>
      <c r="E149" s="850" t="s">
        <v>5314</v>
      </c>
      <c r="F149" s="879">
        <v>1</v>
      </c>
      <c r="G149" s="850" t="s">
        <v>4933</v>
      </c>
      <c r="I149" s="850" t="s">
        <v>5522</v>
      </c>
      <c r="J149" s="850" t="s">
        <v>5447</v>
      </c>
      <c r="K149" s="710" t="s">
        <v>253</v>
      </c>
      <c r="L149" s="710"/>
      <c r="M149" s="710" t="s">
        <v>2100</v>
      </c>
      <c r="N149" s="710" t="s">
        <v>2101</v>
      </c>
      <c r="O149" s="895">
        <v>2018</v>
      </c>
      <c r="P149" s="939">
        <v>43132</v>
      </c>
      <c r="Q149" s="939">
        <v>44196</v>
      </c>
      <c r="R149" s="712">
        <f t="shared" si="42"/>
        <v>1064</v>
      </c>
      <c r="S149" s="710" t="s">
        <v>2084</v>
      </c>
      <c r="T149" s="710" t="s">
        <v>2102</v>
      </c>
      <c r="U149" s="940" t="s">
        <v>2103</v>
      </c>
      <c r="V149" s="710"/>
      <c r="W149" s="710"/>
      <c r="X149" s="710" t="s">
        <v>2087</v>
      </c>
      <c r="Y149" s="861" t="s">
        <v>2088</v>
      </c>
      <c r="Z149" s="710" t="s">
        <v>279</v>
      </c>
      <c r="AA149" s="710"/>
      <c r="AB149" s="710"/>
      <c r="AC149" s="710"/>
      <c r="AD149" s="710" t="s">
        <v>2089</v>
      </c>
      <c r="AE149" s="710" t="s">
        <v>2104</v>
      </c>
      <c r="AF149" s="710" t="s">
        <v>1504</v>
      </c>
      <c r="AG149" s="710" t="s">
        <v>1082</v>
      </c>
      <c r="AH149" s="898">
        <v>360.5</v>
      </c>
      <c r="AI149" s="868">
        <f t="shared" si="47"/>
        <v>360.5</v>
      </c>
      <c r="AJ149" s="867">
        <f t="shared" si="48"/>
        <v>0</v>
      </c>
      <c r="AK149" s="898">
        <v>356.9</v>
      </c>
      <c r="AL149" s="899">
        <v>0.99</v>
      </c>
      <c r="AM149" s="899">
        <v>2E-3</v>
      </c>
      <c r="AN149" s="869">
        <f t="shared" si="49"/>
        <v>0.99001386962552007</v>
      </c>
      <c r="AO149" s="869">
        <f t="shared" si="50"/>
        <v>-1.3869625520079865E-5</v>
      </c>
      <c r="AP149" s="899"/>
      <c r="AQ149" s="899"/>
      <c r="AR149" s="899"/>
      <c r="AS149" s="869">
        <f t="shared" si="51"/>
        <v>0</v>
      </c>
      <c r="AT149" s="869">
        <f t="shared" si="52"/>
        <v>0</v>
      </c>
      <c r="AU149" s="898">
        <v>3.6</v>
      </c>
      <c r="AV149" s="899">
        <v>0.01</v>
      </c>
      <c r="AW149" s="869">
        <f t="shared" si="53"/>
        <v>9.9861303744798891E-3</v>
      </c>
      <c r="AX149" s="869">
        <f t="shared" si="54"/>
        <v>1.386962552011109E-5</v>
      </c>
      <c r="AY149" s="898">
        <v>0</v>
      </c>
      <c r="AZ149" s="899">
        <v>0</v>
      </c>
      <c r="BA149" s="869">
        <f t="shared" si="55"/>
        <v>0</v>
      </c>
      <c r="BB149" s="869">
        <f t="shared" si="56"/>
        <v>0</v>
      </c>
      <c r="BC149" s="898">
        <v>0</v>
      </c>
      <c r="BD149" s="899">
        <v>0</v>
      </c>
      <c r="BE149" s="869">
        <f t="shared" si="57"/>
        <v>0</v>
      </c>
      <c r="BF149" s="869">
        <f t="shared" si="58"/>
        <v>0</v>
      </c>
      <c r="BG149" s="898">
        <v>0</v>
      </c>
      <c r="BH149" s="899">
        <v>0</v>
      </c>
      <c r="BI149" s="710" t="s">
        <v>279</v>
      </c>
      <c r="BJ149" s="710" t="s">
        <v>279</v>
      </c>
      <c r="BK149" s="710" t="s">
        <v>279</v>
      </c>
      <c r="BL149" s="714">
        <f t="shared" si="59"/>
        <v>0</v>
      </c>
      <c r="BM149" s="869">
        <f t="shared" si="60"/>
        <v>0</v>
      </c>
      <c r="BN149" s="898">
        <v>0</v>
      </c>
      <c r="BO149" s="899">
        <v>0</v>
      </c>
      <c r="BP149" s="869">
        <f t="shared" si="61"/>
        <v>0</v>
      </c>
      <c r="BQ149" s="869">
        <f t="shared" si="62"/>
        <v>0</v>
      </c>
      <c r="BR149" s="898">
        <v>1158.7027</v>
      </c>
      <c r="BS149" s="899">
        <v>7.0000000000000001E-3</v>
      </c>
      <c r="BT149" s="899"/>
      <c r="BU149" s="899"/>
      <c r="BV149" s="901">
        <v>213</v>
      </c>
      <c r="BW149" s="901">
        <v>32</v>
      </c>
      <c r="BX149" s="901">
        <v>11</v>
      </c>
      <c r="BY149" s="901"/>
      <c r="BZ149" s="901"/>
      <c r="CA149" s="901"/>
      <c r="CB149" s="901"/>
      <c r="CC149" s="901"/>
      <c r="CD149" s="901"/>
      <c r="CE149" s="901"/>
      <c r="CF149" s="901"/>
      <c r="CG149" s="901"/>
      <c r="CH149" s="901"/>
      <c r="CI149" s="901"/>
      <c r="CJ149" s="901">
        <v>1</v>
      </c>
      <c r="CK149" s="901"/>
      <c r="CL149" s="901"/>
      <c r="CM149" s="901"/>
      <c r="CN149" s="901"/>
      <c r="CO149" s="901"/>
      <c r="CP149" s="901"/>
      <c r="CQ149" s="901"/>
      <c r="CR149" s="901"/>
      <c r="CS149" s="902">
        <f t="shared" si="46"/>
        <v>1</v>
      </c>
      <c r="CT149" s="871">
        <f t="shared" si="63"/>
        <v>1</v>
      </c>
      <c r="CU149" s="871">
        <f t="shared" si="64"/>
        <v>0</v>
      </c>
      <c r="CV149" s="942">
        <v>97875</v>
      </c>
      <c r="CW149" s="710" t="s">
        <v>2105</v>
      </c>
      <c r="CX149" s="710"/>
      <c r="CY149" s="710">
        <v>19.989999999999998</v>
      </c>
      <c r="CZ149" s="861" t="s">
        <v>2106</v>
      </c>
      <c r="DA149" s="861"/>
      <c r="DB149" s="861"/>
      <c r="DC149" s="710" t="s">
        <v>279</v>
      </c>
      <c r="DD149" s="710"/>
      <c r="DE149" s="710"/>
      <c r="DF149" s="901"/>
      <c r="DG149" s="901"/>
      <c r="DH149" s="901">
        <v>8</v>
      </c>
      <c r="DI149" s="901" t="s">
        <v>278</v>
      </c>
      <c r="DJ149" s="901"/>
      <c r="DK149" s="901"/>
      <c r="DL149" s="710" t="s">
        <v>278</v>
      </c>
      <c r="DM149" s="710" t="s">
        <v>2107</v>
      </c>
      <c r="DN149" s="901">
        <v>3880</v>
      </c>
      <c r="DO149" s="710" t="s">
        <v>279</v>
      </c>
      <c r="DP149" s="710"/>
      <c r="DQ149" s="901"/>
      <c r="DR149" s="710" t="s">
        <v>279</v>
      </c>
      <c r="DS149" s="710"/>
      <c r="DT149" s="901"/>
      <c r="DU149" s="710" t="s">
        <v>279</v>
      </c>
      <c r="DV149" s="710"/>
      <c r="DW149" s="901"/>
      <c r="DX149" s="710" t="s">
        <v>279</v>
      </c>
      <c r="DY149" s="710"/>
      <c r="DZ149" s="901"/>
      <c r="EA149" s="710" t="s">
        <v>278</v>
      </c>
      <c r="EB149" s="940" t="s">
        <v>2108</v>
      </c>
      <c r="EC149" s="901">
        <v>15925</v>
      </c>
      <c r="ED149" s="710" t="s">
        <v>278</v>
      </c>
      <c r="EE149" s="710" t="s">
        <v>2109</v>
      </c>
      <c r="EF149" s="901">
        <v>2738</v>
      </c>
      <c r="EG149" s="710" t="s">
        <v>279</v>
      </c>
      <c r="EH149" s="710"/>
      <c r="EI149" s="901"/>
      <c r="EJ149" s="710" t="s">
        <v>279</v>
      </c>
      <c r="EK149" s="710"/>
      <c r="EL149" s="901"/>
      <c r="EM149" s="710" t="s">
        <v>279</v>
      </c>
      <c r="EN149" s="710"/>
      <c r="EO149" s="901"/>
      <c r="EP149" s="710" t="s">
        <v>279</v>
      </c>
      <c r="EQ149" s="710"/>
      <c r="ER149" s="901"/>
      <c r="ES149" s="710" t="s">
        <v>279</v>
      </c>
      <c r="ET149" s="710"/>
      <c r="EU149" s="901"/>
      <c r="EV149" s="904">
        <v>1</v>
      </c>
      <c r="EW149" s="710"/>
      <c r="EX149" s="860">
        <v>18</v>
      </c>
      <c r="EY149" s="860" t="s">
        <v>278</v>
      </c>
      <c r="EZ149" s="860" t="s">
        <v>2132</v>
      </c>
      <c r="FA149" s="710" t="s">
        <v>279</v>
      </c>
      <c r="FB149" s="710"/>
      <c r="FC149" s="940" t="s">
        <v>2110</v>
      </c>
      <c r="FD149" s="1004" t="s">
        <v>2111</v>
      </c>
      <c r="FE149" s="710"/>
      <c r="FF149" s="710" t="s">
        <v>2112</v>
      </c>
      <c r="FG149" s="940" t="s">
        <v>2113</v>
      </c>
      <c r="FH149" s="710" t="s">
        <v>2114</v>
      </c>
      <c r="FI149" s="710">
        <v>16</v>
      </c>
      <c r="FJ149" s="710">
        <v>550</v>
      </c>
      <c r="FK149" s="710" t="s">
        <v>2115</v>
      </c>
      <c r="FL149" s="710" t="s">
        <v>2098</v>
      </c>
      <c r="FM149" s="940" t="s">
        <v>2099</v>
      </c>
      <c r="FN149" s="710"/>
      <c r="FO149" s="710"/>
      <c r="FP149" s="710"/>
    </row>
    <row r="150" spans="2:172" ht="82" customHeight="1">
      <c r="B150" s="850" t="s">
        <v>5313</v>
      </c>
      <c r="C150" s="863"/>
      <c r="D150" s="850" t="s">
        <v>4933</v>
      </c>
      <c r="E150" s="850" t="s">
        <v>5314</v>
      </c>
      <c r="F150" s="879">
        <v>1</v>
      </c>
      <c r="G150" s="850" t="s">
        <v>4933</v>
      </c>
      <c r="I150" s="850" t="s">
        <v>5522</v>
      </c>
      <c r="J150" s="850" t="s">
        <v>5447</v>
      </c>
      <c r="K150" s="710" t="s">
        <v>253</v>
      </c>
      <c r="L150" s="710"/>
      <c r="M150" s="710" t="s">
        <v>2116</v>
      </c>
      <c r="N150" s="710" t="s">
        <v>2117</v>
      </c>
      <c r="O150" s="895">
        <v>2017</v>
      </c>
      <c r="P150" s="939">
        <v>43282</v>
      </c>
      <c r="Q150" s="939">
        <v>43830</v>
      </c>
      <c r="R150" s="712">
        <f t="shared" si="42"/>
        <v>548</v>
      </c>
      <c r="S150" s="710" t="s">
        <v>2084</v>
      </c>
      <c r="T150" s="710" t="s">
        <v>2118</v>
      </c>
      <c r="U150" s="940" t="s">
        <v>2119</v>
      </c>
      <c r="V150" s="710"/>
      <c r="W150" s="710"/>
      <c r="X150" s="710" t="s">
        <v>2087</v>
      </c>
      <c r="Y150" s="861" t="s">
        <v>2088</v>
      </c>
      <c r="Z150" s="710" t="s">
        <v>279</v>
      </c>
      <c r="AA150" s="710"/>
      <c r="AB150" s="710"/>
      <c r="AC150" s="710"/>
      <c r="AD150" s="710" t="s">
        <v>2089</v>
      </c>
      <c r="AE150" s="710" t="s">
        <v>2089</v>
      </c>
      <c r="AF150" s="710" t="s">
        <v>1504</v>
      </c>
      <c r="AG150" s="710" t="s">
        <v>1082</v>
      </c>
      <c r="AH150" s="898">
        <v>149</v>
      </c>
      <c r="AI150" s="868">
        <f t="shared" si="47"/>
        <v>148.89999999999998</v>
      </c>
      <c r="AJ150" s="875">
        <f t="shared" si="48"/>
        <v>-0.10000000000002274</v>
      </c>
      <c r="AK150" s="898">
        <v>113.1</v>
      </c>
      <c r="AL150" s="899">
        <v>0.75900000000000001</v>
      </c>
      <c r="AM150" s="899">
        <v>5.9999999999999995E-4</v>
      </c>
      <c r="AN150" s="869">
        <f t="shared" si="49"/>
        <v>0.75906040268456376</v>
      </c>
      <c r="AO150" s="869">
        <f t="shared" si="50"/>
        <v>-6.0402684563753972E-5</v>
      </c>
      <c r="AP150" s="899"/>
      <c r="AQ150" s="899"/>
      <c r="AR150" s="899"/>
      <c r="AS150" s="869">
        <f t="shared" si="51"/>
        <v>0</v>
      </c>
      <c r="AT150" s="869">
        <f t="shared" si="52"/>
        <v>0</v>
      </c>
      <c r="AU150" s="898">
        <v>32.299999999999997</v>
      </c>
      <c r="AV150" s="899">
        <v>0.217</v>
      </c>
      <c r="AW150" s="869">
        <f t="shared" si="53"/>
        <v>0.21677852348993287</v>
      </c>
      <c r="AX150" s="869">
        <f t="shared" si="54"/>
        <v>2.2147651006712565E-4</v>
      </c>
      <c r="AY150" s="898">
        <v>1.5</v>
      </c>
      <c r="AZ150" s="899">
        <v>0.01</v>
      </c>
      <c r="BA150" s="869">
        <f t="shared" si="55"/>
        <v>1.0067114093959731E-2</v>
      </c>
      <c r="BB150" s="869">
        <f t="shared" si="56"/>
        <v>-6.7114093959730683E-5</v>
      </c>
      <c r="BC150" s="898">
        <v>2</v>
      </c>
      <c r="BD150" s="899">
        <v>1.4E-2</v>
      </c>
      <c r="BE150" s="869">
        <f t="shared" si="57"/>
        <v>1.3422818791946308E-2</v>
      </c>
      <c r="BF150" s="869">
        <f t="shared" si="58"/>
        <v>5.7718120805369186E-4</v>
      </c>
      <c r="BG150" s="898">
        <v>0</v>
      </c>
      <c r="BH150" s="899">
        <v>0</v>
      </c>
      <c r="BI150" s="710" t="s">
        <v>279</v>
      </c>
      <c r="BJ150" s="710" t="s">
        <v>279</v>
      </c>
      <c r="BK150" s="710" t="s">
        <v>279</v>
      </c>
      <c r="BL150" s="714">
        <f t="shared" si="59"/>
        <v>0</v>
      </c>
      <c r="BM150" s="869">
        <f t="shared" si="60"/>
        <v>0</v>
      </c>
      <c r="BN150" s="898">
        <v>0</v>
      </c>
      <c r="BO150" s="899">
        <v>0</v>
      </c>
      <c r="BP150" s="869">
        <f t="shared" si="61"/>
        <v>0</v>
      </c>
      <c r="BQ150" s="869">
        <f t="shared" si="62"/>
        <v>0</v>
      </c>
      <c r="BR150" s="898">
        <v>190</v>
      </c>
      <c r="BS150" s="899">
        <v>1.1000000000000001E-3</v>
      </c>
      <c r="BT150" s="899"/>
      <c r="BU150" s="899"/>
      <c r="BV150" s="901">
        <v>293</v>
      </c>
      <c r="BW150" s="901">
        <v>86</v>
      </c>
      <c r="BX150" s="901">
        <v>44</v>
      </c>
      <c r="BY150" s="901">
        <v>1</v>
      </c>
      <c r="BZ150" s="901">
        <v>6</v>
      </c>
      <c r="CA150" s="901">
        <v>2</v>
      </c>
      <c r="CB150" s="901"/>
      <c r="CC150" s="901"/>
      <c r="CD150" s="901">
        <v>1</v>
      </c>
      <c r="CE150" s="901"/>
      <c r="CF150" s="901">
        <v>5</v>
      </c>
      <c r="CG150" s="901">
        <v>11</v>
      </c>
      <c r="CH150" s="901"/>
      <c r="CI150" s="901">
        <v>8</v>
      </c>
      <c r="CJ150" s="901">
        <v>9</v>
      </c>
      <c r="CK150" s="901"/>
      <c r="CL150" s="901"/>
      <c r="CM150" s="901"/>
      <c r="CN150" s="901"/>
      <c r="CO150" s="901"/>
      <c r="CP150" s="901"/>
      <c r="CQ150" s="901"/>
      <c r="CR150" s="901">
        <v>1</v>
      </c>
      <c r="CS150" s="902">
        <f t="shared" si="46"/>
        <v>44</v>
      </c>
      <c r="CT150" s="871">
        <f t="shared" si="63"/>
        <v>44</v>
      </c>
      <c r="CU150" s="871">
        <f t="shared" si="64"/>
        <v>0</v>
      </c>
      <c r="CV150" s="942">
        <v>69482</v>
      </c>
      <c r="CW150" s="710" t="s">
        <v>2120</v>
      </c>
      <c r="CX150" s="710"/>
      <c r="CY150" s="904">
        <v>0.1419</v>
      </c>
      <c r="CZ150" s="963" t="s">
        <v>2106</v>
      </c>
      <c r="DA150" s="963"/>
      <c r="DB150" s="963"/>
      <c r="DC150" s="710" t="s">
        <v>279</v>
      </c>
      <c r="DD150" s="710"/>
      <c r="DE150" s="710"/>
      <c r="DF150" s="901"/>
      <c r="DG150" s="901"/>
      <c r="DH150" s="901">
        <v>8</v>
      </c>
      <c r="DI150" s="710" t="s">
        <v>278</v>
      </c>
      <c r="DJ150" s="710" t="s">
        <v>2121</v>
      </c>
      <c r="DK150" s="901">
        <v>2311</v>
      </c>
      <c r="DL150" s="710" t="s">
        <v>278</v>
      </c>
      <c r="DM150" s="710" t="s">
        <v>2122</v>
      </c>
      <c r="DN150" s="901">
        <v>3987</v>
      </c>
      <c r="DO150" s="710" t="s">
        <v>279</v>
      </c>
      <c r="DP150" s="710"/>
      <c r="DQ150" s="901"/>
      <c r="DR150" s="710" t="s">
        <v>278</v>
      </c>
      <c r="DS150" s="861" t="s">
        <v>2123</v>
      </c>
      <c r="DT150" s="901"/>
      <c r="DU150" s="710" t="s">
        <v>279</v>
      </c>
      <c r="DV150" s="710"/>
      <c r="DW150" s="901"/>
      <c r="DX150" s="710"/>
      <c r="DY150" s="710"/>
      <c r="DZ150" s="901"/>
      <c r="EA150" s="710" t="s">
        <v>279</v>
      </c>
      <c r="EB150" s="710"/>
      <c r="EC150" s="901"/>
      <c r="ED150" s="710" t="s">
        <v>279</v>
      </c>
      <c r="EE150" s="710"/>
      <c r="EF150" s="901"/>
      <c r="EG150" s="710" t="s">
        <v>279</v>
      </c>
      <c r="EH150" s="710"/>
      <c r="EI150" s="901"/>
      <c r="EJ150" s="710" t="s">
        <v>279</v>
      </c>
      <c r="EK150" s="710"/>
      <c r="EL150" s="901"/>
      <c r="EM150" s="710" t="s">
        <v>278</v>
      </c>
      <c r="EN150" s="940" t="s">
        <v>2124</v>
      </c>
      <c r="EO150" s="901">
        <v>11</v>
      </c>
      <c r="EP150" s="710" t="s">
        <v>279</v>
      </c>
      <c r="EQ150" s="710"/>
      <c r="ER150" s="901"/>
      <c r="ES150" s="710" t="s">
        <v>278</v>
      </c>
      <c r="ET150" s="710" t="s">
        <v>2125</v>
      </c>
      <c r="EU150" s="901"/>
      <c r="EV150" s="904">
        <v>1</v>
      </c>
      <c r="EW150" s="710"/>
      <c r="EX150" s="860">
        <v>18</v>
      </c>
      <c r="EY150" s="710" t="s">
        <v>278</v>
      </c>
      <c r="EZ150" s="710" t="s">
        <v>2126</v>
      </c>
      <c r="FA150" s="710" t="s">
        <v>278</v>
      </c>
      <c r="FB150" s="710" t="s">
        <v>2127</v>
      </c>
      <c r="FC150" s="861" t="s">
        <v>2128</v>
      </c>
      <c r="FD150" s="861" t="s">
        <v>2111</v>
      </c>
      <c r="FE150" s="710"/>
      <c r="FF150" s="710" t="s">
        <v>2129</v>
      </c>
      <c r="FG150" s="861" t="s">
        <v>2130</v>
      </c>
      <c r="FH150" s="710" t="s">
        <v>2131</v>
      </c>
      <c r="FI150" s="710">
        <v>1</v>
      </c>
      <c r="FJ150" s="710">
        <v>100</v>
      </c>
      <c r="FK150" s="710" t="s">
        <v>2097</v>
      </c>
      <c r="FL150" s="710" t="s">
        <v>2098</v>
      </c>
      <c r="FM150" s="861" t="s">
        <v>2099</v>
      </c>
      <c r="FN150" s="710"/>
      <c r="FO150" s="710"/>
      <c r="FP150" s="710"/>
    </row>
    <row r="151" spans="2:172" ht="95.5" customHeight="1">
      <c r="B151" s="850" t="s">
        <v>5315</v>
      </c>
      <c r="C151" s="850" t="s">
        <v>5316</v>
      </c>
      <c r="D151" s="850" t="s">
        <v>5317</v>
      </c>
      <c r="E151" s="850" t="s">
        <v>5318</v>
      </c>
      <c r="F151" s="850" t="s">
        <v>5319</v>
      </c>
      <c r="G151" s="850" t="s">
        <v>4933</v>
      </c>
      <c r="I151" s="850" t="s">
        <v>5519</v>
      </c>
      <c r="J151" s="850" t="s">
        <v>5448</v>
      </c>
      <c r="K151" s="710" t="s">
        <v>254</v>
      </c>
      <c r="L151" s="710"/>
      <c r="M151" s="710" t="s">
        <v>881</v>
      </c>
      <c r="N151" s="710"/>
      <c r="O151" s="895">
        <v>2017</v>
      </c>
      <c r="P151" s="896">
        <v>43466</v>
      </c>
      <c r="Q151" s="896">
        <v>43830</v>
      </c>
      <c r="R151" s="712">
        <f t="shared" si="42"/>
        <v>364</v>
      </c>
      <c r="S151" s="710" t="s">
        <v>1773</v>
      </c>
      <c r="T151" s="710" t="s">
        <v>1774</v>
      </c>
      <c r="U151" s="861" t="s">
        <v>1775</v>
      </c>
      <c r="V151" s="710"/>
      <c r="W151" s="710"/>
      <c r="X151" s="710" t="s">
        <v>1776</v>
      </c>
      <c r="Y151" s="861" t="s">
        <v>1775</v>
      </c>
      <c r="Z151" s="710" t="s">
        <v>1777</v>
      </c>
      <c r="AA151" s="710" t="s">
        <v>1778</v>
      </c>
      <c r="AB151" s="710"/>
      <c r="AC151" s="710"/>
      <c r="AD151" s="710" t="s">
        <v>1779</v>
      </c>
      <c r="AE151" s="710" t="s">
        <v>1779</v>
      </c>
      <c r="AF151" s="710" t="s">
        <v>1780</v>
      </c>
      <c r="AG151" s="710" t="s">
        <v>1743</v>
      </c>
      <c r="AH151" s="898">
        <v>2045.7953</v>
      </c>
      <c r="AI151" s="868">
        <f t="shared" si="47"/>
        <v>2045.79567</v>
      </c>
      <c r="AJ151" s="867">
        <f t="shared" si="48"/>
        <v>3.699999999753345E-4</v>
      </c>
      <c r="AK151" s="898">
        <v>130.2861</v>
      </c>
      <c r="AL151" s="927">
        <f>AK151/AH151</f>
        <v>6.368481734218473E-2</v>
      </c>
      <c r="AM151" s="899">
        <f>AK151/296594.0519</f>
        <v>4.3927414985357635E-4</v>
      </c>
      <c r="AN151" s="869">
        <f t="shared" si="49"/>
        <v>6.368481734218473E-2</v>
      </c>
      <c r="AO151" s="869">
        <f t="shared" si="50"/>
        <v>0</v>
      </c>
      <c r="AP151" s="899"/>
      <c r="AQ151" s="899"/>
      <c r="AR151" s="899"/>
      <c r="AS151" s="869">
        <f t="shared" si="51"/>
        <v>0</v>
      </c>
      <c r="AT151" s="869">
        <f t="shared" si="52"/>
        <v>0</v>
      </c>
      <c r="AU151" s="898">
        <v>106.67086999999999</v>
      </c>
      <c r="AV151" s="927">
        <f>AU151/AH151</f>
        <v>5.214151679789273E-2</v>
      </c>
      <c r="AW151" s="869">
        <f t="shared" si="53"/>
        <v>5.214151679789273E-2</v>
      </c>
      <c r="AX151" s="869">
        <f t="shared" si="54"/>
        <v>0</v>
      </c>
      <c r="AY151" s="898">
        <v>36.747</v>
      </c>
      <c r="AZ151" s="927">
        <f>AY151/AH151</f>
        <v>1.79622076558686E-2</v>
      </c>
      <c r="BA151" s="869">
        <f t="shared" si="55"/>
        <v>1.79622076558686E-2</v>
      </c>
      <c r="BB151" s="869">
        <f t="shared" si="56"/>
        <v>0</v>
      </c>
      <c r="BC151" s="898">
        <v>41.148000000000003</v>
      </c>
      <c r="BD151" s="927">
        <f>BC151/AH151</f>
        <v>2.0113449278136481E-2</v>
      </c>
      <c r="BE151" s="869">
        <f t="shared" si="57"/>
        <v>2.0113449278136481E-2</v>
      </c>
      <c r="BF151" s="869">
        <f t="shared" si="58"/>
        <v>0</v>
      </c>
      <c r="BG151" s="898">
        <v>1730.9437</v>
      </c>
      <c r="BH151" s="927">
        <f>BG151/AH151</f>
        <v>0.84609818978467688</v>
      </c>
      <c r="BI151" s="710" t="s">
        <v>1781</v>
      </c>
      <c r="BJ151" s="710" t="s">
        <v>457</v>
      </c>
      <c r="BK151" s="710" t="s">
        <v>1779</v>
      </c>
      <c r="BL151" s="714">
        <f t="shared" si="59"/>
        <v>0.84609818978467688</v>
      </c>
      <c r="BM151" s="869">
        <f t="shared" si="60"/>
        <v>0</v>
      </c>
      <c r="BN151" s="898"/>
      <c r="BO151" s="899"/>
      <c r="BP151" s="869">
        <f t="shared" si="61"/>
        <v>0</v>
      </c>
      <c r="BQ151" s="869">
        <f t="shared" si="62"/>
        <v>0</v>
      </c>
      <c r="BR151" s="898" t="s">
        <v>5713</v>
      </c>
      <c r="BS151" s="899">
        <f>1752.1024/296594.0519</f>
        <v>5.9074090959542937E-3</v>
      </c>
      <c r="BT151" s="899"/>
      <c r="BU151" s="899"/>
      <c r="BV151" s="901">
        <v>115374</v>
      </c>
      <c r="BW151" s="901"/>
      <c r="BX151" s="901">
        <f>63+71</f>
        <v>134</v>
      </c>
      <c r="BY151" s="901"/>
      <c r="BZ151" s="901"/>
      <c r="CA151" s="901"/>
      <c r="CB151" s="901"/>
      <c r="CC151" s="901"/>
      <c r="CD151" s="901"/>
      <c r="CE151" s="901"/>
      <c r="CF151" s="901"/>
      <c r="CG151" s="901"/>
      <c r="CH151" s="901">
        <v>71</v>
      </c>
      <c r="CI151" s="901"/>
      <c r="CJ151" s="901">
        <v>63</v>
      </c>
      <c r="CK151" s="901"/>
      <c r="CL151" s="901"/>
      <c r="CM151" s="901"/>
      <c r="CN151" s="901"/>
      <c r="CO151" s="901"/>
      <c r="CP151" s="901"/>
      <c r="CQ151" s="901"/>
      <c r="CR151" s="901"/>
      <c r="CS151" s="902">
        <f t="shared" si="46"/>
        <v>134</v>
      </c>
      <c r="CT151" s="871">
        <f t="shared" si="63"/>
        <v>134</v>
      </c>
      <c r="CU151" s="871">
        <f t="shared" si="64"/>
        <v>0</v>
      </c>
      <c r="CV151" s="942">
        <v>3884.0059999999999</v>
      </c>
      <c r="CW151" s="710" t="s">
        <v>1782</v>
      </c>
      <c r="CX151" s="710"/>
      <c r="CY151" s="942">
        <f>3884.006/4315.699*100</f>
        <v>89.997147623131283</v>
      </c>
      <c r="CZ151" s="1005" t="s">
        <v>1783</v>
      </c>
      <c r="DA151" s="1005"/>
      <c r="DB151" s="1005"/>
      <c r="DC151" s="710" t="s">
        <v>278</v>
      </c>
      <c r="DD151" s="710" t="s">
        <v>1784</v>
      </c>
      <c r="DE151" s="710"/>
      <c r="DF151" s="901"/>
      <c r="DG151" s="901"/>
      <c r="DH151" s="901"/>
      <c r="DI151" s="710" t="s">
        <v>278</v>
      </c>
      <c r="DJ151" s="710" t="s">
        <v>1785</v>
      </c>
      <c r="DK151" s="901">
        <v>34072</v>
      </c>
      <c r="DL151" s="710" t="s">
        <v>278</v>
      </c>
      <c r="DM151" s="710" t="s">
        <v>1786</v>
      </c>
      <c r="DN151" s="901">
        <f>2475+248059</f>
        <v>250534</v>
      </c>
      <c r="DO151" s="710" t="s">
        <v>278</v>
      </c>
      <c r="DP151" s="710" t="s">
        <v>1787</v>
      </c>
      <c r="DQ151" s="901">
        <v>96905</v>
      </c>
      <c r="DR151" s="710" t="s">
        <v>278</v>
      </c>
      <c r="DS151" s="710" t="s">
        <v>1787</v>
      </c>
      <c r="DT151" s="901">
        <v>176478</v>
      </c>
      <c r="DU151" s="805" t="s">
        <v>1788</v>
      </c>
      <c r="DV151" s="805"/>
      <c r="DW151" s="805"/>
      <c r="DX151" s="710" t="s">
        <v>278</v>
      </c>
      <c r="DY151" s="710" t="s">
        <v>3501</v>
      </c>
      <c r="DZ151" s="901">
        <f>34694+91296+3330+812+6161+10101+1738+50421+1028+3020+11899+7255</f>
        <v>221755</v>
      </c>
      <c r="EA151" s="710"/>
      <c r="EB151" s="710"/>
      <c r="EC151" s="901"/>
      <c r="ED151" s="710"/>
      <c r="EE151" s="710"/>
      <c r="EF151" s="901"/>
      <c r="EG151" s="710"/>
      <c r="EH151" s="710"/>
      <c r="EI151" s="901"/>
      <c r="EJ151" s="710"/>
      <c r="EK151" s="710"/>
      <c r="EL151" s="901"/>
      <c r="EM151" s="710" t="s">
        <v>278</v>
      </c>
      <c r="EN151" s="710" t="s">
        <v>733</v>
      </c>
      <c r="EO151" s="901">
        <v>14</v>
      </c>
      <c r="EP151" s="710"/>
      <c r="EQ151" s="710"/>
      <c r="ER151" s="901"/>
      <c r="ES151" s="710" t="s">
        <v>278</v>
      </c>
      <c r="ET151" s="710" t="s">
        <v>1789</v>
      </c>
      <c r="EU151" s="901">
        <f>26968+1992+273485</f>
        <v>302445</v>
      </c>
      <c r="EV151" s="718" t="s">
        <v>1790</v>
      </c>
      <c r="EW151" s="718"/>
      <c r="EX151" s="860">
        <v>77</v>
      </c>
      <c r="EY151" s="710" t="s">
        <v>278</v>
      </c>
      <c r="EZ151" s="710" t="s">
        <v>1791</v>
      </c>
      <c r="FA151" s="710" t="s">
        <v>278</v>
      </c>
      <c r="FB151" s="710" t="s">
        <v>1792</v>
      </c>
      <c r="FC151" s="861" t="s">
        <v>1793</v>
      </c>
      <c r="FD151" s="710" t="s">
        <v>1794</v>
      </c>
      <c r="FE151" s="861" t="s">
        <v>1795</v>
      </c>
      <c r="FF151" s="710" t="s">
        <v>1796</v>
      </c>
      <c r="FG151" s="710" t="s">
        <v>1797</v>
      </c>
      <c r="FH151" s="948" t="s">
        <v>1798</v>
      </c>
      <c r="FI151" s="710">
        <v>2</v>
      </c>
      <c r="FJ151" s="710">
        <v>100</v>
      </c>
      <c r="FK151" s="710" t="s">
        <v>1799</v>
      </c>
      <c r="FL151" s="710" t="s">
        <v>1800</v>
      </c>
      <c r="FM151" s="710" t="s">
        <v>1801</v>
      </c>
      <c r="FN151" s="710"/>
      <c r="FO151" s="710"/>
      <c r="FP151" s="710"/>
    </row>
    <row r="152" spans="2:172" ht="99.5" customHeight="1">
      <c r="B152" s="850" t="s">
        <v>5315</v>
      </c>
      <c r="C152" s="850" t="s">
        <v>5320</v>
      </c>
      <c r="D152" s="850" t="s">
        <v>5317</v>
      </c>
      <c r="E152" s="850" t="s">
        <v>5318</v>
      </c>
      <c r="F152" s="850" t="s">
        <v>694</v>
      </c>
      <c r="G152" s="850" t="s">
        <v>4933</v>
      </c>
      <c r="I152" s="850" t="s">
        <v>5519</v>
      </c>
      <c r="J152" s="850" t="s">
        <v>5448</v>
      </c>
      <c r="K152" s="710" t="s">
        <v>254</v>
      </c>
      <c r="L152" s="710"/>
      <c r="M152" s="710" t="s">
        <v>1802</v>
      </c>
      <c r="N152" s="710" t="s">
        <v>1802</v>
      </c>
      <c r="O152" s="895">
        <v>2019</v>
      </c>
      <c r="P152" s="896">
        <v>43238</v>
      </c>
      <c r="Q152" s="896">
        <v>43709</v>
      </c>
      <c r="R152" s="712">
        <f t="shared" si="42"/>
        <v>471</v>
      </c>
      <c r="S152" s="710" t="s">
        <v>1803</v>
      </c>
      <c r="T152" s="710" t="s">
        <v>1804</v>
      </c>
      <c r="U152" s="861" t="s">
        <v>1805</v>
      </c>
      <c r="V152" s="710" t="s">
        <v>1806</v>
      </c>
      <c r="W152" s="861" t="s">
        <v>1807</v>
      </c>
      <c r="X152" s="710" t="s">
        <v>410</v>
      </c>
      <c r="Y152" s="710" t="s">
        <v>410</v>
      </c>
      <c r="Z152" s="710" t="s">
        <v>410</v>
      </c>
      <c r="AA152" s="710" t="s">
        <v>410</v>
      </c>
      <c r="AB152" s="710"/>
      <c r="AC152" s="710"/>
      <c r="AD152" s="710" t="s">
        <v>1808</v>
      </c>
      <c r="AE152" s="710" t="s">
        <v>1808</v>
      </c>
      <c r="AF152" s="710" t="s">
        <v>454</v>
      </c>
      <c r="AG152" s="710" t="s">
        <v>1809</v>
      </c>
      <c r="AH152" s="1006">
        <v>1.9959199999999999</v>
      </c>
      <c r="AI152" s="868">
        <f t="shared" si="47"/>
        <v>1.9959199999999999</v>
      </c>
      <c r="AJ152" s="867">
        <f t="shared" si="48"/>
        <v>0</v>
      </c>
      <c r="AK152" s="898">
        <v>0.3</v>
      </c>
      <c r="AL152" s="899">
        <v>0.15029999999999999</v>
      </c>
      <c r="AM152" s="1007">
        <v>1.1000000000000001E-6</v>
      </c>
      <c r="AN152" s="869">
        <f t="shared" si="49"/>
        <v>0.15030662551605276</v>
      </c>
      <c r="AO152" s="869">
        <f t="shared" si="50"/>
        <v>-6.6255160527661783E-6</v>
      </c>
      <c r="AP152" s="1007"/>
      <c r="AQ152" s="1007"/>
      <c r="AR152" s="1007"/>
      <c r="AS152" s="869">
        <f t="shared" si="51"/>
        <v>0</v>
      </c>
      <c r="AT152" s="869">
        <f t="shared" si="52"/>
        <v>0</v>
      </c>
      <c r="AU152" s="1006">
        <v>1.295496</v>
      </c>
      <c r="AV152" s="899">
        <v>0.64910000000000001</v>
      </c>
      <c r="AW152" s="869">
        <f t="shared" si="53"/>
        <v>0.64907210709848095</v>
      </c>
      <c r="AX152" s="869">
        <f t="shared" si="54"/>
        <v>2.7892901519055435E-5</v>
      </c>
      <c r="AY152" s="1006">
        <v>6.5240000000000003E-3</v>
      </c>
      <c r="AZ152" s="899">
        <v>3.2000000000000002E-3</v>
      </c>
      <c r="BA152" s="869">
        <f t="shared" si="55"/>
        <v>3.2686680828890942E-3</v>
      </c>
      <c r="BB152" s="869">
        <f t="shared" si="56"/>
        <v>-6.8668082889094054E-5</v>
      </c>
      <c r="BC152" s="898"/>
      <c r="BD152" s="899"/>
      <c r="BE152" s="869">
        <f t="shared" si="57"/>
        <v>0</v>
      </c>
      <c r="BF152" s="869">
        <f t="shared" si="58"/>
        <v>0</v>
      </c>
      <c r="BG152" s="1008">
        <v>0.39389999999999997</v>
      </c>
      <c r="BH152" s="899">
        <v>0.19739999999999999</v>
      </c>
      <c r="BI152" s="710" t="s">
        <v>1810</v>
      </c>
      <c r="BJ152" s="710" t="s">
        <v>769</v>
      </c>
      <c r="BK152" s="710" t="s">
        <v>1808</v>
      </c>
      <c r="BL152" s="714">
        <f t="shared" si="59"/>
        <v>0.19735259930257726</v>
      </c>
      <c r="BM152" s="869">
        <f t="shared" si="60"/>
        <v>4.7400697422733673E-5</v>
      </c>
      <c r="BN152" s="898"/>
      <c r="BO152" s="899"/>
      <c r="BP152" s="869">
        <f t="shared" si="61"/>
        <v>0</v>
      </c>
      <c r="BQ152" s="869">
        <f t="shared" si="62"/>
        <v>0</v>
      </c>
      <c r="BR152" s="898">
        <v>0.3</v>
      </c>
      <c r="BS152" s="1007">
        <v>9.9999999999999995E-7</v>
      </c>
      <c r="BT152" s="1007"/>
      <c r="BU152" s="1007"/>
      <c r="BV152" s="901">
        <v>1</v>
      </c>
      <c r="BW152" s="901">
        <v>1</v>
      </c>
      <c r="BX152" s="901">
        <v>1</v>
      </c>
      <c r="BY152" s="901"/>
      <c r="BZ152" s="901" t="s">
        <v>410</v>
      </c>
      <c r="CA152" s="901" t="s">
        <v>410</v>
      </c>
      <c r="CB152" s="901" t="s">
        <v>410</v>
      </c>
      <c r="CC152" s="901" t="s">
        <v>410</v>
      </c>
      <c r="CD152" s="901" t="s">
        <v>410</v>
      </c>
      <c r="CE152" s="901" t="s">
        <v>410</v>
      </c>
      <c r="CF152" s="901" t="s">
        <v>410</v>
      </c>
      <c r="CG152" s="901" t="s">
        <v>410</v>
      </c>
      <c r="CH152" s="901" t="s">
        <v>410</v>
      </c>
      <c r="CI152" s="901">
        <v>1</v>
      </c>
      <c r="CJ152" s="901" t="s">
        <v>410</v>
      </c>
      <c r="CK152" s="901" t="s">
        <v>410</v>
      </c>
      <c r="CL152" s="901" t="s">
        <v>410</v>
      </c>
      <c r="CM152" s="901" t="s">
        <v>410</v>
      </c>
      <c r="CN152" s="901" t="s">
        <v>410</v>
      </c>
      <c r="CO152" s="901" t="s">
        <v>410</v>
      </c>
      <c r="CP152" s="901" t="s">
        <v>410</v>
      </c>
      <c r="CQ152" s="901" t="s">
        <v>410</v>
      </c>
      <c r="CR152" s="901" t="s">
        <v>410</v>
      </c>
      <c r="CS152" s="902">
        <f t="shared" si="46"/>
        <v>1</v>
      </c>
      <c r="CT152" s="871">
        <f t="shared" si="63"/>
        <v>1</v>
      </c>
      <c r="CU152" s="871">
        <f t="shared" si="64"/>
        <v>0</v>
      </c>
      <c r="CV152" s="942">
        <v>1.103</v>
      </c>
      <c r="CW152" s="898" t="s">
        <v>1811</v>
      </c>
      <c r="CX152" s="710" t="s">
        <v>410</v>
      </c>
      <c r="CY152" s="710">
        <v>2.5600000000000001E-2</v>
      </c>
      <c r="CZ152" s="963" t="s">
        <v>1812</v>
      </c>
      <c r="DA152" s="963"/>
      <c r="DB152" s="963"/>
      <c r="DC152" s="710" t="s">
        <v>279</v>
      </c>
      <c r="DD152" s="710" t="s">
        <v>410</v>
      </c>
      <c r="DE152" s="710" t="s">
        <v>410</v>
      </c>
      <c r="DF152" s="710" t="s">
        <v>410</v>
      </c>
      <c r="DG152" s="710" t="s">
        <v>410</v>
      </c>
      <c r="DH152" s="901">
        <v>5</v>
      </c>
      <c r="DI152" s="710" t="s">
        <v>279</v>
      </c>
      <c r="DJ152" s="710" t="s">
        <v>410</v>
      </c>
      <c r="DK152" s="710" t="s">
        <v>410</v>
      </c>
      <c r="DL152" s="710" t="s">
        <v>278</v>
      </c>
      <c r="DM152" s="710" t="s">
        <v>1813</v>
      </c>
      <c r="DN152" s="901">
        <v>11</v>
      </c>
      <c r="DO152" s="710" t="s">
        <v>279</v>
      </c>
      <c r="DP152" s="710" t="s">
        <v>410</v>
      </c>
      <c r="DQ152" s="710" t="s">
        <v>410</v>
      </c>
      <c r="DR152" s="710" t="s">
        <v>279</v>
      </c>
      <c r="DS152" s="710" t="s">
        <v>410</v>
      </c>
      <c r="DT152" s="710" t="s">
        <v>410</v>
      </c>
      <c r="DU152" s="710" t="s">
        <v>279</v>
      </c>
      <c r="DV152" s="710" t="s">
        <v>410</v>
      </c>
      <c r="DW152" s="710" t="s">
        <v>410</v>
      </c>
      <c r="DX152" s="710" t="s">
        <v>279</v>
      </c>
      <c r="DY152" s="710" t="s">
        <v>410</v>
      </c>
      <c r="DZ152" s="710" t="s">
        <v>410</v>
      </c>
      <c r="EA152" s="710" t="s">
        <v>279</v>
      </c>
      <c r="EB152" s="710" t="s">
        <v>410</v>
      </c>
      <c r="EC152" s="710" t="s">
        <v>410</v>
      </c>
      <c r="ED152" s="710" t="s">
        <v>279</v>
      </c>
      <c r="EE152" s="710" t="s">
        <v>410</v>
      </c>
      <c r="EF152" s="710" t="s">
        <v>410</v>
      </c>
      <c r="EG152" s="710" t="s">
        <v>279</v>
      </c>
      <c r="EH152" s="710" t="s">
        <v>410</v>
      </c>
      <c r="EI152" s="710" t="s">
        <v>410</v>
      </c>
      <c r="EJ152" s="710" t="s">
        <v>279</v>
      </c>
      <c r="EK152" s="710" t="s">
        <v>410</v>
      </c>
      <c r="EL152" s="710" t="s">
        <v>410</v>
      </c>
      <c r="EM152" s="710" t="s">
        <v>279</v>
      </c>
      <c r="EN152" s="710" t="s">
        <v>410</v>
      </c>
      <c r="EO152" s="901" t="s">
        <v>410</v>
      </c>
      <c r="EP152" s="710" t="s">
        <v>279</v>
      </c>
      <c r="EQ152" s="710" t="s">
        <v>410</v>
      </c>
      <c r="ER152" s="901" t="s">
        <v>410</v>
      </c>
      <c r="ES152" s="710" t="s">
        <v>279</v>
      </c>
      <c r="ET152" s="710" t="s">
        <v>410</v>
      </c>
      <c r="EU152" s="901" t="s">
        <v>410</v>
      </c>
      <c r="EV152" s="710" t="s">
        <v>1814</v>
      </c>
      <c r="EW152" s="710" t="s">
        <v>1815</v>
      </c>
      <c r="EX152" s="860">
        <v>1</v>
      </c>
      <c r="EY152" s="710" t="s">
        <v>279</v>
      </c>
      <c r="EZ152" s="710"/>
      <c r="FA152" s="710" t="s">
        <v>278</v>
      </c>
      <c r="FB152" s="710" t="s">
        <v>1816</v>
      </c>
      <c r="FC152" s="710" t="s">
        <v>410</v>
      </c>
      <c r="FD152" s="710" t="s">
        <v>410</v>
      </c>
      <c r="FE152" s="710" t="s">
        <v>410</v>
      </c>
      <c r="FF152" s="710" t="s">
        <v>1817</v>
      </c>
      <c r="FG152" s="710" t="s">
        <v>410</v>
      </c>
      <c r="FH152" s="710" t="s">
        <v>410</v>
      </c>
      <c r="FI152" s="710" t="s">
        <v>410</v>
      </c>
      <c r="FJ152" s="710" t="s">
        <v>410</v>
      </c>
      <c r="FK152" s="710" t="s">
        <v>1818</v>
      </c>
      <c r="FL152" s="710" t="s">
        <v>1819</v>
      </c>
      <c r="FM152" s="861" t="s">
        <v>1820</v>
      </c>
      <c r="FN152" s="710"/>
      <c r="FO152" s="710"/>
      <c r="FP152" s="710"/>
    </row>
    <row r="153" spans="2:172" ht="103" customHeight="1">
      <c r="B153" s="850" t="s">
        <v>5313</v>
      </c>
      <c r="C153" s="863"/>
      <c r="D153" s="863"/>
      <c r="E153" s="850" t="s">
        <v>5318</v>
      </c>
      <c r="F153" s="879">
        <v>1</v>
      </c>
      <c r="G153" s="850" t="s">
        <v>4933</v>
      </c>
      <c r="I153" s="850" t="s">
        <v>5519</v>
      </c>
      <c r="J153" s="850" t="s">
        <v>5448</v>
      </c>
      <c r="K153" s="710" t="s">
        <v>254</v>
      </c>
      <c r="L153" s="710"/>
      <c r="M153" s="710" t="s">
        <v>1733</v>
      </c>
      <c r="N153" s="710" t="s">
        <v>1734</v>
      </c>
      <c r="O153" s="895">
        <v>2017</v>
      </c>
      <c r="P153" s="896">
        <v>43475</v>
      </c>
      <c r="Q153" s="896">
        <v>43830</v>
      </c>
      <c r="R153" s="712">
        <f t="shared" si="42"/>
        <v>355</v>
      </c>
      <c r="S153" s="710" t="s">
        <v>1735</v>
      </c>
      <c r="T153" s="710" t="s">
        <v>1736</v>
      </c>
      <c r="U153" s="861" t="s">
        <v>1737</v>
      </c>
      <c r="V153" s="710" t="s">
        <v>1738</v>
      </c>
      <c r="W153" s="861" t="s">
        <v>1739</v>
      </c>
      <c r="X153" s="710" t="s">
        <v>410</v>
      </c>
      <c r="Y153" s="710" t="s">
        <v>410</v>
      </c>
      <c r="Z153" s="710" t="s">
        <v>1740</v>
      </c>
      <c r="AA153" s="861" t="s">
        <v>1741</v>
      </c>
      <c r="AB153" s="861"/>
      <c r="AC153" s="861"/>
      <c r="AD153" s="710" t="s">
        <v>1742</v>
      </c>
      <c r="AE153" s="710" t="s">
        <v>1742</v>
      </c>
      <c r="AF153" s="710" t="s">
        <v>454</v>
      </c>
      <c r="AG153" s="710" t="s">
        <v>1743</v>
      </c>
      <c r="AH153" s="898">
        <v>20.623000000000001</v>
      </c>
      <c r="AI153" s="868">
        <f t="shared" si="47"/>
        <v>20.623000000000001</v>
      </c>
      <c r="AJ153" s="867">
        <f t="shared" si="48"/>
        <v>0</v>
      </c>
      <c r="AK153" s="898">
        <v>8.8810000000000002</v>
      </c>
      <c r="AL153" s="904">
        <f>AK153/AH153</f>
        <v>0.43063569800707946</v>
      </c>
      <c r="AM153" s="900">
        <f>AK153/269728.8</f>
        <v>3.292566459347315E-5</v>
      </c>
      <c r="AN153" s="869">
        <f t="shared" si="49"/>
        <v>0.43063569800707946</v>
      </c>
      <c r="AO153" s="869">
        <f t="shared" si="50"/>
        <v>0</v>
      </c>
      <c r="AP153" s="946"/>
      <c r="AQ153" s="900"/>
      <c r="AR153" s="900"/>
      <c r="AS153" s="869">
        <f t="shared" si="51"/>
        <v>0</v>
      </c>
      <c r="AT153" s="869">
        <f t="shared" si="52"/>
        <v>0</v>
      </c>
      <c r="AU153" s="898">
        <v>7.9939999999999998</v>
      </c>
      <c r="AV153" s="904">
        <f>AU153/AH153</f>
        <v>0.38762546671192355</v>
      </c>
      <c r="AW153" s="869">
        <f t="shared" si="53"/>
        <v>0.38762546671192355</v>
      </c>
      <c r="AX153" s="869">
        <f t="shared" si="54"/>
        <v>0</v>
      </c>
      <c r="AY153" s="898">
        <v>1.091</v>
      </c>
      <c r="AZ153" s="904">
        <f>AY153/AH153</f>
        <v>5.2902099597536729E-2</v>
      </c>
      <c r="BA153" s="869">
        <f t="shared" si="55"/>
        <v>5.2902099597536729E-2</v>
      </c>
      <c r="BB153" s="869">
        <f t="shared" si="56"/>
        <v>0</v>
      </c>
      <c r="BC153" s="898">
        <v>2.657</v>
      </c>
      <c r="BD153" s="904">
        <f>BC153/AH153</f>
        <v>0.12883673568346021</v>
      </c>
      <c r="BE153" s="869">
        <f t="shared" si="57"/>
        <v>0.12883673568346021</v>
      </c>
      <c r="BF153" s="869">
        <f t="shared" si="58"/>
        <v>0</v>
      </c>
      <c r="BG153" s="898"/>
      <c r="BH153" s="899"/>
      <c r="BI153" s="710" t="s">
        <v>410</v>
      </c>
      <c r="BJ153" s="710" t="s">
        <v>410</v>
      </c>
      <c r="BK153" s="710" t="s">
        <v>410</v>
      </c>
      <c r="BL153" s="714">
        <f t="shared" si="59"/>
        <v>0</v>
      </c>
      <c r="BM153" s="869">
        <f t="shared" si="60"/>
        <v>0</v>
      </c>
      <c r="BN153" s="898"/>
      <c r="BO153" s="899" t="s">
        <v>410</v>
      </c>
      <c r="BP153" s="869">
        <f t="shared" si="61"/>
        <v>0</v>
      </c>
      <c r="BQ153" s="869" t="e">
        <f t="shared" si="62"/>
        <v>#VALUE!</v>
      </c>
      <c r="BR153" s="898">
        <v>12</v>
      </c>
      <c r="BS153" s="900">
        <f>BR153/296594.05</f>
        <v>4.0459341648964301E-5</v>
      </c>
      <c r="BT153" s="900"/>
      <c r="BU153" s="900"/>
      <c r="BV153" s="901">
        <v>52</v>
      </c>
      <c r="BW153" s="901">
        <v>40</v>
      </c>
      <c r="BX153" s="901">
        <v>23</v>
      </c>
      <c r="BY153" s="901"/>
      <c r="BZ153" s="901"/>
      <c r="CA153" s="901" t="s">
        <v>410</v>
      </c>
      <c r="CB153" s="901" t="s">
        <v>410</v>
      </c>
      <c r="CC153" s="901" t="s">
        <v>410</v>
      </c>
      <c r="CD153" s="901" t="s">
        <v>410</v>
      </c>
      <c r="CE153" s="901">
        <v>5</v>
      </c>
      <c r="CF153" s="901">
        <v>2</v>
      </c>
      <c r="CG153" s="901">
        <v>8</v>
      </c>
      <c r="CH153" s="901" t="s">
        <v>410</v>
      </c>
      <c r="CI153" s="901">
        <v>4</v>
      </c>
      <c r="CJ153" s="901">
        <v>4</v>
      </c>
      <c r="CK153" s="901" t="s">
        <v>410</v>
      </c>
      <c r="CL153" s="901" t="s">
        <v>410</v>
      </c>
      <c r="CM153" s="901" t="s">
        <v>410</v>
      </c>
      <c r="CN153" s="901" t="s">
        <v>410</v>
      </c>
      <c r="CO153" s="901" t="s">
        <v>410</v>
      </c>
      <c r="CP153" s="901" t="s">
        <v>410</v>
      </c>
      <c r="CQ153" s="901" t="s">
        <v>410</v>
      </c>
      <c r="CR153" s="901" t="s">
        <v>410</v>
      </c>
      <c r="CS153" s="902">
        <f t="shared" si="46"/>
        <v>23</v>
      </c>
      <c r="CT153" s="871">
        <f t="shared" si="63"/>
        <v>23</v>
      </c>
      <c r="CU153" s="871">
        <f t="shared" si="64"/>
        <v>0</v>
      </c>
      <c r="CV153" s="942">
        <v>20.5</v>
      </c>
      <c r="CW153" s="710" t="s">
        <v>1744</v>
      </c>
      <c r="CX153" s="710"/>
      <c r="CY153" s="946">
        <f>CV153/4310.681</f>
        <v>4.7556290989753131E-3</v>
      </c>
      <c r="CZ153" s="899" t="s">
        <v>1745</v>
      </c>
      <c r="DA153" s="899"/>
      <c r="DB153" s="899"/>
      <c r="DC153" s="710" t="s">
        <v>279</v>
      </c>
      <c r="DD153" s="710" t="s">
        <v>410</v>
      </c>
      <c r="DE153" s="710" t="s">
        <v>410</v>
      </c>
      <c r="DF153" s="901" t="s">
        <v>410</v>
      </c>
      <c r="DG153" s="901" t="s">
        <v>410</v>
      </c>
      <c r="DH153" s="901">
        <v>3</v>
      </c>
      <c r="DI153" s="710" t="s">
        <v>1746</v>
      </c>
      <c r="DJ153" s="710" t="s">
        <v>1747</v>
      </c>
      <c r="DK153" s="710">
        <v>2582</v>
      </c>
      <c r="DL153" s="710" t="s">
        <v>1748</v>
      </c>
      <c r="DM153" s="710" t="s">
        <v>1749</v>
      </c>
      <c r="DN153" s="901">
        <v>1051</v>
      </c>
      <c r="DO153" s="710" t="s">
        <v>279</v>
      </c>
      <c r="DP153" s="710"/>
      <c r="DQ153" s="901"/>
      <c r="DR153" s="710" t="s">
        <v>1750</v>
      </c>
      <c r="DS153" s="901" t="s">
        <v>1751</v>
      </c>
      <c r="DT153" s="901">
        <v>2</v>
      </c>
      <c r="DU153" s="710" t="s">
        <v>392</v>
      </c>
      <c r="DV153" s="710" t="s">
        <v>1752</v>
      </c>
      <c r="DW153" s="901">
        <v>0</v>
      </c>
      <c r="DX153" s="710" t="s">
        <v>279</v>
      </c>
      <c r="DY153" s="710"/>
      <c r="DZ153" s="901"/>
      <c r="EA153" s="710" t="s">
        <v>278</v>
      </c>
      <c r="EB153" s="710" t="s">
        <v>1753</v>
      </c>
      <c r="EC153" s="901">
        <v>381</v>
      </c>
      <c r="ED153" s="710" t="s">
        <v>1754</v>
      </c>
      <c r="EE153" s="710" t="s">
        <v>1755</v>
      </c>
      <c r="EF153" s="901" t="s">
        <v>410</v>
      </c>
      <c r="EG153" s="710" t="s">
        <v>279</v>
      </c>
      <c r="EH153" s="710" t="s">
        <v>410</v>
      </c>
      <c r="EI153" s="901" t="s">
        <v>410</v>
      </c>
      <c r="EJ153" s="710" t="s">
        <v>279</v>
      </c>
      <c r="EK153" s="710" t="s">
        <v>410</v>
      </c>
      <c r="EL153" s="901" t="s">
        <v>410</v>
      </c>
      <c r="EM153" s="710" t="s">
        <v>1756</v>
      </c>
      <c r="EN153" s="710" t="s">
        <v>1757</v>
      </c>
      <c r="EO153" s="901">
        <v>29</v>
      </c>
      <c r="EP153" s="710" t="s">
        <v>1758</v>
      </c>
      <c r="EQ153" s="710" t="s">
        <v>410</v>
      </c>
      <c r="ER153" s="901" t="s">
        <v>410</v>
      </c>
      <c r="ES153" s="710" t="s">
        <v>278</v>
      </c>
      <c r="ET153" s="710" t="s">
        <v>1772</v>
      </c>
      <c r="EU153" s="901" t="s">
        <v>1759</v>
      </c>
      <c r="EV153" s="904">
        <v>1</v>
      </c>
      <c r="EW153" s="710" t="s">
        <v>410</v>
      </c>
      <c r="EX153" s="901">
        <v>14</v>
      </c>
      <c r="EY153" s="710" t="s">
        <v>279</v>
      </c>
      <c r="EZ153" s="710" t="s">
        <v>1760</v>
      </c>
      <c r="FA153" s="710" t="s">
        <v>279</v>
      </c>
      <c r="FB153" s="710" t="s">
        <v>410</v>
      </c>
      <c r="FC153" s="710" t="s">
        <v>1761</v>
      </c>
      <c r="FD153" s="710" t="s">
        <v>1762</v>
      </c>
      <c r="FE153" s="710" t="s">
        <v>1763</v>
      </c>
      <c r="FF153" s="710" t="s">
        <v>1764</v>
      </c>
      <c r="FG153" s="710" t="s">
        <v>1765</v>
      </c>
      <c r="FH153" s="710" t="s">
        <v>1766</v>
      </c>
      <c r="FI153" s="710" t="s">
        <v>1767</v>
      </c>
      <c r="FJ153" s="710" t="s">
        <v>1768</v>
      </c>
      <c r="FK153" s="710" t="s">
        <v>1769</v>
      </c>
      <c r="FL153" s="710" t="s">
        <v>1770</v>
      </c>
      <c r="FM153" s="861" t="s">
        <v>1771</v>
      </c>
      <c r="FN153" s="710" t="s">
        <v>410</v>
      </c>
      <c r="FO153" s="710" t="s">
        <v>410</v>
      </c>
      <c r="FP153" s="710" t="s">
        <v>410</v>
      </c>
    </row>
    <row r="154" spans="2:172" ht="84.5" customHeight="1">
      <c r="B154" s="850" t="s">
        <v>5313</v>
      </c>
      <c r="C154" s="863"/>
      <c r="D154" s="850" t="s">
        <v>4934</v>
      </c>
      <c r="E154" s="850" t="s">
        <v>5314</v>
      </c>
      <c r="F154" s="863"/>
      <c r="H154" s="850" t="s">
        <v>4934</v>
      </c>
      <c r="I154" s="850" t="s">
        <v>5519</v>
      </c>
      <c r="J154" s="850" t="s">
        <v>5448</v>
      </c>
      <c r="K154" s="710" t="s">
        <v>254</v>
      </c>
      <c r="L154" s="710" t="s">
        <v>3450</v>
      </c>
      <c r="M154" s="710" t="s">
        <v>526</v>
      </c>
      <c r="N154" s="710"/>
      <c r="O154" s="895">
        <v>2019</v>
      </c>
      <c r="P154" s="896">
        <v>43497</v>
      </c>
      <c r="Q154" s="896">
        <v>43830</v>
      </c>
      <c r="R154" s="712">
        <f t="shared" ref="R154:R217" si="65">Q154-P154</f>
        <v>333</v>
      </c>
      <c r="S154" s="896"/>
      <c r="T154" s="896"/>
      <c r="U154" s="896"/>
      <c r="V154" s="896"/>
      <c r="W154" s="896"/>
      <c r="X154" s="896"/>
      <c r="Y154" s="896"/>
      <c r="Z154" s="896"/>
      <c r="AA154" s="896"/>
      <c r="AB154" s="896" t="s">
        <v>3455</v>
      </c>
      <c r="AC154" s="710"/>
      <c r="AD154" s="710" t="s">
        <v>3458</v>
      </c>
      <c r="AE154" s="710" t="s">
        <v>3458</v>
      </c>
      <c r="AF154" s="710" t="s">
        <v>454</v>
      </c>
      <c r="AG154" s="710" t="s">
        <v>3465</v>
      </c>
      <c r="AH154" s="898">
        <v>0.57499999999999996</v>
      </c>
      <c r="AI154" s="868">
        <f t="shared" si="47"/>
        <v>0.57500000000000007</v>
      </c>
      <c r="AJ154" s="867">
        <f t="shared" si="48"/>
        <v>0</v>
      </c>
      <c r="AK154" s="898"/>
      <c r="AL154" s="898"/>
      <c r="AM154" s="898"/>
      <c r="AN154" s="869">
        <f t="shared" si="49"/>
        <v>0</v>
      </c>
      <c r="AO154" s="869">
        <f t="shared" si="50"/>
        <v>0</v>
      </c>
      <c r="AP154" s="1009"/>
      <c r="AQ154" s="927"/>
      <c r="AR154" s="899">
        <v>4.0000000000000002E-4</v>
      </c>
      <c r="AS154" s="869">
        <f t="shared" si="51"/>
        <v>0</v>
      </c>
      <c r="AT154" s="869">
        <f t="shared" si="52"/>
        <v>0</v>
      </c>
      <c r="AU154" s="942">
        <v>0.48875000000000002</v>
      </c>
      <c r="AV154" s="899">
        <v>0.85</v>
      </c>
      <c r="AW154" s="869">
        <f t="shared" si="53"/>
        <v>0.85000000000000009</v>
      </c>
      <c r="AX154" s="869">
        <f t="shared" si="54"/>
        <v>0</v>
      </c>
      <c r="AY154" s="1009">
        <v>2.8750000000000001E-2</v>
      </c>
      <c r="AZ154" s="927">
        <v>0.05</v>
      </c>
      <c r="BA154" s="869">
        <f t="shared" si="55"/>
        <v>0.05</v>
      </c>
      <c r="BB154" s="869">
        <f t="shared" si="56"/>
        <v>0</v>
      </c>
      <c r="BC154" s="1008">
        <v>5.7500000000000002E-2</v>
      </c>
      <c r="BD154" s="927">
        <v>0.1</v>
      </c>
      <c r="BE154" s="869">
        <f t="shared" si="57"/>
        <v>0.1</v>
      </c>
      <c r="BF154" s="869">
        <f t="shared" si="58"/>
        <v>0</v>
      </c>
      <c r="BG154" s="927"/>
      <c r="BH154" s="927"/>
      <c r="BI154" s="927"/>
      <c r="BJ154" s="927"/>
      <c r="BK154" s="927"/>
      <c r="BL154" s="714">
        <f t="shared" si="59"/>
        <v>0</v>
      </c>
      <c r="BM154" s="869">
        <f t="shared" si="60"/>
        <v>0</v>
      </c>
      <c r="BN154" s="898"/>
      <c r="BO154" s="899"/>
      <c r="BP154" s="869">
        <f t="shared" si="61"/>
        <v>0</v>
      </c>
      <c r="BQ154" s="869">
        <f t="shared" si="62"/>
        <v>0</v>
      </c>
      <c r="BR154" s="899"/>
      <c r="BS154" s="899"/>
      <c r="BT154" s="860">
        <v>2.5</v>
      </c>
      <c r="BU154" s="927">
        <v>2E-3</v>
      </c>
      <c r="BV154" s="901">
        <v>3</v>
      </c>
      <c r="BW154" s="901">
        <v>3</v>
      </c>
      <c r="BX154" s="901">
        <v>3</v>
      </c>
      <c r="BY154" s="901"/>
      <c r="BZ154" s="901"/>
      <c r="CA154" s="901"/>
      <c r="CB154" s="901"/>
      <c r="CC154" s="901"/>
      <c r="CD154" s="901"/>
      <c r="CE154" s="901"/>
      <c r="CF154" s="901">
        <v>1</v>
      </c>
      <c r="CG154" s="901"/>
      <c r="CH154" s="901"/>
      <c r="CI154" s="901">
        <v>2</v>
      </c>
      <c r="CJ154" s="901"/>
      <c r="CK154" s="901"/>
      <c r="CL154" s="901"/>
      <c r="CM154" s="901"/>
      <c r="CN154" s="901"/>
      <c r="CO154" s="901"/>
      <c r="CP154" s="901"/>
      <c r="CQ154" s="901"/>
      <c r="CR154" s="901"/>
      <c r="CS154" s="902">
        <f t="shared" si="46"/>
        <v>3</v>
      </c>
      <c r="CT154" s="871">
        <f t="shared" si="63"/>
        <v>3</v>
      </c>
      <c r="CU154" s="871">
        <f t="shared" si="64"/>
        <v>0</v>
      </c>
      <c r="CV154" s="942">
        <v>0.22</v>
      </c>
      <c r="CW154" s="710" t="s">
        <v>3468</v>
      </c>
      <c r="CX154" s="710"/>
      <c r="CY154" s="710"/>
      <c r="CZ154" s="710"/>
      <c r="DA154" s="710" t="s">
        <v>3471</v>
      </c>
      <c r="DB154" s="899" t="s">
        <v>3472</v>
      </c>
      <c r="DC154" s="710" t="s">
        <v>279</v>
      </c>
      <c r="DD154" s="710"/>
      <c r="DE154" s="710"/>
      <c r="DF154" s="901"/>
      <c r="DG154" s="901"/>
      <c r="DH154" s="901" t="s">
        <v>3477</v>
      </c>
      <c r="DI154" s="710" t="s">
        <v>279</v>
      </c>
      <c r="DJ154" s="710"/>
      <c r="DK154" s="901"/>
      <c r="DL154" s="710" t="s">
        <v>278</v>
      </c>
      <c r="DM154" s="710" t="s">
        <v>279</v>
      </c>
      <c r="DN154" s="901">
        <v>300</v>
      </c>
      <c r="DO154" s="710" t="s">
        <v>279</v>
      </c>
      <c r="DP154" s="710"/>
      <c r="DQ154" s="901"/>
      <c r="DR154" s="710" t="s">
        <v>279</v>
      </c>
      <c r="DS154" s="710"/>
      <c r="DT154" s="901"/>
      <c r="DU154" s="710" t="s">
        <v>279</v>
      </c>
      <c r="DV154" s="710"/>
      <c r="DW154" s="901"/>
      <c r="DX154" s="710" t="s">
        <v>279</v>
      </c>
      <c r="DY154" s="710"/>
      <c r="DZ154" s="901"/>
      <c r="EA154" s="710" t="s">
        <v>279</v>
      </c>
      <c r="EB154" s="710"/>
      <c r="EC154" s="901"/>
      <c r="ED154" s="710" t="s">
        <v>278</v>
      </c>
      <c r="EE154" s="710" t="s">
        <v>1685</v>
      </c>
      <c r="EF154" s="901"/>
      <c r="EG154" s="710" t="s">
        <v>279</v>
      </c>
      <c r="EH154" s="710"/>
      <c r="EI154" s="901"/>
      <c r="EJ154" s="710" t="s">
        <v>279</v>
      </c>
      <c r="EK154" s="710"/>
      <c r="EL154" s="901"/>
      <c r="EM154" s="708" t="s">
        <v>278</v>
      </c>
      <c r="EN154" s="708" t="s">
        <v>1685</v>
      </c>
      <c r="EO154" s="901">
        <v>15</v>
      </c>
      <c r="EP154" s="708" t="s">
        <v>279</v>
      </c>
      <c r="EQ154" s="710"/>
      <c r="ER154" s="901"/>
      <c r="ES154" s="710" t="s">
        <v>279</v>
      </c>
      <c r="ET154" s="710"/>
      <c r="EU154" s="901"/>
      <c r="EV154" s="901"/>
      <c r="EW154" s="901"/>
      <c r="EX154" s="901"/>
      <c r="EY154" s="710" t="s">
        <v>279</v>
      </c>
      <c r="EZ154" s="710"/>
      <c r="FA154" s="710" t="s">
        <v>279</v>
      </c>
      <c r="FB154" s="710"/>
      <c r="FC154" s="708" t="s">
        <v>279</v>
      </c>
      <c r="FD154" s="710" t="s">
        <v>279</v>
      </c>
      <c r="FE154" s="710" t="s">
        <v>279</v>
      </c>
      <c r="FF154" s="710" t="s">
        <v>4919</v>
      </c>
      <c r="FG154" s="710" t="s">
        <v>3489</v>
      </c>
      <c r="FH154" s="710" t="s">
        <v>3490</v>
      </c>
      <c r="FI154" s="710">
        <v>20</v>
      </c>
      <c r="FJ154" s="710">
        <v>400</v>
      </c>
      <c r="FK154" s="710" t="s">
        <v>3493</v>
      </c>
      <c r="FL154" s="901">
        <v>83434634099</v>
      </c>
      <c r="FM154" s="861" t="s">
        <v>3498</v>
      </c>
      <c r="FN154" s="710"/>
      <c r="FO154" s="710"/>
      <c r="FP154" s="710"/>
    </row>
    <row r="155" spans="2:172" ht="120.5" customHeight="1">
      <c r="B155" s="850" t="s">
        <v>5313</v>
      </c>
      <c r="C155" s="863"/>
      <c r="D155" s="850" t="s">
        <v>4934</v>
      </c>
      <c r="E155" s="850" t="s">
        <v>5314</v>
      </c>
      <c r="F155" s="863"/>
      <c r="H155" s="850" t="s">
        <v>4934</v>
      </c>
      <c r="I155" s="850" t="s">
        <v>5519</v>
      </c>
      <c r="J155" s="850" t="s">
        <v>5448</v>
      </c>
      <c r="K155" s="710" t="s">
        <v>254</v>
      </c>
      <c r="L155" s="710" t="s">
        <v>3451</v>
      </c>
      <c r="M155" s="710" t="s">
        <v>3453</v>
      </c>
      <c r="N155" s="710" t="s">
        <v>3453</v>
      </c>
      <c r="O155" s="895">
        <v>2016</v>
      </c>
      <c r="P155" s="951">
        <v>43475</v>
      </c>
      <c r="Q155" s="951">
        <v>43829</v>
      </c>
      <c r="R155" s="712">
        <f t="shared" si="65"/>
        <v>354</v>
      </c>
      <c r="S155" s="951"/>
      <c r="T155" s="951"/>
      <c r="U155" s="951"/>
      <c r="V155" s="951"/>
      <c r="W155" s="951"/>
      <c r="X155" s="951"/>
      <c r="Y155" s="951"/>
      <c r="Z155" s="951"/>
      <c r="AA155" s="951"/>
      <c r="AB155" s="710" t="s">
        <v>3456</v>
      </c>
      <c r="AC155" s="710"/>
      <c r="AD155" s="710" t="s">
        <v>3459</v>
      </c>
      <c r="AE155" s="710" t="s">
        <v>3461</v>
      </c>
      <c r="AF155" s="710" t="s">
        <v>3463</v>
      </c>
      <c r="AG155" s="710" t="s">
        <v>3466</v>
      </c>
      <c r="AH155" s="959">
        <v>57</v>
      </c>
      <c r="AI155" s="868">
        <f t="shared" si="47"/>
        <v>57</v>
      </c>
      <c r="AJ155" s="867">
        <f t="shared" si="48"/>
        <v>0</v>
      </c>
      <c r="AK155" s="959"/>
      <c r="AL155" s="959"/>
      <c r="AM155" s="959"/>
      <c r="AN155" s="869">
        <f t="shared" si="49"/>
        <v>0</v>
      </c>
      <c r="AO155" s="869">
        <f t="shared" si="50"/>
        <v>0</v>
      </c>
      <c r="AP155" s="959"/>
      <c r="AQ155" s="927"/>
      <c r="AR155" s="927">
        <v>1.2999999999999999E-2</v>
      </c>
      <c r="AS155" s="869">
        <f t="shared" si="51"/>
        <v>0</v>
      </c>
      <c r="AT155" s="869">
        <f t="shared" si="52"/>
        <v>0</v>
      </c>
      <c r="AU155" s="942">
        <v>57</v>
      </c>
      <c r="AV155" s="927">
        <v>1</v>
      </c>
      <c r="AW155" s="869">
        <f t="shared" si="53"/>
        <v>1</v>
      </c>
      <c r="AX155" s="869">
        <f t="shared" si="54"/>
        <v>0</v>
      </c>
      <c r="AY155" s="901">
        <v>0</v>
      </c>
      <c r="AZ155" s="904"/>
      <c r="BA155" s="869">
        <f t="shared" si="55"/>
        <v>0</v>
      </c>
      <c r="BB155" s="869">
        <f t="shared" si="56"/>
        <v>0</v>
      </c>
      <c r="BC155" s="901">
        <v>0</v>
      </c>
      <c r="BD155" s="901"/>
      <c r="BE155" s="869">
        <f t="shared" si="57"/>
        <v>0</v>
      </c>
      <c r="BF155" s="869">
        <f t="shared" si="58"/>
        <v>0</v>
      </c>
      <c r="BG155" s="901"/>
      <c r="BH155" s="901"/>
      <c r="BI155" s="901"/>
      <c r="BJ155" s="901"/>
      <c r="BK155" s="901"/>
      <c r="BL155" s="714">
        <f t="shared" si="59"/>
        <v>0</v>
      </c>
      <c r="BM155" s="869">
        <f t="shared" si="60"/>
        <v>0</v>
      </c>
      <c r="BN155" s="901">
        <v>0</v>
      </c>
      <c r="BO155" s="901"/>
      <c r="BP155" s="869">
        <f t="shared" si="61"/>
        <v>0</v>
      </c>
      <c r="BQ155" s="869">
        <f t="shared" si="62"/>
        <v>0</v>
      </c>
      <c r="BR155" s="901"/>
      <c r="BS155" s="901"/>
      <c r="BT155" s="959">
        <v>86</v>
      </c>
      <c r="BU155" s="1010">
        <v>0.02</v>
      </c>
      <c r="BV155" s="901">
        <v>1262</v>
      </c>
      <c r="BW155" s="901">
        <v>32</v>
      </c>
      <c r="BX155" s="955">
        <v>32</v>
      </c>
      <c r="BY155" s="901"/>
      <c r="BZ155" s="901"/>
      <c r="CA155" s="901"/>
      <c r="CB155" s="901"/>
      <c r="CC155" s="901"/>
      <c r="CD155" s="901"/>
      <c r="CE155" s="901">
        <v>1</v>
      </c>
      <c r="CF155" s="901"/>
      <c r="CG155" s="901"/>
      <c r="CH155" s="901"/>
      <c r="CI155" s="901"/>
      <c r="CJ155" s="901"/>
      <c r="CK155" s="901"/>
      <c r="CL155" s="901"/>
      <c r="CM155" s="901"/>
      <c r="CN155" s="901"/>
      <c r="CO155" s="901"/>
      <c r="CP155" s="901"/>
      <c r="CQ155" s="901">
        <v>4</v>
      </c>
      <c r="CR155" s="901"/>
      <c r="CS155" s="938">
        <f t="shared" si="46"/>
        <v>5</v>
      </c>
      <c r="CT155" s="871">
        <f t="shared" si="63"/>
        <v>5</v>
      </c>
      <c r="CU155" s="871">
        <f t="shared" si="64"/>
        <v>0</v>
      </c>
      <c r="CV155" s="942">
        <v>5.0640000000000001</v>
      </c>
      <c r="CW155" s="710" t="s">
        <v>3469</v>
      </c>
      <c r="CX155" s="710"/>
      <c r="CY155" s="710"/>
      <c r="CZ155" s="710"/>
      <c r="DA155" s="927">
        <v>6.0999999999999999E-2</v>
      </c>
      <c r="DB155" s="899" t="s">
        <v>3473</v>
      </c>
      <c r="DC155" s="710" t="s">
        <v>279</v>
      </c>
      <c r="DD155" s="710"/>
      <c r="DE155" s="710"/>
      <c r="DF155" s="901"/>
      <c r="DG155" s="901"/>
      <c r="DH155" s="901"/>
      <c r="DI155" s="710" t="s">
        <v>278</v>
      </c>
      <c r="DJ155" s="710"/>
      <c r="DK155" s="901"/>
      <c r="DL155" s="710" t="s">
        <v>278</v>
      </c>
      <c r="DM155" s="710" t="s">
        <v>2719</v>
      </c>
      <c r="DN155" s="901">
        <v>678</v>
      </c>
      <c r="DO155" s="710" t="s">
        <v>278</v>
      </c>
      <c r="DP155" s="710" t="s">
        <v>3478</v>
      </c>
      <c r="DQ155" s="901">
        <v>8546</v>
      </c>
      <c r="DR155" s="710" t="s">
        <v>278</v>
      </c>
      <c r="DS155" s="710" t="s">
        <v>3479</v>
      </c>
      <c r="DT155" s="901">
        <v>959</v>
      </c>
      <c r="DU155" s="710" t="s">
        <v>279</v>
      </c>
      <c r="DV155" s="710"/>
      <c r="DW155" s="901"/>
      <c r="DX155" s="710" t="s">
        <v>279</v>
      </c>
      <c r="DY155" s="710"/>
      <c r="DZ155" s="901"/>
      <c r="EA155" s="710" t="s">
        <v>278</v>
      </c>
      <c r="EB155" s="710" t="s">
        <v>3481</v>
      </c>
      <c r="EC155" s="901">
        <v>3886</v>
      </c>
      <c r="ED155" s="710" t="s">
        <v>279</v>
      </c>
      <c r="EE155" s="710"/>
      <c r="EF155" s="901"/>
      <c r="EG155" s="710" t="s">
        <v>279</v>
      </c>
      <c r="EH155" s="710"/>
      <c r="EI155" s="901"/>
      <c r="EJ155" s="710" t="s">
        <v>279</v>
      </c>
      <c r="EK155" s="710"/>
      <c r="EL155" s="901"/>
      <c r="EM155" s="710" t="s">
        <v>279</v>
      </c>
      <c r="EN155" s="710"/>
      <c r="EO155" s="901"/>
      <c r="EP155" s="710" t="s">
        <v>279</v>
      </c>
      <c r="EQ155" s="710"/>
      <c r="ER155" s="901"/>
      <c r="ES155" s="710" t="s">
        <v>278</v>
      </c>
      <c r="ET155" s="710" t="s">
        <v>3482</v>
      </c>
      <c r="EU155" s="901">
        <v>71</v>
      </c>
      <c r="EV155" s="901"/>
      <c r="EW155" s="901"/>
      <c r="EX155" s="901"/>
      <c r="EY155" s="710" t="s">
        <v>279</v>
      </c>
      <c r="EZ155" s="710" t="s">
        <v>3483</v>
      </c>
      <c r="FA155" s="710" t="s">
        <v>279</v>
      </c>
      <c r="FB155" s="710"/>
      <c r="FC155" s="710" t="s">
        <v>3484</v>
      </c>
      <c r="FD155" s="945" t="s">
        <v>3486</v>
      </c>
      <c r="FE155" s="710"/>
      <c r="FF155" s="710" t="s">
        <v>3487</v>
      </c>
      <c r="FG155" s="710"/>
      <c r="FH155" s="710" t="s">
        <v>3491</v>
      </c>
      <c r="FI155" s="710"/>
      <c r="FJ155" s="710"/>
      <c r="FK155" s="710" t="s">
        <v>3494</v>
      </c>
      <c r="FL155" s="710" t="s">
        <v>3496</v>
      </c>
      <c r="FM155" s="945" t="s">
        <v>3499</v>
      </c>
      <c r="FN155" s="710"/>
      <c r="FO155" s="710"/>
      <c r="FP155" s="710"/>
    </row>
    <row r="156" spans="2:172" ht="104.5" customHeight="1">
      <c r="B156" s="850" t="s">
        <v>5313</v>
      </c>
      <c r="C156" s="863"/>
      <c r="D156" s="850" t="s">
        <v>4934</v>
      </c>
      <c r="E156" s="850" t="s">
        <v>5318</v>
      </c>
      <c r="F156" s="863"/>
      <c r="H156" s="850" t="s">
        <v>4934</v>
      </c>
      <c r="I156" s="850" t="s">
        <v>5519</v>
      </c>
      <c r="J156" s="850" t="s">
        <v>5448</v>
      </c>
      <c r="K156" s="710" t="s">
        <v>254</v>
      </c>
      <c r="L156" s="708" t="s">
        <v>3452</v>
      </c>
      <c r="M156" s="708" t="s">
        <v>3454</v>
      </c>
      <c r="N156" s="708"/>
      <c r="O156" s="950">
        <v>2019</v>
      </c>
      <c r="P156" s="951">
        <v>43487</v>
      </c>
      <c r="Q156" s="951">
        <v>43830</v>
      </c>
      <c r="R156" s="712">
        <f t="shared" si="65"/>
        <v>343</v>
      </c>
      <c r="S156" s="951"/>
      <c r="T156" s="951"/>
      <c r="U156" s="951"/>
      <c r="V156" s="951"/>
      <c r="W156" s="951"/>
      <c r="X156" s="951"/>
      <c r="Y156" s="951"/>
      <c r="Z156" s="951"/>
      <c r="AA156" s="951"/>
      <c r="AB156" s="708" t="s">
        <v>3457</v>
      </c>
      <c r="AC156" s="964" t="str">
        <f>'[1]муниципальная практика'!$F$13</f>
        <v>https://екатеринбург.рф/официально/документы/постановления/п_2018/23803</v>
      </c>
      <c r="AD156" s="708" t="s">
        <v>3460</v>
      </c>
      <c r="AE156" s="708" t="s">
        <v>3462</v>
      </c>
      <c r="AF156" s="708" t="s">
        <v>3464</v>
      </c>
      <c r="AG156" s="708" t="s">
        <v>3467</v>
      </c>
      <c r="AH156" s="941">
        <v>18.338999999999999</v>
      </c>
      <c r="AI156" s="868">
        <f t="shared" si="47"/>
        <v>18.338999999999999</v>
      </c>
      <c r="AJ156" s="867">
        <f t="shared" si="48"/>
        <v>0</v>
      </c>
      <c r="AK156" s="941"/>
      <c r="AL156" s="941"/>
      <c r="AM156" s="941"/>
      <c r="AN156" s="869">
        <f t="shared" si="49"/>
        <v>0</v>
      </c>
      <c r="AO156" s="869">
        <f t="shared" si="50"/>
        <v>0</v>
      </c>
      <c r="AP156" s="941"/>
      <c r="AQ156" s="1010"/>
      <c r="AR156" s="954">
        <v>1.8000000000000001E-4</v>
      </c>
      <c r="AS156" s="869">
        <f t="shared" si="51"/>
        <v>0</v>
      </c>
      <c r="AT156" s="869">
        <f t="shared" si="52"/>
        <v>0</v>
      </c>
      <c r="AU156" s="956">
        <v>9.109</v>
      </c>
      <c r="AV156" s="954">
        <v>0.497</v>
      </c>
      <c r="AW156" s="869">
        <f t="shared" si="53"/>
        <v>0.49670101968482472</v>
      </c>
      <c r="AX156" s="869">
        <f t="shared" si="54"/>
        <v>2.9898031517527901E-4</v>
      </c>
      <c r="AY156" s="941">
        <v>1.2190000000000001</v>
      </c>
      <c r="AZ156" s="1010">
        <v>6.6000000000000003E-2</v>
      </c>
      <c r="BA156" s="869">
        <f t="shared" si="55"/>
        <v>6.6470363705763688E-2</v>
      </c>
      <c r="BB156" s="869">
        <f t="shared" si="56"/>
        <v>-4.7036370576368502E-4</v>
      </c>
      <c r="BC156" s="941">
        <v>8.0109999999999992</v>
      </c>
      <c r="BD156" s="1010">
        <v>0.437</v>
      </c>
      <c r="BE156" s="869">
        <f t="shared" si="57"/>
        <v>0.43682861660941164</v>
      </c>
      <c r="BF156" s="869">
        <f t="shared" si="58"/>
        <v>1.7138339058836438E-4</v>
      </c>
      <c r="BG156" s="1010"/>
      <c r="BH156" s="1010"/>
      <c r="BI156" s="1010"/>
      <c r="BJ156" s="1010"/>
      <c r="BK156" s="1010"/>
      <c r="BL156" s="714">
        <f t="shared" si="59"/>
        <v>0</v>
      </c>
      <c r="BM156" s="869">
        <f t="shared" si="60"/>
        <v>0</v>
      </c>
      <c r="BN156" s="941"/>
      <c r="BO156" s="954"/>
      <c r="BP156" s="869">
        <f t="shared" si="61"/>
        <v>0</v>
      </c>
      <c r="BQ156" s="869">
        <f t="shared" si="62"/>
        <v>0</v>
      </c>
      <c r="BR156" s="954"/>
      <c r="BS156" s="954"/>
      <c r="BT156" s="959">
        <v>20</v>
      </c>
      <c r="BU156" s="954">
        <v>4.0000000000000002E-4</v>
      </c>
      <c r="BV156" s="955"/>
      <c r="BW156" s="955">
        <v>21</v>
      </c>
      <c r="BX156" s="955">
        <v>20</v>
      </c>
      <c r="BY156" s="955"/>
      <c r="BZ156" s="955">
        <v>1</v>
      </c>
      <c r="CA156" s="955"/>
      <c r="CB156" s="955"/>
      <c r="CC156" s="955"/>
      <c r="CD156" s="955"/>
      <c r="CE156" s="955">
        <v>7</v>
      </c>
      <c r="CF156" s="955">
        <v>5</v>
      </c>
      <c r="CG156" s="955">
        <v>6</v>
      </c>
      <c r="CH156" s="955"/>
      <c r="CI156" s="955"/>
      <c r="CJ156" s="955"/>
      <c r="CK156" s="955"/>
      <c r="CL156" s="955"/>
      <c r="CM156" s="955"/>
      <c r="CN156" s="955"/>
      <c r="CO156" s="955"/>
      <c r="CP156" s="955"/>
      <c r="CQ156" s="955"/>
      <c r="CR156" s="955"/>
      <c r="CS156" s="938">
        <f t="shared" si="46"/>
        <v>19</v>
      </c>
      <c r="CT156" s="871">
        <f t="shared" si="63"/>
        <v>19</v>
      </c>
      <c r="CU156" s="871">
        <f t="shared" si="64"/>
        <v>0</v>
      </c>
      <c r="CV156" s="956">
        <v>89.384</v>
      </c>
      <c r="CW156" s="708" t="s">
        <v>3470</v>
      </c>
      <c r="CX156" s="708" t="s">
        <v>410</v>
      </c>
      <c r="CY156" s="708"/>
      <c r="CZ156" s="708"/>
      <c r="DA156" s="708">
        <v>5.8</v>
      </c>
      <c r="DB156" s="903" t="s">
        <v>3474</v>
      </c>
      <c r="DC156" s="708" t="s">
        <v>278</v>
      </c>
      <c r="DD156" s="708" t="s">
        <v>3475</v>
      </c>
      <c r="DE156" s="708" t="s">
        <v>3476</v>
      </c>
      <c r="DF156" s="955">
        <v>78</v>
      </c>
      <c r="DG156" s="955" t="s">
        <v>410</v>
      </c>
      <c r="DH156" s="955" t="s">
        <v>410</v>
      </c>
      <c r="DI156" s="708" t="s">
        <v>279</v>
      </c>
      <c r="DJ156" s="708"/>
      <c r="DK156" s="955"/>
      <c r="DL156" s="708" t="s">
        <v>279</v>
      </c>
      <c r="DM156" s="708"/>
      <c r="DN156" s="955"/>
      <c r="DO156" s="708" t="s">
        <v>279</v>
      </c>
      <c r="DP156" s="708"/>
      <c r="DQ156" s="955"/>
      <c r="DR156" s="708" t="s">
        <v>279</v>
      </c>
      <c r="DS156" s="708"/>
      <c r="DT156" s="955"/>
      <c r="DU156" s="708" t="s">
        <v>279</v>
      </c>
      <c r="DV156" s="708"/>
      <c r="DW156" s="955"/>
      <c r="DX156" s="708" t="s">
        <v>278</v>
      </c>
      <c r="DY156" s="708" t="s">
        <v>3480</v>
      </c>
      <c r="DZ156" s="955">
        <v>21</v>
      </c>
      <c r="EA156" s="708" t="s">
        <v>279</v>
      </c>
      <c r="EB156" s="708"/>
      <c r="EC156" s="955"/>
      <c r="ED156" s="708" t="s">
        <v>279</v>
      </c>
      <c r="EE156" s="708"/>
      <c r="EF156" s="955"/>
      <c r="EG156" s="708" t="s">
        <v>279</v>
      </c>
      <c r="EH156" s="708"/>
      <c r="EI156" s="955"/>
      <c r="EJ156" s="708" t="s">
        <v>279</v>
      </c>
      <c r="EK156" s="708"/>
      <c r="EL156" s="955"/>
      <c r="EM156" s="708" t="s">
        <v>278</v>
      </c>
      <c r="EN156" s="708" t="s">
        <v>698</v>
      </c>
      <c r="EO156" s="955">
        <v>78</v>
      </c>
      <c r="EP156" s="708" t="s">
        <v>279</v>
      </c>
      <c r="EQ156" s="708"/>
      <c r="ER156" s="955"/>
      <c r="ES156" s="708" t="s">
        <v>279</v>
      </c>
      <c r="ET156" s="708"/>
      <c r="EU156" s="955"/>
      <c r="EV156" s="955"/>
      <c r="EW156" s="955"/>
      <c r="EX156" s="955"/>
      <c r="EY156" s="708" t="s">
        <v>279</v>
      </c>
      <c r="EZ156" s="708"/>
      <c r="FA156" s="708" t="s">
        <v>279</v>
      </c>
      <c r="FB156" s="708"/>
      <c r="FC156" s="964" t="s">
        <v>3485</v>
      </c>
      <c r="FD156" s="708" t="s">
        <v>410</v>
      </c>
      <c r="FE156" s="964" t="s">
        <v>410</v>
      </c>
      <c r="FF156" s="708" t="s">
        <v>3488</v>
      </c>
      <c r="FG156" s="708" t="s">
        <v>410</v>
      </c>
      <c r="FH156" s="708" t="s">
        <v>3492</v>
      </c>
      <c r="FI156" s="708"/>
      <c r="FJ156" s="708"/>
      <c r="FK156" s="708" t="s">
        <v>3495</v>
      </c>
      <c r="FL156" s="708" t="s">
        <v>3497</v>
      </c>
      <c r="FM156" s="964" t="s">
        <v>3500</v>
      </c>
      <c r="FN156" s="708"/>
      <c r="FO156" s="708"/>
      <c r="FP156" s="964"/>
    </row>
    <row r="157" spans="2:172" ht="48.5" customHeight="1">
      <c r="B157" s="863"/>
      <c r="C157" s="863"/>
      <c r="D157" s="863"/>
      <c r="E157" s="863"/>
      <c r="F157" s="863"/>
      <c r="I157" s="850" t="s">
        <v>5523</v>
      </c>
      <c r="J157" s="850" t="s">
        <v>5449</v>
      </c>
      <c r="K157" s="710" t="s">
        <v>255</v>
      </c>
      <c r="L157" s="710"/>
      <c r="M157" s="710"/>
      <c r="N157" s="710"/>
      <c r="O157" s="895"/>
      <c r="P157" s="896"/>
      <c r="Q157" s="896"/>
      <c r="R157" s="712">
        <f t="shared" si="65"/>
        <v>0</v>
      </c>
      <c r="S157" s="710"/>
      <c r="T157" s="710"/>
      <c r="U157" s="710"/>
      <c r="V157" s="710"/>
      <c r="W157" s="710"/>
      <c r="X157" s="710"/>
      <c r="Y157" s="710"/>
      <c r="Z157" s="710"/>
      <c r="AA157" s="710"/>
      <c r="AB157" s="710"/>
      <c r="AC157" s="710"/>
      <c r="AD157" s="710"/>
      <c r="AE157" s="710"/>
      <c r="AF157" s="710"/>
      <c r="AG157" s="710"/>
      <c r="AH157" s="898"/>
      <c r="AI157" s="868">
        <f t="shared" si="47"/>
        <v>0</v>
      </c>
      <c r="AJ157" s="867">
        <f t="shared" si="48"/>
        <v>0</v>
      </c>
      <c r="AK157" s="898"/>
      <c r="AL157" s="899"/>
      <c r="AM157" s="899"/>
      <c r="AN157" s="869" t="e">
        <f t="shared" si="49"/>
        <v>#DIV/0!</v>
      </c>
      <c r="AO157" s="869" t="e">
        <f t="shared" si="50"/>
        <v>#DIV/0!</v>
      </c>
      <c r="AP157" s="899"/>
      <c r="AQ157" s="899"/>
      <c r="AR157" s="899"/>
      <c r="AS157" s="869" t="e">
        <f t="shared" si="51"/>
        <v>#DIV/0!</v>
      </c>
      <c r="AT157" s="869" t="e">
        <f t="shared" si="52"/>
        <v>#DIV/0!</v>
      </c>
      <c r="AU157" s="898"/>
      <c r="AV157" s="899"/>
      <c r="AW157" s="869" t="e">
        <f t="shared" si="53"/>
        <v>#DIV/0!</v>
      </c>
      <c r="AX157" s="869" t="e">
        <f t="shared" si="54"/>
        <v>#DIV/0!</v>
      </c>
      <c r="AY157" s="898"/>
      <c r="AZ157" s="899"/>
      <c r="BA157" s="869" t="e">
        <f t="shared" si="55"/>
        <v>#DIV/0!</v>
      </c>
      <c r="BB157" s="869" t="e">
        <f t="shared" si="56"/>
        <v>#DIV/0!</v>
      </c>
      <c r="BC157" s="898"/>
      <c r="BD157" s="899"/>
      <c r="BE157" s="869" t="e">
        <f t="shared" si="57"/>
        <v>#DIV/0!</v>
      </c>
      <c r="BF157" s="869" t="e">
        <f t="shared" si="58"/>
        <v>#DIV/0!</v>
      </c>
      <c r="BG157" s="898"/>
      <c r="BH157" s="899"/>
      <c r="BI157" s="710"/>
      <c r="BJ157" s="710"/>
      <c r="BK157" s="710"/>
      <c r="BL157" s="714" t="e">
        <f t="shared" si="59"/>
        <v>#DIV/0!</v>
      </c>
      <c r="BM157" s="869" t="e">
        <f t="shared" si="60"/>
        <v>#DIV/0!</v>
      </c>
      <c r="BN157" s="898"/>
      <c r="BO157" s="899"/>
      <c r="BP157" s="869" t="e">
        <f t="shared" si="61"/>
        <v>#DIV/0!</v>
      </c>
      <c r="BQ157" s="869" t="e">
        <f t="shared" si="62"/>
        <v>#DIV/0!</v>
      </c>
      <c r="BR157" s="898"/>
      <c r="BS157" s="899"/>
      <c r="BT157" s="899"/>
      <c r="BU157" s="899"/>
      <c r="BV157" s="901"/>
      <c r="BW157" s="901"/>
      <c r="BX157" s="901"/>
      <c r="BY157" s="901"/>
      <c r="BZ157" s="901"/>
      <c r="CA157" s="901"/>
      <c r="CB157" s="901"/>
      <c r="CC157" s="901"/>
      <c r="CD157" s="901"/>
      <c r="CE157" s="901"/>
      <c r="CF157" s="901"/>
      <c r="CG157" s="901"/>
      <c r="CH157" s="901"/>
      <c r="CI157" s="901"/>
      <c r="CJ157" s="901"/>
      <c r="CK157" s="901"/>
      <c r="CL157" s="901"/>
      <c r="CM157" s="901"/>
      <c r="CN157" s="901"/>
      <c r="CO157" s="901"/>
      <c r="CP157" s="901"/>
      <c r="CQ157" s="901"/>
      <c r="CR157" s="901"/>
      <c r="CS157" s="902"/>
      <c r="CT157" s="871">
        <f t="shared" si="63"/>
        <v>0</v>
      </c>
      <c r="CU157" s="871">
        <f t="shared" si="64"/>
        <v>0</v>
      </c>
      <c r="CV157" s="942"/>
      <c r="CW157" s="710"/>
      <c r="CX157" s="710"/>
      <c r="CY157" s="899"/>
      <c r="CZ157" s="710"/>
      <c r="DA157" s="710"/>
      <c r="DB157" s="710"/>
      <c r="DC157" s="710"/>
      <c r="DD157" s="710"/>
      <c r="DE157" s="901"/>
      <c r="DF157" s="901"/>
      <c r="DG157" s="710"/>
      <c r="DH157" s="710"/>
      <c r="DI157" s="901"/>
      <c r="DJ157" s="710"/>
      <c r="DK157" s="710"/>
      <c r="DL157" s="901"/>
      <c r="DM157" s="710"/>
      <c r="DN157" s="710"/>
      <c r="DO157" s="901"/>
      <c r="DP157" s="710"/>
      <c r="DQ157" s="710"/>
      <c r="DR157" s="901"/>
      <c r="DS157" s="710"/>
      <c r="DT157" s="710"/>
      <c r="DU157" s="901"/>
      <c r="DV157" s="710"/>
      <c r="DW157" s="710"/>
      <c r="DX157" s="901"/>
      <c r="DY157" s="710"/>
      <c r="DZ157" s="710"/>
      <c r="EA157" s="901"/>
      <c r="EB157" s="710"/>
      <c r="EC157" s="710"/>
      <c r="ED157" s="901"/>
      <c r="EE157" s="710"/>
      <c r="EF157" s="710"/>
      <c r="EG157" s="901"/>
      <c r="EH157" s="710"/>
      <c r="EI157" s="710"/>
      <c r="EJ157" s="901"/>
      <c r="EK157" s="710"/>
      <c r="EL157" s="710"/>
      <c r="EM157" s="901"/>
      <c r="EN157" s="710"/>
      <c r="EO157" s="710"/>
      <c r="EP157" s="901"/>
      <c r="EQ157" s="710"/>
      <c r="ER157" s="710"/>
      <c r="ES157" s="901"/>
      <c r="ET157" s="710"/>
      <c r="EU157" s="710"/>
      <c r="EV157" s="860"/>
      <c r="EW157" s="710"/>
      <c r="EX157" s="710"/>
      <c r="EY157" s="710"/>
      <c r="EZ157" s="710"/>
      <c r="FA157" s="710"/>
      <c r="FB157" s="710"/>
      <c r="FC157" s="710"/>
      <c r="FD157" s="710"/>
      <c r="FE157" s="710"/>
      <c r="FF157" s="710"/>
      <c r="FG157" s="710"/>
      <c r="FH157" s="710"/>
      <c r="FI157" s="710"/>
      <c r="FJ157" s="949"/>
      <c r="FK157" s="949"/>
      <c r="FL157" s="949"/>
      <c r="FM157" s="949"/>
      <c r="FN157" s="949"/>
      <c r="FO157" s="949"/>
      <c r="FP157" s="949"/>
    </row>
    <row r="158" spans="2:172" ht="67" customHeight="1">
      <c r="B158" s="863"/>
      <c r="C158" s="863"/>
      <c r="D158" s="863"/>
      <c r="E158" s="863"/>
      <c r="F158" s="863"/>
      <c r="I158" s="850" t="s">
        <v>5521</v>
      </c>
      <c r="J158" s="850" t="s">
        <v>5450</v>
      </c>
      <c r="K158" s="710" t="s">
        <v>256</v>
      </c>
      <c r="L158" s="710"/>
      <c r="M158" s="710"/>
      <c r="N158" s="710"/>
      <c r="O158" s="895"/>
      <c r="P158" s="896"/>
      <c r="Q158" s="896"/>
      <c r="R158" s="712">
        <f t="shared" si="65"/>
        <v>0</v>
      </c>
      <c r="S158" s="710"/>
      <c r="T158" s="710"/>
      <c r="U158" s="710"/>
      <c r="V158" s="710"/>
      <c r="W158" s="710"/>
      <c r="X158" s="710"/>
      <c r="Y158" s="710"/>
      <c r="Z158" s="710"/>
      <c r="AA158" s="710"/>
      <c r="AB158" s="710"/>
      <c r="AC158" s="710"/>
      <c r="AD158" s="710"/>
      <c r="AE158" s="710"/>
      <c r="AF158" s="710"/>
      <c r="AG158" s="710"/>
      <c r="AH158" s="898"/>
      <c r="AI158" s="868">
        <f t="shared" si="47"/>
        <v>0</v>
      </c>
      <c r="AJ158" s="867">
        <f t="shared" si="48"/>
        <v>0</v>
      </c>
      <c r="AK158" s="898"/>
      <c r="AL158" s="899"/>
      <c r="AM158" s="899"/>
      <c r="AN158" s="869" t="e">
        <f t="shared" si="49"/>
        <v>#DIV/0!</v>
      </c>
      <c r="AO158" s="869" t="e">
        <f t="shared" si="50"/>
        <v>#DIV/0!</v>
      </c>
      <c r="AP158" s="899"/>
      <c r="AQ158" s="899"/>
      <c r="AR158" s="899"/>
      <c r="AS158" s="869" t="e">
        <f t="shared" si="51"/>
        <v>#DIV/0!</v>
      </c>
      <c r="AT158" s="869" t="e">
        <f t="shared" si="52"/>
        <v>#DIV/0!</v>
      </c>
      <c r="AU158" s="898"/>
      <c r="AV158" s="899"/>
      <c r="AW158" s="869" t="e">
        <f t="shared" si="53"/>
        <v>#DIV/0!</v>
      </c>
      <c r="AX158" s="869" t="e">
        <f t="shared" si="54"/>
        <v>#DIV/0!</v>
      </c>
      <c r="AY158" s="898"/>
      <c r="AZ158" s="899"/>
      <c r="BA158" s="869" t="e">
        <f t="shared" si="55"/>
        <v>#DIV/0!</v>
      </c>
      <c r="BB158" s="869" t="e">
        <f t="shared" si="56"/>
        <v>#DIV/0!</v>
      </c>
      <c r="BC158" s="898"/>
      <c r="BD158" s="899"/>
      <c r="BE158" s="869" t="e">
        <f t="shared" si="57"/>
        <v>#DIV/0!</v>
      </c>
      <c r="BF158" s="869" t="e">
        <f t="shared" si="58"/>
        <v>#DIV/0!</v>
      </c>
      <c r="BG158" s="898"/>
      <c r="BH158" s="899"/>
      <c r="BI158" s="710"/>
      <c r="BJ158" s="710"/>
      <c r="BK158" s="710"/>
      <c r="BL158" s="714" t="e">
        <f t="shared" si="59"/>
        <v>#DIV/0!</v>
      </c>
      <c r="BM158" s="869" t="e">
        <f t="shared" si="60"/>
        <v>#DIV/0!</v>
      </c>
      <c r="BN158" s="898"/>
      <c r="BO158" s="899"/>
      <c r="BP158" s="869" t="e">
        <f t="shared" si="61"/>
        <v>#DIV/0!</v>
      </c>
      <c r="BQ158" s="869" t="e">
        <f t="shared" si="62"/>
        <v>#DIV/0!</v>
      </c>
      <c r="BR158" s="898"/>
      <c r="BS158" s="899"/>
      <c r="BT158" s="899"/>
      <c r="BU158" s="899"/>
      <c r="BV158" s="901"/>
      <c r="BW158" s="901"/>
      <c r="BX158" s="901"/>
      <c r="BY158" s="901"/>
      <c r="BZ158" s="901"/>
      <c r="CA158" s="901"/>
      <c r="CB158" s="901"/>
      <c r="CC158" s="901"/>
      <c r="CD158" s="901"/>
      <c r="CE158" s="901"/>
      <c r="CF158" s="901"/>
      <c r="CG158" s="901"/>
      <c r="CH158" s="901"/>
      <c r="CI158" s="901"/>
      <c r="CJ158" s="901"/>
      <c r="CK158" s="901"/>
      <c r="CL158" s="901"/>
      <c r="CM158" s="901"/>
      <c r="CN158" s="901"/>
      <c r="CO158" s="901"/>
      <c r="CP158" s="901"/>
      <c r="CQ158" s="901"/>
      <c r="CR158" s="901"/>
      <c r="CS158" s="902"/>
      <c r="CT158" s="871">
        <f t="shared" si="63"/>
        <v>0</v>
      </c>
      <c r="CU158" s="871">
        <f t="shared" si="64"/>
        <v>0</v>
      </c>
      <c r="CV158" s="942"/>
      <c r="CW158" s="710"/>
      <c r="CX158" s="710"/>
      <c r="CY158" s="899"/>
      <c r="CZ158" s="710"/>
      <c r="DA158" s="710"/>
      <c r="DB158" s="710"/>
      <c r="DC158" s="710"/>
      <c r="DD158" s="710"/>
      <c r="DE158" s="901"/>
      <c r="DF158" s="901"/>
      <c r="DG158" s="710"/>
      <c r="DH158" s="710"/>
      <c r="DI158" s="901"/>
      <c r="DJ158" s="710"/>
      <c r="DK158" s="710"/>
      <c r="DL158" s="901"/>
      <c r="DM158" s="710"/>
      <c r="DN158" s="710"/>
      <c r="DO158" s="901"/>
      <c r="DP158" s="710"/>
      <c r="DQ158" s="710"/>
      <c r="DR158" s="901"/>
      <c r="DS158" s="710"/>
      <c r="DT158" s="710"/>
      <c r="DU158" s="901"/>
      <c r="DV158" s="710"/>
      <c r="DW158" s="710"/>
      <c r="DX158" s="901"/>
      <c r="DY158" s="710"/>
      <c r="DZ158" s="710"/>
      <c r="EA158" s="901"/>
      <c r="EB158" s="710"/>
      <c r="EC158" s="710"/>
      <c r="ED158" s="901"/>
      <c r="EE158" s="710"/>
      <c r="EF158" s="710"/>
      <c r="EG158" s="901"/>
      <c r="EH158" s="710"/>
      <c r="EI158" s="710"/>
      <c r="EJ158" s="901"/>
      <c r="EK158" s="710"/>
      <c r="EL158" s="710"/>
      <c r="EM158" s="901"/>
      <c r="EN158" s="710"/>
      <c r="EO158" s="710"/>
      <c r="EP158" s="901"/>
      <c r="EQ158" s="710"/>
      <c r="ER158" s="710"/>
      <c r="ES158" s="901"/>
      <c r="ET158" s="710"/>
      <c r="EU158" s="710"/>
      <c r="EV158" s="860"/>
      <c r="EW158" s="710"/>
      <c r="EX158" s="710"/>
      <c r="EY158" s="710"/>
      <c r="EZ158" s="710"/>
      <c r="FA158" s="710"/>
      <c r="FB158" s="710"/>
      <c r="FC158" s="710"/>
      <c r="FD158" s="710"/>
      <c r="FE158" s="710"/>
      <c r="FF158" s="710"/>
      <c r="FG158" s="710"/>
      <c r="FH158" s="710"/>
      <c r="FI158" s="710"/>
      <c r="FJ158" s="949"/>
      <c r="FK158" s="949"/>
      <c r="FL158" s="949"/>
      <c r="FM158" s="949"/>
      <c r="FN158" s="949"/>
      <c r="FO158" s="949"/>
      <c r="FP158" s="949"/>
    </row>
    <row r="159" spans="2:172" ht="97" customHeight="1">
      <c r="B159" s="850" t="s">
        <v>5315</v>
      </c>
      <c r="C159" s="850" t="s">
        <v>5321</v>
      </c>
      <c r="D159" s="850" t="s">
        <v>4933</v>
      </c>
      <c r="E159" s="850" t="s">
        <v>5314</v>
      </c>
      <c r="F159" s="850" t="s">
        <v>5351</v>
      </c>
      <c r="G159" s="850" t="s">
        <v>4933</v>
      </c>
      <c r="I159" s="850" t="s">
        <v>5525</v>
      </c>
      <c r="J159" s="850" t="s">
        <v>5451</v>
      </c>
      <c r="K159" s="710" t="s">
        <v>257</v>
      </c>
      <c r="L159" s="710"/>
      <c r="M159" s="710" t="s">
        <v>543</v>
      </c>
      <c r="N159" s="710" t="s">
        <v>279</v>
      </c>
      <c r="O159" s="895">
        <v>2018</v>
      </c>
      <c r="P159" s="896">
        <v>43586</v>
      </c>
      <c r="Q159" s="896">
        <v>43830</v>
      </c>
      <c r="R159" s="712">
        <f t="shared" si="65"/>
        <v>244</v>
      </c>
      <c r="S159" s="710" t="s">
        <v>544</v>
      </c>
      <c r="T159" s="710" t="s">
        <v>545</v>
      </c>
      <c r="U159" s="710" t="s">
        <v>546</v>
      </c>
      <c r="V159" s="710" t="s">
        <v>279</v>
      </c>
      <c r="W159" s="710" t="s">
        <v>279</v>
      </c>
      <c r="X159" s="710" t="s">
        <v>279</v>
      </c>
      <c r="Y159" s="710" t="s">
        <v>279</v>
      </c>
      <c r="Z159" s="710" t="s">
        <v>547</v>
      </c>
      <c r="AA159" s="945" t="s">
        <v>546</v>
      </c>
      <c r="AB159" s="945"/>
      <c r="AC159" s="945"/>
      <c r="AD159" s="710" t="s">
        <v>548</v>
      </c>
      <c r="AE159" s="710" t="s">
        <v>548</v>
      </c>
      <c r="AF159" s="710" t="s">
        <v>414</v>
      </c>
      <c r="AG159" s="710" t="s">
        <v>549</v>
      </c>
      <c r="AH159" s="898">
        <v>0.82</v>
      </c>
      <c r="AI159" s="868">
        <f t="shared" si="47"/>
        <v>0.82000000000000006</v>
      </c>
      <c r="AJ159" s="867">
        <f t="shared" si="48"/>
        <v>0</v>
      </c>
      <c r="AK159" s="898">
        <v>0.5</v>
      </c>
      <c r="AL159" s="899">
        <v>0.60970000000000002</v>
      </c>
      <c r="AM159" s="900">
        <v>1.0000000000000001E-5</v>
      </c>
      <c r="AN159" s="869">
        <f t="shared" si="49"/>
        <v>0.6097560975609756</v>
      </c>
      <c r="AO159" s="869">
        <f t="shared" si="50"/>
        <v>-5.6097560975576499E-5</v>
      </c>
      <c r="AP159" s="900"/>
      <c r="AQ159" s="900"/>
      <c r="AR159" s="900"/>
      <c r="AS159" s="869">
        <f t="shared" si="51"/>
        <v>0</v>
      </c>
      <c r="AT159" s="869">
        <f t="shared" si="52"/>
        <v>0</v>
      </c>
      <c r="AU159" s="898">
        <v>0.318</v>
      </c>
      <c r="AV159" s="899">
        <v>0.38750000000000001</v>
      </c>
      <c r="AW159" s="869">
        <f t="shared" si="53"/>
        <v>0.3878048780487805</v>
      </c>
      <c r="AX159" s="869">
        <f t="shared" si="54"/>
        <v>-3.0487804878048808E-4</v>
      </c>
      <c r="AY159" s="898">
        <v>2E-3</v>
      </c>
      <c r="AZ159" s="899">
        <v>2.8E-3</v>
      </c>
      <c r="BA159" s="869">
        <f t="shared" si="55"/>
        <v>2.4390243902439024E-3</v>
      </c>
      <c r="BB159" s="869">
        <f t="shared" si="56"/>
        <v>3.6097560975609753E-4</v>
      </c>
      <c r="BC159" s="898"/>
      <c r="BD159" s="899"/>
      <c r="BE159" s="869">
        <f t="shared" si="57"/>
        <v>0</v>
      </c>
      <c r="BF159" s="869">
        <f t="shared" si="58"/>
        <v>0</v>
      </c>
      <c r="BG159" s="898"/>
      <c r="BH159" s="899"/>
      <c r="BI159" s="710" t="s">
        <v>279</v>
      </c>
      <c r="BJ159" s="710" t="s">
        <v>279</v>
      </c>
      <c r="BK159" s="710" t="s">
        <v>279</v>
      </c>
      <c r="BL159" s="714">
        <f t="shared" si="59"/>
        <v>0</v>
      </c>
      <c r="BM159" s="869">
        <f t="shared" si="60"/>
        <v>0</v>
      </c>
      <c r="BN159" s="898"/>
      <c r="BO159" s="899"/>
      <c r="BP159" s="869">
        <f t="shared" si="61"/>
        <v>0</v>
      </c>
      <c r="BQ159" s="869">
        <f t="shared" si="62"/>
        <v>0</v>
      </c>
      <c r="BR159" s="898">
        <v>10</v>
      </c>
      <c r="BS159" s="899">
        <v>2.0000000000000001E-4</v>
      </c>
      <c r="BT159" s="899"/>
      <c r="BU159" s="899"/>
      <c r="BV159" s="955"/>
      <c r="BW159" s="955">
        <v>8</v>
      </c>
      <c r="BX159" s="901">
        <v>6</v>
      </c>
      <c r="BY159" s="901"/>
      <c r="BZ159" s="901"/>
      <c r="CA159" s="901">
        <v>1</v>
      </c>
      <c r="CB159" s="901"/>
      <c r="CC159" s="901"/>
      <c r="CD159" s="901">
        <v>2</v>
      </c>
      <c r="CE159" s="901"/>
      <c r="CF159" s="901"/>
      <c r="CG159" s="901">
        <v>1</v>
      </c>
      <c r="CH159" s="901"/>
      <c r="CI159" s="901">
        <v>2</v>
      </c>
      <c r="CJ159" s="901"/>
      <c r="CK159" s="901"/>
      <c r="CL159" s="901"/>
      <c r="CM159" s="901"/>
      <c r="CN159" s="901"/>
      <c r="CO159" s="901"/>
      <c r="CP159" s="901"/>
      <c r="CQ159" s="901"/>
      <c r="CR159" s="901"/>
      <c r="CS159" s="902">
        <f t="shared" ref="CS159:CS165" si="66">SUM(BY159:CR159)</f>
        <v>6</v>
      </c>
      <c r="CT159" s="871">
        <f t="shared" si="63"/>
        <v>6</v>
      </c>
      <c r="CU159" s="871">
        <f t="shared" si="64"/>
        <v>0</v>
      </c>
      <c r="CV159" s="942"/>
      <c r="CW159" s="898" t="s">
        <v>550</v>
      </c>
      <c r="CX159" s="710" t="s">
        <v>279</v>
      </c>
      <c r="CY159" s="898"/>
      <c r="CZ159" s="899"/>
      <c r="DA159" s="899"/>
      <c r="DB159" s="899"/>
      <c r="DC159" s="710" t="s">
        <v>279</v>
      </c>
      <c r="DD159" s="710" t="s">
        <v>279</v>
      </c>
      <c r="DE159" s="710" t="s">
        <v>279</v>
      </c>
      <c r="DF159" s="901">
        <v>0</v>
      </c>
      <c r="DG159" s="901">
        <v>0</v>
      </c>
      <c r="DH159" s="901">
        <v>0</v>
      </c>
      <c r="DI159" s="710" t="s">
        <v>279</v>
      </c>
      <c r="DJ159" s="710" t="s">
        <v>279</v>
      </c>
      <c r="DK159" s="901"/>
      <c r="DL159" s="710" t="s">
        <v>278</v>
      </c>
      <c r="DM159" s="710" t="s">
        <v>551</v>
      </c>
      <c r="DN159" s="901">
        <v>228</v>
      </c>
      <c r="DO159" s="710" t="s">
        <v>279</v>
      </c>
      <c r="DP159" s="710" t="s">
        <v>279</v>
      </c>
      <c r="DQ159" s="901" t="s">
        <v>279</v>
      </c>
      <c r="DR159" s="710" t="s">
        <v>279</v>
      </c>
      <c r="DS159" s="710" t="s">
        <v>279</v>
      </c>
      <c r="DT159" s="901" t="s">
        <v>279</v>
      </c>
      <c r="DU159" s="710" t="s">
        <v>279</v>
      </c>
      <c r="DV159" s="710" t="s">
        <v>279</v>
      </c>
      <c r="DW159" s="901" t="s">
        <v>279</v>
      </c>
      <c r="DX159" s="710" t="s">
        <v>279</v>
      </c>
      <c r="DY159" s="710" t="s">
        <v>279</v>
      </c>
      <c r="DZ159" s="901" t="s">
        <v>279</v>
      </c>
      <c r="EA159" s="710" t="s">
        <v>279</v>
      </c>
      <c r="EB159" s="710" t="s">
        <v>279</v>
      </c>
      <c r="EC159" s="901" t="s">
        <v>279</v>
      </c>
      <c r="ED159" s="710" t="s">
        <v>279</v>
      </c>
      <c r="EE159" s="710" t="s">
        <v>279</v>
      </c>
      <c r="EF159" s="901" t="s">
        <v>279</v>
      </c>
      <c r="EG159" s="710" t="s">
        <v>279</v>
      </c>
      <c r="EH159" s="710" t="s">
        <v>279</v>
      </c>
      <c r="EI159" s="901" t="s">
        <v>279</v>
      </c>
      <c r="EJ159" s="710" t="s">
        <v>279</v>
      </c>
      <c r="EK159" s="710" t="s">
        <v>279</v>
      </c>
      <c r="EL159" s="901" t="s">
        <v>279</v>
      </c>
      <c r="EM159" s="710" t="s">
        <v>278</v>
      </c>
      <c r="EN159" s="710" t="s">
        <v>552</v>
      </c>
      <c r="EO159" s="901">
        <v>7</v>
      </c>
      <c r="EP159" s="710" t="s">
        <v>279</v>
      </c>
      <c r="EQ159" s="710" t="s">
        <v>279</v>
      </c>
      <c r="ER159" s="901">
        <v>0</v>
      </c>
      <c r="ES159" s="710" t="s">
        <v>279</v>
      </c>
      <c r="ET159" s="710" t="s">
        <v>279</v>
      </c>
      <c r="EU159" s="901">
        <v>0</v>
      </c>
      <c r="EV159" s="710" t="s">
        <v>553</v>
      </c>
      <c r="EW159" s="972" t="s">
        <v>554</v>
      </c>
      <c r="EX159" s="860">
        <v>8</v>
      </c>
      <c r="EY159" s="710" t="s">
        <v>279</v>
      </c>
      <c r="EZ159" s="710" t="s">
        <v>279</v>
      </c>
      <c r="FA159" s="710" t="s">
        <v>278</v>
      </c>
      <c r="FB159" s="710" t="s">
        <v>555</v>
      </c>
      <c r="FC159" s="710" t="s">
        <v>279</v>
      </c>
      <c r="FD159" s="710" t="s">
        <v>279</v>
      </c>
      <c r="FE159" s="710" t="s">
        <v>279</v>
      </c>
      <c r="FF159" s="710" t="s">
        <v>279</v>
      </c>
      <c r="FG159" s="710" t="s">
        <v>279</v>
      </c>
      <c r="FH159" s="710" t="s">
        <v>556</v>
      </c>
      <c r="FI159" s="710">
        <v>5</v>
      </c>
      <c r="FJ159" s="710">
        <v>351</v>
      </c>
      <c r="FK159" s="710" t="s">
        <v>557</v>
      </c>
      <c r="FL159" s="710" t="s">
        <v>558</v>
      </c>
      <c r="FM159" s="945" t="s">
        <v>559</v>
      </c>
      <c r="FN159" s="710" t="s">
        <v>560</v>
      </c>
      <c r="FO159" s="710" t="s">
        <v>561</v>
      </c>
      <c r="FP159" s="984" t="s">
        <v>562</v>
      </c>
    </row>
    <row r="160" spans="2:172" ht="109.5" customHeight="1">
      <c r="B160" s="850" t="s">
        <v>5313</v>
      </c>
      <c r="C160" s="863"/>
      <c r="D160" s="850" t="s">
        <v>4933</v>
      </c>
      <c r="E160" s="850" t="s">
        <v>5314</v>
      </c>
      <c r="F160" s="863"/>
      <c r="G160" s="850" t="s">
        <v>4933</v>
      </c>
      <c r="I160" s="850" t="s">
        <v>5521</v>
      </c>
      <c r="J160" s="850" t="s">
        <v>5452</v>
      </c>
      <c r="K160" s="710" t="s">
        <v>258</v>
      </c>
      <c r="L160" s="710"/>
      <c r="M160" s="710" t="s">
        <v>1821</v>
      </c>
      <c r="N160" s="710" t="s">
        <v>1822</v>
      </c>
      <c r="O160" s="895">
        <v>2007</v>
      </c>
      <c r="P160" s="896">
        <v>43191</v>
      </c>
      <c r="Q160" s="896">
        <v>43830</v>
      </c>
      <c r="R160" s="712">
        <f t="shared" si="65"/>
        <v>639</v>
      </c>
      <c r="S160" s="710" t="s">
        <v>1823</v>
      </c>
      <c r="T160" s="710" t="s">
        <v>1824</v>
      </c>
      <c r="U160" s="710" t="s">
        <v>1825</v>
      </c>
      <c r="V160" s="710" t="s">
        <v>410</v>
      </c>
      <c r="W160" s="710" t="s">
        <v>410</v>
      </c>
      <c r="X160" s="710" t="s">
        <v>410</v>
      </c>
      <c r="Y160" s="710" t="s">
        <v>410</v>
      </c>
      <c r="Z160" s="710" t="s">
        <v>1826</v>
      </c>
      <c r="AA160" s="710" t="s">
        <v>1825</v>
      </c>
      <c r="AB160" s="710"/>
      <c r="AC160" s="710"/>
      <c r="AD160" s="710" t="s">
        <v>1827</v>
      </c>
      <c r="AE160" s="710" t="s">
        <v>1827</v>
      </c>
      <c r="AF160" s="710" t="s">
        <v>277</v>
      </c>
      <c r="AG160" s="710" t="s">
        <v>1828</v>
      </c>
      <c r="AH160" s="872">
        <v>644.96</v>
      </c>
      <c r="AI160" s="868">
        <f t="shared" si="47"/>
        <v>644.95999999999992</v>
      </c>
      <c r="AJ160" s="875">
        <f t="shared" si="48"/>
        <v>0</v>
      </c>
      <c r="AK160" s="898">
        <v>396.16</v>
      </c>
      <c r="AL160" s="899">
        <v>0.57530000000000003</v>
      </c>
      <c r="AM160" s="899">
        <v>3.5000000000000001E-3</v>
      </c>
      <c r="AN160" s="869">
        <f t="shared" si="49"/>
        <v>0.61423964276854381</v>
      </c>
      <c r="AO160" s="869">
        <f t="shared" si="50"/>
        <v>-3.8939642768543781E-2</v>
      </c>
      <c r="AP160" s="899"/>
      <c r="AQ160" s="899"/>
      <c r="AR160" s="899"/>
      <c r="AS160" s="869">
        <f t="shared" si="51"/>
        <v>0</v>
      </c>
      <c r="AT160" s="869">
        <f t="shared" si="52"/>
        <v>0</v>
      </c>
      <c r="AU160" s="898">
        <v>159.62</v>
      </c>
      <c r="AV160" s="899">
        <v>0.23169999999999999</v>
      </c>
      <c r="AW160" s="869">
        <f t="shared" si="53"/>
        <v>0.24748821632349291</v>
      </c>
      <c r="AX160" s="869">
        <f t="shared" si="54"/>
        <v>-1.5788216323492921E-2</v>
      </c>
      <c r="AY160" s="898">
        <v>21.93</v>
      </c>
      <c r="AZ160" s="899">
        <v>3.1800000000000002E-2</v>
      </c>
      <c r="BA160" s="869">
        <f t="shared" si="55"/>
        <v>3.4002108657901264E-2</v>
      </c>
      <c r="BB160" s="869">
        <f t="shared" si="56"/>
        <v>-2.2021086579012625E-3</v>
      </c>
      <c r="BC160" s="898">
        <v>67.25</v>
      </c>
      <c r="BD160" s="899">
        <v>9.7699999999999995E-2</v>
      </c>
      <c r="BE160" s="869">
        <f t="shared" si="57"/>
        <v>0.10427003225006201</v>
      </c>
      <c r="BF160" s="869">
        <f t="shared" si="58"/>
        <v>-6.5700322500620162E-3</v>
      </c>
      <c r="BG160" s="898"/>
      <c r="BH160" s="899"/>
      <c r="BI160" s="899" t="s">
        <v>410</v>
      </c>
      <c r="BJ160" s="899" t="s">
        <v>410</v>
      </c>
      <c r="BK160" s="899" t="s">
        <v>410</v>
      </c>
      <c r="BL160" s="714">
        <f t="shared" si="59"/>
        <v>0</v>
      </c>
      <c r="BM160" s="869">
        <f t="shared" si="60"/>
        <v>0</v>
      </c>
      <c r="BN160" s="899"/>
      <c r="BO160" s="899"/>
      <c r="BP160" s="869">
        <f t="shared" si="61"/>
        <v>0</v>
      </c>
      <c r="BQ160" s="869">
        <f t="shared" si="62"/>
        <v>0</v>
      </c>
      <c r="BR160" s="898">
        <v>502.44</v>
      </c>
      <c r="BS160" s="899">
        <v>4.1000000000000003E-3</v>
      </c>
      <c r="BT160" s="899"/>
      <c r="BU160" s="899"/>
      <c r="BV160" s="901"/>
      <c r="BW160" s="901">
        <v>288</v>
      </c>
      <c r="BX160" s="901">
        <v>241</v>
      </c>
      <c r="BY160" s="901">
        <v>2</v>
      </c>
      <c r="BZ160" s="901">
        <v>33</v>
      </c>
      <c r="CA160" s="901" t="s">
        <v>410</v>
      </c>
      <c r="CB160" s="901">
        <v>8</v>
      </c>
      <c r="CC160" s="901">
        <v>3</v>
      </c>
      <c r="CD160" s="901" t="s">
        <v>410</v>
      </c>
      <c r="CE160" s="901" t="s">
        <v>410</v>
      </c>
      <c r="CF160" s="901">
        <v>46</v>
      </c>
      <c r="CG160" s="901">
        <v>40</v>
      </c>
      <c r="CH160" s="901" t="s">
        <v>410</v>
      </c>
      <c r="CI160" s="901" t="s">
        <v>410</v>
      </c>
      <c r="CJ160" s="901">
        <v>101</v>
      </c>
      <c r="CK160" s="901">
        <v>6</v>
      </c>
      <c r="CL160" s="901">
        <v>2</v>
      </c>
      <c r="CM160" s="901" t="s">
        <v>410</v>
      </c>
      <c r="CN160" s="901" t="s">
        <v>410</v>
      </c>
      <c r="CO160" s="901" t="s">
        <v>410</v>
      </c>
      <c r="CP160" s="901" t="s">
        <v>410</v>
      </c>
      <c r="CQ160" s="901" t="s">
        <v>410</v>
      </c>
      <c r="CR160" s="901" t="s">
        <v>410</v>
      </c>
      <c r="CS160" s="902">
        <f t="shared" si="66"/>
        <v>241</v>
      </c>
      <c r="CT160" s="871">
        <f t="shared" si="63"/>
        <v>241</v>
      </c>
      <c r="CU160" s="871">
        <f t="shared" si="64"/>
        <v>0</v>
      </c>
      <c r="CV160" s="872">
        <v>1987.77</v>
      </c>
      <c r="CW160" s="710" t="s">
        <v>1829</v>
      </c>
      <c r="CX160" s="710" t="s">
        <v>410</v>
      </c>
      <c r="CY160" s="710">
        <v>70.92</v>
      </c>
      <c r="CZ160" s="899" t="s">
        <v>1830</v>
      </c>
      <c r="DA160" s="899"/>
      <c r="DB160" s="899"/>
      <c r="DC160" s="710" t="s">
        <v>278</v>
      </c>
      <c r="DD160" s="710" t="s">
        <v>1831</v>
      </c>
      <c r="DE160" s="710" t="s">
        <v>1832</v>
      </c>
      <c r="DF160" s="901">
        <v>5</v>
      </c>
      <c r="DG160" s="901" t="s">
        <v>410</v>
      </c>
      <c r="DH160" s="901" t="s">
        <v>410</v>
      </c>
      <c r="DI160" s="710" t="s">
        <v>278</v>
      </c>
      <c r="DJ160" s="710" t="s">
        <v>1833</v>
      </c>
      <c r="DK160" s="901" t="s">
        <v>410</v>
      </c>
      <c r="DL160" s="710" t="s">
        <v>278</v>
      </c>
      <c r="DM160" s="710" t="s">
        <v>1834</v>
      </c>
      <c r="DN160" s="901" t="s">
        <v>410</v>
      </c>
      <c r="DO160" s="710" t="s">
        <v>279</v>
      </c>
      <c r="DP160" s="710" t="s">
        <v>410</v>
      </c>
      <c r="DQ160" s="901" t="s">
        <v>410</v>
      </c>
      <c r="DR160" s="710" t="s">
        <v>278</v>
      </c>
      <c r="DS160" s="710" t="s">
        <v>1835</v>
      </c>
      <c r="DT160" s="901">
        <v>625</v>
      </c>
      <c r="DU160" s="710" t="s">
        <v>279</v>
      </c>
      <c r="DV160" s="710" t="s">
        <v>410</v>
      </c>
      <c r="DW160" s="901" t="s">
        <v>410</v>
      </c>
      <c r="DX160" s="710" t="s">
        <v>279</v>
      </c>
      <c r="DY160" s="710" t="s">
        <v>410</v>
      </c>
      <c r="DZ160" s="901" t="s">
        <v>410</v>
      </c>
      <c r="EA160" s="710" t="s">
        <v>278</v>
      </c>
      <c r="EB160" s="710" t="s">
        <v>1835</v>
      </c>
      <c r="EC160" s="901">
        <v>10817</v>
      </c>
      <c r="ED160" s="710" t="s">
        <v>278</v>
      </c>
      <c r="EE160" s="710" t="s">
        <v>1836</v>
      </c>
      <c r="EF160" s="901">
        <v>123960</v>
      </c>
      <c r="EG160" s="710" t="s">
        <v>279</v>
      </c>
      <c r="EH160" s="710" t="s">
        <v>410</v>
      </c>
      <c r="EI160" s="901" t="s">
        <v>410</v>
      </c>
      <c r="EJ160" s="710" t="s">
        <v>279</v>
      </c>
      <c r="EK160" s="710" t="s">
        <v>410</v>
      </c>
      <c r="EL160" s="901" t="s">
        <v>410</v>
      </c>
      <c r="EM160" s="710" t="s">
        <v>279</v>
      </c>
      <c r="EN160" s="710" t="s">
        <v>410</v>
      </c>
      <c r="EO160" s="901" t="s">
        <v>410</v>
      </c>
      <c r="EP160" s="710" t="s">
        <v>279</v>
      </c>
      <c r="EQ160" s="710" t="s">
        <v>410</v>
      </c>
      <c r="ER160" s="901" t="s">
        <v>410</v>
      </c>
      <c r="ES160" s="710" t="s">
        <v>279</v>
      </c>
      <c r="ET160" s="710" t="s">
        <v>410</v>
      </c>
      <c r="EU160" s="901" t="s">
        <v>410</v>
      </c>
      <c r="EV160" s="904">
        <v>1</v>
      </c>
      <c r="EW160" s="710" t="s">
        <v>410</v>
      </c>
      <c r="EX160" s="860">
        <v>165</v>
      </c>
      <c r="EY160" s="710" t="s">
        <v>278</v>
      </c>
      <c r="EZ160" s="710" t="s">
        <v>1837</v>
      </c>
      <c r="FA160" s="710" t="s">
        <v>278</v>
      </c>
      <c r="FB160" s="710" t="s">
        <v>1838</v>
      </c>
      <c r="FC160" s="710" t="s">
        <v>1839</v>
      </c>
      <c r="FD160" s="710" t="s">
        <v>1840</v>
      </c>
      <c r="FE160" s="710" t="s">
        <v>1841</v>
      </c>
      <c r="FF160" s="710" t="s">
        <v>1842</v>
      </c>
      <c r="FG160" s="710" t="s">
        <v>1843</v>
      </c>
      <c r="FH160" s="710" t="s">
        <v>1844</v>
      </c>
      <c r="FI160" s="710">
        <v>2</v>
      </c>
      <c r="FJ160" s="710" t="s">
        <v>1845</v>
      </c>
      <c r="FK160" s="710" t="s">
        <v>1846</v>
      </c>
      <c r="FL160" s="710" t="s">
        <v>1847</v>
      </c>
      <c r="FM160" s="710" t="s">
        <v>1848</v>
      </c>
      <c r="FN160" s="710" t="s">
        <v>410</v>
      </c>
      <c r="FO160" s="710" t="s">
        <v>410</v>
      </c>
      <c r="FP160" s="710" t="s">
        <v>410</v>
      </c>
    </row>
    <row r="161" spans="2:172" ht="100.5" customHeight="1">
      <c r="B161" s="850" t="s">
        <v>5313</v>
      </c>
      <c r="C161" s="863"/>
      <c r="D161" s="850" t="s">
        <v>4934</v>
      </c>
      <c r="E161" s="850" t="s">
        <v>5314</v>
      </c>
      <c r="F161" s="863"/>
      <c r="H161" s="850" t="s">
        <v>4934</v>
      </c>
      <c r="I161" s="850" t="s">
        <v>5521</v>
      </c>
      <c r="J161" s="850" t="s">
        <v>5452</v>
      </c>
      <c r="K161" s="710" t="s">
        <v>258</v>
      </c>
      <c r="L161" s="710" t="s">
        <v>3502</v>
      </c>
      <c r="M161" s="710" t="s">
        <v>3504</v>
      </c>
      <c r="N161" s="710" t="s">
        <v>279</v>
      </c>
      <c r="O161" s="710">
        <v>2019</v>
      </c>
      <c r="P161" s="939">
        <v>43466</v>
      </c>
      <c r="Q161" s="896">
        <v>43830</v>
      </c>
      <c r="R161" s="712">
        <f t="shared" si="65"/>
        <v>364</v>
      </c>
      <c r="S161" s="710"/>
      <c r="T161" s="710"/>
      <c r="U161" s="710"/>
      <c r="V161" s="710"/>
      <c r="W161" s="710"/>
      <c r="X161" s="710"/>
      <c r="Y161" s="710"/>
      <c r="Z161" s="710"/>
      <c r="AA161" s="710"/>
      <c r="AB161" s="710" t="s">
        <v>3507</v>
      </c>
      <c r="AC161" s="994" t="s">
        <v>3509</v>
      </c>
      <c r="AD161" s="710" t="s">
        <v>3511</v>
      </c>
      <c r="AE161" s="710" t="s">
        <v>3513</v>
      </c>
      <c r="AF161" s="710" t="s">
        <v>3515</v>
      </c>
      <c r="AG161" s="710" t="s">
        <v>3513</v>
      </c>
      <c r="AH161" s="898">
        <v>2.35</v>
      </c>
      <c r="AI161" s="868">
        <f t="shared" si="47"/>
        <v>2.35</v>
      </c>
      <c r="AJ161" s="867">
        <f t="shared" si="48"/>
        <v>0</v>
      </c>
      <c r="AK161" s="898">
        <v>0</v>
      </c>
      <c r="AL161" s="898"/>
      <c r="AM161" s="898"/>
      <c r="AN161" s="869">
        <f t="shared" si="49"/>
        <v>0</v>
      </c>
      <c r="AO161" s="869">
        <f t="shared" si="50"/>
        <v>0</v>
      </c>
      <c r="AP161" s="898"/>
      <c r="AQ161" s="899"/>
      <c r="AR161" s="899">
        <v>2.8E-3</v>
      </c>
      <c r="AS161" s="869">
        <f t="shared" si="51"/>
        <v>0</v>
      </c>
      <c r="AT161" s="869">
        <f t="shared" si="52"/>
        <v>0</v>
      </c>
      <c r="AU161" s="942">
        <v>1.9890000000000001</v>
      </c>
      <c r="AV161" s="899">
        <v>0.84640000000000004</v>
      </c>
      <c r="AW161" s="869">
        <f t="shared" si="53"/>
        <v>0.84638297872340429</v>
      </c>
      <c r="AX161" s="869">
        <f t="shared" si="54"/>
        <v>1.7021276595752255E-5</v>
      </c>
      <c r="AY161" s="956">
        <v>6.7000000000000004E-2</v>
      </c>
      <c r="AZ161" s="954">
        <v>2.8500000000000001E-2</v>
      </c>
      <c r="BA161" s="869">
        <f t="shared" si="55"/>
        <v>2.8510638297872343E-2</v>
      </c>
      <c r="BB161" s="869">
        <f t="shared" si="56"/>
        <v>-1.063829787234169E-5</v>
      </c>
      <c r="BC161" s="708">
        <v>0.29399999999999998</v>
      </c>
      <c r="BD161" s="954">
        <v>0.12509999999999999</v>
      </c>
      <c r="BE161" s="869">
        <f t="shared" si="57"/>
        <v>0.1251063829787234</v>
      </c>
      <c r="BF161" s="869">
        <f t="shared" si="58"/>
        <v>-6.3829787234070956E-6</v>
      </c>
      <c r="BG161" s="956">
        <v>0</v>
      </c>
      <c r="BH161" s="954"/>
      <c r="BI161" s="954"/>
      <c r="BJ161" s="954"/>
      <c r="BK161" s="954"/>
      <c r="BL161" s="714">
        <f t="shared" si="59"/>
        <v>0</v>
      </c>
      <c r="BM161" s="869">
        <f t="shared" si="60"/>
        <v>0</v>
      </c>
      <c r="BN161" s="898">
        <v>0</v>
      </c>
      <c r="BO161" s="899"/>
      <c r="BP161" s="869">
        <f t="shared" si="61"/>
        <v>0</v>
      </c>
      <c r="BQ161" s="869">
        <f t="shared" si="62"/>
        <v>0</v>
      </c>
      <c r="BR161" s="899"/>
      <c r="BS161" s="899"/>
      <c r="BT161" s="710">
        <v>2.4820000000000002</v>
      </c>
      <c r="BU161" s="899">
        <v>2.8E-3</v>
      </c>
      <c r="BV161" s="901">
        <v>12</v>
      </c>
      <c r="BW161" s="901">
        <v>4</v>
      </c>
      <c r="BX161" s="901">
        <v>4</v>
      </c>
      <c r="BY161" s="710"/>
      <c r="BZ161" s="711"/>
      <c r="CA161" s="711" t="s">
        <v>410</v>
      </c>
      <c r="CB161" s="711" t="s">
        <v>410</v>
      </c>
      <c r="CC161" s="711" t="s">
        <v>410</v>
      </c>
      <c r="CD161" s="711" t="s">
        <v>410</v>
      </c>
      <c r="CE161" s="711" t="s">
        <v>410</v>
      </c>
      <c r="CF161" s="901">
        <v>2</v>
      </c>
      <c r="CG161" s="711" t="s">
        <v>410</v>
      </c>
      <c r="CH161" s="711" t="s">
        <v>410</v>
      </c>
      <c r="CI161" s="711" t="s">
        <v>410</v>
      </c>
      <c r="CJ161" s="901">
        <v>2</v>
      </c>
      <c r="CK161" s="711" t="s">
        <v>410</v>
      </c>
      <c r="CL161" s="711" t="s">
        <v>410</v>
      </c>
      <c r="CM161" s="711" t="s">
        <v>410</v>
      </c>
      <c r="CN161" s="711" t="s">
        <v>410</v>
      </c>
      <c r="CO161" s="711" t="s">
        <v>410</v>
      </c>
      <c r="CP161" s="711" t="s">
        <v>410</v>
      </c>
      <c r="CQ161" s="711" t="s">
        <v>410</v>
      </c>
      <c r="CR161" s="711" t="s">
        <v>410</v>
      </c>
      <c r="CS161" s="902">
        <f t="shared" si="66"/>
        <v>4</v>
      </c>
      <c r="CT161" s="871">
        <f t="shared" si="63"/>
        <v>4</v>
      </c>
      <c r="CU161" s="871">
        <f t="shared" si="64"/>
        <v>0</v>
      </c>
      <c r="CV161" s="942">
        <v>1.853</v>
      </c>
      <c r="CW161" s="710" t="s">
        <v>3517</v>
      </c>
      <c r="CX161" s="994" t="s">
        <v>3518</v>
      </c>
      <c r="CY161" s="994"/>
      <c r="CZ161" s="994"/>
      <c r="DA161" s="899">
        <v>2.8199999999999999E-2</v>
      </c>
      <c r="DB161" s="711" t="s">
        <v>410</v>
      </c>
      <c r="DC161" s="710" t="s">
        <v>279</v>
      </c>
      <c r="DD161" s="711" t="s">
        <v>410</v>
      </c>
      <c r="DE161" s="711" t="s">
        <v>410</v>
      </c>
      <c r="DF161" s="711" t="s">
        <v>410</v>
      </c>
      <c r="DG161" s="711" t="s">
        <v>410</v>
      </c>
      <c r="DH161" s="901">
        <v>6</v>
      </c>
      <c r="DI161" s="710" t="s">
        <v>278</v>
      </c>
      <c r="DJ161" s="710" t="s">
        <v>3519</v>
      </c>
      <c r="DK161" s="901">
        <v>293</v>
      </c>
      <c r="DL161" s="710" t="s">
        <v>392</v>
      </c>
      <c r="DM161" s="710" t="s">
        <v>3520</v>
      </c>
      <c r="DN161" s="901">
        <v>420</v>
      </c>
      <c r="DO161" s="710" t="s">
        <v>279</v>
      </c>
      <c r="DP161" s="711" t="s">
        <v>410</v>
      </c>
      <c r="DQ161" s="711" t="s">
        <v>410</v>
      </c>
      <c r="DR161" s="710" t="s">
        <v>279</v>
      </c>
      <c r="DS161" s="711" t="s">
        <v>410</v>
      </c>
      <c r="DT161" s="711" t="s">
        <v>410</v>
      </c>
      <c r="DU161" s="710" t="s">
        <v>279</v>
      </c>
      <c r="DV161" s="711" t="s">
        <v>410</v>
      </c>
      <c r="DW161" s="711" t="s">
        <v>410</v>
      </c>
      <c r="DX161" s="710" t="s">
        <v>279</v>
      </c>
      <c r="DY161" s="711" t="s">
        <v>410</v>
      </c>
      <c r="DZ161" s="711" t="s">
        <v>410</v>
      </c>
      <c r="EA161" s="710" t="s">
        <v>279</v>
      </c>
      <c r="EB161" s="711" t="s">
        <v>410</v>
      </c>
      <c r="EC161" s="711" t="s">
        <v>410</v>
      </c>
      <c r="ED161" s="710" t="s">
        <v>278</v>
      </c>
      <c r="EE161" s="710" t="s">
        <v>3522</v>
      </c>
      <c r="EF161" s="901">
        <v>336</v>
      </c>
      <c r="EG161" s="710" t="s">
        <v>279</v>
      </c>
      <c r="EH161" s="711" t="s">
        <v>410</v>
      </c>
      <c r="EI161" s="711" t="s">
        <v>410</v>
      </c>
      <c r="EJ161" s="710" t="s">
        <v>279</v>
      </c>
      <c r="EK161" s="711" t="s">
        <v>410</v>
      </c>
      <c r="EL161" s="711" t="s">
        <v>410</v>
      </c>
      <c r="EM161" s="710" t="s">
        <v>278</v>
      </c>
      <c r="EN161" s="710" t="s">
        <v>3523</v>
      </c>
      <c r="EO161" s="901">
        <v>7</v>
      </c>
      <c r="EP161" s="710" t="s">
        <v>279</v>
      </c>
      <c r="EQ161" s="711" t="s">
        <v>410</v>
      </c>
      <c r="ER161" s="711" t="s">
        <v>410</v>
      </c>
      <c r="ES161" s="710" t="s">
        <v>279</v>
      </c>
      <c r="ET161" s="711" t="s">
        <v>410</v>
      </c>
      <c r="EU161" s="711" t="s">
        <v>410</v>
      </c>
      <c r="EV161" s="711"/>
      <c r="EW161" s="711"/>
      <c r="EX161" s="711"/>
      <c r="EY161" s="710" t="s">
        <v>279</v>
      </c>
      <c r="EZ161" s="711" t="s">
        <v>410</v>
      </c>
      <c r="FA161" s="710" t="s">
        <v>278</v>
      </c>
      <c r="FB161" s="710" t="s">
        <v>3525</v>
      </c>
      <c r="FC161" s="710" t="s">
        <v>279</v>
      </c>
      <c r="FD161" s="710" t="s">
        <v>279</v>
      </c>
      <c r="FE161" s="711" t="s">
        <v>410</v>
      </c>
      <c r="FF161" s="710" t="s">
        <v>3528</v>
      </c>
      <c r="FG161" s="710" t="s">
        <v>279</v>
      </c>
      <c r="FH161" s="710" t="s">
        <v>279</v>
      </c>
      <c r="FI161" s="710" t="s">
        <v>279</v>
      </c>
      <c r="FJ161" s="710" t="s">
        <v>279</v>
      </c>
      <c r="FK161" s="710" t="s">
        <v>3529</v>
      </c>
      <c r="FL161" s="711" t="s">
        <v>3531</v>
      </c>
      <c r="FM161" s="710" t="s">
        <v>3533</v>
      </c>
      <c r="FN161" s="710" t="s">
        <v>1846</v>
      </c>
      <c r="FO161" s="711" t="s">
        <v>1847</v>
      </c>
      <c r="FP161" s="974" t="s">
        <v>1848</v>
      </c>
    </row>
    <row r="162" spans="2:172" ht="85.5" customHeight="1">
      <c r="B162" s="850" t="s">
        <v>5315</v>
      </c>
      <c r="C162" s="850" t="s">
        <v>5328</v>
      </c>
      <c r="D162" s="850" t="s">
        <v>4934</v>
      </c>
      <c r="E162" s="850" t="s">
        <v>5314</v>
      </c>
      <c r="F162" s="863"/>
      <c r="H162" s="850" t="s">
        <v>4934</v>
      </c>
      <c r="I162" s="850" t="s">
        <v>5521</v>
      </c>
      <c r="J162" s="850" t="s">
        <v>5452</v>
      </c>
      <c r="K162" s="710" t="s">
        <v>258</v>
      </c>
      <c r="L162" s="710" t="s">
        <v>3503</v>
      </c>
      <c r="M162" s="710" t="s">
        <v>3505</v>
      </c>
      <c r="N162" s="710" t="s">
        <v>3506</v>
      </c>
      <c r="O162" s="895">
        <v>2019</v>
      </c>
      <c r="P162" s="896">
        <v>43511</v>
      </c>
      <c r="Q162" s="896">
        <v>43784</v>
      </c>
      <c r="R162" s="712">
        <f t="shared" si="65"/>
        <v>273</v>
      </c>
      <c r="S162" s="896"/>
      <c r="T162" s="896"/>
      <c r="U162" s="896"/>
      <c r="V162" s="896"/>
      <c r="W162" s="896"/>
      <c r="X162" s="896"/>
      <c r="Y162" s="896"/>
      <c r="Z162" s="896"/>
      <c r="AA162" s="896"/>
      <c r="AB162" s="710" t="s">
        <v>3508</v>
      </c>
      <c r="AC162" s="861" t="s">
        <v>3510</v>
      </c>
      <c r="AD162" s="710" t="s">
        <v>3512</v>
      </c>
      <c r="AE162" s="710" t="s">
        <v>3514</v>
      </c>
      <c r="AF162" s="710" t="s">
        <v>3516</v>
      </c>
      <c r="AG162" s="710" t="s">
        <v>3514</v>
      </c>
      <c r="AH162" s="898">
        <v>1.266</v>
      </c>
      <c r="AI162" s="868">
        <f t="shared" si="47"/>
        <v>1.266</v>
      </c>
      <c r="AJ162" s="867">
        <f t="shared" si="48"/>
        <v>0</v>
      </c>
      <c r="AK162" s="898"/>
      <c r="AL162" s="898"/>
      <c r="AM162" s="898"/>
      <c r="AN162" s="869">
        <f t="shared" si="49"/>
        <v>0</v>
      </c>
      <c r="AO162" s="869">
        <f t="shared" si="50"/>
        <v>0</v>
      </c>
      <c r="AP162" s="898"/>
      <c r="AQ162" s="899"/>
      <c r="AR162" s="899">
        <v>3.6999999999999999E-4</v>
      </c>
      <c r="AS162" s="869">
        <f t="shared" si="51"/>
        <v>0</v>
      </c>
      <c r="AT162" s="869">
        <f t="shared" si="52"/>
        <v>0</v>
      </c>
      <c r="AU162" s="942">
        <v>0.59</v>
      </c>
      <c r="AV162" s="899">
        <v>0.46600000000000003</v>
      </c>
      <c r="AW162" s="869">
        <f t="shared" si="53"/>
        <v>0.46603475513428116</v>
      </c>
      <c r="AX162" s="869">
        <f t="shared" si="54"/>
        <v>-3.4755134281139188E-5</v>
      </c>
      <c r="AY162" s="898">
        <v>0.03</v>
      </c>
      <c r="AZ162" s="899">
        <v>2.3699999999999999E-2</v>
      </c>
      <c r="BA162" s="869">
        <f t="shared" si="55"/>
        <v>2.3696682464454975E-2</v>
      </c>
      <c r="BB162" s="869">
        <f t="shared" si="56"/>
        <v>3.3175355450242028E-6</v>
      </c>
      <c r="BC162" s="898">
        <v>0.64600000000000002</v>
      </c>
      <c r="BD162" s="899">
        <v>0.51029999999999998</v>
      </c>
      <c r="BE162" s="869">
        <f t="shared" si="57"/>
        <v>0.51026856240126384</v>
      </c>
      <c r="BF162" s="869">
        <f t="shared" si="58"/>
        <v>3.1437598736139272E-5</v>
      </c>
      <c r="BG162" s="899"/>
      <c r="BH162" s="899"/>
      <c r="BI162" s="899"/>
      <c r="BJ162" s="899"/>
      <c r="BK162" s="899"/>
      <c r="BL162" s="714">
        <f t="shared" si="59"/>
        <v>0</v>
      </c>
      <c r="BM162" s="869">
        <f t="shared" si="60"/>
        <v>0</v>
      </c>
      <c r="BN162" s="898"/>
      <c r="BO162" s="899"/>
      <c r="BP162" s="869">
        <f t="shared" si="61"/>
        <v>0</v>
      </c>
      <c r="BQ162" s="869">
        <f t="shared" si="62"/>
        <v>0</v>
      </c>
      <c r="BR162" s="899"/>
      <c r="BS162" s="899"/>
      <c r="BT162" s="898">
        <v>0.78900000000000003</v>
      </c>
      <c r="BU162" s="899">
        <v>4.6000000000000001E-4</v>
      </c>
      <c r="BV162" s="901">
        <v>7</v>
      </c>
      <c r="BW162" s="901"/>
      <c r="BX162" s="901">
        <v>7</v>
      </c>
      <c r="BY162" s="901"/>
      <c r="BZ162" s="901"/>
      <c r="CA162" s="901">
        <v>4</v>
      </c>
      <c r="CB162" s="901"/>
      <c r="CC162" s="901"/>
      <c r="CD162" s="901"/>
      <c r="CE162" s="901"/>
      <c r="CF162" s="901"/>
      <c r="CG162" s="901"/>
      <c r="CH162" s="901"/>
      <c r="CI162" s="901"/>
      <c r="CJ162" s="901">
        <v>2</v>
      </c>
      <c r="CK162" s="901"/>
      <c r="CL162" s="901"/>
      <c r="CM162" s="901"/>
      <c r="CN162" s="901"/>
      <c r="CO162" s="901"/>
      <c r="CP162" s="901"/>
      <c r="CQ162" s="901"/>
      <c r="CR162" s="901">
        <v>1</v>
      </c>
      <c r="CS162" s="902">
        <f t="shared" si="66"/>
        <v>7</v>
      </c>
      <c r="CT162" s="871">
        <f t="shared" si="63"/>
        <v>7</v>
      </c>
      <c r="CU162" s="871">
        <f t="shared" si="64"/>
        <v>0</v>
      </c>
      <c r="CV162" s="942">
        <v>11.2</v>
      </c>
      <c r="CW162" s="710"/>
      <c r="CX162" s="710"/>
      <c r="CY162" s="710"/>
      <c r="CZ162" s="710"/>
      <c r="DA162" s="710">
        <v>17.2</v>
      </c>
      <c r="DB162" s="903" t="s">
        <v>2106</v>
      </c>
      <c r="DC162" s="710" t="s">
        <v>279</v>
      </c>
      <c r="DD162" s="710"/>
      <c r="DE162" s="710"/>
      <c r="DF162" s="901"/>
      <c r="DG162" s="901"/>
      <c r="DH162" s="901">
        <v>1</v>
      </c>
      <c r="DI162" s="710" t="s">
        <v>279</v>
      </c>
      <c r="DJ162" s="710"/>
      <c r="DK162" s="901"/>
      <c r="DL162" s="710" t="s">
        <v>279</v>
      </c>
      <c r="DM162" s="710"/>
      <c r="DN162" s="901"/>
      <c r="DO162" s="710" t="s">
        <v>279</v>
      </c>
      <c r="DP162" s="710"/>
      <c r="DQ162" s="901"/>
      <c r="DR162" s="710" t="s">
        <v>279</v>
      </c>
      <c r="DS162" s="710"/>
      <c r="DT162" s="901"/>
      <c r="DU162" s="710" t="s">
        <v>278</v>
      </c>
      <c r="DV162" s="710" t="s">
        <v>3521</v>
      </c>
      <c r="DW162" s="901">
        <v>15</v>
      </c>
      <c r="DX162" s="710" t="s">
        <v>279</v>
      </c>
      <c r="DY162" s="710"/>
      <c r="DZ162" s="901"/>
      <c r="EA162" s="710" t="s">
        <v>279</v>
      </c>
      <c r="EB162" s="710"/>
      <c r="EC162" s="901"/>
      <c r="ED162" s="710" t="s">
        <v>279</v>
      </c>
      <c r="EE162" s="710"/>
      <c r="EF162" s="901"/>
      <c r="EG162" s="710" t="s">
        <v>279</v>
      </c>
      <c r="EH162" s="710"/>
      <c r="EI162" s="901"/>
      <c r="EJ162" s="710" t="s">
        <v>279</v>
      </c>
      <c r="EK162" s="710"/>
      <c r="EL162" s="901"/>
      <c r="EM162" s="710" t="s">
        <v>278</v>
      </c>
      <c r="EN162" s="710" t="s">
        <v>3524</v>
      </c>
      <c r="EO162" s="901">
        <v>8</v>
      </c>
      <c r="EP162" s="710" t="s">
        <v>279</v>
      </c>
      <c r="EQ162" s="710"/>
      <c r="ER162" s="901"/>
      <c r="ES162" s="710" t="s">
        <v>279</v>
      </c>
      <c r="ET162" s="710"/>
      <c r="EU162" s="901"/>
      <c r="EV162" s="901"/>
      <c r="EW162" s="901"/>
      <c r="EX162" s="901"/>
      <c r="EY162" s="710" t="s">
        <v>279</v>
      </c>
      <c r="EZ162" s="710"/>
      <c r="FA162" s="710" t="s">
        <v>278</v>
      </c>
      <c r="FB162" s="710" t="s">
        <v>3526</v>
      </c>
      <c r="FC162" s="710" t="s">
        <v>3527</v>
      </c>
      <c r="FD162" s="710"/>
      <c r="FE162" s="710"/>
      <c r="FF162" s="710"/>
      <c r="FG162" s="710"/>
      <c r="FH162" s="710"/>
      <c r="FI162" s="710"/>
      <c r="FJ162" s="710"/>
      <c r="FK162" s="710" t="s">
        <v>3530</v>
      </c>
      <c r="FL162" s="710" t="s">
        <v>3532</v>
      </c>
      <c r="FM162" s="710" t="s">
        <v>3534</v>
      </c>
      <c r="FN162" s="710" t="s">
        <v>1846</v>
      </c>
      <c r="FO162" s="710" t="s">
        <v>1847</v>
      </c>
      <c r="FP162" s="710" t="s">
        <v>1848</v>
      </c>
    </row>
    <row r="163" spans="2:172" ht="100.5" customHeight="1">
      <c r="B163" s="850" t="s">
        <v>5313</v>
      </c>
      <c r="C163" s="863"/>
      <c r="D163" s="850" t="s">
        <v>4933</v>
      </c>
      <c r="E163" s="850" t="s">
        <v>5314</v>
      </c>
      <c r="F163" s="850" t="s">
        <v>5352</v>
      </c>
      <c r="G163" s="850" t="s">
        <v>4933</v>
      </c>
      <c r="I163" s="850" t="s">
        <v>5525</v>
      </c>
      <c r="J163" s="850" t="s">
        <v>5453</v>
      </c>
      <c r="K163" s="710" t="s">
        <v>259</v>
      </c>
      <c r="L163" s="710"/>
      <c r="M163" s="710" t="s">
        <v>1569</v>
      </c>
      <c r="N163" s="710" t="s">
        <v>1570</v>
      </c>
      <c r="O163" s="895">
        <v>2012</v>
      </c>
      <c r="P163" s="896">
        <v>43623</v>
      </c>
      <c r="Q163" s="896">
        <v>43800</v>
      </c>
      <c r="R163" s="712">
        <f t="shared" si="65"/>
        <v>177</v>
      </c>
      <c r="S163" s="710" t="s">
        <v>1571</v>
      </c>
      <c r="T163" s="710" t="s">
        <v>1572</v>
      </c>
      <c r="U163" s="974" t="s">
        <v>1557</v>
      </c>
      <c r="V163" s="710" t="s">
        <v>1573</v>
      </c>
      <c r="W163" s="710" t="s">
        <v>1573</v>
      </c>
      <c r="X163" s="710" t="s">
        <v>1573</v>
      </c>
      <c r="Y163" s="710" t="s">
        <v>1573</v>
      </c>
      <c r="Z163" s="710"/>
      <c r="AA163" s="974"/>
      <c r="AB163" s="974"/>
      <c r="AC163" s="974"/>
      <c r="AD163" s="710" t="s">
        <v>1574</v>
      </c>
      <c r="AE163" s="710" t="s">
        <v>1575</v>
      </c>
      <c r="AF163" s="710" t="s">
        <v>277</v>
      </c>
      <c r="AG163" s="710" t="s">
        <v>1576</v>
      </c>
      <c r="AH163" s="898">
        <v>132.65299999999999</v>
      </c>
      <c r="AI163" s="868">
        <f t="shared" si="47"/>
        <v>132.65300000000002</v>
      </c>
      <c r="AJ163" s="867">
        <f t="shared" si="48"/>
        <v>0</v>
      </c>
      <c r="AK163" s="898">
        <v>125.15300000000001</v>
      </c>
      <c r="AL163" s="899">
        <v>0.94299999999999995</v>
      </c>
      <c r="AM163" s="899">
        <v>2.5999999999999999E-3</v>
      </c>
      <c r="AN163" s="869">
        <f t="shared" si="49"/>
        <v>0.94346151236685194</v>
      </c>
      <c r="AO163" s="869">
        <f t="shared" si="50"/>
        <v>-4.6151236685199049E-4</v>
      </c>
      <c r="AP163" s="899"/>
      <c r="AQ163" s="899"/>
      <c r="AR163" s="899"/>
      <c r="AS163" s="869">
        <f t="shared" si="51"/>
        <v>0</v>
      </c>
      <c r="AT163" s="869">
        <f t="shared" si="52"/>
        <v>0</v>
      </c>
      <c r="AU163" s="898">
        <v>7.5</v>
      </c>
      <c r="AV163" s="899">
        <v>5.7000000000000002E-2</v>
      </c>
      <c r="AW163" s="869">
        <f t="shared" si="53"/>
        <v>5.6538487633148143E-2</v>
      </c>
      <c r="AX163" s="869">
        <f t="shared" si="54"/>
        <v>4.6151236685185865E-4</v>
      </c>
      <c r="AY163" s="898"/>
      <c r="AZ163" s="899"/>
      <c r="BA163" s="869">
        <f t="shared" si="55"/>
        <v>0</v>
      </c>
      <c r="BB163" s="869">
        <f t="shared" si="56"/>
        <v>0</v>
      </c>
      <c r="BC163" s="898"/>
      <c r="BD163" s="899"/>
      <c r="BE163" s="869">
        <f t="shared" si="57"/>
        <v>0</v>
      </c>
      <c r="BF163" s="869">
        <f t="shared" si="58"/>
        <v>0</v>
      </c>
      <c r="BG163" s="898"/>
      <c r="BH163" s="899"/>
      <c r="BI163" s="710"/>
      <c r="BJ163" s="710"/>
      <c r="BK163" s="710"/>
      <c r="BL163" s="714">
        <f t="shared" si="59"/>
        <v>0</v>
      </c>
      <c r="BM163" s="869">
        <f t="shared" si="60"/>
        <v>0</v>
      </c>
      <c r="BN163" s="898"/>
      <c r="BO163" s="899"/>
      <c r="BP163" s="869">
        <f t="shared" si="61"/>
        <v>0</v>
      </c>
      <c r="BQ163" s="869">
        <f t="shared" si="62"/>
        <v>0</v>
      </c>
      <c r="BR163" s="898">
        <v>200</v>
      </c>
      <c r="BS163" s="899">
        <v>3.8999999999999998E-3</v>
      </c>
      <c r="BT163" s="899"/>
      <c r="BU163" s="899"/>
      <c r="BV163" s="901">
        <v>1500</v>
      </c>
      <c r="BW163" s="901">
        <v>540</v>
      </c>
      <c r="BX163" s="901">
        <v>540</v>
      </c>
      <c r="BY163" s="901">
        <v>90</v>
      </c>
      <c r="BZ163" s="901">
        <v>152</v>
      </c>
      <c r="CA163" s="901">
        <v>110</v>
      </c>
      <c r="CB163" s="901">
        <v>2</v>
      </c>
      <c r="CC163" s="901"/>
      <c r="CD163" s="901">
        <v>27</v>
      </c>
      <c r="CE163" s="901"/>
      <c r="CF163" s="901">
        <v>11</v>
      </c>
      <c r="CG163" s="901">
        <v>6</v>
      </c>
      <c r="CH163" s="901">
        <v>37</v>
      </c>
      <c r="CI163" s="901">
        <v>22</v>
      </c>
      <c r="CJ163" s="901"/>
      <c r="CK163" s="901">
        <v>26</v>
      </c>
      <c r="CL163" s="901">
        <v>21</v>
      </c>
      <c r="CM163" s="901"/>
      <c r="CN163" s="901">
        <v>3</v>
      </c>
      <c r="CO163" s="901">
        <v>17</v>
      </c>
      <c r="CP163" s="901">
        <v>8</v>
      </c>
      <c r="CQ163" s="901"/>
      <c r="CR163" s="901">
        <v>8</v>
      </c>
      <c r="CS163" s="902">
        <f t="shared" si="66"/>
        <v>540</v>
      </c>
      <c r="CT163" s="871">
        <f t="shared" si="63"/>
        <v>540</v>
      </c>
      <c r="CU163" s="871">
        <f t="shared" si="64"/>
        <v>0</v>
      </c>
      <c r="CV163" s="942">
        <v>279.39999999999998</v>
      </c>
      <c r="CW163" s="710" t="s">
        <v>1577</v>
      </c>
      <c r="CX163" s="974" t="s">
        <v>1557</v>
      </c>
      <c r="CY163" s="710">
        <v>27.5</v>
      </c>
      <c r="CZ163" s="1011" t="s">
        <v>1578</v>
      </c>
      <c r="DA163" s="1011"/>
      <c r="DB163" s="1011"/>
      <c r="DC163" s="710" t="s">
        <v>279</v>
      </c>
      <c r="DD163" s="710"/>
      <c r="DE163" s="710"/>
      <c r="DF163" s="901"/>
      <c r="DG163" s="901"/>
      <c r="DH163" s="901">
        <v>7</v>
      </c>
      <c r="DI163" s="710" t="s">
        <v>279</v>
      </c>
      <c r="DJ163" s="710"/>
      <c r="DK163" s="901"/>
      <c r="DL163" s="710" t="s">
        <v>392</v>
      </c>
      <c r="DM163" s="710" t="s">
        <v>1579</v>
      </c>
      <c r="DN163" s="901">
        <v>163150</v>
      </c>
      <c r="DO163" s="710" t="s">
        <v>279</v>
      </c>
      <c r="DP163" s="710"/>
      <c r="DQ163" s="901"/>
      <c r="DR163" s="710" t="s">
        <v>278</v>
      </c>
      <c r="DS163" s="710" t="s">
        <v>1580</v>
      </c>
      <c r="DT163" s="901"/>
      <c r="DU163" s="710" t="s">
        <v>279</v>
      </c>
      <c r="DV163" s="710"/>
      <c r="DW163" s="901"/>
      <c r="DX163" s="710" t="s">
        <v>279</v>
      </c>
      <c r="DY163" s="710"/>
      <c r="DZ163" s="901"/>
      <c r="EA163" s="710" t="s">
        <v>278</v>
      </c>
      <c r="EB163" s="710" t="s">
        <v>1581</v>
      </c>
      <c r="EC163" s="901"/>
      <c r="ED163" s="710" t="s">
        <v>392</v>
      </c>
      <c r="EE163" s="710" t="s">
        <v>1582</v>
      </c>
      <c r="EF163" s="901">
        <v>6061</v>
      </c>
      <c r="EG163" s="710" t="s">
        <v>279</v>
      </c>
      <c r="EH163" s="710"/>
      <c r="EI163" s="901"/>
      <c r="EJ163" s="710" t="s">
        <v>392</v>
      </c>
      <c r="EK163" s="710" t="s">
        <v>1583</v>
      </c>
      <c r="EL163" s="901">
        <v>6638</v>
      </c>
      <c r="EM163" s="710" t="s">
        <v>279</v>
      </c>
      <c r="EN163" s="710"/>
      <c r="EO163" s="901"/>
      <c r="EP163" s="710" t="s">
        <v>279</v>
      </c>
      <c r="EQ163" s="710"/>
      <c r="ER163" s="901"/>
      <c r="ES163" s="710" t="s">
        <v>279</v>
      </c>
      <c r="ET163" s="710"/>
      <c r="EU163" s="901"/>
      <c r="EV163" s="710" t="s">
        <v>1584</v>
      </c>
      <c r="EW163" s="710" t="s">
        <v>1585</v>
      </c>
      <c r="EX163" s="860">
        <v>251</v>
      </c>
      <c r="EY163" s="710" t="s">
        <v>389</v>
      </c>
      <c r="EZ163" s="710" t="s">
        <v>1586</v>
      </c>
      <c r="FA163" s="710" t="s">
        <v>279</v>
      </c>
      <c r="FB163" s="710"/>
      <c r="FC163" s="974" t="s">
        <v>1587</v>
      </c>
      <c r="FD163" s="974" t="s">
        <v>1588</v>
      </c>
      <c r="FE163" s="974" t="s">
        <v>1589</v>
      </c>
      <c r="FF163" s="710" t="s">
        <v>1590</v>
      </c>
      <c r="FG163" s="710"/>
      <c r="FH163" s="710" t="s">
        <v>279</v>
      </c>
      <c r="FI163" s="710"/>
      <c r="FJ163" s="710"/>
      <c r="FK163" s="710" t="s">
        <v>1591</v>
      </c>
      <c r="FL163" s="710" t="s">
        <v>1592</v>
      </c>
      <c r="FM163" s="710" t="s">
        <v>1593</v>
      </c>
      <c r="FN163" s="710" t="s">
        <v>1566</v>
      </c>
      <c r="FO163" s="710" t="s">
        <v>1567</v>
      </c>
      <c r="FP163" s="974" t="s">
        <v>1568</v>
      </c>
    </row>
    <row r="164" spans="2:172" ht="92" customHeight="1">
      <c r="B164" s="850" t="s">
        <v>5315</v>
      </c>
      <c r="C164" s="850" t="s">
        <v>5320</v>
      </c>
      <c r="D164" s="850" t="s">
        <v>5317</v>
      </c>
      <c r="E164" s="850" t="s">
        <v>5318</v>
      </c>
      <c r="F164" s="850" t="s">
        <v>5347</v>
      </c>
      <c r="G164" s="850" t="s">
        <v>4933</v>
      </c>
      <c r="I164" s="850" t="s">
        <v>5525</v>
      </c>
      <c r="J164" s="850" t="s">
        <v>5453</v>
      </c>
      <c r="K164" s="710" t="s">
        <v>259</v>
      </c>
      <c r="L164" s="710"/>
      <c r="M164" s="710" t="s">
        <v>759</v>
      </c>
      <c r="N164" s="710" t="s">
        <v>279</v>
      </c>
      <c r="O164" s="895">
        <v>2014</v>
      </c>
      <c r="P164" s="896">
        <v>43502</v>
      </c>
      <c r="Q164" s="896">
        <v>43830</v>
      </c>
      <c r="R164" s="712">
        <f t="shared" si="65"/>
        <v>328</v>
      </c>
      <c r="S164" s="710" t="s">
        <v>1549</v>
      </c>
      <c r="T164" s="710" t="s">
        <v>1550</v>
      </c>
      <c r="U164" s="945" t="s">
        <v>1551</v>
      </c>
      <c r="V164" s="710" t="s">
        <v>279</v>
      </c>
      <c r="W164" s="710"/>
      <c r="X164" s="710" t="s">
        <v>279</v>
      </c>
      <c r="Y164" s="710"/>
      <c r="Z164" s="710" t="s">
        <v>279</v>
      </c>
      <c r="AA164" s="710"/>
      <c r="AB164" s="710"/>
      <c r="AC164" s="710"/>
      <c r="AD164" s="710" t="s">
        <v>1552</v>
      </c>
      <c r="AE164" s="710" t="s">
        <v>1552</v>
      </c>
      <c r="AF164" s="710" t="s">
        <v>1553</v>
      </c>
      <c r="AG164" s="710" t="s">
        <v>886</v>
      </c>
      <c r="AH164" s="898">
        <v>5.6</v>
      </c>
      <c r="AI164" s="868">
        <f t="shared" si="47"/>
        <v>5.6</v>
      </c>
      <c r="AJ164" s="867">
        <f t="shared" si="48"/>
        <v>0</v>
      </c>
      <c r="AK164" s="898">
        <v>0.3</v>
      </c>
      <c r="AL164" s="927">
        <v>5.3999999999999999E-2</v>
      </c>
      <c r="AM164" s="900">
        <v>6.9999999999999994E-5</v>
      </c>
      <c r="AN164" s="869">
        <f t="shared" si="49"/>
        <v>5.3571428571428575E-2</v>
      </c>
      <c r="AO164" s="869">
        <f t="shared" si="50"/>
        <v>4.28571428571424E-4</v>
      </c>
      <c r="AP164" s="900"/>
      <c r="AQ164" s="900"/>
      <c r="AR164" s="900"/>
      <c r="AS164" s="869">
        <f t="shared" si="51"/>
        <v>0</v>
      </c>
      <c r="AT164" s="869">
        <f t="shared" si="52"/>
        <v>0</v>
      </c>
      <c r="AU164" s="898">
        <v>0.1</v>
      </c>
      <c r="AV164" s="927">
        <v>1.7999999999999999E-2</v>
      </c>
      <c r="AW164" s="869">
        <f t="shared" si="53"/>
        <v>1.785714285714286E-2</v>
      </c>
      <c r="AX164" s="869">
        <f t="shared" si="54"/>
        <v>1.4285714285713902E-4</v>
      </c>
      <c r="AY164" s="898">
        <v>2.2000000000000002</v>
      </c>
      <c r="AZ164" s="927">
        <v>0.39300000000000002</v>
      </c>
      <c r="BA164" s="869">
        <f t="shared" si="55"/>
        <v>0.3928571428571429</v>
      </c>
      <c r="BB164" s="869">
        <f t="shared" si="56"/>
        <v>1.4285714285711126E-4</v>
      </c>
      <c r="BC164" s="898"/>
      <c r="BD164" s="899"/>
      <c r="BE164" s="869">
        <f t="shared" si="57"/>
        <v>0</v>
      </c>
      <c r="BF164" s="869">
        <f t="shared" si="58"/>
        <v>0</v>
      </c>
      <c r="BG164" s="898">
        <v>3</v>
      </c>
      <c r="BH164" s="927">
        <v>0.53500000000000003</v>
      </c>
      <c r="BI164" s="710" t="s">
        <v>1554</v>
      </c>
      <c r="BJ164" s="710" t="s">
        <v>1555</v>
      </c>
      <c r="BK164" s="710" t="s">
        <v>1552</v>
      </c>
      <c r="BL164" s="714">
        <f t="shared" si="59"/>
        <v>0.5357142857142857</v>
      </c>
      <c r="BM164" s="869">
        <f t="shared" si="60"/>
        <v>-7.1428571428566734E-4</v>
      </c>
      <c r="BN164" s="898"/>
      <c r="BO164" s="899"/>
      <c r="BP164" s="869">
        <f t="shared" si="61"/>
        <v>0</v>
      </c>
      <c r="BQ164" s="869">
        <f t="shared" si="62"/>
        <v>0</v>
      </c>
      <c r="BR164" s="898">
        <v>3.3</v>
      </c>
      <c r="BS164" s="900">
        <v>1.0000000000000001E-5</v>
      </c>
      <c r="BT164" s="900"/>
      <c r="BU164" s="900"/>
      <c r="BV164" s="901"/>
      <c r="BW164" s="901">
        <v>28</v>
      </c>
      <c r="BX164" s="901">
        <v>3</v>
      </c>
      <c r="BY164" s="901"/>
      <c r="BZ164" s="901"/>
      <c r="CA164" s="901"/>
      <c r="CB164" s="901"/>
      <c r="CC164" s="901"/>
      <c r="CD164" s="901"/>
      <c r="CE164" s="901"/>
      <c r="CF164" s="901"/>
      <c r="CG164" s="901">
        <v>1</v>
      </c>
      <c r="CH164" s="901"/>
      <c r="CI164" s="901">
        <v>1</v>
      </c>
      <c r="CJ164" s="901">
        <v>1</v>
      </c>
      <c r="CK164" s="901"/>
      <c r="CL164" s="901"/>
      <c r="CM164" s="901"/>
      <c r="CN164" s="901"/>
      <c r="CO164" s="901"/>
      <c r="CP164" s="901"/>
      <c r="CQ164" s="901"/>
      <c r="CR164" s="901"/>
      <c r="CS164" s="902">
        <f t="shared" si="66"/>
        <v>3</v>
      </c>
      <c r="CT164" s="871">
        <f t="shared" si="63"/>
        <v>3</v>
      </c>
      <c r="CU164" s="871">
        <f t="shared" si="64"/>
        <v>0</v>
      </c>
      <c r="CV164" s="942">
        <v>7.3869999999999996</v>
      </c>
      <c r="CW164" s="710" t="s">
        <v>1556</v>
      </c>
      <c r="CX164" s="710"/>
      <c r="CY164" s="710">
        <v>0.72</v>
      </c>
      <c r="CZ164" s="943" t="s">
        <v>1557</v>
      </c>
      <c r="DA164" s="943"/>
      <c r="DB164" s="943"/>
      <c r="DC164" s="710" t="s">
        <v>279</v>
      </c>
      <c r="DD164" s="710"/>
      <c r="DE164" s="710"/>
      <c r="DF164" s="901"/>
      <c r="DG164" s="901"/>
      <c r="DH164" s="901">
        <v>1</v>
      </c>
      <c r="DI164" s="710" t="s">
        <v>279</v>
      </c>
      <c r="DJ164" s="710"/>
      <c r="DK164" s="901"/>
      <c r="DL164" s="710" t="s">
        <v>278</v>
      </c>
      <c r="DM164" s="710" t="s">
        <v>753</v>
      </c>
      <c r="DN164" s="901">
        <v>115</v>
      </c>
      <c r="DO164" s="710" t="s">
        <v>279</v>
      </c>
      <c r="DP164" s="710"/>
      <c r="DQ164" s="901"/>
      <c r="DR164" s="710" t="s">
        <v>279</v>
      </c>
      <c r="DS164" s="710"/>
      <c r="DT164" s="901"/>
      <c r="DU164" s="710" t="s">
        <v>279</v>
      </c>
      <c r="DV164" s="710"/>
      <c r="DW164" s="901"/>
      <c r="DX164" s="710" t="s">
        <v>279</v>
      </c>
      <c r="DY164" s="710"/>
      <c r="DZ164" s="901"/>
      <c r="EA164" s="710" t="s">
        <v>279</v>
      </c>
      <c r="EB164" s="710"/>
      <c r="EC164" s="901"/>
      <c r="ED164" s="710" t="s">
        <v>279</v>
      </c>
      <c r="EE164" s="710"/>
      <c r="EF164" s="901"/>
      <c r="EG164" s="710" t="s">
        <v>279</v>
      </c>
      <c r="EH164" s="710"/>
      <c r="EI164" s="901"/>
      <c r="EJ164" s="710" t="s">
        <v>279</v>
      </c>
      <c r="EK164" s="710"/>
      <c r="EL164" s="901"/>
      <c r="EM164" s="710" t="s">
        <v>278</v>
      </c>
      <c r="EN164" s="710" t="s">
        <v>1558</v>
      </c>
      <c r="EO164" s="901">
        <v>6</v>
      </c>
      <c r="EP164" s="710" t="s">
        <v>279</v>
      </c>
      <c r="EQ164" s="710"/>
      <c r="ER164" s="901"/>
      <c r="ES164" s="710" t="s">
        <v>279</v>
      </c>
      <c r="ET164" s="710"/>
      <c r="EU164" s="901"/>
      <c r="EV164" s="904">
        <v>1</v>
      </c>
      <c r="EW164" s="710"/>
      <c r="EX164" s="860">
        <v>28</v>
      </c>
      <c r="EY164" s="710" t="s">
        <v>279</v>
      </c>
      <c r="EZ164" s="710"/>
      <c r="FA164" s="710" t="s">
        <v>278</v>
      </c>
      <c r="FB164" s="710" t="s">
        <v>1559</v>
      </c>
      <c r="FC164" s="710" t="s">
        <v>1560</v>
      </c>
      <c r="FD164" s="945"/>
      <c r="FE164" s="710"/>
      <c r="FF164" s="710" t="s">
        <v>1561</v>
      </c>
      <c r="FG164" s="710" t="s">
        <v>279</v>
      </c>
      <c r="FH164" s="710" t="s">
        <v>1562</v>
      </c>
      <c r="FI164" s="710"/>
      <c r="FJ164" s="710"/>
      <c r="FK164" s="710" t="s">
        <v>1563</v>
      </c>
      <c r="FL164" s="710" t="s">
        <v>1564</v>
      </c>
      <c r="FM164" s="945" t="s">
        <v>1565</v>
      </c>
      <c r="FN164" s="710" t="s">
        <v>1566</v>
      </c>
      <c r="FO164" s="710" t="s">
        <v>1567</v>
      </c>
      <c r="FP164" s="974" t="s">
        <v>1568</v>
      </c>
    </row>
    <row r="165" spans="2:172" ht="97" customHeight="1">
      <c r="B165" s="850" t="s">
        <v>5315</v>
      </c>
      <c r="C165" s="850" t="s">
        <v>5353</v>
      </c>
      <c r="D165" s="850" t="s">
        <v>4933</v>
      </c>
      <c r="E165" s="850" t="s">
        <v>5314</v>
      </c>
      <c r="F165" s="879">
        <v>1</v>
      </c>
      <c r="G165" s="850" t="s">
        <v>4933</v>
      </c>
      <c r="I165" s="850" t="s">
        <v>5520</v>
      </c>
      <c r="J165" s="850" t="s">
        <v>5454</v>
      </c>
      <c r="K165" s="710" t="s">
        <v>260</v>
      </c>
      <c r="L165" s="710"/>
      <c r="M165" s="710" t="s">
        <v>2257</v>
      </c>
      <c r="N165" s="710" t="s">
        <v>2258</v>
      </c>
      <c r="O165" s="895">
        <v>2014</v>
      </c>
      <c r="P165" s="896">
        <v>41600</v>
      </c>
      <c r="Q165" s="896">
        <v>43891</v>
      </c>
      <c r="R165" s="712">
        <f t="shared" si="65"/>
        <v>2291</v>
      </c>
      <c r="S165" s="710" t="s">
        <v>2259</v>
      </c>
      <c r="T165" s="710" t="s">
        <v>2260</v>
      </c>
      <c r="U165" s="710" t="s">
        <v>2261</v>
      </c>
      <c r="V165" s="710" t="s">
        <v>2262</v>
      </c>
      <c r="W165" s="861" t="s">
        <v>2263</v>
      </c>
      <c r="X165" s="710"/>
      <c r="Y165" s="710"/>
      <c r="Z165" s="710"/>
      <c r="AA165" s="710"/>
      <c r="AB165" s="710"/>
      <c r="AC165" s="710"/>
      <c r="AD165" s="710" t="s">
        <v>2264</v>
      </c>
      <c r="AE165" s="710" t="s">
        <v>2264</v>
      </c>
      <c r="AF165" s="710" t="s">
        <v>766</v>
      </c>
      <c r="AG165" s="710" t="s">
        <v>2265</v>
      </c>
      <c r="AH165" s="898">
        <v>1258.287</v>
      </c>
      <c r="AI165" s="868">
        <f t="shared" si="47"/>
        <v>1258.287</v>
      </c>
      <c r="AJ165" s="867">
        <f t="shared" si="48"/>
        <v>0</v>
      </c>
      <c r="AK165" s="898">
        <v>1006.63</v>
      </c>
      <c r="AL165" s="899">
        <v>0.8</v>
      </c>
      <c r="AM165" s="899">
        <v>3.6600000000000001E-3</v>
      </c>
      <c r="AN165" s="869">
        <f t="shared" si="49"/>
        <v>0.80000031789249981</v>
      </c>
      <c r="AO165" s="869">
        <f t="shared" si="50"/>
        <v>-3.178924997682131E-7</v>
      </c>
      <c r="AP165" s="899"/>
      <c r="AQ165" s="899"/>
      <c r="AR165" s="899"/>
      <c r="AS165" s="869">
        <f t="shared" si="51"/>
        <v>0</v>
      </c>
      <c r="AT165" s="869">
        <f t="shared" si="52"/>
        <v>0</v>
      </c>
      <c r="AU165" s="898"/>
      <c r="AV165" s="899"/>
      <c r="AW165" s="869">
        <f t="shared" si="53"/>
        <v>0</v>
      </c>
      <c r="AX165" s="869">
        <f t="shared" si="54"/>
        <v>0</v>
      </c>
      <c r="AY165" s="898">
        <v>251.65700000000001</v>
      </c>
      <c r="AZ165" s="899">
        <v>0.2</v>
      </c>
      <c r="BA165" s="869">
        <f t="shared" si="55"/>
        <v>0.19999968210750013</v>
      </c>
      <c r="BB165" s="869">
        <f t="shared" si="56"/>
        <v>3.178924998792354E-7</v>
      </c>
      <c r="BC165" s="898"/>
      <c r="BD165" s="899"/>
      <c r="BE165" s="869">
        <f t="shared" si="57"/>
        <v>0</v>
      </c>
      <c r="BF165" s="869">
        <f t="shared" si="58"/>
        <v>0</v>
      </c>
      <c r="BG165" s="898"/>
      <c r="BH165" s="899"/>
      <c r="BI165" s="710"/>
      <c r="BJ165" s="710"/>
      <c r="BK165" s="710"/>
      <c r="BL165" s="714">
        <f t="shared" si="59"/>
        <v>0</v>
      </c>
      <c r="BM165" s="869">
        <f t="shared" si="60"/>
        <v>0</v>
      </c>
      <c r="BN165" s="898"/>
      <c r="BO165" s="899"/>
      <c r="BP165" s="869">
        <f t="shared" si="61"/>
        <v>0</v>
      </c>
      <c r="BQ165" s="869">
        <f t="shared" si="62"/>
        <v>0</v>
      </c>
      <c r="BR165" s="898">
        <v>1000</v>
      </c>
      <c r="BS165" s="899">
        <v>3.2200000000000002E-3</v>
      </c>
      <c r="BT165" s="899"/>
      <c r="BU165" s="899"/>
      <c r="BV165" s="901"/>
      <c r="BW165" s="901"/>
      <c r="BX165" s="901">
        <v>2648</v>
      </c>
      <c r="BY165" s="901">
        <v>359</v>
      </c>
      <c r="BZ165" s="901">
        <v>721</v>
      </c>
      <c r="CA165" s="901">
        <v>282</v>
      </c>
      <c r="CB165" s="901">
        <v>198</v>
      </c>
      <c r="CC165" s="901"/>
      <c r="CD165" s="901">
        <v>16</v>
      </c>
      <c r="CE165" s="901"/>
      <c r="CF165" s="901">
        <v>84</v>
      </c>
      <c r="CG165" s="901">
        <v>35</v>
      </c>
      <c r="CH165" s="901"/>
      <c r="CI165" s="901">
        <v>8</v>
      </c>
      <c r="CJ165" s="901">
        <v>89</v>
      </c>
      <c r="CK165" s="901">
        <v>352</v>
      </c>
      <c r="CL165" s="901">
        <v>107</v>
      </c>
      <c r="CM165" s="901"/>
      <c r="CN165" s="901"/>
      <c r="CO165" s="901"/>
      <c r="CP165" s="901"/>
      <c r="CQ165" s="901"/>
      <c r="CR165" s="901">
        <v>397</v>
      </c>
      <c r="CS165" s="902">
        <f t="shared" si="66"/>
        <v>2648</v>
      </c>
      <c r="CT165" s="871">
        <f t="shared" si="63"/>
        <v>2648</v>
      </c>
      <c r="CU165" s="871">
        <f t="shared" si="64"/>
        <v>0</v>
      </c>
      <c r="CV165" s="942">
        <v>1123.6030000000001</v>
      </c>
      <c r="CW165" s="710" t="s">
        <v>2266</v>
      </c>
      <c r="CX165" s="710"/>
      <c r="CY165" s="899">
        <f>CV165/3902.888*100%</f>
        <v>0.287890146988589</v>
      </c>
      <c r="CZ165" s="963" t="s">
        <v>2267</v>
      </c>
      <c r="DA165" s="963"/>
      <c r="DB165" s="963"/>
      <c r="DC165" s="710"/>
      <c r="DD165" s="710"/>
      <c r="DE165" s="710"/>
      <c r="DF165" s="901"/>
      <c r="DG165" s="901"/>
      <c r="DH165" s="901"/>
      <c r="DI165" s="710"/>
      <c r="DJ165" s="710"/>
      <c r="DK165" s="901"/>
      <c r="DL165" s="710"/>
      <c r="DM165" s="710"/>
      <c r="DN165" s="901"/>
      <c r="DO165" s="710"/>
      <c r="DP165" s="710"/>
      <c r="DQ165" s="901"/>
      <c r="DR165" s="710"/>
      <c r="DS165" s="710"/>
      <c r="DT165" s="901"/>
      <c r="DU165" s="710"/>
      <c r="DV165" s="710"/>
      <c r="DW165" s="901"/>
      <c r="DX165" s="710"/>
      <c r="DY165" s="710"/>
      <c r="DZ165" s="901"/>
      <c r="EA165" s="710"/>
      <c r="EB165" s="710"/>
      <c r="EC165" s="901"/>
      <c r="ED165" s="710"/>
      <c r="EE165" s="710"/>
      <c r="EF165" s="901"/>
      <c r="EG165" s="710" t="s">
        <v>278</v>
      </c>
      <c r="EH165" s="710" t="s">
        <v>2268</v>
      </c>
      <c r="EI165" s="898">
        <v>575997</v>
      </c>
      <c r="EJ165" s="710"/>
      <c r="EK165" s="710"/>
      <c r="EL165" s="901"/>
      <c r="EM165" s="710"/>
      <c r="EN165" s="710"/>
      <c r="EO165" s="901"/>
      <c r="EP165" s="710"/>
      <c r="EQ165" s="710"/>
      <c r="ER165" s="901"/>
      <c r="ES165" s="710"/>
      <c r="ET165" s="710"/>
      <c r="EU165" s="901"/>
      <c r="EV165" s="904">
        <v>1</v>
      </c>
      <c r="EW165" s="710"/>
      <c r="EX165" s="860">
        <v>882</v>
      </c>
      <c r="EY165" s="710" t="s">
        <v>279</v>
      </c>
      <c r="EZ165" s="710"/>
      <c r="FA165" s="710" t="s">
        <v>279</v>
      </c>
      <c r="FB165" s="710"/>
      <c r="FC165" s="861"/>
      <c r="FD165" s="861" t="s">
        <v>2269</v>
      </c>
      <c r="FE165" s="710"/>
      <c r="FF165" s="710"/>
      <c r="FG165" s="710"/>
      <c r="FH165" s="710" t="s">
        <v>2270</v>
      </c>
      <c r="FI165" s="710">
        <v>10</v>
      </c>
      <c r="FJ165" s="710">
        <v>300</v>
      </c>
      <c r="FK165" s="710" t="s">
        <v>2271</v>
      </c>
      <c r="FL165" s="710" t="s">
        <v>2272</v>
      </c>
      <c r="FM165" s="861" t="s">
        <v>2273</v>
      </c>
      <c r="FN165" s="710"/>
      <c r="FO165" s="710"/>
      <c r="FP165" s="710"/>
    </row>
    <row r="166" spans="2:172" ht="105.5" customHeight="1">
      <c r="B166" s="850" t="s">
        <v>5315</v>
      </c>
      <c r="C166" s="850" t="s">
        <v>5345</v>
      </c>
      <c r="D166" s="850" t="s">
        <v>4933</v>
      </c>
      <c r="E166" s="850" t="s">
        <v>5314</v>
      </c>
      <c r="F166" s="879">
        <v>1</v>
      </c>
      <c r="G166" s="850" t="s">
        <v>4933</v>
      </c>
      <c r="I166" s="850" t="s">
        <v>5520</v>
      </c>
      <c r="J166" s="850" t="s">
        <v>5454</v>
      </c>
      <c r="K166" s="710" t="s">
        <v>260</v>
      </c>
      <c r="L166" s="710"/>
      <c r="M166" s="710" t="s">
        <v>2274</v>
      </c>
      <c r="N166" s="710" t="s">
        <v>2275</v>
      </c>
      <c r="O166" s="895">
        <v>2010</v>
      </c>
      <c r="P166" s="896">
        <v>43565</v>
      </c>
      <c r="Q166" s="896">
        <v>43742</v>
      </c>
      <c r="R166" s="712">
        <f t="shared" si="65"/>
        <v>177</v>
      </c>
      <c r="S166" s="710" t="s">
        <v>2276</v>
      </c>
      <c r="T166" s="710" t="s">
        <v>2277</v>
      </c>
      <c r="U166" s="710" t="s">
        <v>2278</v>
      </c>
      <c r="V166" s="710"/>
      <c r="W166" s="710"/>
      <c r="X166" s="710"/>
      <c r="Y166" s="710"/>
      <c r="Z166" s="710" t="s">
        <v>2279</v>
      </c>
      <c r="AA166" s="710" t="s">
        <v>2280</v>
      </c>
      <c r="AB166" s="710"/>
      <c r="AC166" s="710"/>
      <c r="AD166" s="710" t="s">
        <v>2281</v>
      </c>
      <c r="AE166" s="710" t="s">
        <v>2282</v>
      </c>
      <c r="AF166" s="710" t="s">
        <v>2283</v>
      </c>
      <c r="AG166" s="710" t="s">
        <v>2284</v>
      </c>
      <c r="AH166" s="898">
        <v>53.366</v>
      </c>
      <c r="AI166" s="868">
        <f t="shared" si="47"/>
        <v>53.366</v>
      </c>
      <c r="AJ166" s="867">
        <f t="shared" si="48"/>
        <v>0</v>
      </c>
      <c r="AK166" s="898">
        <v>19.899999999999999</v>
      </c>
      <c r="AL166" s="899">
        <v>0.373</v>
      </c>
      <c r="AM166" s="900">
        <v>6.9999999999999994E-5</v>
      </c>
      <c r="AN166" s="869">
        <f t="shared" si="49"/>
        <v>0.37289660083199039</v>
      </c>
      <c r="AO166" s="869">
        <f t="shared" si="50"/>
        <v>1.0339916800961024E-4</v>
      </c>
      <c r="AP166" s="900"/>
      <c r="AQ166" s="900"/>
      <c r="AR166" s="900"/>
      <c r="AS166" s="869">
        <f t="shared" si="51"/>
        <v>0</v>
      </c>
      <c r="AT166" s="869">
        <f t="shared" si="52"/>
        <v>0</v>
      </c>
      <c r="AU166" s="898"/>
      <c r="AV166" s="899"/>
      <c r="AW166" s="869">
        <f t="shared" si="53"/>
        <v>0</v>
      </c>
      <c r="AX166" s="869">
        <f t="shared" si="54"/>
        <v>0</v>
      </c>
      <c r="AY166" s="898"/>
      <c r="AZ166" s="899"/>
      <c r="BA166" s="869">
        <f t="shared" si="55"/>
        <v>0</v>
      </c>
      <c r="BB166" s="869">
        <f t="shared" si="56"/>
        <v>0</v>
      </c>
      <c r="BC166" s="898">
        <v>33.466000000000001</v>
      </c>
      <c r="BD166" s="899">
        <v>0.627</v>
      </c>
      <c r="BE166" s="869">
        <f t="shared" si="57"/>
        <v>0.62710339916800961</v>
      </c>
      <c r="BF166" s="869">
        <f t="shared" si="58"/>
        <v>-1.0339916800961024E-4</v>
      </c>
      <c r="BG166" s="898"/>
      <c r="BH166" s="899"/>
      <c r="BI166" s="710"/>
      <c r="BJ166" s="710"/>
      <c r="BK166" s="710"/>
      <c r="BL166" s="714">
        <f t="shared" si="59"/>
        <v>0</v>
      </c>
      <c r="BM166" s="869">
        <f t="shared" si="60"/>
        <v>0</v>
      </c>
      <c r="BN166" s="898"/>
      <c r="BO166" s="899"/>
      <c r="BP166" s="869">
        <f t="shared" si="61"/>
        <v>0</v>
      </c>
      <c r="BQ166" s="869">
        <f t="shared" si="62"/>
        <v>0</v>
      </c>
      <c r="BR166" s="898">
        <v>19.899999999999999</v>
      </c>
      <c r="BS166" s="900">
        <v>6.0000000000000002E-5</v>
      </c>
      <c r="BT166" s="900"/>
      <c r="BU166" s="900"/>
      <c r="BV166" s="901">
        <v>181</v>
      </c>
      <c r="BW166" s="901">
        <v>154</v>
      </c>
      <c r="BX166" s="901">
        <v>79</v>
      </c>
      <c r="BY166" s="870"/>
      <c r="BZ166" s="870"/>
      <c r="CA166" s="870"/>
      <c r="CB166" s="901"/>
      <c r="CC166" s="901"/>
      <c r="CD166" s="901"/>
      <c r="CE166" s="901">
        <v>14</v>
      </c>
      <c r="CF166" s="901">
        <v>12</v>
      </c>
      <c r="CG166" s="901">
        <v>14</v>
      </c>
      <c r="CH166" s="901"/>
      <c r="CI166" s="901"/>
      <c r="CJ166" s="901"/>
      <c r="CK166" s="901"/>
      <c r="CL166" s="901"/>
      <c r="CM166" s="901"/>
      <c r="CN166" s="901"/>
      <c r="CO166" s="901"/>
      <c r="CP166" s="901"/>
      <c r="CQ166" s="901">
        <v>15</v>
      </c>
      <c r="CR166" s="901">
        <v>24</v>
      </c>
      <c r="CS166" s="901">
        <v>79</v>
      </c>
      <c r="CT166" s="871">
        <f t="shared" si="63"/>
        <v>79</v>
      </c>
      <c r="CU166" s="871">
        <f t="shared" si="64"/>
        <v>0</v>
      </c>
      <c r="CV166" s="942">
        <v>3000</v>
      </c>
      <c r="CW166" s="710" t="s">
        <v>2285</v>
      </c>
      <c r="CX166" s="710"/>
      <c r="CY166" s="899">
        <v>0.77</v>
      </c>
      <c r="CZ166" s="710"/>
      <c r="DA166" s="710"/>
      <c r="DB166" s="710"/>
      <c r="DC166" s="710" t="s">
        <v>279</v>
      </c>
      <c r="DD166" s="710"/>
      <c r="DE166" s="710"/>
      <c r="DF166" s="901"/>
      <c r="DG166" s="901"/>
      <c r="DH166" s="901">
        <v>5</v>
      </c>
      <c r="DI166" s="710" t="s">
        <v>279</v>
      </c>
      <c r="DJ166" s="710"/>
      <c r="DK166" s="901"/>
      <c r="DL166" s="710" t="s">
        <v>279</v>
      </c>
      <c r="DM166" s="710"/>
      <c r="DN166" s="901"/>
      <c r="DO166" s="710" t="s">
        <v>279</v>
      </c>
      <c r="DP166" s="710"/>
      <c r="DQ166" s="901"/>
      <c r="DR166" s="710" t="s">
        <v>279</v>
      </c>
      <c r="DS166" s="710"/>
      <c r="DT166" s="901"/>
      <c r="DU166" s="710" t="s">
        <v>279</v>
      </c>
      <c r="DV166" s="710"/>
      <c r="DW166" s="901"/>
      <c r="DX166" s="710" t="s">
        <v>279</v>
      </c>
      <c r="DY166" s="710"/>
      <c r="DZ166" s="901"/>
      <c r="EA166" s="710" t="s">
        <v>279</v>
      </c>
      <c r="EB166" s="710"/>
      <c r="EC166" s="901"/>
      <c r="ED166" s="710" t="s">
        <v>279</v>
      </c>
      <c r="EE166" s="710"/>
      <c r="EF166" s="901"/>
      <c r="EG166" s="710" t="s">
        <v>279</v>
      </c>
      <c r="EH166" s="710"/>
      <c r="EI166" s="901"/>
      <c r="EJ166" s="710" t="s">
        <v>279</v>
      </c>
      <c r="EK166" s="710"/>
      <c r="EL166" s="901"/>
      <c r="EM166" s="710" t="s">
        <v>279</v>
      </c>
      <c r="EN166" s="710"/>
      <c r="EO166" s="901"/>
      <c r="EP166" s="710" t="s">
        <v>279</v>
      </c>
      <c r="EQ166" s="710"/>
      <c r="ER166" s="901"/>
      <c r="ES166" s="710" t="s">
        <v>278</v>
      </c>
      <c r="ET166" s="710" t="s">
        <v>2286</v>
      </c>
      <c r="EU166" s="901">
        <v>67</v>
      </c>
      <c r="EV166" s="904">
        <v>1</v>
      </c>
      <c r="EW166" s="710"/>
      <c r="EX166" s="860">
        <v>36</v>
      </c>
      <c r="EY166" s="710" t="s">
        <v>279</v>
      </c>
      <c r="EZ166" s="710"/>
      <c r="FA166" s="710" t="s">
        <v>279</v>
      </c>
      <c r="FB166" s="710"/>
      <c r="FC166" s="710" t="s">
        <v>2287</v>
      </c>
      <c r="FD166" s="710" t="s">
        <v>2288</v>
      </c>
      <c r="FE166" s="710"/>
      <c r="FF166" s="710" t="s">
        <v>2289</v>
      </c>
      <c r="FG166" s="710"/>
      <c r="FH166" s="710" t="s">
        <v>2290</v>
      </c>
      <c r="FI166" s="710"/>
      <c r="FJ166" s="861"/>
      <c r="FK166" s="710" t="s">
        <v>2291</v>
      </c>
      <c r="FL166" s="710" t="s">
        <v>2292</v>
      </c>
      <c r="FM166" s="861" t="s">
        <v>2293</v>
      </c>
      <c r="FN166" s="710" t="s">
        <v>2294</v>
      </c>
      <c r="FO166" s="710" t="s">
        <v>2295</v>
      </c>
      <c r="FP166" s="861" t="s">
        <v>2296</v>
      </c>
    </row>
    <row r="167" spans="2:172" ht="90.5" customHeight="1">
      <c r="B167" s="850" t="s">
        <v>5315</v>
      </c>
      <c r="C167" s="850" t="s">
        <v>5345</v>
      </c>
      <c r="D167" s="850" t="s">
        <v>4933</v>
      </c>
      <c r="E167" s="850" t="s">
        <v>5314</v>
      </c>
      <c r="F167" s="879">
        <v>1</v>
      </c>
      <c r="G167" s="850" t="s">
        <v>4933</v>
      </c>
      <c r="I167" s="850" t="s">
        <v>5520</v>
      </c>
      <c r="J167" s="850" t="s">
        <v>5454</v>
      </c>
      <c r="K167" s="710" t="s">
        <v>260</v>
      </c>
      <c r="L167" s="710"/>
      <c r="M167" s="710" t="s">
        <v>2297</v>
      </c>
      <c r="N167" s="710" t="s">
        <v>2298</v>
      </c>
      <c r="O167" s="895">
        <v>2017</v>
      </c>
      <c r="P167" s="939">
        <v>43661</v>
      </c>
      <c r="Q167" s="939">
        <v>43700</v>
      </c>
      <c r="R167" s="712">
        <f t="shared" si="65"/>
        <v>39</v>
      </c>
      <c r="S167" s="710" t="s">
        <v>2276</v>
      </c>
      <c r="T167" s="710" t="s">
        <v>2277</v>
      </c>
      <c r="U167" s="710" t="s">
        <v>2278</v>
      </c>
      <c r="V167" s="710"/>
      <c r="W167" s="710"/>
      <c r="X167" s="710"/>
      <c r="Y167" s="710"/>
      <c r="Z167" s="710" t="s">
        <v>2299</v>
      </c>
      <c r="AA167" s="710" t="s">
        <v>2300</v>
      </c>
      <c r="AB167" s="710"/>
      <c r="AC167" s="710"/>
      <c r="AD167" s="710" t="s">
        <v>2301</v>
      </c>
      <c r="AE167" s="710" t="s">
        <v>2301</v>
      </c>
      <c r="AF167" s="710" t="s">
        <v>454</v>
      </c>
      <c r="AG167" s="710" t="s">
        <v>2302</v>
      </c>
      <c r="AH167" s="983">
        <v>35</v>
      </c>
      <c r="AI167" s="868">
        <f t="shared" si="47"/>
        <v>35</v>
      </c>
      <c r="AJ167" s="867">
        <f t="shared" si="48"/>
        <v>0</v>
      </c>
      <c r="AK167" s="983">
        <v>35</v>
      </c>
      <c r="AL167" s="904">
        <v>1</v>
      </c>
      <c r="AM167" s="711" t="s">
        <v>2303</v>
      </c>
      <c r="AN167" s="869">
        <f t="shared" si="49"/>
        <v>1</v>
      </c>
      <c r="AO167" s="869">
        <f t="shared" si="50"/>
        <v>0</v>
      </c>
      <c r="AP167" s="711"/>
      <c r="AQ167" s="711"/>
      <c r="AR167" s="711"/>
      <c r="AS167" s="869">
        <f t="shared" si="51"/>
        <v>0</v>
      </c>
      <c r="AT167" s="869">
        <f t="shared" si="52"/>
        <v>0</v>
      </c>
      <c r="AU167" s="898"/>
      <c r="AV167" s="899"/>
      <c r="AW167" s="869">
        <f t="shared" si="53"/>
        <v>0</v>
      </c>
      <c r="AX167" s="869">
        <f t="shared" si="54"/>
        <v>0</v>
      </c>
      <c r="AY167" s="898"/>
      <c r="AZ167" s="899"/>
      <c r="BA167" s="869">
        <f t="shared" si="55"/>
        <v>0</v>
      </c>
      <c r="BB167" s="869">
        <f t="shared" si="56"/>
        <v>0</v>
      </c>
      <c r="BC167" s="898"/>
      <c r="BD167" s="899"/>
      <c r="BE167" s="869">
        <f t="shared" si="57"/>
        <v>0</v>
      </c>
      <c r="BF167" s="869">
        <f t="shared" si="58"/>
        <v>0</v>
      </c>
      <c r="BG167" s="898"/>
      <c r="BH167" s="899"/>
      <c r="BI167" s="710"/>
      <c r="BJ167" s="710"/>
      <c r="BK167" s="710"/>
      <c r="BL167" s="714">
        <f t="shared" si="59"/>
        <v>0</v>
      </c>
      <c r="BM167" s="869">
        <f t="shared" si="60"/>
        <v>0</v>
      </c>
      <c r="BN167" s="898"/>
      <c r="BO167" s="899"/>
      <c r="BP167" s="869">
        <f t="shared" si="61"/>
        <v>0</v>
      </c>
      <c r="BQ167" s="869">
        <f t="shared" si="62"/>
        <v>0</v>
      </c>
      <c r="BR167" s="898">
        <v>0</v>
      </c>
      <c r="BS167" s="899">
        <v>0</v>
      </c>
      <c r="BT167" s="899"/>
      <c r="BU167" s="899"/>
      <c r="BV167" s="901">
        <v>232</v>
      </c>
      <c r="BW167" s="901">
        <v>229</v>
      </c>
      <c r="BX167" s="901">
        <v>131</v>
      </c>
      <c r="BY167" s="901">
        <v>0</v>
      </c>
      <c r="BZ167" s="901">
        <v>0</v>
      </c>
      <c r="CA167" s="901">
        <v>0</v>
      </c>
      <c r="CB167" s="901">
        <v>0</v>
      </c>
      <c r="CC167" s="901">
        <v>0</v>
      </c>
      <c r="CD167" s="901">
        <v>2</v>
      </c>
      <c r="CE167" s="901">
        <v>4</v>
      </c>
      <c r="CF167" s="901">
        <v>13</v>
      </c>
      <c r="CG167" s="901">
        <v>6</v>
      </c>
      <c r="CH167" s="901">
        <v>2</v>
      </c>
      <c r="CI167" s="901">
        <v>1</v>
      </c>
      <c r="CJ167" s="901">
        <v>2</v>
      </c>
      <c r="CK167" s="901">
        <v>0</v>
      </c>
      <c r="CL167" s="901">
        <v>3</v>
      </c>
      <c r="CM167" s="901">
        <v>24</v>
      </c>
      <c r="CN167" s="901">
        <v>0</v>
      </c>
      <c r="CO167" s="901">
        <v>3</v>
      </c>
      <c r="CP167" s="901">
        <v>1</v>
      </c>
      <c r="CQ167" s="901">
        <v>14</v>
      </c>
      <c r="CR167" s="901">
        <v>56</v>
      </c>
      <c r="CS167" s="902">
        <f>SUM(BY167:CR167)</f>
        <v>131</v>
      </c>
      <c r="CT167" s="871">
        <f t="shared" si="63"/>
        <v>131</v>
      </c>
      <c r="CU167" s="871">
        <f t="shared" si="64"/>
        <v>0</v>
      </c>
      <c r="CV167" s="942">
        <v>3695.23</v>
      </c>
      <c r="CW167" s="710" t="s">
        <v>2285</v>
      </c>
      <c r="CX167" s="710"/>
      <c r="CY167" s="710">
        <v>94.7</v>
      </c>
      <c r="CZ167" s="899"/>
      <c r="DA167" s="899"/>
      <c r="DB167" s="899"/>
      <c r="DC167" s="710"/>
      <c r="DD167" s="710"/>
      <c r="DE167" s="710"/>
      <c r="DF167" s="901"/>
      <c r="DG167" s="901"/>
      <c r="DH167" s="901"/>
      <c r="DI167" s="710"/>
      <c r="DJ167" s="710"/>
      <c r="DK167" s="901"/>
      <c r="DL167" s="710"/>
      <c r="DM167" s="710"/>
      <c r="DN167" s="901"/>
      <c r="DO167" s="710"/>
      <c r="DP167" s="710"/>
      <c r="DQ167" s="901"/>
      <c r="DR167" s="710"/>
      <c r="DS167" s="710"/>
      <c r="DT167" s="901"/>
      <c r="DU167" s="710"/>
      <c r="DV167" s="710"/>
      <c r="DW167" s="901"/>
      <c r="DX167" s="710"/>
      <c r="DY167" s="710"/>
      <c r="DZ167" s="901"/>
      <c r="EA167" s="710" t="s">
        <v>279</v>
      </c>
      <c r="EB167" s="710"/>
      <c r="EC167" s="901"/>
      <c r="ED167" s="710" t="s">
        <v>279</v>
      </c>
      <c r="EE167" s="710"/>
      <c r="EF167" s="901"/>
      <c r="EG167" s="710" t="s">
        <v>279</v>
      </c>
      <c r="EH167" s="710"/>
      <c r="EI167" s="901"/>
      <c r="EJ167" s="710" t="s">
        <v>279</v>
      </c>
      <c r="EK167" s="710"/>
      <c r="EL167" s="901"/>
      <c r="EM167" s="710" t="s">
        <v>279</v>
      </c>
      <c r="EN167" s="710"/>
      <c r="EO167" s="901"/>
      <c r="EP167" s="710" t="s">
        <v>279</v>
      </c>
      <c r="EQ167" s="710"/>
      <c r="ER167" s="901"/>
      <c r="ES167" s="710" t="s">
        <v>278</v>
      </c>
      <c r="ET167" s="710" t="s">
        <v>2304</v>
      </c>
      <c r="EU167" s="901">
        <v>39</v>
      </c>
      <c r="EV167" s="710" t="s">
        <v>2305</v>
      </c>
      <c r="EW167" s="710"/>
      <c r="EX167" s="710" t="s">
        <v>2306</v>
      </c>
      <c r="EY167" s="710" t="s">
        <v>279</v>
      </c>
      <c r="EZ167" s="710"/>
      <c r="FA167" s="710"/>
      <c r="FB167" s="710"/>
      <c r="FC167" s="861" t="s">
        <v>2307</v>
      </c>
      <c r="FD167" s="710"/>
      <c r="FE167" s="710"/>
      <c r="FF167" s="710"/>
      <c r="FG167" s="710"/>
      <c r="FH167" s="710"/>
      <c r="FI167" s="710"/>
      <c r="FJ167" s="710"/>
      <c r="FK167" s="710" t="s">
        <v>2308</v>
      </c>
      <c r="FL167" s="710" t="s">
        <v>2309</v>
      </c>
      <c r="FM167" s="861" t="s">
        <v>2310</v>
      </c>
      <c r="FN167" s="710" t="s">
        <v>2294</v>
      </c>
      <c r="FO167" s="710" t="s">
        <v>2295</v>
      </c>
      <c r="FP167" s="861" t="s">
        <v>2296</v>
      </c>
    </row>
    <row r="168" spans="2:172" ht="117" customHeight="1">
      <c r="B168" s="850" t="s">
        <v>5313</v>
      </c>
      <c r="C168" s="863"/>
      <c r="D168" s="850" t="s">
        <v>4933</v>
      </c>
      <c r="E168" s="850" t="s">
        <v>5314</v>
      </c>
      <c r="F168" s="879">
        <v>1</v>
      </c>
      <c r="G168" s="850" t="s">
        <v>4933</v>
      </c>
      <c r="I168" s="850" t="s">
        <v>5525</v>
      </c>
      <c r="J168" s="850" t="s">
        <v>5455</v>
      </c>
      <c r="K168" s="710" t="s">
        <v>261</v>
      </c>
      <c r="L168" s="710"/>
      <c r="M168" s="710" t="s">
        <v>1527</v>
      </c>
      <c r="N168" s="710" t="s">
        <v>1528</v>
      </c>
      <c r="O168" s="895">
        <v>2013</v>
      </c>
      <c r="P168" s="896">
        <v>43374</v>
      </c>
      <c r="Q168" s="896">
        <v>43830</v>
      </c>
      <c r="R168" s="712">
        <f t="shared" si="65"/>
        <v>456</v>
      </c>
      <c r="S168" s="710" t="s">
        <v>1529</v>
      </c>
      <c r="T168" s="710" t="s">
        <v>1530</v>
      </c>
      <c r="U168" s="710"/>
      <c r="V168" s="710"/>
      <c r="W168" s="710"/>
      <c r="X168" s="710" t="s">
        <v>1531</v>
      </c>
      <c r="Y168" s="710"/>
      <c r="Z168" s="710"/>
      <c r="AA168" s="710"/>
      <c r="AB168" s="710"/>
      <c r="AC168" s="710"/>
      <c r="AD168" s="710" t="s">
        <v>1532</v>
      </c>
      <c r="AE168" s="710" t="s">
        <v>1532</v>
      </c>
      <c r="AF168" s="710" t="s">
        <v>1533</v>
      </c>
      <c r="AG168" s="898" t="s">
        <v>1534</v>
      </c>
      <c r="AH168" s="714">
        <v>224.2</v>
      </c>
      <c r="AI168" s="868">
        <f t="shared" si="47"/>
        <v>224.2</v>
      </c>
      <c r="AJ168" s="875">
        <f t="shared" si="48"/>
        <v>0</v>
      </c>
      <c r="AK168" s="898">
        <v>117.6</v>
      </c>
      <c r="AL168" s="899">
        <f>AK168/AH168</f>
        <v>0.52453166815343444</v>
      </c>
      <c r="AM168" s="899">
        <v>1.8E-3</v>
      </c>
      <c r="AN168" s="869">
        <f t="shared" si="49"/>
        <v>0.52453166815343444</v>
      </c>
      <c r="AO168" s="869">
        <f t="shared" si="50"/>
        <v>0</v>
      </c>
      <c r="AP168" s="899"/>
      <c r="AQ168" s="899"/>
      <c r="AR168" s="899"/>
      <c r="AS168" s="869">
        <f t="shared" si="51"/>
        <v>0</v>
      </c>
      <c r="AT168" s="869">
        <f t="shared" si="52"/>
        <v>0</v>
      </c>
      <c r="AU168" s="898">
        <v>71.099999999999994</v>
      </c>
      <c r="AV168" s="899">
        <f>AU168/AH168</f>
        <v>0.31712756467439784</v>
      </c>
      <c r="AW168" s="869">
        <f t="shared" si="53"/>
        <v>0.31712756467439784</v>
      </c>
      <c r="AX168" s="869">
        <f t="shared" si="54"/>
        <v>0</v>
      </c>
      <c r="AY168" s="898">
        <v>24.7</v>
      </c>
      <c r="AZ168" s="899">
        <f>AY168/AH168</f>
        <v>0.11016949152542373</v>
      </c>
      <c r="BA168" s="869">
        <f t="shared" si="55"/>
        <v>0.11016949152542373</v>
      </c>
      <c r="BB168" s="869">
        <f t="shared" si="56"/>
        <v>0</v>
      </c>
      <c r="BC168" s="898">
        <v>10.8</v>
      </c>
      <c r="BD168" s="899">
        <f>BC168/AK168</f>
        <v>9.1836734693877556E-2</v>
      </c>
      <c r="BE168" s="869">
        <f t="shared" si="57"/>
        <v>4.8171275646743984E-2</v>
      </c>
      <c r="BF168" s="869">
        <f t="shared" si="58"/>
        <v>4.3665459047133572E-2</v>
      </c>
      <c r="BG168" s="898"/>
      <c r="BH168" s="899"/>
      <c r="BI168" s="710"/>
      <c r="BJ168" s="710"/>
      <c r="BK168" s="710"/>
      <c r="BL168" s="714">
        <f t="shared" si="59"/>
        <v>0</v>
      </c>
      <c r="BM168" s="869">
        <f t="shared" si="60"/>
        <v>0</v>
      </c>
      <c r="BN168" s="898"/>
      <c r="BO168" s="899"/>
      <c r="BP168" s="869">
        <f t="shared" si="61"/>
        <v>0</v>
      </c>
      <c r="BQ168" s="869">
        <f t="shared" si="62"/>
        <v>0</v>
      </c>
      <c r="BR168" s="898">
        <v>146.80000000000001</v>
      </c>
      <c r="BS168" s="899">
        <v>2.1595119246497919E-3</v>
      </c>
      <c r="BT168" s="899"/>
      <c r="BU168" s="899"/>
      <c r="BV168" s="901">
        <v>321</v>
      </c>
      <c r="BW168" s="901">
        <v>321</v>
      </c>
      <c r="BX168" s="901">
        <v>277</v>
      </c>
      <c r="BY168" s="901">
        <v>53</v>
      </c>
      <c r="BZ168" s="901">
        <v>41</v>
      </c>
      <c r="CA168" s="901">
        <v>45</v>
      </c>
      <c r="CB168" s="901">
        <v>0</v>
      </c>
      <c r="CC168" s="901">
        <v>0</v>
      </c>
      <c r="CD168" s="901"/>
      <c r="CE168" s="901"/>
      <c r="CF168" s="901">
        <v>4</v>
      </c>
      <c r="CG168" s="901">
        <v>15</v>
      </c>
      <c r="CH168" s="901">
        <v>37</v>
      </c>
      <c r="CI168" s="901">
        <v>38</v>
      </c>
      <c r="CJ168" s="901">
        <v>0</v>
      </c>
      <c r="CK168" s="901">
        <v>13</v>
      </c>
      <c r="CL168" s="901">
        <v>8</v>
      </c>
      <c r="CM168" s="901">
        <v>0</v>
      </c>
      <c r="CN168" s="901">
        <v>0</v>
      </c>
      <c r="CO168" s="901">
        <v>0</v>
      </c>
      <c r="CP168" s="901">
        <v>17</v>
      </c>
      <c r="CQ168" s="901">
        <v>0</v>
      </c>
      <c r="CR168" s="901"/>
      <c r="CS168" s="902">
        <f>SUM(BY168:CR168)</f>
        <v>271</v>
      </c>
      <c r="CT168" s="871">
        <f t="shared" si="63"/>
        <v>271</v>
      </c>
      <c r="CU168" s="871">
        <f t="shared" si="64"/>
        <v>0</v>
      </c>
      <c r="CV168" s="872">
        <v>398</v>
      </c>
      <c r="CW168" s="710" t="s">
        <v>1535</v>
      </c>
      <c r="CX168" s="710"/>
      <c r="CY168" s="899">
        <v>3.1462674437999957E-4</v>
      </c>
      <c r="CZ168" s="899"/>
      <c r="DA168" s="899"/>
      <c r="DB168" s="899"/>
      <c r="DC168" s="710" t="s">
        <v>279</v>
      </c>
      <c r="DD168" s="710"/>
      <c r="DE168" s="710"/>
      <c r="DF168" s="901"/>
      <c r="DG168" s="901"/>
      <c r="DH168" s="901">
        <v>4</v>
      </c>
      <c r="DI168" s="710" t="s">
        <v>278</v>
      </c>
      <c r="DJ168" s="710" t="s">
        <v>1536</v>
      </c>
      <c r="DK168" s="901"/>
      <c r="DL168" s="710" t="s">
        <v>278</v>
      </c>
      <c r="DM168" s="710" t="s">
        <v>1536</v>
      </c>
      <c r="DN168" s="901">
        <v>17070</v>
      </c>
      <c r="DO168" s="710" t="s">
        <v>279</v>
      </c>
      <c r="DP168" s="710"/>
      <c r="DQ168" s="901"/>
      <c r="DR168" s="710" t="s">
        <v>279</v>
      </c>
      <c r="DS168" s="710"/>
      <c r="DT168" s="901"/>
      <c r="DU168" s="710" t="s">
        <v>279</v>
      </c>
      <c r="DV168" s="710"/>
      <c r="DW168" s="901"/>
      <c r="DX168" s="710" t="s">
        <v>278</v>
      </c>
      <c r="DY168" s="710" t="s">
        <v>1537</v>
      </c>
      <c r="DZ168" s="901"/>
      <c r="EA168" s="710" t="s">
        <v>279</v>
      </c>
      <c r="EB168" s="710"/>
      <c r="EC168" s="901"/>
      <c r="ED168" s="710" t="s">
        <v>279</v>
      </c>
      <c r="EE168" s="710"/>
      <c r="EF168" s="901"/>
      <c r="EG168" s="710" t="s">
        <v>279</v>
      </c>
      <c r="EH168" s="710"/>
      <c r="EI168" s="901"/>
      <c r="EJ168" s="710" t="s">
        <v>279</v>
      </c>
      <c r="EK168" s="710"/>
      <c r="EL168" s="901"/>
      <c r="EM168" s="710" t="s">
        <v>278</v>
      </c>
      <c r="EN168" s="710" t="s">
        <v>1538</v>
      </c>
      <c r="EO168" s="901">
        <v>17</v>
      </c>
      <c r="EP168" s="710" t="s">
        <v>279</v>
      </c>
      <c r="EQ168" s="710"/>
      <c r="ER168" s="901"/>
      <c r="ES168" s="710" t="s">
        <v>279</v>
      </c>
      <c r="ET168" s="710"/>
      <c r="EU168" s="901"/>
      <c r="EV168" s="904">
        <v>1</v>
      </c>
      <c r="EW168" s="710"/>
      <c r="EX168" s="860">
        <v>153</v>
      </c>
      <c r="EY168" s="710" t="s">
        <v>279</v>
      </c>
      <c r="EZ168" s="710"/>
      <c r="FA168" s="710" t="s">
        <v>278</v>
      </c>
      <c r="FB168" s="710" t="s">
        <v>1539</v>
      </c>
      <c r="FC168" s="710" t="s">
        <v>1540</v>
      </c>
      <c r="FD168" s="710" t="s">
        <v>1541</v>
      </c>
      <c r="FE168" s="710" t="s">
        <v>1542</v>
      </c>
      <c r="FF168" s="710" t="s">
        <v>1543</v>
      </c>
      <c r="FG168" s="710" t="s">
        <v>1544</v>
      </c>
      <c r="FH168" s="710" t="s">
        <v>1545</v>
      </c>
      <c r="FI168" s="710">
        <v>5</v>
      </c>
      <c r="FJ168" s="710">
        <v>200</v>
      </c>
      <c r="FK168" s="710" t="s">
        <v>1546</v>
      </c>
      <c r="FL168" s="710" t="s">
        <v>1547</v>
      </c>
      <c r="FM168" s="940" t="s">
        <v>1548</v>
      </c>
      <c r="FN168" s="710"/>
      <c r="FO168" s="710"/>
      <c r="FP168" s="710"/>
    </row>
    <row r="169" spans="2:172" ht="85.5" customHeight="1">
      <c r="B169" s="850" t="s">
        <v>5313</v>
      </c>
      <c r="C169" s="863"/>
      <c r="D169" s="850" t="s">
        <v>4933</v>
      </c>
      <c r="E169" s="850" t="s">
        <v>5314</v>
      </c>
      <c r="F169" s="850" t="s">
        <v>5354</v>
      </c>
      <c r="G169" s="850" t="s">
        <v>4933</v>
      </c>
      <c r="I169" s="850" t="s">
        <v>5518</v>
      </c>
      <c r="J169" s="850" t="s">
        <v>5456</v>
      </c>
      <c r="K169" s="710" t="s">
        <v>262</v>
      </c>
      <c r="L169" s="710"/>
      <c r="M169" s="710" t="s">
        <v>1050</v>
      </c>
      <c r="N169" s="710" t="s">
        <v>1051</v>
      </c>
      <c r="O169" s="895">
        <v>2018</v>
      </c>
      <c r="P169" s="939">
        <v>43363</v>
      </c>
      <c r="Q169" s="939">
        <v>43830</v>
      </c>
      <c r="R169" s="712">
        <f t="shared" si="65"/>
        <v>467</v>
      </c>
      <c r="S169" s="710" t="s">
        <v>1052</v>
      </c>
      <c r="T169" s="1012" t="s">
        <v>1053</v>
      </c>
      <c r="U169" s="945" t="s">
        <v>1054</v>
      </c>
      <c r="V169" s="710" t="s">
        <v>279</v>
      </c>
      <c r="W169" s="710" t="s">
        <v>279</v>
      </c>
      <c r="X169" s="710" t="s">
        <v>279</v>
      </c>
      <c r="Y169" s="710" t="s">
        <v>279</v>
      </c>
      <c r="Z169" s="708" t="s">
        <v>1850</v>
      </c>
      <c r="AA169" s="945" t="s">
        <v>1055</v>
      </c>
      <c r="AB169" s="945"/>
      <c r="AC169" s="945"/>
      <c r="AD169" s="710" t="s">
        <v>1056</v>
      </c>
      <c r="AE169" s="710" t="s">
        <v>1056</v>
      </c>
      <c r="AF169" s="710" t="s">
        <v>277</v>
      </c>
      <c r="AG169" s="710" t="s">
        <v>1057</v>
      </c>
      <c r="AH169" s="898">
        <v>53.965803960000002</v>
      </c>
      <c r="AI169" s="868">
        <f t="shared" si="47"/>
        <v>53.965803960000002</v>
      </c>
      <c r="AJ169" s="867">
        <f t="shared" si="48"/>
        <v>0</v>
      </c>
      <c r="AK169" s="898">
        <v>39.420593400000001</v>
      </c>
      <c r="AL169" s="899">
        <f>AK169/AH169*100%</f>
        <v>0.73047356858092849</v>
      </c>
      <c r="AM169" s="954">
        <v>5.5999999999999995E-4</v>
      </c>
      <c r="AN169" s="869">
        <f t="shared" si="49"/>
        <v>0.73047356858092849</v>
      </c>
      <c r="AO169" s="869">
        <f t="shared" si="50"/>
        <v>0</v>
      </c>
      <c r="AP169" s="954"/>
      <c r="AQ169" s="954"/>
      <c r="AR169" s="954"/>
      <c r="AS169" s="869">
        <f t="shared" si="51"/>
        <v>0</v>
      </c>
      <c r="AT169" s="869">
        <f t="shared" si="52"/>
        <v>0</v>
      </c>
      <c r="AU169" s="898">
        <v>8.4418261000000001</v>
      </c>
      <c r="AV169" s="899">
        <f>AU169/AH169*100%</f>
        <v>0.1564291733012477</v>
      </c>
      <c r="AW169" s="869">
        <f t="shared" si="53"/>
        <v>0.1564291733012477</v>
      </c>
      <c r="AX169" s="869">
        <f t="shared" si="54"/>
        <v>0</v>
      </c>
      <c r="AY169" s="898">
        <v>3.81820665</v>
      </c>
      <c r="AZ169" s="899">
        <f>AY169/AH169*100%</f>
        <v>7.0752335179331216E-2</v>
      </c>
      <c r="BA169" s="869">
        <f t="shared" si="55"/>
        <v>7.0752335179331216E-2</v>
      </c>
      <c r="BB169" s="869">
        <f t="shared" si="56"/>
        <v>0</v>
      </c>
      <c r="BC169" s="898">
        <v>2.28517781</v>
      </c>
      <c r="BD169" s="899">
        <f>BC169/AH169*100%</f>
        <v>4.2344922938492617E-2</v>
      </c>
      <c r="BE169" s="869">
        <f t="shared" si="57"/>
        <v>4.2344922938492617E-2</v>
      </c>
      <c r="BF169" s="869">
        <f t="shared" si="58"/>
        <v>0</v>
      </c>
      <c r="BG169" s="898">
        <v>0</v>
      </c>
      <c r="BH169" s="899">
        <v>0</v>
      </c>
      <c r="BI169" s="710" t="s">
        <v>279</v>
      </c>
      <c r="BJ169" s="710" t="s">
        <v>279</v>
      </c>
      <c r="BK169" s="710" t="s">
        <v>279</v>
      </c>
      <c r="BL169" s="714">
        <f t="shared" si="59"/>
        <v>0</v>
      </c>
      <c r="BM169" s="869">
        <f t="shared" si="60"/>
        <v>0</v>
      </c>
      <c r="BN169" s="898"/>
      <c r="BO169" s="899">
        <v>0</v>
      </c>
      <c r="BP169" s="869">
        <f t="shared" si="61"/>
        <v>0</v>
      </c>
      <c r="BQ169" s="869">
        <f t="shared" si="62"/>
        <v>0</v>
      </c>
      <c r="BR169" s="898">
        <v>40</v>
      </c>
      <c r="BS169" s="899">
        <v>5.0000000000000001E-4</v>
      </c>
      <c r="BT169" s="899"/>
      <c r="BU169" s="899"/>
      <c r="BV169" s="901"/>
      <c r="BW169" s="901">
        <v>88</v>
      </c>
      <c r="BX169" s="955">
        <v>72</v>
      </c>
      <c r="BY169" s="901">
        <v>6</v>
      </c>
      <c r="BZ169" s="901">
        <v>4</v>
      </c>
      <c r="CA169" s="901">
        <v>1</v>
      </c>
      <c r="CB169" s="901">
        <v>0</v>
      </c>
      <c r="CC169" s="901">
        <v>0</v>
      </c>
      <c r="CD169" s="901">
        <v>10</v>
      </c>
      <c r="CE169" s="901">
        <v>0</v>
      </c>
      <c r="CF169" s="901">
        <v>3</v>
      </c>
      <c r="CG169" s="901">
        <v>8</v>
      </c>
      <c r="CH169" s="901">
        <v>0</v>
      </c>
      <c r="CI169" s="901">
        <v>16</v>
      </c>
      <c r="CJ169" s="901">
        <v>18</v>
      </c>
      <c r="CK169" s="901">
        <v>6</v>
      </c>
      <c r="CL169" s="901">
        <v>0</v>
      </c>
      <c r="CM169" s="901">
        <v>0</v>
      </c>
      <c r="CN169" s="901">
        <v>0</v>
      </c>
      <c r="CO169" s="901">
        <v>0</v>
      </c>
      <c r="CP169" s="901">
        <v>0</v>
      </c>
      <c r="CQ169" s="901">
        <v>0</v>
      </c>
      <c r="CR169" s="901">
        <v>0</v>
      </c>
      <c r="CS169" s="902">
        <f>SUM(BY169:CR169)</f>
        <v>72</v>
      </c>
      <c r="CT169" s="871">
        <f t="shared" si="63"/>
        <v>72</v>
      </c>
      <c r="CU169" s="871">
        <f t="shared" si="64"/>
        <v>0</v>
      </c>
      <c r="CV169" s="942">
        <v>98.611000000000004</v>
      </c>
      <c r="CW169" s="710" t="s">
        <v>1058</v>
      </c>
      <c r="CX169" s="710" t="s">
        <v>279</v>
      </c>
      <c r="CY169" s="954">
        <f>CV169/1077.442</f>
        <v>9.1523256008212039E-2</v>
      </c>
      <c r="CZ169" s="943" t="s">
        <v>1059</v>
      </c>
      <c r="DA169" s="943"/>
      <c r="DB169" s="943"/>
      <c r="DC169" s="710" t="s">
        <v>279</v>
      </c>
      <c r="DD169" s="710" t="s">
        <v>279</v>
      </c>
      <c r="DE169" s="710" t="s">
        <v>279</v>
      </c>
      <c r="DF169" s="901">
        <v>0</v>
      </c>
      <c r="DG169" s="901">
        <v>0</v>
      </c>
      <c r="DH169" s="901">
        <v>3</v>
      </c>
      <c r="DI169" s="710" t="s">
        <v>278</v>
      </c>
      <c r="DJ169" s="710" t="s">
        <v>1060</v>
      </c>
      <c r="DK169" s="955">
        <v>12040</v>
      </c>
      <c r="DL169" s="710" t="s">
        <v>278</v>
      </c>
      <c r="DM169" s="710" t="s">
        <v>1061</v>
      </c>
      <c r="DN169" s="955">
        <v>5656</v>
      </c>
      <c r="DO169" s="710" t="s">
        <v>279</v>
      </c>
      <c r="DP169" s="710" t="s">
        <v>279</v>
      </c>
      <c r="DQ169" s="901">
        <v>0</v>
      </c>
      <c r="DR169" s="710" t="s">
        <v>279</v>
      </c>
      <c r="DS169" s="710" t="s">
        <v>279</v>
      </c>
      <c r="DT169" s="901">
        <v>0</v>
      </c>
      <c r="DU169" s="710" t="s">
        <v>279</v>
      </c>
      <c r="DV169" s="710" t="s">
        <v>279</v>
      </c>
      <c r="DW169" s="901">
        <v>0</v>
      </c>
      <c r="DX169" s="710" t="s">
        <v>279</v>
      </c>
      <c r="DY169" s="710" t="s">
        <v>279</v>
      </c>
      <c r="DZ169" s="901">
        <v>0</v>
      </c>
      <c r="EA169" s="710" t="s">
        <v>279</v>
      </c>
      <c r="EB169" s="710" t="s">
        <v>279</v>
      </c>
      <c r="EC169" s="901">
        <v>0</v>
      </c>
      <c r="ED169" s="710" t="s">
        <v>279</v>
      </c>
      <c r="EE169" s="710" t="s">
        <v>279</v>
      </c>
      <c r="EF169" s="901">
        <v>0</v>
      </c>
      <c r="EG169" s="710" t="s">
        <v>279</v>
      </c>
      <c r="EH169" s="710" t="s">
        <v>279</v>
      </c>
      <c r="EI169" s="901">
        <v>0</v>
      </c>
      <c r="EJ169" s="710" t="s">
        <v>279</v>
      </c>
      <c r="EK169" s="710" t="s">
        <v>279</v>
      </c>
      <c r="EL169" s="901">
        <v>0</v>
      </c>
      <c r="EM169" s="710" t="s">
        <v>278</v>
      </c>
      <c r="EN169" s="710" t="s">
        <v>1062</v>
      </c>
      <c r="EO169" s="955">
        <v>9</v>
      </c>
      <c r="EP169" s="710" t="s">
        <v>278</v>
      </c>
      <c r="EQ169" s="708" t="s">
        <v>1063</v>
      </c>
      <c r="ER169" s="955">
        <v>2</v>
      </c>
      <c r="ES169" s="710" t="s">
        <v>279</v>
      </c>
      <c r="ET169" s="710" t="s">
        <v>279</v>
      </c>
      <c r="EU169" s="901">
        <v>0</v>
      </c>
      <c r="EV169" s="710" t="s">
        <v>1064</v>
      </c>
      <c r="EW169" s="710" t="s">
        <v>1065</v>
      </c>
      <c r="EX169" s="860">
        <v>51</v>
      </c>
      <c r="EY169" s="710" t="s">
        <v>279</v>
      </c>
      <c r="EZ169" s="710" t="s">
        <v>1066</v>
      </c>
      <c r="FA169" s="710" t="s">
        <v>278</v>
      </c>
      <c r="FB169" s="710" t="s">
        <v>1067</v>
      </c>
      <c r="FC169" s="945" t="s">
        <v>1068</v>
      </c>
      <c r="FD169" s="945" t="s">
        <v>1069</v>
      </c>
      <c r="FE169" s="945" t="s">
        <v>1070</v>
      </c>
      <c r="FF169" s="710" t="s">
        <v>1071</v>
      </c>
      <c r="FG169" s="994" t="s">
        <v>1072</v>
      </c>
      <c r="FH169" s="708" t="s">
        <v>1073</v>
      </c>
      <c r="FI169" s="708">
        <v>1</v>
      </c>
      <c r="FJ169" s="708">
        <v>31</v>
      </c>
      <c r="FK169" s="710" t="s">
        <v>5848</v>
      </c>
      <c r="FL169" s="710" t="s">
        <v>1074</v>
      </c>
      <c r="FM169" s="945" t="s">
        <v>1075</v>
      </c>
      <c r="FN169" s="710"/>
      <c r="FO169" s="710"/>
      <c r="FP169" s="945"/>
    </row>
    <row r="170" spans="2:172" ht="83" customHeight="1">
      <c r="B170" s="850" t="s">
        <v>5313</v>
      </c>
      <c r="C170" s="863"/>
      <c r="D170" s="850" t="s">
        <v>4933</v>
      </c>
      <c r="E170" s="850" t="s">
        <v>5314</v>
      </c>
      <c r="F170" s="879">
        <v>1</v>
      </c>
      <c r="G170" s="850" t="s">
        <v>4933</v>
      </c>
      <c r="I170" s="850" t="s">
        <v>5525</v>
      </c>
      <c r="J170" s="850" t="s">
        <v>5457</v>
      </c>
      <c r="K170" s="710" t="s">
        <v>263</v>
      </c>
      <c r="L170" s="710"/>
      <c r="M170" s="710" t="s">
        <v>626</v>
      </c>
      <c r="N170" s="710" t="s">
        <v>626</v>
      </c>
      <c r="O170" s="895">
        <v>2013</v>
      </c>
      <c r="P170" s="896">
        <v>43474</v>
      </c>
      <c r="Q170" s="896">
        <v>43891</v>
      </c>
      <c r="R170" s="712">
        <f t="shared" si="65"/>
        <v>417</v>
      </c>
      <c r="S170" s="710"/>
      <c r="T170" s="710" t="s">
        <v>2158</v>
      </c>
      <c r="U170" s="861" t="s">
        <v>2159</v>
      </c>
      <c r="V170" s="710"/>
      <c r="W170" s="710"/>
      <c r="X170" s="710"/>
      <c r="Y170" s="710"/>
      <c r="Z170" s="710" t="s">
        <v>2160</v>
      </c>
      <c r="AA170" s="861" t="s">
        <v>2161</v>
      </c>
      <c r="AB170" s="861"/>
      <c r="AC170" s="861"/>
      <c r="AD170" s="710" t="s">
        <v>2162</v>
      </c>
      <c r="AE170" s="710" t="s">
        <v>2163</v>
      </c>
      <c r="AF170" s="710" t="s">
        <v>277</v>
      </c>
      <c r="AG170" s="710" t="s">
        <v>2164</v>
      </c>
      <c r="AH170" s="898">
        <v>698</v>
      </c>
      <c r="AI170" s="868">
        <f t="shared" si="47"/>
        <v>698</v>
      </c>
      <c r="AJ170" s="867">
        <f t="shared" si="48"/>
        <v>0</v>
      </c>
      <c r="AK170" s="898">
        <v>448</v>
      </c>
      <c r="AL170" s="899">
        <v>0.64</v>
      </c>
      <c r="AM170" s="899">
        <v>6.4999999999999997E-3</v>
      </c>
      <c r="AN170" s="869">
        <f t="shared" si="49"/>
        <v>0.6418338108882522</v>
      </c>
      <c r="AO170" s="869">
        <f t="shared" si="50"/>
        <v>-1.8338108882521853E-3</v>
      </c>
      <c r="AP170" s="899"/>
      <c r="AQ170" s="899"/>
      <c r="AR170" s="899"/>
      <c r="AS170" s="869">
        <f t="shared" si="51"/>
        <v>0</v>
      </c>
      <c r="AT170" s="869">
        <f t="shared" si="52"/>
        <v>0</v>
      </c>
      <c r="AU170" s="898">
        <v>130</v>
      </c>
      <c r="AV170" s="899">
        <v>0.19</v>
      </c>
      <c r="AW170" s="869">
        <f t="shared" si="53"/>
        <v>0.18624641833810887</v>
      </c>
      <c r="AX170" s="869">
        <f t="shared" si="54"/>
        <v>3.7535816618911311E-3</v>
      </c>
      <c r="AY170" s="898">
        <v>120</v>
      </c>
      <c r="AZ170" s="899">
        <v>0.17</v>
      </c>
      <c r="BA170" s="869">
        <f t="shared" si="55"/>
        <v>0.17191977077363896</v>
      </c>
      <c r="BB170" s="869">
        <f t="shared" si="56"/>
        <v>-1.9197707736389458E-3</v>
      </c>
      <c r="BC170" s="898"/>
      <c r="BD170" s="899"/>
      <c r="BE170" s="869">
        <f t="shared" si="57"/>
        <v>0</v>
      </c>
      <c r="BF170" s="869">
        <f t="shared" si="58"/>
        <v>0</v>
      </c>
      <c r="BG170" s="898"/>
      <c r="BH170" s="899"/>
      <c r="BI170" s="710"/>
      <c r="BJ170" s="710"/>
      <c r="BK170" s="710"/>
      <c r="BL170" s="714">
        <f t="shared" si="59"/>
        <v>0</v>
      </c>
      <c r="BM170" s="869">
        <f t="shared" si="60"/>
        <v>0</v>
      </c>
      <c r="BN170" s="898"/>
      <c r="BO170" s="899"/>
      <c r="BP170" s="869">
        <f t="shared" si="61"/>
        <v>0</v>
      </c>
      <c r="BQ170" s="869">
        <f t="shared" si="62"/>
        <v>0</v>
      </c>
      <c r="BR170" s="860">
        <v>406.7</v>
      </c>
      <c r="BS170" s="899">
        <v>5.3E-3</v>
      </c>
      <c r="BT170" s="899"/>
      <c r="BU170" s="899"/>
      <c r="BV170" s="901">
        <v>1278</v>
      </c>
      <c r="BW170" s="901">
        <v>1278</v>
      </c>
      <c r="BX170" s="901">
        <v>506</v>
      </c>
      <c r="BY170" s="901"/>
      <c r="BZ170" s="901">
        <v>136</v>
      </c>
      <c r="CA170" s="901"/>
      <c r="CB170" s="901"/>
      <c r="CC170" s="901"/>
      <c r="CD170" s="901"/>
      <c r="CE170" s="901">
        <v>177</v>
      </c>
      <c r="CF170" s="901">
        <v>20</v>
      </c>
      <c r="CG170" s="901">
        <v>10</v>
      </c>
      <c r="CH170" s="901">
        <v>7</v>
      </c>
      <c r="CI170" s="901">
        <v>11</v>
      </c>
      <c r="CJ170" s="901">
        <v>22</v>
      </c>
      <c r="CK170" s="901"/>
      <c r="CL170" s="901"/>
      <c r="CM170" s="901"/>
      <c r="CN170" s="901">
        <v>123</v>
      </c>
      <c r="CO170" s="901"/>
      <c r="CP170" s="901"/>
      <c r="CQ170" s="901"/>
      <c r="CR170" s="901"/>
      <c r="CS170" s="902">
        <f>SUM(BY170:CR170)</f>
        <v>506</v>
      </c>
      <c r="CT170" s="871">
        <f t="shared" si="63"/>
        <v>506</v>
      </c>
      <c r="CU170" s="871">
        <f t="shared" si="64"/>
        <v>0</v>
      </c>
      <c r="CV170" s="942">
        <v>276</v>
      </c>
      <c r="CW170" s="710"/>
      <c r="CX170" s="931" t="s">
        <v>2165</v>
      </c>
      <c r="CY170" s="710">
        <v>19</v>
      </c>
      <c r="CZ170" s="1013" t="s">
        <v>2166</v>
      </c>
      <c r="DA170" s="1013"/>
      <c r="DB170" s="1013"/>
      <c r="DC170" s="710" t="s">
        <v>279</v>
      </c>
      <c r="DD170" s="710"/>
      <c r="DE170" s="710"/>
      <c r="DF170" s="901"/>
      <c r="DG170" s="901"/>
      <c r="DH170" s="901"/>
      <c r="DI170" s="710" t="s">
        <v>279</v>
      </c>
      <c r="DJ170" s="710"/>
      <c r="DK170" s="901"/>
      <c r="DL170" s="710" t="s">
        <v>579</v>
      </c>
      <c r="DM170" s="710" t="s">
        <v>2167</v>
      </c>
      <c r="DN170" s="901">
        <v>167000</v>
      </c>
      <c r="DO170" s="710" t="s">
        <v>279</v>
      </c>
      <c r="DP170" s="710"/>
      <c r="DQ170" s="901"/>
      <c r="DR170" s="710" t="s">
        <v>279</v>
      </c>
      <c r="DS170" s="710"/>
      <c r="DT170" s="901"/>
      <c r="DU170" s="710" t="s">
        <v>279</v>
      </c>
      <c r="DV170" s="710"/>
      <c r="DW170" s="901"/>
      <c r="DX170" s="710" t="s">
        <v>279</v>
      </c>
      <c r="DY170" s="710"/>
      <c r="DZ170" s="901"/>
      <c r="EA170" s="710" t="s">
        <v>579</v>
      </c>
      <c r="EB170" s="710" t="s">
        <v>2168</v>
      </c>
      <c r="EC170" s="901">
        <v>395000</v>
      </c>
      <c r="ED170" s="710" t="s">
        <v>279</v>
      </c>
      <c r="EE170" s="710"/>
      <c r="EF170" s="901"/>
      <c r="EG170" s="710" t="s">
        <v>279</v>
      </c>
      <c r="EH170" s="710"/>
      <c r="EI170" s="901"/>
      <c r="EJ170" s="710" t="s">
        <v>279</v>
      </c>
      <c r="EK170" s="710"/>
      <c r="EL170" s="901"/>
      <c r="EM170" s="710" t="s">
        <v>579</v>
      </c>
      <c r="EN170" s="710" t="s">
        <v>2169</v>
      </c>
      <c r="EO170" s="901">
        <v>11</v>
      </c>
      <c r="EP170" s="710" t="s">
        <v>579</v>
      </c>
      <c r="EQ170" s="710" t="s">
        <v>2170</v>
      </c>
      <c r="ER170" s="901"/>
      <c r="ES170" s="710" t="s">
        <v>279</v>
      </c>
      <c r="ET170" s="710"/>
      <c r="EU170" s="901"/>
      <c r="EV170" s="904">
        <v>1</v>
      </c>
      <c r="EW170" s="710"/>
      <c r="EX170" s="860">
        <v>26</v>
      </c>
      <c r="EY170" s="710" t="s">
        <v>579</v>
      </c>
      <c r="EZ170" s="710" t="s">
        <v>2171</v>
      </c>
      <c r="FA170" s="710" t="s">
        <v>279</v>
      </c>
      <c r="FB170" s="710"/>
      <c r="FC170" s="861" t="s">
        <v>2172</v>
      </c>
      <c r="FD170" s="710"/>
      <c r="FE170" s="861" t="s">
        <v>2173</v>
      </c>
      <c r="FF170" s="710" t="s">
        <v>2174</v>
      </c>
      <c r="FG170" s="710" t="s">
        <v>2175</v>
      </c>
      <c r="FH170" s="710"/>
      <c r="FI170" s="710"/>
      <c r="FJ170" s="710"/>
      <c r="FK170" s="710" t="s">
        <v>2176</v>
      </c>
      <c r="FL170" s="710" t="s">
        <v>2177</v>
      </c>
      <c r="FM170" s="861" t="s">
        <v>2178</v>
      </c>
      <c r="FN170" s="710" t="s">
        <v>2179</v>
      </c>
      <c r="FO170" s="710" t="s">
        <v>2180</v>
      </c>
      <c r="FP170" s="861" t="s">
        <v>2181</v>
      </c>
    </row>
    <row r="171" spans="2:172" ht="55" customHeight="1">
      <c r="B171" s="863"/>
      <c r="C171" s="863"/>
      <c r="D171" s="863"/>
      <c r="E171" s="863"/>
      <c r="F171" s="863"/>
      <c r="I171" s="850" t="s">
        <v>5518</v>
      </c>
      <c r="J171" s="850" t="s">
        <v>5458</v>
      </c>
      <c r="K171" s="710" t="s">
        <v>264</v>
      </c>
      <c r="L171" s="710"/>
      <c r="M171" s="710"/>
      <c r="N171" s="710"/>
      <c r="O171" s="895"/>
      <c r="P171" s="896"/>
      <c r="Q171" s="896"/>
      <c r="R171" s="712">
        <f t="shared" si="65"/>
        <v>0</v>
      </c>
      <c r="S171" s="710"/>
      <c r="T171" s="710"/>
      <c r="U171" s="710"/>
      <c r="V171" s="710"/>
      <c r="W171" s="710"/>
      <c r="X171" s="710"/>
      <c r="Y171" s="710"/>
      <c r="Z171" s="710"/>
      <c r="AA171" s="710"/>
      <c r="AB171" s="710"/>
      <c r="AC171" s="710"/>
      <c r="AD171" s="710"/>
      <c r="AE171" s="710"/>
      <c r="AF171" s="710"/>
      <c r="AG171" s="710"/>
      <c r="AH171" s="898"/>
      <c r="AI171" s="868">
        <f t="shared" si="47"/>
        <v>0</v>
      </c>
      <c r="AJ171" s="867">
        <f t="shared" si="48"/>
        <v>0</v>
      </c>
      <c r="AK171" s="898"/>
      <c r="AL171" s="899"/>
      <c r="AM171" s="899"/>
      <c r="AN171" s="869" t="e">
        <f t="shared" si="49"/>
        <v>#DIV/0!</v>
      </c>
      <c r="AO171" s="869" t="e">
        <f t="shared" si="50"/>
        <v>#DIV/0!</v>
      </c>
      <c r="AP171" s="899"/>
      <c r="AQ171" s="899"/>
      <c r="AR171" s="899"/>
      <c r="AS171" s="869" t="e">
        <f t="shared" si="51"/>
        <v>#DIV/0!</v>
      </c>
      <c r="AT171" s="869" t="e">
        <f t="shared" si="52"/>
        <v>#DIV/0!</v>
      </c>
      <c r="AU171" s="898"/>
      <c r="AV171" s="899"/>
      <c r="AW171" s="869" t="e">
        <f t="shared" si="53"/>
        <v>#DIV/0!</v>
      </c>
      <c r="AX171" s="869" t="e">
        <f t="shared" si="54"/>
        <v>#DIV/0!</v>
      </c>
      <c r="AY171" s="898"/>
      <c r="AZ171" s="899"/>
      <c r="BA171" s="869" t="e">
        <f t="shared" si="55"/>
        <v>#DIV/0!</v>
      </c>
      <c r="BB171" s="869" t="e">
        <f t="shared" si="56"/>
        <v>#DIV/0!</v>
      </c>
      <c r="BC171" s="898"/>
      <c r="BD171" s="899"/>
      <c r="BE171" s="869" t="e">
        <f t="shared" si="57"/>
        <v>#DIV/0!</v>
      </c>
      <c r="BF171" s="869" t="e">
        <f t="shared" si="58"/>
        <v>#DIV/0!</v>
      </c>
      <c r="BG171" s="898"/>
      <c r="BH171" s="899"/>
      <c r="BI171" s="710"/>
      <c r="BJ171" s="710"/>
      <c r="BK171" s="710"/>
      <c r="BL171" s="714" t="e">
        <f t="shared" si="59"/>
        <v>#DIV/0!</v>
      </c>
      <c r="BM171" s="869" t="e">
        <f t="shared" si="60"/>
        <v>#DIV/0!</v>
      </c>
      <c r="BN171" s="898"/>
      <c r="BO171" s="899"/>
      <c r="BP171" s="869" t="e">
        <f t="shared" si="61"/>
        <v>#DIV/0!</v>
      </c>
      <c r="BQ171" s="869" t="e">
        <f t="shared" si="62"/>
        <v>#DIV/0!</v>
      </c>
      <c r="BR171" s="898"/>
      <c r="BS171" s="899"/>
      <c r="BT171" s="899"/>
      <c r="BU171" s="899"/>
      <c r="BV171" s="901"/>
      <c r="BW171" s="901"/>
      <c r="BX171" s="901"/>
      <c r="BY171" s="901"/>
      <c r="BZ171" s="901"/>
      <c r="CA171" s="901"/>
      <c r="CB171" s="901"/>
      <c r="CC171" s="901"/>
      <c r="CD171" s="901"/>
      <c r="CE171" s="901"/>
      <c r="CF171" s="901"/>
      <c r="CG171" s="901"/>
      <c r="CH171" s="901"/>
      <c r="CI171" s="901"/>
      <c r="CJ171" s="901"/>
      <c r="CK171" s="901"/>
      <c r="CL171" s="901"/>
      <c r="CM171" s="901"/>
      <c r="CN171" s="901"/>
      <c r="CO171" s="901"/>
      <c r="CP171" s="901"/>
      <c r="CQ171" s="901"/>
      <c r="CR171" s="901"/>
      <c r="CS171" s="902"/>
      <c r="CT171" s="871">
        <f t="shared" si="63"/>
        <v>0</v>
      </c>
      <c r="CU171" s="871">
        <f t="shared" si="64"/>
        <v>0</v>
      </c>
      <c r="CV171" s="942"/>
      <c r="CW171" s="710"/>
      <c r="CX171" s="710"/>
      <c r="CY171" s="899"/>
      <c r="CZ171" s="710"/>
      <c r="DA171" s="710"/>
      <c r="DB171" s="710"/>
      <c r="DC171" s="710"/>
      <c r="DD171" s="710"/>
      <c r="DE171" s="901"/>
      <c r="DF171" s="901"/>
      <c r="DG171" s="710"/>
      <c r="DH171" s="710"/>
      <c r="DI171" s="901"/>
      <c r="DJ171" s="710"/>
      <c r="DK171" s="710"/>
      <c r="DL171" s="901"/>
      <c r="DM171" s="710"/>
      <c r="DN171" s="710"/>
      <c r="DO171" s="901"/>
      <c r="DP171" s="710"/>
      <c r="DQ171" s="710"/>
      <c r="DR171" s="901"/>
      <c r="DS171" s="710"/>
      <c r="DT171" s="710"/>
      <c r="DU171" s="901"/>
      <c r="DV171" s="710"/>
      <c r="DW171" s="710"/>
      <c r="DX171" s="901"/>
      <c r="DY171" s="710"/>
      <c r="DZ171" s="710"/>
      <c r="EA171" s="901"/>
      <c r="EB171" s="710"/>
      <c r="EC171" s="710"/>
      <c r="ED171" s="901"/>
      <c r="EE171" s="710"/>
      <c r="EF171" s="710"/>
      <c r="EG171" s="901"/>
      <c r="EH171" s="710"/>
      <c r="EI171" s="710"/>
      <c r="EJ171" s="901"/>
      <c r="EK171" s="710"/>
      <c r="EL171" s="710"/>
      <c r="EM171" s="901"/>
      <c r="EN171" s="710"/>
      <c r="EO171" s="710"/>
      <c r="EP171" s="901"/>
      <c r="EQ171" s="710"/>
      <c r="ER171" s="710"/>
      <c r="ES171" s="901"/>
      <c r="ET171" s="710"/>
      <c r="EU171" s="710"/>
      <c r="EV171" s="860"/>
      <c r="EW171" s="710"/>
      <c r="EX171" s="710"/>
      <c r="EY171" s="710"/>
      <c r="EZ171" s="710"/>
      <c r="FA171" s="710"/>
      <c r="FB171" s="710"/>
      <c r="FC171" s="710"/>
      <c r="FD171" s="710"/>
      <c r="FE171" s="710"/>
      <c r="FF171" s="710"/>
      <c r="FG171" s="710"/>
      <c r="FH171" s="710"/>
      <c r="FI171" s="710"/>
      <c r="FJ171" s="949"/>
      <c r="FK171" s="949"/>
      <c r="FL171" s="949"/>
      <c r="FM171" s="949"/>
      <c r="FN171" s="949"/>
      <c r="FO171" s="949"/>
      <c r="FP171" s="949"/>
    </row>
    <row r="172" spans="2:172" ht="84.5" customHeight="1">
      <c r="B172" s="850" t="s">
        <v>5315</v>
      </c>
      <c r="C172" s="850" t="s">
        <v>5320</v>
      </c>
      <c r="D172" s="850" t="s">
        <v>5317</v>
      </c>
      <c r="E172" s="850" t="s">
        <v>5318</v>
      </c>
      <c r="F172" s="850" t="s">
        <v>694</v>
      </c>
      <c r="G172" s="850" t="s">
        <v>4933</v>
      </c>
      <c r="I172" s="850" t="s">
        <v>5519</v>
      </c>
      <c r="J172" s="850" t="s">
        <v>5459</v>
      </c>
      <c r="K172" s="710" t="s">
        <v>265</v>
      </c>
      <c r="L172" s="710"/>
      <c r="M172" s="1014" t="s">
        <v>759</v>
      </c>
      <c r="N172" s="710"/>
      <c r="O172" s="895">
        <v>2017</v>
      </c>
      <c r="P172" s="1015">
        <v>43480</v>
      </c>
      <c r="Q172" s="1014">
        <v>43830</v>
      </c>
      <c r="R172" s="712">
        <f t="shared" si="65"/>
        <v>350</v>
      </c>
      <c r="S172" s="710" t="s">
        <v>2311</v>
      </c>
      <c r="T172" s="710" t="s">
        <v>2312</v>
      </c>
      <c r="U172" s="974" t="s">
        <v>2313</v>
      </c>
      <c r="V172" s="710"/>
      <c r="W172" s="710"/>
      <c r="X172" s="710"/>
      <c r="Y172" s="710"/>
      <c r="Z172" s="710" t="s">
        <v>4920</v>
      </c>
      <c r="AA172" s="710" t="s">
        <v>2314</v>
      </c>
      <c r="AB172" s="710"/>
      <c r="AC172" s="710"/>
      <c r="AD172" s="710" t="s">
        <v>2315</v>
      </c>
      <c r="AE172" s="710" t="s">
        <v>2315</v>
      </c>
      <c r="AF172" s="710" t="s">
        <v>414</v>
      </c>
      <c r="AG172" s="710" t="s">
        <v>2316</v>
      </c>
      <c r="AH172" s="898">
        <v>2.859</v>
      </c>
      <c r="AI172" s="868">
        <f t="shared" si="47"/>
        <v>2.859</v>
      </c>
      <c r="AJ172" s="867">
        <f t="shared" si="48"/>
        <v>0</v>
      </c>
      <c r="AK172" s="898">
        <f>1.571-0.346</f>
        <v>1.2250000000000001</v>
      </c>
      <c r="AL172" s="899">
        <f>AK172/AH172</f>
        <v>0.42847149352920605</v>
      </c>
      <c r="AM172" s="900">
        <f>AK172/195109</f>
        <v>6.2785417382078743E-6</v>
      </c>
      <c r="AN172" s="869">
        <f t="shared" si="49"/>
        <v>0.42847149352920605</v>
      </c>
      <c r="AO172" s="869">
        <f t="shared" si="50"/>
        <v>0</v>
      </c>
      <c r="AP172" s="900"/>
      <c r="AQ172" s="900"/>
      <c r="AR172" s="900"/>
      <c r="AS172" s="869">
        <f t="shared" si="51"/>
        <v>0</v>
      </c>
      <c r="AT172" s="869">
        <f t="shared" si="52"/>
        <v>0</v>
      </c>
      <c r="AU172" s="898">
        <v>9.0999999999999998E-2</v>
      </c>
      <c r="AV172" s="899">
        <f>AU172/AH172</f>
        <v>3.1829310947883875E-2</v>
      </c>
      <c r="AW172" s="869">
        <f t="shared" si="53"/>
        <v>3.1829310947883875E-2</v>
      </c>
      <c r="AX172" s="869">
        <f t="shared" si="54"/>
        <v>0</v>
      </c>
      <c r="AY172" s="898">
        <v>0.51100000000000001</v>
      </c>
      <c r="AZ172" s="899">
        <f>AY172/AH172</f>
        <v>0.17873382301504023</v>
      </c>
      <c r="BA172" s="869">
        <f t="shared" si="55"/>
        <v>0.17873382301504023</v>
      </c>
      <c r="BB172" s="869">
        <f t="shared" si="56"/>
        <v>0</v>
      </c>
      <c r="BC172" s="898">
        <v>0.68600000000000005</v>
      </c>
      <c r="BD172" s="899">
        <f>BC172/AH172</f>
        <v>0.23994403637635539</v>
      </c>
      <c r="BE172" s="869">
        <f t="shared" si="57"/>
        <v>0.23994403637635539</v>
      </c>
      <c r="BF172" s="869">
        <f t="shared" si="58"/>
        <v>0</v>
      </c>
      <c r="BG172" s="898">
        <v>0.34599999999999997</v>
      </c>
      <c r="BH172" s="899">
        <f>BG172/AH172</f>
        <v>0.1210213361315145</v>
      </c>
      <c r="BI172" s="710" t="s">
        <v>2317</v>
      </c>
      <c r="BJ172" s="710" t="s">
        <v>769</v>
      </c>
      <c r="BK172" s="710" t="s">
        <v>2315</v>
      </c>
      <c r="BL172" s="714">
        <f t="shared" si="59"/>
        <v>0.1210213361315145</v>
      </c>
      <c r="BM172" s="869">
        <f t="shared" si="60"/>
        <v>0</v>
      </c>
      <c r="BN172" s="898"/>
      <c r="BO172" s="899"/>
      <c r="BP172" s="869">
        <f t="shared" si="61"/>
        <v>0</v>
      </c>
      <c r="BQ172" s="869">
        <f t="shared" si="62"/>
        <v>0</v>
      </c>
      <c r="BR172" s="898"/>
      <c r="BS172" s="899"/>
      <c r="BT172" s="899"/>
      <c r="BU172" s="899"/>
      <c r="BV172" s="901"/>
      <c r="BW172" s="901">
        <v>5</v>
      </c>
      <c r="BX172" s="901">
        <v>3</v>
      </c>
      <c r="BY172" s="901"/>
      <c r="BZ172" s="901"/>
      <c r="CA172" s="901"/>
      <c r="CB172" s="901"/>
      <c r="CC172" s="901"/>
      <c r="CD172" s="901"/>
      <c r="CE172" s="901"/>
      <c r="CF172" s="901"/>
      <c r="CG172" s="901"/>
      <c r="CH172" s="901"/>
      <c r="CI172" s="901">
        <v>3</v>
      </c>
      <c r="CJ172" s="901"/>
      <c r="CK172" s="901"/>
      <c r="CL172" s="901"/>
      <c r="CM172" s="901"/>
      <c r="CN172" s="901"/>
      <c r="CO172" s="901"/>
      <c r="CP172" s="901"/>
      <c r="CQ172" s="901"/>
      <c r="CR172" s="901"/>
      <c r="CS172" s="902">
        <f t="shared" ref="CS172:CS209" si="67">SUM(BY172:CR172)</f>
        <v>3</v>
      </c>
      <c r="CT172" s="871">
        <f t="shared" si="63"/>
        <v>3</v>
      </c>
      <c r="CU172" s="871">
        <f t="shared" si="64"/>
        <v>0</v>
      </c>
      <c r="CV172" s="942">
        <v>2.694</v>
      </c>
      <c r="CW172" s="898" t="s">
        <v>2318</v>
      </c>
      <c r="CX172" s="710"/>
      <c r="CY172" s="710">
        <v>0.17</v>
      </c>
      <c r="CZ172" s="899" t="s">
        <v>2319</v>
      </c>
      <c r="DA172" s="899"/>
      <c r="DB172" s="899"/>
      <c r="DC172" s="710" t="s">
        <v>279</v>
      </c>
      <c r="DD172" s="710"/>
      <c r="DE172" s="710"/>
      <c r="DF172" s="901" t="s">
        <v>410</v>
      </c>
      <c r="DG172" s="901" t="s">
        <v>410</v>
      </c>
      <c r="DH172" s="901">
        <v>1</v>
      </c>
      <c r="DI172" s="710"/>
      <c r="DJ172" s="710"/>
      <c r="DK172" s="901"/>
      <c r="DL172" s="710" t="s">
        <v>278</v>
      </c>
      <c r="DM172" s="710" t="s">
        <v>2320</v>
      </c>
      <c r="DN172" s="901">
        <v>182</v>
      </c>
      <c r="DO172" s="710"/>
      <c r="DP172" s="710"/>
      <c r="DQ172" s="901"/>
      <c r="DR172" s="710"/>
      <c r="DS172" s="710"/>
      <c r="DT172" s="901"/>
      <c r="DU172" s="710"/>
      <c r="DV172" s="710"/>
      <c r="DW172" s="901"/>
      <c r="DX172" s="710"/>
      <c r="DY172" s="710"/>
      <c r="DZ172" s="901"/>
      <c r="EA172" s="710"/>
      <c r="EB172" s="710"/>
      <c r="EC172" s="901"/>
      <c r="ED172" s="710"/>
      <c r="EE172" s="710"/>
      <c r="EF172" s="901"/>
      <c r="EG172" s="710"/>
      <c r="EH172" s="710"/>
      <c r="EI172" s="901"/>
      <c r="EJ172" s="710"/>
      <c r="EK172" s="710"/>
      <c r="EL172" s="901"/>
      <c r="EM172" s="710" t="s">
        <v>278</v>
      </c>
      <c r="EN172" s="710" t="s">
        <v>733</v>
      </c>
      <c r="EO172" s="901">
        <v>5</v>
      </c>
      <c r="EP172" s="710"/>
      <c r="EQ172" s="710"/>
      <c r="ER172" s="901"/>
      <c r="ES172" s="710"/>
      <c r="ET172" s="710"/>
      <c r="EU172" s="901"/>
      <c r="EV172" s="708" t="s">
        <v>4921</v>
      </c>
      <c r="EW172" s="710" t="s">
        <v>2321</v>
      </c>
      <c r="EX172" s="860">
        <v>5</v>
      </c>
      <c r="EY172" s="710" t="s">
        <v>279</v>
      </c>
      <c r="EZ172" s="710"/>
      <c r="FA172" s="710" t="s">
        <v>278</v>
      </c>
      <c r="FB172" s="710" t="s">
        <v>2322</v>
      </c>
      <c r="FC172" s="710"/>
      <c r="FD172" s="710"/>
      <c r="FE172" s="710"/>
      <c r="FF172" s="710"/>
      <c r="FG172" s="710"/>
      <c r="FH172" s="710"/>
      <c r="FI172" s="710"/>
      <c r="FJ172" s="710"/>
      <c r="FK172" s="710" t="s">
        <v>2323</v>
      </c>
      <c r="FL172" s="710" t="s">
        <v>2324</v>
      </c>
      <c r="FM172" s="710" t="s">
        <v>2325</v>
      </c>
      <c r="FN172" s="710" t="s">
        <v>2326</v>
      </c>
      <c r="FO172" s="710" t="s">
        <v>2327</v>
      </c>
      <c r="FP172" s="710" t="s">
        <v>2328</v>
      </c>
    </row>
    <row r="173" spans="2:172" ht="104.5" customHeight="1">
      <c r="B173" s="850" t="s">
        <v>5315</v>
      </c>
      <c r="C173" s="850" t="s">
        <v>5316</v>
      </c>
      <c r="D173" s="850" t="s">
        <v>5317</v>
      </c>
      <c r="E173" s="850" t="s">
        <v>5318</v>
      </c>
      <c r="F173" s="850" t="s">
        <v>5355</v>
      </c>
      <c r="G173" s="850" t="s">
        <v>4933</v>
      </c>
      <c r="I173" s="850" t="s">
        <v>5519</v>
      </c>
      <c r="J173" s="850" t="s">
        <v>5459</v>
      </c>
      <c r="K173" s="710" t="s">
        <v>265</v>
      </c>
      <c r="L173" s="710"/>
      <c r="M173" s="710" t="s">
        <v>1877</v>
      </c>
      <c r="N173" s="710"/>
      <c r="O173" s="895">
        <v>2019</v>
      </c>
      <c r="P173" s="896">
        <v>43466</v>
      </c>
      <c r="Q173" s="896">
        <v>43830</v>
      </c>
      <c r="R173" s="712">
        <f t="shared" si="65"/>
        <v>364</v>
      </c>
      <c r="S173" s="710" t="s">
        <v>2501</v>
      </c>
      <c r="T173" s="710" t="s">
        <v>2502</v>
      </c>
      <c r="U173" s="861" t="s">
        <v>2503</v>
      </c>
      <c r="V173" s="710"/>
      <c r="W173" s="710"/>
      <c r="X173" s="710"/>
      <c r="Y173" s="710"/>
      <c r="Z173" s="710" t="s">
        <v>2504</v>
      </c>
      <c r="AA173" s="861" t="s">
        <v>2505</v>
      </c>
      <c r="AB173" s="861"/>
      <c r="AC173" s="861"/>
      <c r="AD173" s="710" t="s">
        <v>2506</v>
      </c>
      <c r="AE173" s="710" t="s">
        <v>2506</v>
      </c>
      <c r="AF173" s="710" t="s">
        <v>454</v>
      </c>
      <c r="AG173" s="710" t="s">
        <v>2507</v>
      </c>
      <c r="AH173" s="898">
        <v>431.9</v>
      </c>
      <c r="AI173" s="868">
        <f t="shared" si="47"/>
        <v>431.90000000000003</v>
      </c>
      <c r="AJ173" s="867">
        <f t="shared" si="48"/>
        <v>0</v>
      </c>
      <c r="AK173" s="898">
        <v>315.29000000000002</v>
      </c>
      <c r="AL173" s="899">
        <v>0.73</v>
      </c>
      <c r="AM173" s="900">
        <f>AK173/195109</f>
        <v>1.6159685099098454E-3</v>
      </c>
      <c r="AN173" s="869">
        <f t="shared" si="49"/>
        <v>0.73000694605232697</v>
      </c>
      <c r="AO173" s="869">
        <f t="shared" si="50"/>
        <v>-6.9460523269837537E-6</v>
      </c>
      <c r="AP173" s="900"/>
      <c r="AQ173" s="900"/>
      <c r="AR173" s="900"/>
      <c r="AS173" s="869">
        <f t="shared" si="51"/>
        <v>0</v>
      </c>
      <c r="AT173" s="869">
        <f t="shared" si="52"/>
        <v>0</v>
      </c>
      <c r="AU173" s="898">
        <v>0</v>
      </c>
      <c r="AV173" s="899"/>
      <c r="AW173" s="869">
        <f t="shared" si="53"/>
        <v>0</v>
      </c>
      <c r="AX173" s="869">
        <f t="shared" si="54"/>
        <v>0</v>
      </c>
      <c r="AY173" s="898">
        <v>0</v>
      </c>
      <c r="AZ173" s="899"/>
      <c r="BA173" s="869">
        <f t="shared" si="55"/>
        <v>0</v>
      </c>
      <c r="BB173" s="869">
        <f t="shared" si="56"/>
        <v>0</v>
      </c>
      <c r="BC173" s="898">
        <v>0</v>
      </c>
      <c r="BD173" s="899"/>
      <c r="BE173" s="869">
        <f t="shared" si="57"/>
        <v>0</v>
      </c>
      <c r="BF173" s="869">
        <f t="shared" si="58"/>
        <v>0</v>
      </c>
      <c r="BG173" s="898">
        <v>116.61</v>
      </c>
      <c r="BH173" s="899">
        <v>0.27</v>
      </c>
      <c r="BI173" s="710" t="s">
        <v>2508</v>
      </c>
      <c r="BJ173" s="710" t="s">
        <v>457</v>
      </c>
      <c r="BK173" s="710" t="s">
        <v>2506</v>
      </c>
      <c r="BL173" s="714">
        <f t="shared" si="59"/>
        <v>0.26999305394767309</v>
      </c>
      <c r="BM173" s="869">
        <f t="shared" si="60"/>
        <v>6.9460523269282426E-6</v>
      </c>
      <c r="BN173" s="898">
        <v>0</v>
      </c>
      <c r="BO173" s="899"/>
      <c r="BP173" s="869">
        <f t="shared" si="61"/>
        <v>0</v>
      </c>
      <c r="BQ173" s="869">
        <f t="shared" si="62"/>
        <v>0</v>
      </c>
      <c r="BR173" s="898">
        <v>310.60000000000002</v>
      </c>
      <c r="BS173" s="899">
        <f>BR173/230430</f>
        <v>1.3479147680423556E-3</v>
      </c>
      <c r="BT173" s="899"/>
      <c r="BU173" s="899"/>
      <c r="BV173" s="901"/>
      <c r="BW173" s="901"/>
      <c r="BX173" s="901"/>
      <c r="BY173" s="901"/>
      <c r="BZ173" s="901"/>
      <c r="CA173" s="901"/>
      <c r="CB173" s="901"/>
      <c r="CC173" s="901"/>
      <c r="CD173" s="901"/>
      <c r="CE173" s="901"/>
      <c r="CF173" s="901"/>
      <c r="CG173" s="901"/>
      <c r="CH173" s="901">
        <v>11</v>
      </c>
      <c r="CI173" s="901"/>
      <c r="CJ173" s="901">
        <v>3</v>
      </c>
      <c r="CK173" s="901"/>
      <c r="CL173" s="901"/>
      <c r="CM173" s="901"/>
      <c r="CN173" s="901"/>
      <c r="CO173" s="901"/>
      <c r="CP173" s="901"/>
      <c r="CQ173" s="901"/>
      <c r="CR173" s="901"/>
      <c r="CS173" s="902">
        <f t="shared" si="67"/>
        <v>14</v>
      </c>
      <c r="CT173" s="871">
        <f t="shared" si="63"/>
        <v>14</v>
      </c>
      <c r="CU173" s="871">
        <f t="shared" si="64"/>
        <v>0</v>
      </c>
      <c r="CV173" s="942">
        <v>99.16</v>
      </c>
      <c r="CW173" s="710" t="s">
        <v>2509</v>
      </c>
      <c r="CX173" s="710"/>
      <c r="CY173" s="942">
        <f>99.16/1537.4*100</f>
        <v>6.4498503967737735</v>
      </c>
      <c r="CZ173" s="899" t="s">
        <v>2319</v>
      </c>
      <c r="DA173" s="899"/>
      <c r="DB173" s="899"/>
      <c r="DC173" s="710" t="s">
        <v>279</v>
      </c>
      <c r="DD173" s="710"/>
      <c r="DE173" s="710"/>
      <c r="DF173" s="901"/>
      <c r="DG173" s="901">
        <v>7865</v>
      </c>
      <c r="DH173" s="901">
        <v>2</v>
      </c>
      <c r="DI173" s="710" t="s">
        <v>279</v>
      </c>
      <c r="DJ173" s="710"/>
      <c r="DK173" s="901"/>
      <c r="DL173" s="710" t="s">
        <v>279</v>
      </c>
      <c r="DM173" s="710"/>
      <c r="DN173" s="901"/>
      <c r="DO173" s="710" t="s">
        <v>279</v>
      </c>
      <c r="DP173" s="710"/>
      <c r="DQ173" s="901"/>
      <c r="DR173" s="710" t="s">
        <v>279</v>
      </c>
      <c r="DS173" s="710"/>
      <c r="DT173" s="901"/>
      <c r="DU173" s="710" t="s">
        <v>279</v>
      </c>
      <c r="DV173" s="710"/>
      <c r="DW173" s="901"/>
      <c r="DX173" s="710" t="s">
        <v>279</v>
      </c>
      <c r="DY173" s="710"/>
      <c r="DZ173" s="901"/>
      <c r="EA173" s="710" t="s">
        <v>278</v>
      </c>
      <c r="EB173" s="710" t="s">
        <v>2510</v>
      </c>
      <c r="EC173" s="901">
        <v>4863</v>
      </c>
      <c r="ED173" s="710" t="s">
        <v>279</v>
      </c>
      <c r="EE173" s="710"/>
      <c r="EF173" s="901"/>
      <c r="EG173" s="710" t="s">
        <v>279</v>
      </c>
      <c r="EH173" s="710"/>
      <c r="EI173" s="901"/>
      <c r="EJ173" s="710" t="s">
        <v>279</v>
      </c>
      <c r="EK173" s="710"/>
      <c r="EL173" s="901"/>
      <c r="EM173" s="710" t="s">
        <v>279</v>
      </c>
      <c r="EN173" s="710"/>
      <c r="EO173" s="901"/>
      <c r="EP173" s="710" t="s">
        <v>279</v>
      </c>
      <c r="EQ173" s="710"/>
      <c r="ER173" s="901"/>
      <c r="ES173" s="710" t="s">
        <v>279</v>
      </c>
      <c r="ET173" s="710"/>
      <c r="EU173" s="901"/>
      <c r="EV173" s="710" t="s">
        <v>2511</v>
      </c>
      <c r="EW173" s="710" t="s">
        <v>2512</v>
      </c>
      <c r="EX173" s="860">
        <v>1</v>
      </c>
      <c r="EY173" s="710" t="s">
        <v>278</v>
      </c>
      <c r="EZ173" s="710" t="s">
        <v>2513</v>
      </c>
      <c r="FA173" s="710" t="s">
        <v>278</v>
      </c>
      <c r="FB173" s="710" t="s">
        <v>2514</v>
      </c>
      <c r="FC173" s="861" t="s">
        <v>2515</v>
      </c>
      <c r="FD173" s="861" t="s">
        <v>2516</v>
      </c>
      <c r="FE173" s="861" t="s">
        <v>2517</v>
      </c>
      <c r="FF173" s="710" t="s">
        <v>2518</v>
      </c>
      <c r="FG173" s="710" t="s">
        <v>2519</v>
      </c>
      <c r="FH173" s="710"/>
      <c r="FI173" s="710"/>
      <c r="FJ173" s="710"/>
      <c r="FK173" s="710" t="s">
        <v>2520</v>
      </c>
      <c r="FL173" s="710" t="s">
        <v>2521</v>
      </c>
      <c r="FM173" s="861" t="s">
        <v>2522</v>
      </c>
      <c r="FN173" s="710" t="s">
        <v>2326</v>
      </c>
      <c r="FO173" s="710" t="s">
        <v>2327</v>
      </c>
      <c r="FP173" s="710" t="s">
        <v>2328</v>
      </c>
    </row>
    <row r="174" spans="2:172" ht="87" customHeight="1">
      <c r="B174" s="850" t="s">
        <v>5313</v>
      </c>
      <c r="C174" s="863"/>
      <c r="D174" s="850" t="s">
        <v>4933</v>
      </c>
      <c r="E174" s="850" t="s">
        <v>5314</v>
      </c>
      <c r="F174" s="879">
        <v>1</v>
      </c>
      <c r="G174" s="850" t="s">
        <v>4933</v>
      </c>
      <c r="I174" s="850" t="s">
        <v>5520</v>
      </c>
      <c r="J174" s="850" t="s">
        <v>5460</v>
      </c>
      <c r="K174" s="710" t="s">
        <v>266</v>
      </c>
      <c r="L174" s="710"/>
      <c r="M174" s="710" t="s">
        <v>2133</v>
      </c>
      <c r="N174" s="710" t="s">
        <v>2134</v>
      </c>
      <c r="O174" s="895">
        <v>2019</v>
      </c>
      <c r="P174" s="896">
        <v>43575</v>
      </c>
      <c r="Q174" s="896">
        <v>43829</v>
      </c>
      <c r="R174" s="712">
        <f t="shared" si="65"/>
        <v>254</v>
      </c>
      <c r="S174" s="710" t="s">
        <v>2135</v>
      </c>
      <c r="T174" s="710"/>
      <c r="U174" s="710"/>
      <c r="V174" s="710"/>
      <c r="W174" s="710"/>
      <c r="X174" s="710"/>
      <c r="Y174" s="710"/>
      <c r="Z174" s="710" t="s">
        <v>2136</v>
      </c>
      <c r="AA174" s="945" t="s">
        <v>2137</v>
      </c>
      <c r="AB174" s="945"/>
      <c r="AC174" s="945"/>
      <c r="AD174" s="710" t="s">
        <v>2138</v>
      </c>
      <c r="AE174" s="710" t="s">
        <v>2138</v>
      </c>
      <c r="AF174" s="710" t="s">
        <v>277</v>
      </c>
      <c r="AG174" s="710" t="s">
        <v>2139</v>
      </c>
      <c r="AH174" s="898">
        <v>76.08</v>
      </c>
      <c r="AI174" s="868">
        <f t="shared" si="47"/>
        <v>76.069999999999993</v>
      </c>
      <c r="AJ174" s="875">
        <f t="shared" si="48"/>
        <v>-1.0000000000005116E-2</v>
      </c>
      <c r="AK174" s="898">
        <v>48.65</v>
      </c>
      <c r="AL174" s="899">
        <v>0.64</v>
      </c>
      <c r="AM174" s="899">
        <v>5.5999999999999995E-4</v>
      </c>
      <c r="AN174" s="869">
        <f t="shared" si="49"/>
        <v>0.63945846477392221</v>
      </c>
      <c r="AO174" s="869">
        <f t="shared" si="50"/>
        <v>5.4153522607780502E-4</v>
      </c>
      <c r="AP174" s="899"/>
      <c r="AQ174" s="899"/>
      <c r="AR174" s="899"/>
      <c r="AS174" s="869">
        <f t="shared" si="51"/>
        <v>0</v>
      </c>
      <c r="AT174" s="869">
        <f t="shared" si="52"/>
        <v>0</v>
      </c>
      <c r="AU174" s="898">
        <v>13.68</v>
      </c>
      <c r="AV174" s="899">
        <v>0.18</v>
      </c>
      <c r="AW174" s="869">
        <f t="shared" si="53"/>
        <v>0.17981072555205047</v>
      </c>
      <c r="AX174" s="869">
        <f t="shared" si="54"/>
        <v>1.8927444794952786E-4</v>
      </c>
      <c r="AY174" s="898">
        <v>7.44</v>
      </c>
      <c r="AZ174" s="899">
        <v>9.7000000000000003E-2</v>
      </c>
      <c r="BA174" s="869">
        <f t="shared" si="55"/>
        <v>9.7791798107255523E-2</v>
      </c>
      <c r="BB174" s="869">
        <f t="shared" si="56"/>
        <v>-7.9179810725552024E-4</v>
      </c>
      <c r="BC174" s="898">
        <v>6.3</v>
      </c>
      <c r="BD174" s="899">
        <v>8.3000000000000004E-2</v>
      </c>
      <c r="BE174" s="869">
        <f t="shared" si="57"/>
        <v>8.280757097791798E-2</v>
      </c>
      <c r="BF174" s="869">
        <f t="shared" si="58"/>
        <v>1.9242902208202461E-4</v>
      </c>
      <c r="BG174" s="898">
        <v>0</v>
      </c>
      <c r="BH174" s="899">
        <v>0</v>
      </c>
      <c r="BI174" s="710"/>
      <c r="BJ174" s="710"/>
      <c r="BK174" s="710"/>
      <c r="BL174" s="714">
        <f t="shared" si="59"/>
        <v>0</v>
      </c>
      <c r="BM174" s="869">
        <f t="shared" si="60"/>
        <v>0</v>
      </c>
      <c r="BN174" s="898"/>
      <c r="BO174" s="899"/>
      <c r="BP174" s="869">
        <f t="shared" si="61"/>
        <v>0</v>
      </c>
      <c r="BQ174" s="869">
        <f t="shared" si="62"/>
        <v>0</v>
      </c>
      <c r="BR174" s="898">
        <v>150</v>
      </c>
      <c r="BS174" s="899">
        <v>1.9E-3</v>
      </c>
      <c r="BT174" s="899"/>
      <c r="BU174" s="899"/>
      <c r="BV174" s="901">
        <v>233</v>
      </c>
      <c r="BW174" s="901">
        <v>141</v>
      </c>
      <c r="BX174" s="901">
        <v>84</v>
      </c>
      <c r="BY174" s="901">
        <v>1</v>
      </c>
      <c r="BZ174" s="901">
        <v>19</v>
      </c>
      <c r="CA174" s="901">
        <v>2</v>
      </c>
      <c r="CB174" s="901">
        <v>1</v>
      </c>
      <c r="CC174" s="901">
        <v>0</v>
      </c>
      <c r="CD174" s="901">
        <v>5</v>
      </c>
      <c r="CE174" s="901">
        <v>6</v>
      </c>
      <c r="CF174" s="901">
        <v>7</v>
      </c>
      <c r="CG174" s="901">
        <v>10</v>
      </c>
      <c r="CH174" s="901">
        <v>6</v>
      </c>
      <c r="CI174" s="901">
        <v>13</v>
      </c>
      <c r="CJ174" s="901">
        <v>9</v>
      </c>
      <c r="CK174" s="901">
        <v>5</v>
      </c>
      <c r="CL174" s="901">
        <v>0</v>
      </c>
      <c r="CM174" s="901"/>
      <c r="CN174" s="901"/>
      <c r="CO174" s="901"/>
      <c r="CP174" s="901"/>
      <c r="CQ174" s="901"/>
      <c r="CR174" s="901"/>
      <c r="CS174" s="902">
        <f t="shared" si="67"/>
        <v>84</v>
      </c>
      <c r="CT174" s="871">
        <f t="shared" si="63"/>
        <v>84</v>
      </c>
      <c r="CU174" s="871">
        <f t="shared" si="64"/>
        <v>0</v>
      </c>
      <c r="CV174" s="942">
        <v>345</v>
      </c>
      <c r="CW174" s="710" t="s">
        <v>2140</v>
      </c>
      <c r="CX174" s="945" t="s">
        <v>2137</v>
      </c>
      <c r="CY174" s="710">
        <f>345000/1507390*100</f>
        <v>22.887242186826239</v>
      </c>
      <c r="CZ174" s="899" t="s">
        <v>2141</v>
      </c>
      <c r="DA174" s="899"/>
      <c r="DB174" s="899"/>
      <c r="DC174" s="710" t="s">
        <v>278</v>
      </c>
      <c r="DD174" s="710" t="s">
        <v>2142</v>
      </c>
      <c r="DE174" s="710" t="s">
        <v>2143</v>
      </c>
      <c r="DF174" s="901">
        <v>6</v>
      </c>
      <c r="DG174" s="901">
        <v>0</v>
      </c>
      <c r="DH174" s="901"/>
      <c r="DI174" s="710" t="s">
        <v>278</v>
      </c>
      <c r="DJ174" s="710" t="s">
        <v>2144</v>
      </c>
      <c r="DK174" s="901"/>
      <c r="DL174" s="710" t="s">
        <v>278</v>
      </c>
      <c r="DM174" s="710" t="s">
        <v>2145</v>
      </c>
      <c r="DN174" s="901">
        <v>40514</v>
      </c>
      <c r="DO174" s="710" t="s">
        <v>279</v>
      </c>
      <c r="DP174" s="710"/>
      <c r="DQ174" s="901"/>
      <c r="DR174" s="710" t="s">
        <v>279</v>
      </c>
      <c r="DS174" s="710"/>
      <c r="DT174" s="901"/>
      <c r="DU174" s="710" t="s">
        <v>279</v>
      </c>
      <c r="DV174" s="710"/>
      <c r="DW174" s="901"/>
      <c r="DX174" s="710" t="s">
        <v>279</v>
      </c>
      <c r="DY174" s="710"/>
      <c r="DZ174" s="901"/>
      <c r="EA174" s="710" t="s">
        <v>279</v>
      </c>
      <c r="EB174" s="710"/>
      <c r="EC174" s="901"/>
      <c r="ED174" s="710" t="s">
        <v>278</v>
      </c>
      <c r="EE174" s="710" t="s">
        <v>2146</v>
      </c>
      <c r="EF174" s="901">
        <v>9888</v>
      </c>
      <c r="EG174" s="710" t="s">
        <v>279</v>
      </c>
      <c r="EH174" s="710"/>
      <c r="EI174" s="901"/>
      <c r="EJ174" s="710" t="s">
        <v>279</v>
      </c>
      <c r="EK174" s="710"/>
      <c r="EL174" s="901"/>
      <c r="EM174" s="710" t="s">
        <v>278</v>
      </c>
      <c r="EN174" s="710" t="s">
        <v>2147</v>
      </c>
      <c r="EO174" s="901">
        <v>22</v>
      </c>
      <c r="EP174" s="710"/>
      <c r="EQ174" s="710"/>
      <c r="ER174" s="901"/>
      <c r="ES174" s="710"/>
      <c r="ET174" s="710"/>
      <c r="EU174" s="901"/>
      <c r="EV174" s="904">
        <v>1</v>
      </c>
      <c r="EW174" s="710"/>
      <c r="EX174" s="860">
        <v>122</v>
      </c>
      <c r="EY174" s="710"/>
      <c r="EZ174" s="710" t="s">
        <v>2148</v>
      </c>
      <c r="FA174" s="710" t="s">
        <v>278</v>
      </c>
      <c r="FB174" s="710" t="s">
        <v>2149</v>
      </c>
      <c r="FC174" s="945" t="s">
        <v>2150</v>
      </c>
      <c r="FD174" s="984" t="s">
        <v>2151</v>
      </c>
      <c r="FE174" s="984" t="s">
        <v>2152</v>
      </c>
      <c r="FF174" s="710" t="s">
        <v>2153</v>
      </c>
      <c r="FG174" s="710" t="s">
        <v>4922</v>
      </c>
      <c r="FH174" s="710" t="s">
        <v>2154</v>
      </c>
      <c r="FI174" s="710">
        <v>40</v>
      </c>
      <c r="FJ174" s="710">
        <v>2400</v>
      </c>
      <c r="FK174" s="710" t="s">
        <v>2155</v>
      </c>
      <c r="FL174" s="710" t="s">
        <v>2156</v>
      </c>
      <c r="FM174" s="710" t="s">
        <v>2157</v>
      </c>
      <c r="FN174" s="710" t="s">
        <v>2155</v>
      </c>
      <c r="FO174" s="710" t="s">
        <v>2156</v>
      </c>
      <c r="FP174" s="710" t="s">
        <v>2157</v>
      </c>
    </row>
    <row r="175" spans="2:172" ht="89.5" customHeight="1">
      <c r="B175" s="850" t="s">
        <v>5313</v>
      </c>
      <c r="C175" s="863"/>
      <c r="D175" s="850" t="s">
        <v>4934</v>
      </c>
      <c r="E175" s="850" t="s">
        <v>5314</v>
      </c>
      <c r="F175" s="863"/>
      <c r="H175" s="850" t="s">
        <v>4934</v>
      </c>
      <c r="I175" s="850" t="s">
        <v>5520</v>
      </c>
      <c r="J175" s="850" t="s">
        <v>5460</v>
      </c>
      <c r="K175" s="710" t="s">
        <v>266</v>
      </c>
      <c r="L175" s="710" t="s">
        <v>3535</v>
      </c>
      <c r="M175" s="714" t="s">
        <v>3540</v>
      </c>
      <c r="N175" s="710" t="s">
        <v>3544</v>
      </c>
      <c r="O175" s="895">
        <v>2019</v>
      </c>
      <c r="P175" s="896">
        <v>43556</v>
      </c>
      <c r="Q175" s="896">
        <v>43768</v>
      </c>
      <c r="R175" s="712">
        <f t="shared" si="65"/>
        <v>212</v>
      </c>
      <c r="S175" s="896"/>
      <c r="T175" s="896"/>
      <c r="U175" s="896"/>
      <c r="V175" s="896"/>
      <c r="W175" s="896"/>
      <c r="X175" s="896"/>
      <c r="Y175" s="896"/>
      <c r="Z175" s="896"/>
      <c r="AA175" s="896"/>
      <c r="AB175" s="710" t="s">
        <v>3546</v>
      </c>
      <c r="AC175" s="861" t="s">
        <v>3551</v>
      </c>
      <c r="AD175" s="710" t="s">
        <v>3555</v>
      </c>
      <c r="AE175" s="710" t="s">
        <v>3560</v>
      </c>
      <c r="AF175" s="710" t="s">
        <v>2419</v>
      </c>
      <c r="AG175" s="710" t="s">
        <v>3566</v>
      </c>
      <c r="AH175" s="898">
        <v>1.647</v>
      </c>
      <c r="AI175" s="868">
        <f t="shared" si="47"/>
        <v>1.6500000000000001</v>
      </c>
      <c r="AJ175" s="875">
        <f t="shared" si="48"/>
        <v>3.0000000000001137E-3</v>
      </c>
      <c r="AK175" s="898"/>
      <c r="AL175" s="898"/>
      <c r="AM175" s="898"/>
      <c r="AN175" s="869">
        <f t="shared" si="49"/>
        <v>0</v>
      </c>
      <c r="AO175" s="869">
        <f t="shared" si="50"/>
        <v>0</v>
      </c>
      <c r="AP175" s="898"/>
      <c r="AQ175" s="899"/>
      <c r="AR175" s="899">
        <v>2E-3</v>
      </c>
      <c r="AS175" s="869">
        <f t="shared" si="51"/>
        <v>0</v>
      </c>
      <c r="AT175" s="869">
        <f t="shared" si="52"/>
        <v>0</v>
      </c>
      <c r="AU175" s="942">
        <v>1.3140000000000001</v>
      </c>
      <c r="AV175" s="899">
        <v>0.79779999999999995</v>
      </c>
      <c r="AW175" s="869">
        <f t="shared" si="53"/>
        <v>0.79781420765027322</v>
      </c>
      <c r="AX175" s="869">
        <f t="shared" si="54"/>
        <v>-1.420765027326798E-5</v>
      </c>
      <c r="AY175" s="898">
        <v>0.30599999999999999</v>
      </c>
      <c r="AZ175" s="899">
        <v>0.18410000000000001</v>
      </c>
      <c r="BA175" s="869">
        <f t="shared" si="55"/>
        <v>0.18579234972677594</v>
      </c>
      <c r="BB175" s="869">
        <f t="shared" si="56"/>
        <v>-1.6923497267759269E-3</v>
      </c>
      <c r="BC175" s="898">
        <v>0.03</v>
      </c>
      <c r="BD175" s="899">
        <v>1.8100000000000002E-2</v>
      </c>
      <c r="BE175" s="869">
        <f t="shared" si="57"/>
        <v>1.8214936247723131E-2</v>
      </c>
      <c r="BF175" s="869">
        <f t="shared" si="58"/>
        <v>-1.1493624772312971E-4</v>
      </c>
      <c r="BG175" s="899"/>
      <c r="BH175" s="899"/>
      <c r="BI175" s="899"/>
      <c r="BJ175" s="899"/>
      <c r="BK175" s="899"/>
      <c r="BL175" s="714">
        <f t="shared" si="59"/>
        <v>0</v>
      </c>
      <c r="BM175" s="869">
        <f t="shared" si="60"/>
        <v>0</v>
      </c>
      <c r="BN175" s="898"/>
      <c r="BO175" s="899"/>
      <c r="BP175" s="869">
        <f t="shared" si="61"/>
        <v>0</v>
      </c>
      <c r="BQ175" s="869">
        <f t="shared" si="62"/>
        <v>0</v>
      </c>
      <c r="BR175" s="899"/>
      <c r="BS175" s="899"/>
      <c r="BT175" s="898">
        <v>0.45</v>
      </c>
      <c r="BU175" s="899">
        <v>8.0000000000000004E-4</v>
      </c>
      <c r="BV175" s="901">
        <v>9</v>
      </c>
      <c r="BW175" s="901">
        <v>9</v>
      </c>
      <c r="BX175" s="901">
        <v>9</v>
      </c>
      <c r="BY175" s="901"/>
      <c r="BZ175" s="901">
        <v>8</v>
      </c>
      <c r="CA175" s="901">
        <v>1</v>
      </c>
      <c r="CB175" s="901"/>
      <c r="CC175" s="901"/>
      <c r="CD175" s="901"/>
      <c r="CE175" s="901"/>
      <c r="CF175" s="901"/>
      <c r="CG175" s="901"/>
      <c r="CH175" s="901"/>
      <c r="CI175" s="901"/>
      <c r="CJ175" s="901"/>
      <c r="CK175" s="901"/>
      <c r="CL175" s="901"/>
      <c r="CM175" s="901"/>
      <c r="CN175" s="901"/>
      <c r="CO175" s="901"/>
      <c r="CP175" s="901"/>
      <c r="CQ175" s="901"/>
      <c r="CR175" s="901"/>
      <c r="CS175" s="902">
        <f t="shared" si="67"/>
        <v>9</v>
      </c>
      <c r="CT175" s="871">
        <f t="shared" si="63"/>
        <v>9</v>
      </c>
      <c r="CU175" s="871">
        <f t="shared" si="64"/>
        <v>0</v>
      </c>
      <c r="CV175" s="942">
        <v>1</v>
      </c>
      <c r="CW175" s="710"/>
      <c r="CX175" s="710"/>
      <c r="CY175" s="710"/>
      <c r="CZ175" s="710"/>
      <c r="DA175" s="710">
        <v>7</v>
      </c>
      <c r="DB175" s="940" t="s">
        <v>3575</v>
      </c>
      <c r="DC175" s="710" t="s">
        <v>279</v>
      </c>
      <c r="DD175" s="710"/>
      <c r="DE175" s="710"/>
      <c r="DF175" s="901"/>
      <c r="DG175" s="901"/>
      <c r="DH175" s="901">
        <v>21</v>
      </c>
      <c r="DI175" s="710" t="s">
        <v>278</v>
      </c>
      <c r="DJ175" s="710" t="s">
        <v>3577</v>
      </c>
      <c r="DK175" s="901"/>
      <c r="DL175" s="710" t="s">
        <v>278</v>
      </c>
      <c r="DM175" s="710" t="s">
        <v>698</v>
      </c>
      <c r="DN175" s="901">
        <v>334</v>
      </c>
      <c r="DO175" s="710" t="s">
        <v>279</v>
      </c>
      <c r="DP175" s="710"/>
      <c r="DQ175" s="901"/>
      <c r="DR175" s="710" t="s">
        <v>279</v>
      </c>
      <c r="DS175" s="710"/>
      <c r="DT175" s="901"/>
      <c r="DU175" s="710" t="s">
        <v>279</v>
      </c>
      <c r="DV175" s="710"/>
      <c r="DW175" s="901"/>
      <c r="DX175" s="710"/>
      <c r="DY175" s="710"/>
      <c r="DZ175" s="901"/>
      <c r="EA175" s="710" t="s">
        <v>279</v>
      </c>
      <c r="EB175" s="710"/>
      <c r="EC175" s="901"/>
      <c r="ED175" s="710" t="s">
        <v>278</v>
      </c>
      <c r="EE175" s="710" t="s">
        <v>698</v>
      </c>
      <c r="EF175" s="901">
        <v>317</v>
      </c>
      <c r="EG175" s="710" t="s">
        <v>279</v>
      </c>
      <c r="EH175" s="710"/>
      <c r="EI175" s="901"/>
      <c r="EJ175" s="710" t="s">
        <v>279</v>
      </c>
      <c r="EK175" s="710"/>
      <c r="EL175" s="901"/>
      <c r="EM175" s="710" t="s">
        <v>278</v>
      </c>
      <c r="EN175" s="710" t="s">
        <v>3584</v>
      </c>
      <c r="EO175" s="901">
        <v>7</v>
      </c>
      <c r="EP175" s="710"/>
      <c r="EQ175" s="710"/>
      <c r="ER175" s="901"/>
      <c r="ES175" s="710"/>
      <c r="ET175" s="710"/>
      <c r="EU175" s="901"/>
      <c r="EV175" s="901"/>
      <c r="EW175" s="901"/>
      <c r="EX175" s="901"/>
      <c r="EY175" s="710" t="s">
        <v>279</v>
      </c>
      <c r="EZ175" s="710"/>
      <c r="FA175" s="710" t="s">
        <v>278</v>
      </c>
      <c r="FB175" s="710" t="s">
        <v>3589</v>
      </c>
      <c r="FC175" s="710"/>
      <c r="FD175" s="710" t="s">
        <v>3595</v>
      </c>
      <c r="FE175" s="710"/>
      <c r="FF175" s="710"/>
      <c r="FG175" s="710"/>
      <c r="FH175" s="710"/>
      <c r="FI175" s="710"/>
      <c r="FJ175" s="710"/>
      <c r="FK175" s="710" t="s">
        <v>3605</v>
      </c>
      <c r="FL175" s="901">
        <v>83414129543</v>
      </c>
      <c r="FM175" s="710"/>
      <c r="FN175" s="710" t="s">
        <v>3617</v>
      </c>
      <c r="FO175" s="710">
        <v>83412497390</v>
      </c>
      <c r="FP175" s="945" t="s">
        <v>2157</v>
      </c>
    </row>
    <row r="176" spans="2:172" ht="97" customHeight="1">
      <c r="B176" s="850" t="s">
        <v>5313</v>
      </c>
      <c r="C176" s="863"/>
      <c r="D176" s="850" t="s">
        <v>4934</v>
      </c>
      <c r="E176" s="850" t="s">
        <v>5314</v>
      </c>
      <c r="F176" s="863"/>
      <c r="H176" s="850" t="s">
        <v>4934</v>
      </c>
      <c r="I176" s="850" t="s">
        <v>5520</v>
      </c>
      <c r="J176" s="850" t="s">
        <v>5460</v>
      </c>
      <c r="K176" s="710" t="s">
        <v>266</v>
      </c>
      <c r="L176" s="710" t="s">
        <v>3536</v>
      </c>
      <c r="M176" s="710" t="s">
        <v>3541</v>
      </c>
      <c r="N176" s="710" t="s">
        <v>3541</v>
      </c>
      <c r="O176" s="895">
        <v>2019</v>
      </c>
      <c r="P176" s="896">
        <v>43522</v>
      </c>
      <c r="Q176" s="896">
        <v>43769</v>
      </c>
      <c r="R176" s="712">
        <f t="shared" si="65"/>
        <v>247</v>
      </c>
      <c r="S176" s="896"/>
      <c r="T176" s="896"/>
      <c r="U176" s="896"/>
      <c r="V176" s="896"/>
      <c r="W176" s="896"/>
      <c r="X176" s="896"/>
      <c r="Y176" s="896"/>
      <c r="Z176" s="896"/>
      <c r="AA176" s="896"/>
      <c r="AB176" s="710" t="s">
        <v>3547</v>
      </c>
      <c r="AC176" s="995" t="s">
        <v>3552</v>
      </c>
      <c r="AD176" s="710" t="s">
        <v>3556</v>
      </c>
      <c r="AE176" s="710" t="s">
        <v>3561</v>
      </c>
      <c r="AF176" s="710" t="s">
        <v>766</v>
      </c>
      <c r="AG176" s="710" t="s">
        <v>3567</v>
      </c>
      <c r="AH176" s="898">
        <v>1.859</v>
      </c>
      <c r="AI176" s="868">
        <f t="shared" si="47"/>
        <v>1.859</v>
      </c>
      <c r="AJ176" s="867">
        <f t="shared" si="48"/>
        <v>0</v>
      </c>
      <c r="AK176" s="898"/>
      <c r="AL176" s="898"/>
      <c r="AM176" s="898"/>
      <c r="AN176" s="869">
        <f t="shared" si="49"/>
        <v>0</v>
      </c>
      <c r="AO176" s="869">
        <f t="shared" si="50"/>
        <v>0</v>
      </c>
      <c r="AP176" s="898"/>
      <c r="AQ176" s="899"/>
      <c r="AR176" s="899">
        <v>2.9999999999999997E-4</v>
      </c>
      <c r="AS176" s="869">
        <f t="shared" si="51"/>
        <v>0</v>
      </c>
      <c r="AT176" s="869">
        <f t="shared" si="52"/>
        <v>0</v>
      </c>
      <c r="AU176" s="942">
        <v>0.85</v>
      </c>
      <c r="AV176" s="899">
        <v>0.4572</v>
      </c>
      <c r="AW176" s="869">
        <f t="shared" si="53"/>
        <v>0.45723507261968799</v>
      </c>
      <c r="AX176" s="869">
        <f t="shared" si="54"/>
        <v>-3.5072619687992468E-5</v>
      </c>
      <c r="AY176" s="898">
        <v>0.95899999999999996</v>
      </c>
      <c r="AZ176" s="899">
        <v>0.51590000000000003</v>
      </c>
      <c r="BA176" s="869">
        <f t="shared" si="55"/>
        <v>0.51586874663797744</v>
      </c>
      <c r="BB176" s="869">
        <f t="shared" si="56"/>
        <v>3.1253362022587439E-5</v>
      </c>
      <c r="BC176" s="898">
        <v>0.05</v>
      </c>
      <c r="BD176" s="899">
        <v>2.69E-2</v>
      </c>
      <c r="BE176" s="869">
        <f t="shared" si="57"/>
        <v>2.6896180742334592E-2</v>
      </c>
      <c r="BF176" s="869">
        <f t="shared" si="58"/>
        <v>3.8192576654084986E-6</v>
      </c>
      <c r="BG176" s="899"/>
      <c r="BH176" s="899"/>
      <c r="BI176" s="899"/>
      <c r="BJ176" s="899"/>
      <c r="BK176" s="899"/>
      <c r="BL176" s="714">
        <f t="shared" si="59"/>
        <v>0</v>
      </c>
      <c r="BM176" s="869">
        <f t="shared" si="60"/>
        <v>0</v>
      </c>
      <c r="BN176" s="898"/>
      <c r="BO176" s="899" t="s">
        <v>279</v>
      </c>
      <c r="BP176" s="869">
        <f t="shared" si="61"/>
        <v>0</v>
      </c>
      <c r="BQ176" s="869" t="e">
        <f t="shared" si="62"/>
        <v>#VALUE!</v>
      </c>
      <c r="BR176" s="899"/>
      <c r="BS176" s="899"/>
      <c r="BT176" s="898">
        <v>20</v>
      </c>
      <c r="BU176" s="899">
        <v>1.03E-2</v>
      </c>
      <c r="BV176" s="901">
        <v>7</v>
      </c>
      <c r="BW176" s="901">
        <v>7</v>
      </c>
      <c r="BX176" s="901">
        <v>2</v>
      </c>
      <c r="BY176" s="901">
        <v>0</v>
      </c>
      <c r="BZ176" s="901">
        <v>2</v>
      </c>
      <c r="CA176" s="901">
        <v>0</v>
      </c>
      <c r="CB176" s="901">
        <v>0</v>
      </c>
      <c r="CC176" s="901">
        <v>0</v>
      </c>
      <c r="CD176" s="901">
        <v>0</v>
      </c>
      <c r="CE176" s="901">
        <v>0</v>
      </c>
      <c r="CF176" s="901">
        <v>0</v>
      </c>
      <c r="CG176" s="901">
        <v>0</v>
      </c>
      <c r="CH176" s="901">
        <v>0</v>
      </c>
      <c r="CI176" s="901">
        <v>0</v>
      </c>
      <c r="CJ176" s="901">
        <v>0</v>
      </c>
      <c r="CK176" s="901">
        <v>0</v>
      </c>
      <c r="CL176" s="901">
        <v>0</v>
      </c>
      <c r="CM176" s="901">
        <v>0</v>
      </c>
      <c r="CN176" s="901">
        <v>0</v>
      </c>
      <c r="CO176" s="901">
        <v>0</v>
      </c>
      <c r="CP176" s="901">
        <v>0</v>
      </c>
      <c r="CQ176" s="901">
        <v>0</v>
      </c>
      <c r="CR176" s="901">
        <v>0</v>
      </c>
      <c r="CS176" s="902">
        <f t="shared" si="67"/>
        <v>2</v>
      </c>
      <c r="CT176" s="871">
        <f t="shared" si="63"/>
        <v>2</v>
      </c>
      <c r="CU176" s="871">
        <f t="shared" si="64"/>
        <v>0</v>
      </c>
      <c r="CV176" s="942">
        <v>2.242</v>
      </c>
      <c r="CW176" s="710" t="s">
        <v>3570</v>
      </c>
      <c r="CX176" s="710"/>
      <c r="CY176" s="710"/>
      <c r="CZ176" s="710"/>
      <c r="DA176" s="710">
        <v>2.2999999999999998</v>
      </c>
      <c r="DB176" s="1016" t="s">
        <v>2141</v>
      </c>
      <c r="DC176" s="710" t="s">
        <v>389</v>
      </c>
      <c r="DD176" s="710"/>
      <c r="DE176" s="710"/>
      <c r="DF176" s="901"/>
      <c r="DG176" s="901"/>
      <c r="DH176" s="901">
        <v>2</v>
      </c>
      <c r="DI176" s="710" t="s">
        <v>279</v>
      </c>
      <c r="DJ176" s="710"/>
      <c r="DK176" s="901"/>
      <c r="DL176" s="710" t="s">
        <v>278</v>
      </c>
      <c r="DM176" s="710" t="s">
        <v>3579</v>
      </c>
      <c r="DN176" s="901">
        <v>242</v>
      </c>
      <c r="DO176" s="710" t="s">
        <v>279</v>
      </c>
      <c r="DP176" s="710"/>
      <c r="DQ176" s="901"/>
      <c r="DR176" s="710" t="s">
        <v>279</v>
      </c>
      <c r="DS176" s="710"/>
      <c r="DT176" s="901"/>
      <c r="DU176" s="710" t="s">
        <v>279</v>
      </c>
      <c r="DV176" s="710"/>
      <c r="DW176" s="901"/>
      <c r="DX176" s="710" t="s">
        <v>279</v>
      </c>
      <c r="DY176" s="710"/>
      <c r="DZ176" s="901"/>
      <c r="EA176" s="710" t="s">
        <v>279</v>
      </c>
      <c r="EB176" s="710"/>
      <c r="EC176" s="901"/>
      <c r="ED176" s="710" t="s">
        <v>278</v>
      </c>
      <c r="EE176" s="710" t="s">
        <v>3582</v>
      </c>
      <c r="EF176" s="901">
        <v>242</v>
      </c>
      <c r="EG176" s="710" t="s">
        <v>279</v>
      </c>
      <c r="EH176" s="710"/>
      <c r="EI176" s="901"/>
      <c r="EJ176" s="710" t="s">
        <v>279</v>
      </c>
      <c r="EK176" s="710"/>
      <c r="EL176" s="901"/>
      <c r="EM176" s="710" t="s">
        <v>279</v>
      </c>
      <c r="EN176" s="710" t="s">
        <v>3585</v>
      </c>
      <c r="EO176" s="901">
        <v>11</v>
      </c>
      <c r="EP176" s="710" t="s">
        <v>279</v>
      </c>
      <c r="EQ176" s="710"/>
      <c r="ER176" s="901"/>
      <c r="ES176" s="710" t="s">
        <v>279</v>
      </c>
      <c r="ET176" s="710"/>
      <c r="EU176" s="901"/>
      <c r="EV176" s="901"/>
      <c r="EW176" s="901"/>
      <c r="EX176" s="901"/>
      <c r="EY176" s="710" t="s">
        <v>279</v>
      </c>
      <c r="EZ176" s="710"/>
      <c r="FA176" s="710" t="s">
        <v>278</v>
      </c>
      <c r="FB176" s="710" t="s">
        <v>3590</v>
      </c>
      <c r="FC176" s="995" t="s">
        <v>3592</v>
      </c>
      <c r="FD176" s="995" t="s">
        <v>3596</v>
      </c>
      <c r="FE176" s="710" t="s">
        <v>279</v>
      </c>
      <c r="FF176" s="710" t="s">
        <v>3599</v>
      </c>
      <c r="FG176" s="710" t="s">
        <v>3602</v>
      </c>
      <c r="FH176" s="710" t="s">
        <v>279</v>
      </c>
      <c r="FI176" s="710"/>
      <c r="FJ176" s="710"/>
      <c r="FK176" s="710" t="s">
        <v>3606</v>
      </c>
      <c r="FL176" s="710" t="s">
        <v>3610</v>
      </c>
      <c r="FM176" s="995" t="s">
        <v>3613</v>
      </c>
      <c r="FN176" s="710" t="s">
        <v>3617</v>
      </c>
      <c r="FO176" s="710">
        <v>83412497390</v>
      </c>
      <c r="FP176" s="995" t="s">
        <v>2157</v>
      </c>
    </row>
    <row r="177" spans="2:172" ht="90" customHeight="1">
      <c r="B177" s="850" t="s">
        <v>5313</v>
      </c>
      <c r="C177" s="863"/>
      <c r="D177" s="850" t="s">
        <v>4934</v>
      </c>
      <c r="E177" s="850" t="s">
        <v>5314</v>
      </c>
      <c r="F177" s="863"/>
      <c r="H177" s="850" t="s">
        <v>4934</v>
      </c>
      <c r="I177" s="850" t="s">
        <v>5520</v>
      </c>
      <c r="J177" s="850" t="s">
        <v>5460</v>
      </c>
      <c r="K177" s="710" t="s">
        <v>266</v>
      </c>
      <c r="L177" s="710" t="s">
        <v>3537</v>
      </c>
      <c r="M177" s="710" t="s">
        <v>3542</v>
      </c>
      <c r="N177" s="710" t="s">
        <v>279</v>
      </c>
      <c r="O177" s="895">
        <v>2019</v>
      </c>
      <c r="P177" s="896">
        <v>43517</v>
      </c>
      <c r="Q177" s="896">
        <v>43768</v>
      </c>
      <c r="R177" s="712">
        <f t="shared" si="65"/>
        <v>251</v>
      </c>
      <c r="S177" s="896"/>
      <c r="T177" s="896"/>
      <c r="U177" s="896"/>
      <c r="V177" s="896"/>
      <c r="W177" s="896"/>
      <c r="X177" s="896"/>
      <c r="Y177" s="896"/>
      <c r="Z177" s="896"/>
      <c r="AA177" s="896"/>
      <c r="AB177" s="710" t="s">
        <v>3548</v>
      </c>
      <c r="AC177" s="995" t="s">
        <v>3548</v>
      </c>
      <c r="AD177" s="710" t="s">
        <v>3557</v>
      </c>
      <c r="AE177" s="710" t="s">
        <v>3562</v>
      </c>
      <c r="AF177" s="710" t="s">
        <v>766</v>
      </c>
      <c r="AG177" s="710" t="s">
        <v>3568</v>
      </c>
      <c r="AH177" s="898">
        <v>1.6</v>
      </c>
      <c r="AI177" s="868">
        <f t="shared" si="47"/>
        <v>1.603</v>
      </c>
      <c r="AJ177" s="875">
        <f t="shared" si="48"/>
        <v>2.9999999999998916E-3</v>
      </c>
      <c r="AK177" s="898"/>
      <c r="AL177" s="898"/>
      <c r="AM177" s="898"/>
      <c r="AN177" s="869">
        <f t="shared" si="49"/>
        <v>0</v>
      </c>
      <c r="AO177" s="869">
        <f t="shared" si="50"/>
        <v>0</v>
      </c>
      <c r="AP177" s="898"/>
      <c r="AQ177" s="899"/>
      <c r="AR177" s="899">
        <v>1.9E-3</v>
      </c>
      <c r="AS177" s="869">
        <f t="shared" si="51"/>
        <v>0</v>
      </c>
      <c r="AT177" s="869">
        <f t="shared" si="52"/>
        <v>0</v>
      </c>
      <c r="AU177" s="942">
        <v>1.3</v>
      </c>
      <c r="AV177" s="899">
        <v>0.82750000000000001</v>
      </c>
      <c r="AW177" s="869">
        <f t="shared" si="53"/>
        <v>0.8125</v>
      </c>
      <c r="AX177" s="869">
        <f t="shared" si="54"/>
        <v>1.5000000000000013E-2</v>
      </c>
      <c r="AY177" s="898">
        <v>0.3</v>
      </c>
      <c r="AZ177" s="899">
        <v>0.1706</v>
      </c>
      <c r="BA177" s="869">
        <f t="shared" si="55"/>
        <v>0.18749999999999997</v>
      </c>
      <c r="BB177" s="869">
        <f t="shared" si="56"/>
        <v>-1.6899999999999971E-2</v>
      </c>
      <c r="BC177" s="898">
        <v>3.0000000000000001E-3</v>
      </c>
      <c r="BD177" s="899">
        <v>1.9E-3</v>
      </c>
      <c r="BE177" s="869">
        <f t="shared" si="57"/>
        <v>1.8749999999999999E-3</v>
      </c>
      <c r="BF177" s="869">
        <f t="shared" si="58"/>
        <v>2.5000000000000066E-5</v>
      </c>
      <c r="BG177" s="899"/>
      <c r="BH177" s="899"/>
      <c r="BI177" s="899"/>
      <c r="BJ177" s="899"/>
      <c r="BK177" s="899"/>
      <c r="BL177" s="714">
        <f t="shared" si="59"/>
        <v>0</v>
      </c>
      <c r="BM177" s="869">
        <f t="shared" si="60"/>
        <v>0</v>
      </c>
      <c r="BN177" s="898"/>
      <c r="BO177" s="899" t="s">
        <v>279</v>
      </c>
      <c r="BP177" s="869">
        <f t="shared" si="61"/>
        <v>0</v>
      </c>
      <c r="BQ177" s="869" t="e">
        <f t="shared" si="62"/>
        <v>#VALUE!</v>
      </c>
      <c r="BR177" s="899"/>
      <c r="BS177" s="899"/>
      <c r="BT177" s="898" t="s">
        <v>279</v>
      </c>
      <c r="BU177" s="899" t="s">
        <v>279</v>
      </c>
      <c r="BV177" s="901">
        <v>2</v>
      </c>
      <c r="BW177" s="901">
        <v>2</v>
      </c>
      <c r="BX177" s="901">
        <v>2</v>
      </c>
      <c r="BY177" s="901">
        <v>0</v>
      </c>
      <c r="BZ177" s="901">
        <v>1</v>
      </c>
      <c r="CA177" s="901">
        <v>0</v>
      </c>
      <c r="CB177" s="901">
        <v>0</v>
      </c>
      <c r="CC177" s="901">
        <v>0</v>
      </c>
      <c r="CD177" s="901">
        <v>0</v>
      </c>
      <c r="CE177" s="901">
        <v>0</v>
      </c>
      <c r="CF177" s="901">
        <v>0</v>
      </c>
      <c r="CG177" s="901">
        <v>0</v>
      </c>
      <c r="CH177" s="901">
        <v>0</v>
      </c>
      <c r="CI177" s="901">
        <v>0</v>
      </c>
      <c r="CJ177" s="901">
        <v>0</v>
      </c>
      <c r="CK177" s="901">
        <v>1</v>
      </c>
      <c r="CL177" s="901">
        <v>0</v>
      </c>
      <c r="CM177" s="901">
        <v>0</v>
      </c>
      <c r="CN177" s="901">
        <v>0</v>
      </c>
      <c r="CO177" s="901">
        <v>0</v>
      </c>
      <c r="CP177" s="901">
        <v>0</v>
      </c>
      <c r="CQ177" s="901">
        <v>0</v>
      </c>
      <c r="CR177" s="901">
        <v>0</v>
      </c>
      <c r="CS177" s="902">
        <f t="shared" si="67"/>
        <v>2</v>
      </c>
      <c r="CT177" s="871">
        <f t="shared" si="63"/>
        <v>2</v>
      </c>
      <c r="CU177" s="871">
        <f t="shared" si="64"/>
        <v>0</v>
      </c>
      <c r="CV177" s="942">
        <v>0.53</v>
      </c>
      <c r="CW177" s="710" t="s">
        <v>3571</v>
      </c>
      <c r="CX177" s="710" t="s">
        <v>279</v>
      </c>
      <c r="CY177" s="710"/>
      <c r="CZ177" s="710"/>
      <c r="DA177" s="710">
        <v>54.4</v>
      </c>
      <c r="DB177" s="1016" t="s">
        <v>3576</v>
      </c>
      <c r="DC177" s="710" t="s">
        <v>279</v>
      </c>
      <c r="DD177" s="710" t="s">
        <v>279</v>
      </c>
      <c r="DE177" s="710" t="s">
        <v>279</v>
      </c>
      <c r="DF177" s="901">
        <v>0</v>
      </c>
      <c r="DG177" s="901">
        <v>0</v>
      </c>
      <c r="DH177" s="901">
        <v>0</v>
      </c>
      <c r="DI177" s="710"/>
      <c r="DJ177" s="710" t="s">
        <v>279</v>
      </c>
      <c r="DK177" s="901"/>
      <c r="DL177" s="710" t="s">
        <v>278</v>
      </c>
      <c r="DM177" s="710" t="s">
        <v>3580</v>
      </c>
      <c r="DN177" s="901">
        <v>141</v>
      </c>
      <c r="DO177" s="710" t="s">
        <v>279</v>
      </c>
      <c r="DP177" s="710" t="s">
        <v>279</v>
      </c>
      <c r="DQ177" s="901">
        <v>0</v>
      </c>
      <c r="DR177" s="710" t="s">
        <v>279</v>
      </c>
      <c r="DS177" s="710" t="s">
        <v>279</v>
      </c>
      <c r="DT177" s="901">
        <v>0</v>
      </c>
      <c r="DU177" s="710" t="s">
        <v>279</v>
      </c>
      <c r="DV177" s="710" t="s">
        <v>279</v>
      </c>
      <c r="DW177" s="901">
        <v>0</v>
      </c>
      <c r="DX177" s="710" t="s">
        <v>279</v>
      </c>
      <c r="DY177" s="710" t="s">
        <v>279</v>
      </c>
      <c r="DZ177" s="901">
        <v>0</v>
      </c>
      <c r="EA177" s="710" t="s">
        <v>279</v>
      </c>
      <c r="EB177" s="710" t="s">
        <v>279</v>
      </c>
      <c r="EC177" s="901">
        <v>0</v>
      </c>
      <c r="ED177" s="710" t="s">
        <v>278</v>
      </c>
      <c r="EE177" s="710" t="s">
        <v>3580</v>
      </c>
      <c r="EF177" s="901">
        <v>141</v>
      </c>
      <c r="EG177" s="710" t="s">
        <v>279</v>
      </c>
      <c r="EH177" s="710" t="s">
        <v>279</v>
      </c>
      <c r="EI177" s="901">
        <v>0</v>
      </c>
      <c r="EJ177" s="710" t="s">
        <v>279</v>
      </c>
      <c r="EK177" s="710" t="s">
        <v>279</v>
      </c>
      <c r="EL177" s="901">
        <v>0</v>
      </c>
      <c r="EM177" s="710" t="s">
        <v>279</v>
      </c>
      <c r="EN177" s="710" t="s">
        <v>279</v>
      </c>
      <c r="EO177" s="901">
        <v>0</v>
      </c>
      <c r="EP177" s="710" t="s">
        <v>279</v>
      </c>
      <c r="EQ177" s="710" t="s">
        <v>279</v>
      </c>
      <c r="ER177" s="901">
        <v>0</v>
      </c>
      <c r="ES177" s="710" t="s">
        <v>279</v>
      </c>
      <c r="ET177" s="710" t="s">
        <v>279</v>
      </c>
      <c r="EU177" s="901">
        <v>0</v>
      </c>
      <c r="EV177" s="901"/>
      <c r="EW177" s="901"/>
      <c r="EX177" s="901"/>
      <c r="EY177" s="710" t="s">
        <v>279</v>
      </c>
      <c r="EZ177" s="710" t="s">
        <v>279</v>
      </c>
      <c r="FA177" s="710" t="s">
        <v>279</v>
      </c>
      <c r="FB177" s="710" t="s">
        <v>279</v>
      </c>
      <c r="FC177" s="995" t="s">
        <v>3593</v>
      </c>
      <c r="FD177" s="995" t="s">
        <v>3597</v>
      </c>
      <c r="FE177" s="710" t="s">
        <v>279</v>
      </c>
      <c r="FF177" s="710" t="s">
        <v>279</v>
      </c>
      <c r="FG177" s="710" t="s">
        <v>279</v>
      </c>
      <c r="FH177" s="710" t="s">
        <v>279</v>
      </c>
      <c r="FI177" s="710">
        <v>0</v>
      </c>
      <c r="FJ177" s="710">
        <v>0</v>
      </c>
      <c r="FK177" s="710" t="s">
        <v>3607</v>
      </c>
      <c r="FL177" s="710" t="s">
        <v>3611</v>
      </c>
      <c r="FM177" s="995" t="s">
        <v>3614</v>
      </c>
      <c r="FN177" s="710" t="s">
        <v>3617</v>
      </c>
      <c r="FO177" s="710">
        <v>83412497390</v>
      </c>
      <c r="FP177" s="995" t="s">
        <v>2157</v>
      </c>
    </row>
    <row r="178" spans="2:172" ht="93" customHeight="1">
      <c r="B178" s="850" t="s">
        <v>5313</v>
      </c>
      <c r="C178" s="863"/>
      <c r="D178" s="850" t="s">
        <v>4934</v>
      </c>
      <c r="E178" s="850" t="s">
        <v>5314</v>
      </c>
      <c r="F178" s="863"/>
      <c r="H178" s="850" t="s">
        <v>4934</v>
      </c>
      <c r="I178" s="850" t="s">
        <v>5520</v>
      </c>
      <c r="J178" s="850" t="s">
        <v>5460</v>
      </c>
      <c r="K178" s="710" t="s">
        <v>266</v>
      </c>
      <c r="L178" s="710" t="s">
        <v>3538</v>
      </c>
      <c r="M178" s="710" t="s">
        <v>3543</v>
      </c>
      <c r="N178" s="710" t="s">
        <v>3543</v>
      </c>
      <c r="O178" s="895">
        <v>2019</v>
      </c>
      <c r="P178" s="896">
        <v>43570</v>
      </c>
      <c r="Q178" s="896">
        <v>43830</v>
      </c>
      <c r="R178" s="712">
        <f t="shared" si="65"/>
        <v>260</v>
      </c>
      <c r="S178" s="896"/>
      <c r="T178" s="896"/>
      <c r="U178" s="896"/>
      <c r="V178" s="896"/>
      <c r="W178" s="896"/>
      <c r="X178" s="896"/>
      <c r="Y178" s="896"/>
      <c r="Z178" s="896"/>
      <c r="AA178" s="896"/>
      <c r="AB178" s="710" t="s">
        <v>3549</v>
      </c>
      <c r="AC178" s="861" t="s">
        <v>3553</v>
      </c>
      <c r="AD178" s="710" t="s">
        <v>3558</v>
      </c>
      <c r="AE178" s="710" t="s">
        <v>3558</v>
      </c>
      <c r="AF178" s="710" t="s">
        <v>3564</v>
      </c>
      <c r="AG178" s="710" t="s">
        <v>3558</v>
      </c>
      <c r="AH178" s="898">
        <v>9.4443950999999995</v>
      </c>
      <c r="AI178" s="868">
        <f t="shared" si="47"/>
        <v>9.4439999999999991</v>
      </c>
      <c r="AJ178" s="867">
        <f t="shared" si="48"/>
        <v>-3.9510000000042567E-4</v>
      </c>
      <c r="AK178" s="898"/>
      <c r="AL178" s="898"/>
      <c r="AM178" s="898"/>
      <c r="AN178" s="869">
        <f t="shared" si="49"/>
        <v>0</v>
      </c>
      <c r="AO178" s="869">
        <f t="shared" si="50"/>
        <v>0</v>
      </c>
      <c r="AP178" s="898"/>
      <c r="AQ178" s="899"/>
      <c r="AR178" s="899">
        <v>6.3600000000000002E-3</v>
      </c>
      <c r="AS178" s="869">
        <f t="shared" si="51"/>
        <v>0</v>
      </c>
      <c r="AT178" s="869">
        <f t="shared" si="52"/>
        <v>0</v>
      </c>
      <c r="AU178" s="942">
        <v>6.5</v>
      </c>
      <c r="AV178" s="899">
        <v>0.68827000000000005</v>
      </c>
      <c r="AW178" s="869">
        <f t="shared" si="53"/>
        <v>0.68823888996342397</v>
      </c>
      <c r="AX178" s="869">
        <f t="shared" si="54"/>
        <v>3.1110036576076361E-5</v>
      </c>
      <c r="AY178" s="898">
        <v>0.73699999999999999</v>
      </c>
      <c r="AZ178" s="899">
        <v>7.8E-2</v>
      </c>
      <c r="BA178" s="869">
        <f t="shared" si="55"/>
        <v>7.8035701831237453E-2</v>
      </c>
      <c r="BB178" s="869">
        <f t="shared" si="56"/>
        <v>-3.5701831237452963E-5</v>
      </c>
      <c r="BC178" s="898">
        <v>2.2069999999999999</v>
      </c>
      <c r="BD178" s="899">
        <v>0.23365</v>
      </c>
      <c r="BE178" s="869">
        <f t="shared" si="57"/>
        <v>0.23368357386911948</v>
      </c>
      <c r="BF178" s="869">
        <f t="shared" si="58"/>
        <v>-3.3573869119479793E-5</v>
      </c>
      <c r="BG178" s="899"/>
      <c r="BH178" s="899"/>
      <c r="BI178" s="899"/>
      <c r="BJ178" s="899"/>
      <c r="BK178" s="899"/>
      <c r="BL178" s="714">
        <f t="shared" si="59"/>
        <v>0</v>
      </c>
      <c r="BM178" s="869">
        <f t="shared" si="60"/>
        <v>0</v>
      </c>
      <c r="BN178" s="898">
        <v>0</v>
      </c>
      <c r="BO178" s="899">
        <v>0</v>
      </c>
      <c r="BP178" s="869">
        <f t="shared" si="61"/>
        <v>0</v>
      </c>
      <c r="BQ178" s="869">
        <f t="shared" si="62"/>
        <v>0</v>
      </c>
      <c r="BR178" s="899"/>
      <c r="BS178" s="899"/>
      <c r="BT178" s="898">
        <v>14.473000000000001</v>
      </c>
      <c r="BU178" s="899">
        <v>1.652E-2</v>
      </c>
      <c r="BV178" s="901">
        <v>7</v>
      </c>
      <c r="BW178" s="901">
        <v>7</v>
      </c>
      <c r="BX178" s="901">
        <v>7</v>
      </c>
      <c r="BY178" s="901"/>
      <c r="BZ178" s="901">
        <v>7</v>
      </c>
      <c r="CA178" s="901"/>
      <c r="CB178" s="901"/>
      <c r="CC178" s="901"/>
      <c r="CD178" s="901"/>
      <c r="CE178" s="901"/>
      <c r="CF178" s="901"/>
      <c r="CG178" s="901"/>
      <c r="CH178" s="901"/>
      <c r="CI178" s="901"/>
      <c r="CJ178" s="901"/>
      <c r="CK178" s="901"/>
      <c r="CL178" s="901"/>
      <c r="CM178" s="901"/>
      <c r="CN178" s="901"/>
      <c r="CO178" s="901"/>
      <c r="CP178" s="901"/>
      <c r="CQ178" s="901"/>
      <c r="CR178" s="901"/>
      <c r="CS178" s="902">
        <f t="shared" si="67"/>
        <v>7</v>
      </c>
      <c r="CT178" s="871">
        <f t="shared" si="63"/>
        <v>7</v>
      </c>
      <c r="CU178" s="871">
        <f t="shared" si="64"/>
        <v>0</v>
      </c>
      <c r="CV178" s="942">
        <v>2.2589999999999999</v>
      </c>
      <c r="CW178" s="710" t="s">
        <v>3572</v>
      </c>
      <c r="CX178" s="861" t="s">
        <v>3553</v>
      </c>
      <c r="CY178" s="861"/>
      <c r="CZ178" s="861"/>
      <c r="DA178" s="710">
        <v>8.6</v>
      </c>
      <c r="DB178" s="903" t="s">
        <v>2141</v>
      </c>
      <c r="DC178" s="710" t="s">
        <v>279</v>
      </c>
      <c r="DD178" s="710" t="s">
        <v>279</v>
      </c>
      <c r="DE178" s="710" t="s">
        <v>279</v>
      </c>
      <c r="DF178" s="901"/>
      <c r="DG178" s="901" t="s">
        <v>279</v>
      </c>
      <c r="DH178" s="901">
        <v>10</v>
      </c>
      <c r="DI178" s="710" t="s">
        <v>278</v>
      </c>
      <c r="DJ178" s="710" t="s">
        <v>3578</v>
      </c>
      <c r="DK178" s="901">
        <v>516</v>
      </c>
      <c r="DL178" s="710" t="s">
        <v>278</v>
      </c>
      <c r="DM178" s="710" t="s">
        <v>3581</v>
      </c>
      <c r="DN178" s="901">
        <v>694</v>
      </c>
      <c r="DO178" s="710" t="s">
        <v>279</v>
      </c>
      <c r="DP178" s="710" t="s">
        <v>279</v>
      </c>
      <c r="DQ178" s="901" t="s">
        <v>279</v>
      </c>
      <c r="DR178" s="710" t="s">
        <v>279</v>
      </c>
      <c r="DS178" s="710" t="s">
        <v>279</v>
      </c>
      <c r="DT178" s="901"/>
      <c r="DU178" s="710" t="s">
        <v>279</v>
      </c>
      <c r="DV178" s="710" t="s">
        <v>279</v>
      </c>
      <c r="DW178" s="901"/>
      <c r="DX178" s="710"/>
      <c r="DY178" s="710"/>
      <c r="DZ178" s="901"/>
      <c r="EA178" s="710" t="s">
        <v>279</v>
      </c>
      <c r="EB178" s="710" t="s">
        <v>279</v>
      </c>
      <c r="EC178" s="901" t="s">
        <v>279</v>
      </c>
      <c r="ED178" s="710" t="s">
        <v>278</v>
      </c>
      <c r="EE178" s="710" t="s">
        <v>3583</v>
      </c>
      <c r="EF178" s="901">
        <v>768</v>
      </c>
      <c r="EG178" s="710" t="s">
        <v>279</v>
      </c>
      <c r="EH178" s="710" t="s">
        <v>279</v>
      </c>
      <c r="EI178" s="901" t="s">
        <v>279</v>
      </c>
      <c r="EJ178" s="710" t="s">
        <v>279</v>
      </c>
      <c r="EK178" s="710" t="s">
        <v>279</v>
      </c>
      <c r="EL178" s="901" t="s">
        <v>279</v>
      </c>
      <c r="EM178" s="710" t="s">
        <v>278</v>
      </c>
      <c r="EN178" s="861" t="s">
        <v>3586</v>
      </c>
      <c r="EO178" s="901">
        <v>10</v>
      </c>
      <c r="EP178" s="710" t="s">
        <v>279</v>
      </c>
      <c r="EQ178" s="861"/>
      <c r="ER178" s="901">
        <v>8</v>
      </c>
      <c r="ES178" s="710" t="s">
        <v>279</v>
      </c>
      <c r="ET178" s="710" t="s">
        <v>279</v>
      </c>
      <c r="EU178" s="901" t="s">
        <v>279</v>
      </c>
      <c r="EV178" s="901"/>
      <c r="EW178" s="901"/>
      <c r="EX178" s="901"/>
      <c r="EY178" s="710" t="s">
        <v>278</v>
      </c>
      <c r="EZ178" s="710" t="s">
        <v>3588</v>
      </c>
      <c r="FA178" s="710" t="s">
        <v>279</v>
      </c>
      <c r="FB178" s="710" t="s">
        <v>279</v>
      </c>
      <c r="FC178" s="861" t="s">
        <v>3553</v>
      </c>
      <c r="FD178" s="861" t="s">
        <v>3598</v>
      </c>
      <c r="FE178" s="861" t="s">
        <v>3553</v>
      </c>
      <c r="FF178" s="710" t="s">
        <v>3600</v>
      </c>
      <c r="FG178" s="710" t="s">
        <v>3603</v>
      </c>
      <c r="FH178" s="710" t="s">
        <v>3604</v>
      </c>
      <c r="FI178" s="710">
        <v>1</v>
      </c>
      <c r="FJ178" s="710">
        <v>30</v>
      </c>
      <c r="FK178" s="710" t="s">
        <v>3608</v>
      </c>
      <c r="FL178" s="710" t="s">
        <v>3612</v>
      </c>
      <c r="FM178" s="861" t="s">
        <v>3615</v>
      </c>
      <c r="FN178" s="710" t="s">
        <v>3617</v>
      </c>
      <c r="FO178" s="710">
        <v>83412497390</v>
      </c>
      <c r="FP178" s="861" t="s">
        <v>2157</v>
      </c>
    </row>
    <row r="179" spans="2:172" ht="94" customHeight="1">
      <c r="B179" s="850" t="s">
        <v>5313</v>
      </c>
      <c r="C179" s="863"/>
      <c r="D179" s="850" t="s">
        <v>4934</v>
      </c>
      <c r="E179" s="850" t="s">
        <v>5314</v>
      </c>
      <c r="F179" s="863"/>
      <c r="H179" s="850" t="s">
        <v>4934</v>
      </c>
      <c r="I179" s="850" t="s">
        <v>5520</v>
      </c>
      <c r="J179" s="850" t="s">
        <v>5460</v>
      </c>
      <c r="K179" s="710" t="s">
        <v>266</v>
      </c>
      <c r="L179" s="710" t="s">
        <v>3539</v>
      </c>
      <c r="M179" s="710" t="s">
        <v>3542</v>
      </c>
      <c r="N179" s="710" t="s">
        <v>3545</v>
      </c>
      <c r="O179" s="895">
        <v>2017</v>
      </c>
      <c r="P179" s="896">
        <v>43609</v>
      </c>
      <c r="Q179" s="896">
        <v>43812</v>
      </c>
      <c r="R179" s="712">
        <f t="shared" si="65"/>
        <v>203</v>
      </c>
      <c r="S179" s="896"/>
      <c r="T179" s="896"/>
      <c r="U179" s="896"/>
      <c r="V179" s="896"/>
      <c r="W179" s="896"/>
      <c r="X179" s="896"/>
      <c r="Y179" s="896"/>
      <c r="Z179" s="896"/>
      <c r="AA179" s="896"/>
      <c r="AB179" s="710" t="s">
        <v>3550</v>
      </c>
      <c r="AC179" s="861" t="s">
        <v>3554</v>
      </c>
      <c r="AD179" s="710" t="s">
        <v>3559</v>
      </c>
      <c r="AE179" s="710" t="s">
        <v>3563</v>
      </c>
      <c r="AF179" s="710" t="s">
        <v>3565</v>
      </c>
      <c r="AG179" s="710" t="s">
        <v>3569</v>
      </c>
      <c r="AH179" s="898">
        <v>1.7829999999999999</v>
      </c>
      <c r="AI179" s="868">
        <f t="shared" si="47"/>
        <v>1.7829999999999999</v>
      </c>
      <c r="AJ179" s="867">
        <f t="shared" si="48"/>
        <v>0</v>
      </c>
      <c r="AK179" s="898"/>
      <c r="AL179" s="898"/>
      <c r="AM179" s="898"/>
      <c r="AN179" s="869">
        <f t="shared" si="49"/>
        <v>0</v>
      </c>
      <c r="AO179" s="869">
        <f t="shared" si="50"/>
        <v>0</v>
      </c>
      <c r="AP179" s="898"/>
      <c r="AQ179" s="899"/>
      <c r="AR179" s="899">
        <v>5.9999999999999995E-4</v>
      </c>
      <c r="AS179" s="869">
        <f t="shared" si="51"/>
        <v>0</v>
      </c>
      <c r="AT179" s="869">
        <f t="shared" si="52"/>
        <v>0</v>
      </c>
      <c r="AU179" s="942">
        <v>1.419</v>
      </c>
      <c r="AV179" s="899">
        <v>0.79600000000000004</v>
      </c>
      <c r="AW179" s="869">
        <f t="shared" si="53"/>
        <v>0.79584969153112739</v>
      </c>
      <c r="AX179" s="869">
        <f t="shared" si="54"/>
        <v>1.5030846887265081E-4</v>
      </c>
      <c r="AY179" s="898">
        <v>0.35899999999999999</v>
      </c>
      <c r="AZ179" s="899">
        <v>0.20100000000000001</v>
      </c>
      <c r="BA179" s="869">
        <f t="shared" si="55"/>
        <v>0.20134604598990466</v>
      </c>
      <c r="BB179" s="869">
        <f t="shared" si="56"/>
        <v>-3.4604598990464752E-4</v>
      </c>
      <c r="BC179" s="898">
        <v>5.0000000000000001E-3</v>
      </c>
      <c r="BD179" s="899">
        <v>3.0000000000000001E-3</v>
      </c>
      <c r="BE179" s="869">
        <f t="shared" si="57"/>
        <v>2.8042624789680315E-3</v>
      </c>
      <c r="BF179" s="869">
        <f t="shared" si="58"/>
        <v>1.9573752103196852E-4</v>
      </c>
      <c r="BG179" s="899"/>
      <c r="BH179" s="899"/>
      <c r="BI179" s="899"/>
      <c r="BJ179" s="899"/>
      <c r="BK179" s="899"/>
      <c r="BL179" s="714">
        <f t="shared" si="59"/>
        <v>0</v>
      </c>
      <c r="BM179" s="869">
        <f t="shared" si="60"/>
        <v>0</v>
      </c>
      <c r="BN179" s="898"/>
      <c r="BO179" s="899"/>
      <c r="BP179" s="869">
        <f t="shared" si="61"/>
        <v>0</v>
      </c>
      <c r="BQ179" s="869">
        <f t="shared" si="62"/>
        <v>0</v>
      </c>
      <c r="BR179" s="899"/>
      <c r="BS179" s="899"/>
      <c r="BT179" s="898"/>
      <c r="BU179" s="899"/>
      <c r="BV179" s="901"/>
      <c r="BW179" s="901"/>
      <c r="BX179" s="901"/>
      <c r="BY179" s="901">
        <v>1</v>
      </c>
      <c r="BZ179" s="901">
        <v>4</v>
      </c>
      <c r="CA179" s="901"/>
      <c r="CB179" s="901"/>
      <c r="CC179" s="901"/>
      <c r="CD179" s="901"/>
      <c r="CE179" s="901"/>
      <c r="CF179" s="901"/>
      <c r="CG179" s="901"/>
      <c r="CH179" s="901"/>
      <c r="CI179" s="901"/>
      <c r="CJ179" s="901"/>
      <c r="CK179" s="901"/>
      <c r="CL179" s="901"/>
      <c r="CM179" s="901"/>
      <c r="CN179" s="901"/>
      <c r="CO179" s="901"/>
      <c r="CP179" s="901"/>
      <c r="CQ179" s="901"/>
      <c r="CR179" s="901"/>
      <c r="CS179" s="902">
        <f t="shared" si="67"/>
        <v>5</v>
      </c>
      <c r="CT179" s="871">
        <f t="shared" si="63"/>
        <v>5</v>
      </c>
      <c r="CU179" s="871">
        <f t="shared" si="64"/>
        <v>0</v>
      </c>
      <c r="CV179" s="942">
        <v>0.16300000000000001</v>
      </c>
      <c r="CW179" s="710" t="s">
        <v>3573</v>
      </c>
      <c r="CX179" s="861" t="s">
        <v>3574</v>
      </c>
      <c r="CY179" s="861"/>
      <c r="CZ179" s="861"/>
      <c r="DA179" s="899">
        <v>1.6999999999999999E-3</v>
      </c>
      <c r="DB179" s="899"/>
      <c r="DC179" s="710" t="s">
        <v>279</v>
      </c>
      <c r="DD179" s="710"/>
      <c r="DE179" s="710"/>
      <c r="DF179" s="901"/>
      <c r="DG179" s="901"/>
      <c r="DH179" s="901">
        <v>10</v>
      </c>
      <c r="DI179" s="710" t="s">
        <v>279</v>
      </c>
      <c r="DJ179" s="710"/>
      <c r="DK179" s="901"/>
      <c r="DL179" s="710" t="s">
        <v>278</v>
      </c>
      <c r="DM179" s="710" t="s">
        <v>3149</v>
      </c>
      <c r="DN179" s="901">
        <v>59</v>
      </c>
      <c r="DO179" s="710" t="s">
        <v>279</v>
      </c>
      <c r="DP179" s="710"/>
      <c r="DQ179" s="901"/>
      <c r="DR179" s="710" t="s">
        <v>279</v>
      </c>
      <c r="DS179" s="710"/>
      <c r="DT179" s="901"/>
      <c r="DU179" s="710" t="s">
        <v>279</v>
      </c>
      <c r="DV179" s="710"/>
      <c r="DW179" s="901"/>
      <c r="DX179" s="710"/>
      <c r="DY179" s="710"/>
      <c r="DZ179" s="901"/>
      <c r="EA179" s="710" t="s">
        <v>279</v>
      </c>
      <c r="EB179" s="710"/>
      <c r="EC179" s="901"/>
      <c r="ED179" s="710" t="s">
        <v>278</v>
      </c>
      <c r="EE179" s="710" t="s">
        <v>3149</v>
      </c>
      <c r="EF179" s="901">
        <v>59</v>
      </c>
      <c r="EG179" s="710" t="s">
        <v>279</v>
      </c>
      <c r="EH179" s="710"/>
      <c r="EI179" s="901"/>
      <c r="EJ179" s="710" t="s">
        <v>279</v>
      </c>
      <c r="EK179" s="710"/>
      <c r="EL179" s="901"/>
      <c r="EM179" s="710" t="s">
        <v>278</v>
      </c>
      <c r="EN179" s="710" t="s">
        <v>3587</v>
      </c>
      <c r="EO179" s="901">
        <v>16</v>
      </c>
      <c r="EP179" s="710" t="s">
        <v>279</v>
      </c>
      <c r="EQ179" s="710"/>
      <c r="ER179" s="901"/>
      <c r="ES179" s="710"/>
      <c r="ET179" s="710"/>
      <c r="EU179" s="901"/>
      <c r="EV179" s="901"/>
      <c r="EW179" s="901"/>
      <c r="EX179" s="901"/>
      <c r="EY179" s="710" t="s">
        <v>279</v>
      </c>
      <c r="EZ179" s="710"/>
      <c r="FA179" s="710" t="s">
        <v>278</v>
      </c>
      <c r="FB179" s="710" t="s">
        <v>3591</v>
      </c>
      <c r="FC179" s="710" t="s">
        <v>3594</v>
      </c>
      <c r="FD179" s="710"/>
      <c r="FE179" s="710"/>
      <c r="FF179" s="710" t="s">
        <v>3601</v>
      </c>
      <c r="FG179" s="710"/>
      <c r="FH179" s="710"/>
      <c r="FI179" s="710"/>
      <c r="FJ179" s="710"/>
      <c r="FK179" s="710" t="s">
        <v>3609</v>
      </c>
      <c r="FL179" s="710">
        <v>3414740634</v>
      </c>
      <c r="FM179" s="861" t="s">
        <v>3616</v>
      </c>
      <c r="FN179" s="710" t="s">
        <v>3617</v>
      </c>
      <c r="FO179" s="710">
        <v>83412497390</v>
      </c>
      <c r="FP179" s="710" t="s">
        <v>2157</v>
      </c>
    </row>
    <row r="180" spans="2:172" ht="98" customHeight="1">
      <c r="B180" s="850" t="s">
        <v>5313</v>
      </c>
      <c r="C180" s="863"/>
      <c r="D180" s="850" t="s">
        <v>4933</v>
      </c>
      <c r="E180" s="850" t="s">
        <v>5314</v>
      </c>
      <c r="F180" s="850" t="s">
        <v>5356</v>
      </c>
      <c r="G180" s="850" t="s">
        <v>4933</v>
      </c>
      <c r="I180" s="850" t="s">
        <v>5520</v>
      </c>
      <c r="J180" s="850" t="s">
        <v>5461</v>
      </c>
      <c r="K180" s="710" t="s">
        <v>267</v>
      </c>
      <c r="L180" s="710"/>
      <c r="M180" s="710" t="s">
        <v>1469</v>
      </c>
      <c r="N180" s="710" t="s">
        <v>1470</v>
      </c>
      <c r="O180" s="895">
        <v>2015</v>
      </c>
      <c r="P180" s="896">
        <v>43451</v>
      </c>
      <c r="Q180" s="896">
        <v>43824</v>
      </c>
      <c r="R180" s="712">
        <f t="shared" si="65"/>
        <v>373</v>
      </c>
      <c r="S180" s="710" t="s">
        <v>1471</v>
      </c>
      <c r="T180" s="710" t="s">
        <v>1472</v>
      </c>
      <c r="U180" s="945" t="s">
        <v>1473</v>
      </c>
      <c r="V180" s="710" t="s">
        <v>1474</v>
      </c>
      <c r="W180" s="945" t="s">
        <v>1475</v>
      </c>
      <c r="X180" s="710" t="s">
        <v>1476</v>
      </c>
      <c r="Y180" s="945" t="s">
        <v>1473</v>
      </c>
      <c r="Z180" s="710" t="s">
        <v>1477</v>
      </c>
      <c r="AA180" s="710"/>
      <c r="AB180" s="710"/>
      <c r="AC180" s="710"/>
      <c r="AD180" s="710" t="s">
        <v>1478</v>
      </c>
      <c r="AE180" s="710" t="s">
        <v>1478</v>
      </c>
      <c r="AF180" s="710" t="s">
        <v>1479</v>
      </c>
      <c r="AG180" s="710" t="s">
        <v>1480</v>
      </c>
      <c r="AH180" s="898">
        <v>146.9</v>
      </c>
      <c r="AI180" s="868">
        <f t="shared" si="47"/>
        <v>146.9</v>
      </c>
      <c r="AJ180" s="867">
        <f t="shared" si="48"/>
        <v>0</v>
      </c>
      <c r="AK180" s="898">
        <v>113</v>
      </c>
      <c r="AL180" s="899">
        <v>0.77</v>
      </c>
      <c r="AM180" s="899">
        <v>1.8E-3</v>
      </c>
      <c r="AN180" s="869">
        <f t="shared" si="49"/>
        <v>0.76923076923076916</v>
      </c>
      <c r="AO180" s="869">
        <f t="shared" si="50"/>
        <v>7.6923076923085532E-4</v>
      </c>
      <c r="AP180" s="899"/>
      <c r="AQ180" s="899"/>
      <c r="AR180" s="899"/>
      <c r="AS180" s="869">
        <f t="shared" si="51"/>
        <v>0</v>
      </c>
      <c r="AT180" s="869">
        <f t="shared" si="52"/>
        <v>0</v>
      </c>
      <c r="AU180" s="898">
        <v>18.100000000000001</v>
      </c>
      <c r="AV180" s="899">
        <v>0.12</v>
      </c>
      <c r="AW180" s="869">
        <f t="shared" si="53"/>
        <v>0.12321307011572499</v>
      </c>
      <c r="AX180" s="869">
        <f t="shared" si="54"/>
        <v>-3.2130701157249975E-3</v>
      </c>
      <c r="AY180" s="898">
        <v>9.4</v>
      </c>
      <c r="AZ180" s="899">
        <v>0.06</v>
      </c>
      <c r="BA180" s="869">
        <f t="shared" si="55"/>
        <v>6.3989108236895853E-2</v>
      </c>
      <c r="BB180" s="869">
        <f t="shared" si="56"/>
        <v>-3.9891082368958553E-3</v>
      </c>
      <c r="BC180" s="898">
        <v>6.4</v>
      </c>
      <c r="BD180" s="899">
        <v>0.05</v>
      </c>
      <c r="BE180" s="869">
        <f t="shared" si="57"/>
        <v>4.3567052416609943E-2</v>
      </c>
      <c r="BF180" s="869">
        <f t="shared" si="58"/>
        <v>6.4329475833900598E-3</v>
      </c>
      <c r="BG180" s="898"/>
      <c r="BH180" s="899"/>
      <c r="BI180" s="710" t="s">
        <v>410</v>
      </c>
      <c r="BJ180" s="710" t="s">
        <v>410</v>
      </c>
      <c r="BK180" s="710" t="s">
        <v>410</v>
      </c>
      <c r="BL180" s="714">
        <f t="shared" si="59"/>
        <v>0</v>
      </c>
      <c r="BM180" s="869">
        <f t="shared" si="60"/>
        <v>0</v>
      </c>
      <c r="BN180" s="898"/>
      <c r="BO180" s="899"/>
      <c r="BP180" s="869">
        <f t="shared" si="61"/>
        <v>0</v>
      </c>
      <c r="BQ180" s="869">
        <f t="shared" si="62"/>
        <v>0</v>
      </c>
      <c r="BR180" s="898">
        <v>180</v>
      </c>
      <c r="BS180" s="899">
        <v>2.5999999999999999E-3</v>
      </c>
      <c r="BT180" s="899"/>
      <c r="BU180" s="899"/>
      <c r="BV180" s="901">
        <v>520</v>
      </c>
      <c r="BW180" s="901">
        <v>201</v>
      </c>
      <c r="BX180" s="901">
        <v>104</v>
      </c>
      <c r="BY180" s="901">
        <v>19</v>
      </c>
      <c r="BZ180" s="901">
        <v>4</v>
      </c>
      <c r="CA180" s="901">
        <v>3</v>
      </c>
      <c r="CB180" s="901">
        <v>2</v>
      </c>
      <c r="CC180" s="901">
        <v>0</v>
      </c>
      <c r="CD180" s="901">
        <v>11</v>
      </c>
      <c r="CE180" s="901">
        <v>3</v>
      </c>
      <c r="CF180" s="901">
        <v>40</v>
      </c>
      <c r="CG180" s="901">
        <v>2</v>
      </c>
      <c r="CH180" s="901">
        <v>0</v>
      </c>
      <c r="CI180" s="901">
        <v>0</v>
      </c>
      <c r="CJ180" s="901">
        <v>10</v>
      </c>
      <c r="CK180" s="901">
        <v>8</v>
      </c>
      <c r="CL180" s="901">
        <v>0</v>
      </c>
      <c r="CM180" s="901">
        <v>0</v>
      </c>
      <c r="CN180" s="901">
        <v>0</v>
      </c>
      <c r="CO180" s="901">
        <v>1</v>
      </c>
      <c r="CP180" s="901">
        <v>0</v>
      </c>
      <c r="CQ180" s="901">
        <v>0</v>
      </c>
      <c r="CR180" s="901">
        <v>1</v>
      </c>
      <c r="CS180" s="902">
        <f t="shared" si="67"/>
        <v>104</v>
      </c>
      <c r="CT180" s="871">
        <f t="shared" si="63"/>
        <v>104</v>
      </c>
      <c r="CU180" s="871">
        <f t="shared" si="64"/>
        <v>0</v>
      </c>
      <c r="CV180" s="942">
        <v>187.47399999999999</v>
      </c>
      <c r="CW180" s="710" t="s">
        <v>1481</v>
      </c>
      <c r="CX180" s="945" t="s">
        <v>1473</v>
      </c>
      <c r="CY180" s="710">
        <v>15.1</v>
      </c>
      <c r="CZ180" s="899" t="s">
        <v>1482</v>
      </c>
      <c r="DA180" s="899"/>
      <c r="DB180" s="899"/>
      <c r="DC180" s="710" t="s">
        <v>279</v>
      </c>
      <c r="DD180" s="710" t="s">
        <v>279</v>
      </c>
      <c r="DE180" s="710" t="s">
        <v>279</v>
      </c>
      <c r="DF180" s="901"/>
      <c r="DG180" s="901" t="s">
        <v>279</v>
      </c>
      <c r="DH180" s="901">
        <v>4</v>
      </c>
      <c r="DI180" s="710" t="s">
        <v>279</v>
      </c>
      <c r="DJ180" s="710"/>
      <c r="DK180" s="901"/>
      <c r="DL180" s="710" t="s">
        <v>278</v>
      </c>
      <c r="DM180" s="710" t="s">
        <v>1483</v>
      </c>
      <c r="DN180" s="901">
        <v>46453</v>
      </c>
      <c r="DO180" s="710" t="s">
        <v>279</v>
      </c>
      <c r="DP180" s="710"/>
      <c r="DQ180" s="901"/>
      <c r="DR180" s="710" t="s">
        <v>279</v>
      </c>
      <c r="DS180" s="710"/>
      <c r="DT180" s="901"/>
      <c r="DU180" s="710" t="s">
        <v>279</v>
      </c>
      <c r="DV180" s="710"/>
      <c r="DW180" s="901"/>
      <c r="DX180" s="710" t="s">
        <v>279</v>
      </c>
      <c r="DY180" s="710"/>
      <c r="DZ180" s="901"/>
      <c r="EA180" s="710" t="s">
        <v>279</v>
      </c>
      <c r="EB180" s="710"/>
      <c r="EC180" s="901"/>
      <c r="ED180" s="710" t="s">
        <v>279</v>
      </c>
      <c r="EE180" s="710"/>
      <c r="EF180" s="901"/>
      <c r="EG180" s="710" t="s">
        <v>279</v>
      </c>
      <c r="EH180" s="710"/>
      <c r="EI180" s="901"/>
      <c r="EJ180" s="710" t="s">
        <v>279</v>
      </c>
      <c r="EK180" s="710"/>
      <c r="EL180" s="901"/>
      <c r="EM180" s="710" t="s">
        <v>278</v>
      </c>
      <c r="EN180" s="710" t="s">
        <v>1484</v>
      </c>
      <c r="EO180" s="901">
        <v>12</v>
      </c>
      <c r="EP180" s="710" t="s">
        <v>279</v>
      </c>
      <c r="EQ180" s="710"/>
      <c r="ER180" s="901"/>
      <c r="ES180" s="710" t="s">
        <v>279</v>
      </c>
      <c r="ET180" s="710"/>
      <c r="EU180" s="901"/>
      <c r="EV180" s="710" t="s">
        <v>279</v>
      </c>
      <c r="EW180" s="710" t="s">
        <v>1485</v>
      </c>
      <c r="EX180" s="860">
        <v>142</v>
      </c>
      <c r="EY180" s="710" t="s">
        <v>279</v>
      </c>
      <c r="EZ180" s="710" t="s">
        <v>1486</v>
      </c>
      <c r="FA180" s="710" t="s">
        <v>278</v>
      </c>
      <c r="FB180" s="710" t="s">
        <v>1487</v>
      </c>
      <c r="FC180" s="945" t="s">
        <v>1488</v>
      </c>
      <c r="FD180" s="710" t="s">
        <v>279</v>
      </c>
      <c r="FE180" s="945" t="s">
        <v>1488</v>
      </c>
      <c r="FF180" s="710" t="s">
        <v>1489</v>
      </c>
      <c r="FG180" s="710" t="s">
        <v>1490</v>
      </c>
      <c r="FH180" s="710" t="s">
        <v>1491</v>
      </c>
      <c r="FI180" s="710">
        <v>9</v>
      </c>
      <c r="FJ180" s="710">
        <v>450</v>
      </c>
      <c r="FK180" s="710" t="s">
        <v>1492</v>
      </c>
      <c r="FL180" s="710" t="s">
        <v>1493</v>
      </c>
      <c r="FM180" s="945" t="s">
        <v>1494</v>
      </c>
      <c r="FN180" s="710"/>
      <c r="FO180" s="710"/>
      <c r="FP180" s="710"/>
    </row>
    <row r="181" spans="2:172" ht="104.5" customHeight="1">
      <c r="B181" s="850" t="s">
        <v>5313</v>
      </c>
      <c r="C181" s="863"/>
      <c r="D181" s="850" t="s">
        <v>4934</v>
      </c>
      <c r="E181" s="850" t="s">
        <v>5314</v>
      </c>
      <c r="F181" s="863"/>
      <c r="H181" s="850" t="s">
        <v>4934</v>
      </c>
      <c r="I181" s="850" t="s">
        <v>5520</v>
      </c>
      <c r="J181" s="850" t="s">
        <v>5461</v>
      </c>
      <c r="K181" s="710" t="s">
        <v>267</v>
      </c>
      <c r="L181" s="710" t="s">
        <v>3618</v>
      </c>
      <c r="M181" s="710" t="s">
        <v>2931</v>
      </c>
      <c r="N181" s="710" t="s">
        <v>2931</v>
      </c>
      <c r="O181" s="895">
        <v>2016</v>
      </c>
      <c r="P181" s="896">
        <v>43617</v>
      </c>
      <c r="Q181" s="896">
        <v>43769</v>
      </c>
      <c r="R181" s="712">
        <f t="shared" si="65"/>
        <v>152</v>
      </c>
      <c r="S181" s="896"/>
      <c r="T181" s="896"/>
      <c r="U181" s="896"/>
      <c r="V181" s="896"/>
      <c r="W181" s="896"/>
      <c r="X181" s="896"/>
      <c r="Y181" s="896"/>
      <c r="Z181" s="896"/>
      <c r="AA181" s="896"/>
      <c r="AB181" s="710" t="s">
        <v>3652</v>
      </c>
      <c r="AC181" s="990" t="s">
        <v>3679</v>
      </c>
      <c r="AD181" s="710" t="s">
        <v>3699</v>
      </c>
      <c r="AE181" s="710" t="s">
        <v>3699</v>
      </c>
      <c r="AF181" s="710" t="s">
        <v>3734</v>
      </c>
      <c r="AG181" s="710" t="s">
        <v>3699</v>
      </c>
      <c r="AH181" s="898">
        <v>2</v>
      </c>
      <c r="AI181" s="868">
        <f t="shared" si="47"/>
        <v>2</v>
      </c>
      <c r="AJ181" s="867">
        <f t="shared" si="48"/>
        <v>0</v>
      </c>
      <c r="AK181" s="898"/>
      <c r="AL181" s="898"/>
      <c r="AM181" s="898"/>
      <c r="AN181" s="869">
        <f t="shared" si="49"/>
        <v>0</v>
      </c>
      <c r="AO181" s="869">
        <f t="shared" si="50"/>
        <v>0</v>
      </c>
      <c r="AP181" s="898"/>
      <c r="AQ181" s="899"/>
      <c r="AR181" s="899">
        <v>3.2000000000000001E-2</v>
      </c>
      <c r="AS181" s="869">
        <f t="shared" si="51"/>
        <v>0</v>
      </c>
      <c r="AT181" s="869">
        <f t="shared" si="52"/>
        <v>0</v>
      </c>
      <c r="AU181" s="942">
        <v>2</v>
      </c>
      <c r="AV181" s="899">
        <v>1</v>
      </c>
      <c r="AW181" s="869">
        <f t="shared" si="53"/>
        <v>1</v>
      </c>
      <c r="AX181" s="869">
        <f t="shared" si="54"/>
        <v>0</v>
      </c>
      <c r="AY181" s="898">
        <v>0</v>
      </c>
      <c r="AZ181" s="899"/>
      <c r="BA181" s="869">
        <f t="shared" si="55"/>
        <v>0</v>
      </c>
      <c r="BB181" s="869">
        <f t="shared" si="56"/>
        <v>0</v>
      </c>
      <c r="BC181" s="898">
        <v>0</v>
      </c>
      <c r="BD181" s="899"/>
      <c r="BE181" s="869">
        <f t="shared" si="57"/>
        <v>0</v>
      </c>
      <c r="BF181" s="869">
        <f t="shared" si="58"/>
        <v>0</v>
      </c>
      <c r="BG181" s="899"/>
      <c r="BH181" s="899"/>
      <c r="BI181" s="899"/>
      <c r="BJ181" s="899"/>
      <c r="BK181" s="899"/>
      <c r="BL181" s="714">
        <f t="shared" si="59"/>
        <v>0</v>
      </c>
      <c r="BM181" s="869">
        <f t="shared" si="60"/>
        <v>0</v>
      </c>
      <c r="BN181" s="898">
        <v>0</v>
      </c>
      <c r="BO181" s="899"/>
      <c r="BP181" s="869">
        <f t="shared" si="61"/>
        <v>0</v>
      </c>
      <c r="BQ181" s="869">
        <f t="shared" si="62"/>
        <v>0</v>
      </c>
      <c r="BR181" s="899"/>
      <c r="BS181" s="899"/>
      <c r="BT181" s="898">
        <v>2</v>
      </c>
      <c r="BU181" s="899">
        <v>2.1999999999999999E-2</v>
      </c>
      <c r="BV181" s="901">
        <v>6</v>
      </c>
      <c r="BW181" s="901">
        <v>1</v>
      </c>
      <c r="BX181" s="901">
        <v>1</v>
      </c>
      <c r="BY181" s="901"/>
      <c r="BZ181" s="901"/>
      <c r="CA181" s="901"/>
      <c r="CB181" s="901"/>
      <c r="CC181" s="901"/>
      <c r="CD181" s="901"/>
      <c r="CE181" s="901"/>
      <c r="CF181" s="901"/>
      <c r="CG181" s="901"/>
      <c r="CH181" s="901"/>
      <c r="CI181" s="901"/>
      <c r="CJ181" s="901">
        <v>1</v>
      </c>
      <c r="CK181" s="901"/>
      <c r="CL181" s="901"/>
      <c r="CM181" s="901"/>
      <c r="CN181" s="901"/>
      <c r="CO181" s="901"/>
      <c r="CP181" s="901"/>
      <c r="CQ181" s="901"/>
      <c r="CR181" s="901"/>
      <c r="CS181" s="902">
        <f t="shared" si="67"/>
        <v>1</v>
      </c>
      <c r="CT181" s="871">
        <f t="shared" si="63"/>
        <v>1</v>
      </c>
      <c r="CU181" s="871">
        <f t="shared" si="64"/>
        <v>0</v>
      </c>
      <c r="CV181" s="942">
        <v>12</v>
      </c>
      <c r="CW181" s="710"/>
      <c r="CX181" s="710"/>
      <c r="CY181" s="710"/>
      <c r="CZ181" s="710"/>
      <c r="DA181" s="710">
        <v>75.900000000000006</v>
      </c>
      <c r="DB181" s="1001" t="s">
        <v>3771</v>
      </c>
      <c r="DC181" s="710" t="s">
        <v>279</v>
      </c>
      <c r="DD181" s="710"/>
      <c r="DE181" s="710"/>
      <c r="DF181" s="901"/>
      <c r="DG181" s="901"/>
      <c r="DH181" s="901">
        <v>6</v>
      </c>
      <c r="DI181" s="710"/>
      <c r="DJ181" s="710"/>
      <c r="DK181" s="901"/>
      <c r="DL181" s="710" t="s">
        <v>278</v>
      </c>
      <c r="DM181" s="710" t="s">
        <v>3779</v>
      </c>
      <c r="DN181" s="901">
        <v>6</v>
      </c>
      <c r="DO181" s="710" t="s">
        <v>279</v>
      </c>
      <c r="DP181" s="710"/>
      <c r="DQ181" s="901"/>
      <c r="DR181" s="710" t="s">
        <v>279</v>
      </c>
      <c r="DS181" s="710"/>
      <c r="DT181" s="901"/>
      <c r="DU181" s="710" t="s">
        <v>279</v>
      </c>
      <c r="DV181" s="710"/>
      <c r="DW181" s="901"/>
      <c r="DX181" s="710" t="s">
        <v>279</v>
      </c>
      <c r="DY181" s="710"/>
      <c r="DZ181" s="901"/>
      <c r="EA181" s="710" t="s">
        <v>279</v>
      </c>
      <c r="EB181" s="710"/>
      <c r="EC181" s="901"/>
      <c r="ED181" s="710" t="s">
        <v>278</v>
      </c>
      <c r="EE181" s="710" t="s">
        <v>3005</v>
      </c>
      <c r="EF181" s="901">
        <v>6</v>
      </c>
      <c r="EG181" s="710" t="s">
        <v>279</v>
      </c>
      <c r="EH181" s="710"/>
      <c r="EI181" s="901"/>
      <c r="EJ181" s="710" t="s">
        <v>279</v>
      </c>
      <c r="EK181" s="710"/>
      <c r="EL181" s="901"/>
      <c r="EM181" s="710" t="s">
        <v>279</v>
      </c>
      <c r="EN181" s="710"/>
      <c r="EO181" s="901"/>
      <c r="EP181" s="710" t="s">
        <v>279</v>
      </c>
      <c r="EQ181" s="710"/>
      <c r="ER181" s="901"/>
      <c r="ES181" s="710" t="s">
        <v>279</v>
      </c>
      <c r="ET181" s="710"/>
      <c r="EU181" s="901"/>
      <c r="EV181" s="901"/>
      <c r="EW181" s="901"/>
      <c r="EX181" s="901"/>
      <c r="EY181" s="710" t="s">
        <v>279</v>
      </c>
      <c r="EZ181" s="710"/>
      <c r="FA181" s="710" t="s">
        <v>279</v>
      </c>
      <c r="FB181" s="710"/>
      <c r="FC181" s="990" t="s">
        <v>3810</v>
      </c>
      <c r="FD181" s="990" t="s">
        <v>3826</v>
      </c>
      <c r="FE181" s="710"/>
      <c r="FF181" s="710" t="s">
        <v>3833</v>
      </c>
      <c r="FG181" s="710"/>
      <c r="FH181" s="710" t="s">
        <v>3848</v>
      </c>
      <c r="FI181" s="710">
        <v>1</v>
      </c>
      <c r="FJ181" s="710" t="s">
        <v>3859</v>
      </c>
      <c r="FK181" s="710" t="s">
        <v>3862</v>
      </c>
      <c r="FL181" s="710" t="s">
        <v>3887</v>
      </c>
      <c r="FM181" s="991" t="s">
        <v>3909</v>
      </c>
      <c r="FN181" s="710"/>
      <c r="FO181" s="710"/>
      <c r="FP181" s="991"/>
    </row>
    <row r="182" spans="2:172" ht="94" customHeight="1">
      <c r="B182" s="850" t="s">
        <v>5313</v>
      </c>
      <c r="C182" s="863"/>
      <c r="D182" s="850" t="s">
        <v>4934</v>
      </c>
      <c r="E182" s="850" t="s">
        <v>5314</v>
      </c>
      <c r="F182" s="863"/>
      <c r="H182" s="850" t="s">
        <v>4934</v>
      </c>
      <c r="I182" s="850" t="s">
        <v>5520</v>
      </c>
      <c r="J182" s="850" t="s">
        <v>5461</v>
      </c>
      <c r="K182" s="710" t="s">
        <v>267</v>
      </c>
      <c r="L182" s="710" t="s">
        <v>3619</v>
      </c>
      <c r="M182" s="710" t="s">
        <v>3645</v>
      </c>
      <c r="N182" s="710"/>
      <c r="O182" s="895">
        <v>2016</v>
      </c>
      <c r="P182" s="896">
        <v>43556</v>
      </c>
      <c r="Q182" s="896">
        <v>43738</v>
      </c>
      <c r="R182" s="712">
        <f t="shared" si="65"/>
        <v>182</v>
      </c>
      <c r="S182" s="896"/>
      <c r="T182" s="896"/>
      <c r="U182" s="896"/>
      <c r="V182" s="896"/>
      <c r="W182" s="896"/>
      <c r="X182" s="896"/>
      <c r="Y182" s="896"/>
      <c r="Z182" s="896"/>
      <c r="AA182" s="896"/>
      <c r="AB182" s="710" t="s">
        <v>3653</v>
      </c>
      <c r="AC182" s="945"/>
      <c r="AD182" s="710" t="s">
        <v>3700</v>
      </c>
      <c r="AE182" s="710" t="s">
        <v>3700</v>
      </c>
      <c r="AF182" s="710" t="s">
        <v>3735</v>
      </c>
      <c r="AG182" s="710" t="s">
        <v>3700</v>
      </c>
      <c r="AH182" s="898">
        <v>1E-3</v>
      </c>
      <c r="AI182" s="868">
        <f t="shared" si="47"/>
        <v>1E-3</v>
      </c>
      <c r="AJ182" s="867">
        <f t="shared" si="48"/>
        <v>0</v>
      </c>
      <c r="AK182" s="898"/>
      <c r="AL182" s="898"/>
      <c r="AM182" s="898"/>
      <c r="AN182" s="869">
        <f t="shared" si="49"/>
        <v>0</v>
      </c>
      <c r="AO182" s="869">
        <f t="shared" si="50"/>
        <v>0</v>
      </c>
      <c r="AP182" s="898"/>
      <c r="AQ182" s="899"/>
      <c r="AR182" s="899">
        <v>0</v>
      </c>
      <c r="AS182" s="869">
        <f t="shared" si="51"/>
        <v>0</v>
      </c>
      <c r="AT182" s="869">
        <f t="shared" si="52"/>
        <v>0</v>
      </c>
      <c r="AU182" s="942">
        <v>1E-3</v>
      </c>
      <c r="AV182" s="899">
        <v>1</v>
      </c>
      <c r="AW182" s="869">
        <f t="shared" si="53"/>
        <v>1</v>
      </c>
      <c r="AX182" s="869">
        <f t="shared" si="54"/>
        <v>0</v>
      </c>
      <c r="AY182" s="898">
        <v>0</v>
      </c>
      <c r="AZ182" s="899"/>
      <c r="BA182" s="869">
        <f t="shared" si="55"/>
        <v>0</v>
      </c>
      <c r="BB182" s="869">
        <f t="shared" si="56"/>
        <v>0</v>
      </c>
      <c r="BC182" s="898">
        <v>0</v>
      </c>
      <c r="BD182" s="899"/>
      <c r="BE182" s="869">
        <f t="shared" si="57"/>
        <v>0</v>
      </c>
      <c r="BF182" s="869">
        <f t="shared" si="58"/>
        <v>0</v>
      </c>
      <c r="BG182" s="899"/>
      <c r="BH182" s="899"/>
      <c r="BI182" s="899"/>
      <c r="BJ182" s="899"/>
      <c r="BK182" s="899"/>
      <c r="BL182" s="714">
        <f t="shared" si="59"/>
        <v>0</v>
      </c>
      <c r="BM182" s="869">
        <f t="shared" si="60"/>
        <v>0</v>
      </c>
      <c r="BN182" s="898">
        <v>0</v>
      </c>
      <c r="BO182" s="899"/>
      <c r="BP182" s="869">
        <f t="shared" si="61"/>
        <v>0</v>
      </c>
      <c r="BQ182" s="869">
        <f t="shared" si="62"/>
        <v>0</v>
      </c>
      <c r="BR182" s="899"/>
      <c r="BS182" s="899"/>
      <c r="BT182" s="898">
        <v>0.05</v>
      </c>
      <c r="BU182" s="899">
        <v>6.0000000000000001E-3</v>
      </c>
      <c r="BV182" s="901">
        <v>2</v>
      </c>
      <c r="BW182" s="901">
        <v>2</v>
      </c>
      <c r="BX182" s="901">
        <v>1</v>
      </c>
      <c r="BY182" s="901"/>
      <c r="BZ182" s="901"/>
      <c r="CA182" s="901"/>
      <c r="CB182" s="901"/>
      <c r="CC182" s="901"/>
      <c r="CD182" s="901"/>
      <c r="CE182" s="901"/>
      <c r="CF182" s="901"/>
      <c r="CG182" s="901"/>
      <c r="CH182" s="901"/>
      <c r="CI182" s="901"/>
      <c r="CJ182" s="901">
        <v>1</v>
      </c>
      <c r="CK182" s="901"/>
      <c r="CL182" s="901"/>
      <c r="CM182" s="901"/>
      <c r="CN182" s="901"/>
      <c r="CO182" s="901"/>
      <c r="CP182" s="901"/>
      <c r="CQ182" s="901"/>
      <c r="CR182" s="901"/>
      <c r="CS182" s="902">
        <f t="shared" si="67"/>
        <v>1</v>
      </c>
      <c r="CT182" s="871">
        <f t="shared" si="63"/>
        <v>1</v>
      </c>
      <c r="CU182" s="871">
        <f t="shared" si="64"/>
        <v>0</v>
      </c>
      <c r="CV182" s="942">
        <v>0.9</v>
      </c>
      <c r="CW182" s="710"/>
      <c r="CX182" s="710"/>
      <c r="CY182" s="710"/>
      <c r="CZ182" s="710"/>
      <c r="DA182" s="899">
        <v>0.5</v>
      </c>
      <c r="DB182" s="899"/>
      <c r="DC182" s="710" t="s">
        <v>279</v>
      </c>
      <c r="DD182" s="710"/>
      <c r="DE182" s="710"/>
      <c r="DF182" s="901"/>
      <c r="DG182" s="901"/>
      <c r="DH182" s="901">
        <v>2</v>
      </c>
      <c r="DI182" s="710" t="s">
        <v>279</v>
      </c>
      <c r="DJ182" s="710"/>
      <c r="DK182" s="901"/>
      <c r="DL182" s="710" t="s">
        <v>278</v>
      </c>
      <c r="DM182" s="710" t="s">
        <v>551</v>
      </c>
      <c r="DN182" s="901">
        <v>5</v>
      </c>
      <c r="DO182" s="710" t="s">
        <v>279</v>
      </c>
      <c r="DP182" s="710"/>
      <c r="DQ182" s="901"/>
      <c r="DR182" s="710" t="s">
        <v>279</v>
      </c>
      <c r="DS182" s="710"/>
      <c r="DT182" s="901"/>
      <c r="DU182" s="710" t="s">
        <v>279</v>
      </c>
      <c r="DV182" s="710"/>
      <c r="DW182" s="901"/>
      <c r="DX182" s="710" t="s">
        <v>279</v>
      </c>
      <c r="DY182" s="710"/>
      <c r="DZ182" s="901"/>
      <c r="EA182" s="710" t="s">
        <v>279</v>
      </c>
      <c r="EB182" s="710"/>
      <c r="EC182" s="901"/>
      <c r="ED182" s="710" t="s">
        <v>278</v>
      </c>
      <c r="EE182" s="710" t="s">
        <v>551</v>
      </c>
      <c r="EF182" s="901">
        <v>5</v>
      </c>
      <c r="EG182" s="710" t="s">
        <v>279</v>
      </c>
      <c r="EH182" s="710"/>
      <c r="EI182" s="901"/>
      <c r="EJ182" s="710" t="s">
        <v>279</v>
      </c>
      <c r="EK182" s="710"/>
      <c r="EL182" s="901"/>
      <c r="EM182" s="710" t="s">
        <v>279</v>
      </c>
      <c r="EN182" s="901"/>
      <c r="EO182" s="901"/>
      <c r="EP182" s="710" t="s">
        <v>279</v>
      </c>
      <c r="EQ182" s="710"/>
      <c r="ER182" s="901"/>
      <c r="ES182" s="710" t="s">
        <v>279</v>
      </c>
      <c r="ET182" s="710"/>
      <c r="EU182" s="901"/>
      <c r="EV182" s="901"/>
      <c r="EW182" s="901"/>
      <c r="EX182" s="901"/>
      <c r="EY182" s="710" t="s">
        <v>279</v>
      </c>
      <c r="EZ182" s="710"/>
      <c r="FA182" s="710" t="s">
        <v>279</v>
      </c>
      <c r="FB182" s="710"/>
      <c r="FC182" s="945" t="s">
        <v>3811</v>
      </c>
      <c r="FD182" s="710"/>
      <c r="FE182" s="710"/>
      <c r="FF182" s="710"/>
      <c r="FG182" s="710"/>
      <c r="FH182" s="710" t="s">
        <v>279</v>
      </c>
      <c r="FI182" s="710"/>
      <c r="FJ182" s="710"/>
      <c r="FK182" s="710" t="s">
        <v>3863</v>
      </c>
      <c r="FL182" s="710" t="s">
        <v>3888</v>
      </c>
      <c r="FM182" s="945" t="s">
        <v>3910</v>
      </c>
      <c r="FN182" s="710"/>
      <c r="FO182" s="710"/>
      <c r="FP182" s="984"/>
    </row>
    <row r="183" spans="2:172" ht="105.5" customHeight="1">
      <c r="B183" s="850" t="s">
        <v>5313</v>
      </c>
      <c r="C183" s="863"/>
      <c r="D183" s="850" t="s">
        <v>4934</v>
      </c>
      <c r="E183" s="850" t="s">
        <v>5314</v>
      </c>
      <c r="F183" s="863"/>
      <c r="H183" s="850" t="s">
        <v>4934</v>
      </c>
      <c r="I183" s="850" t="s">
        <v>5520</v>
      </c>
      <c r="J183" s="850" t="s">
        <v>5461</v>
      </c>
      <c r="K183" s="710" t="s">
        <v>267</v>
      </c>
      <c r="L183" s="710" t="s">
        <v>3620</v>
      </c>
      <c r="M183" s="710" t="s">
        <v>2931</v>
      </c>
      <c r="N183" s="710"/>
      <c r="O183" s="895">
        <v>2016</v>
      </c>
      <c r="P183" s="896">
        <v>43556</v>
      </c>
      <c r="Q183" s="896">
        <v>43738</v>
      </c>
      <c r="R183" s="712">
        <f t="shared" si="65"/>
        <v>182</v>
      </c>
      <c r="S183" s="896"/>
      <c r="T183" s="896"/>
      <c r="U183" s="896"/>
      <c r="V183" s="896"/>
      <c r="W183" s="896"/>
      <c r="X183" s="896"/>
      <c r="Y183" s="896"/>
      <c r="Z183" s="896"/>
      <c r="AA183" s="896"/>
      <c r="AB183" s="710" t="s">
        <v>3654</v>
      </c>
      <c r="AC183" s="945" t="s">
        <v>3680</v>
      </c>
      <c r="AD183" s="710" t="s">
        <v>3701</v>
      </c>
      <c r="AE183" s="710" t="s">
        <v>3724</v>
      </c>
      <c r="AF183" s="710" t="s">
        <v>3736</v>
      </c>
      <c r="AG183" s="710" t="s">
        <v>3747</v>
      </c>
      <c r="AH183" s="898">
        <v>1</v>
      </c>
      <c r="AI183" s="868">
        <f t="shared" si="47"/>
        <v>1</v>
      </c>
      <c r="AJ183" s="867">
        <f t="shared" si="48"/>
        <v>0</v>
      </c>
      <c r="AK183" s="898"/>
      <c r="AL183" s="898"/>
      <c r="AM183" s="898"/>
      <c r="AN183" s="869">
        <f t="shared" si="49"/>
        <v>0</v>
      </c>
      <c r="AO183" s="869">
        <f t="shared" si="50"/>
        <v>0</v>
      </c>
      <c r="AP183" s="898"/>
      <c r="AQ183" s="899"/>
      <c r="AR183" s="899">
        <v>3.0000000000000001E-3</v>
      </c>
      <c r="AS183" s="869">
        <f t="shared" si="51"/>
        <v>0</v>
      </c>
      <c r="AT183" s="869">
        <f t="shared" si="52"/>
        <v>0</v>
      </c>
      <c r="AU183" s="942">
        <v>1</v>
      </c>
      <c r="AV183" s="899">
        <v>1</v>
      </c>
      <c r="AW183" s="869">
        <f t="shared" si="53"/>
        <v>1</v>
      </c>
      <c r="AX183" s="869">
        <f t="shared" si="54"/>
        <v>0</v>
      </c>
      <c r="AY183" s="898">
        <v>0</v>
      </c>
      <c r="AZ183" s="899"/>
      <c r="BA183" s="869">
        <f t="shared" si="55"/>
        <v>0</v>
      </c>
      <c r="BB183" s="869">
        <f t="shared" si="56"/>
        <v>0</v>
      </c>
      <c r="BC183" s="898">
        <v>0</v>
      </c>
      <c r="BD183" s="899"/>
      <c r="BE183" s="869">
        <f t="shared" si="57"/>
        <v>0</v>
      </c>
      <c r="BF183" s="869">
        <f t="shared" si="58"/>
        <v>0</v>
      </c>
      <c r="BG183" s="899"/>
      <c r="BH183" s="899"/>
      <c r="BI183" s="899"/>
      <c r="BJ183" s="899"/>
      <c r="BK183" s="899"/>
      <c r="BL183" s="714">
        <f t="shared" si="59"/>
        <v>0</v>
      </c>
      <c r="BM183" s="869">
        <f t="shared" si="60"/>
        <v>0</v>
      </c>
      <c r="BN183" s="898">
        <v>0</v>
      </c>
      <c r="BO183" s="899"/>
      <c r="BP183" s="869">
        <f t="shared" si="61"/>
        <v>0</v>
      </c>
      <c r="BQ183" s="869">
        <f t="shared" si="62"/>
        <v>0</v>
      </c>
      <c r="BR183" s="899"/>
      <c r="BS183" s="899"/>
      <c r="BT183" s="898">
        <v>1</v>
      </c>
      <c r="BU183" s="899">
        <v>3.0000000000000001E-3</v>
      </c>
      <c r="BV183" s="901">
        <v>3</v>
      </c>
      <c r="BW183" s="901">
        <v>3</v>
      </c>
      <c r="BX183" s="901">
        <v>1</v>
      </c>
      <c r="BY183" s="901"/>
      <c r="BZ183" s="901"/>
      <c r="CA183" s="901"/>
      <c r="CB183" s="901"/>
      <c r="CC183" s="901"/>
      <c r="CD183" s="901"/>
      <c r="CE183" s="901">
        <v>1</v>
      </c>
      <c r="CF183" s="901"/>
      <c r="CG183" s="901"/>
      <c r="CH183" s="901"/>
      <c r="CI183" s="901"/>
      <c r="CJ183" s="901"/>
      <c r="CK183" s="901"/>
      <c r="CL183" s="901"/>
      <c r="CM183" s="901"/>
      <c r="CN183" s="901"/>
      <c r="CO183" s="901"/>
      <c r="CP183" s="901"/>
      <c r="CQ183" s="901"/>
      <c r="CR183" s="901"/>
      <c r="CS183" s="902">
        <f t="shared" si="67"/>
        <v>1</v>
      </c>
      <c r="CT183" s="871">
        <f t="shared" si="63"/>
        <v>1</v>
      </c>
      <c r="CU183" s="871">
        <f t="shared" si="64"/>
        <v>0</v>
      </c>
      <c r="CV183" s="942">
        <v>1.1000000000000001</v>
      </c>
      <c r="CW183" s="710"/>
      <c r="CX183" s="710"/>
      <c r="CY183" s="710"/>
      <c r="CZ183" s="710"/>
      <c r="DA183" s="710">
        <v>12</v>
      </c>
      <c r="DB183" s="899"/>
      <c r="DC183" s="710" t="s">
        <v>279</v>
      </c>
      <c r="DD183" s="710"/>
      <c r="DE183" s="710"/>
      <c r="DF183" s="901"/>
      <c r="DG183" s="901"/>
      <c r="DH183" s="901">
        <v>2</v>
      </c>
      <c r="DI183" s="710" t="s">
        <v>279</v>
      </c>
      <c r="DJ183" s="710"/>
      <c r="DK183" s="901"/>
      <c r="DL183" s="710" t="s">
        <v>278</v>
      </c>
      <c r="DM183" s="710" t="s">
        <v>551</v>
      </c>
      <c r="DN183" s="901">
        <v>5</v>
      </c>
      <c r="DO183" s="710" t="s">
        <v>279</v>
      </c>
      <c r="DP183" s="710"/>
      <c r="DQ183" s="901"/>
      <c r="DR183" s="710" t="s">
        <v>279</v>
      </c>
      <c r="DS183" s="710"/>
      <c r="DT183" s="901"/>
      <c r="DU183" s="710" t="s">
        <v>279</v>
      </c>
      <c r="DV183" s="710"/>
      <c r="DW183" s="901"/>
      <c r="DX183" s="710" t="s">
        <v>279</v>
      </c>
      <c r="DY183" s="710"/>
      <c r="DZ183" s="901"/>
      <c r="EA183" s="710" t="s">
        <v>279</v>
      </c>
      <c r="EB183" s="710"/>
      <c r="EC183" s="901"/>
      <c r="ED183" s="710" t="s">
        <v>278</v>
      </c>
      <c r="EE183" s="710" t="s">
        <v>551</v>
      </c>
      <c r="EF183" s="901">
        <v>5</v>
      </c>
      <c r="EG183" s="710" t="s">
        <v>279</v>
      </c>
      <c r="EH183" s="710"/>
      <c r="EI183" s="901"/>
      <c r="EJ183" s="710" t="s">
        <v>279</v>
      </c>
      <c r="EK183" s="710"/>
      <c r="EL183" s="901"/>
      <c r="EM183" s="710" t="s">
        <v>279</v>
      </c>
      <c r="EN183" s="901"/>
      <c r="EO183" s="901"/>
      <c r="EP183" s="710" t="s">
        <v>279</v>
      </c>
      <c r="EQ183" s="710"/>
      <c r="ER183" s="901"/>
      <c r="ES183" s="710" t="s">
        <v>279</v>
      </c>
      <c r="ET183" s="710"/>
      <c r="EU183" s="901"/>
      <c r="EV183" s="901"/>
      <c r="EW183" s="901"/>
      <c r="EX183" s="901"/>
      <c r="EY183" s="710" t="s">
        <v>279</v>
      </c>
      <c r="EZ183" s="710"/>
      <c r="FA183" s="710" t="s">
        <v>279</v>
      </c>
      <c r="FB183" s="710"/>
      <c r="FC183" s="945" t="s">
        <v>3811</v>
      </c>
      <c r="FD183" s="710" t="s">
        <v>410</v>
      </c>
      <c r="FE183" s="710"/>
      <c r="FF183" s="710"/>
      <c r="FG183" s="710"/>
      <c r="FH183" s="710" t="s">
        <v>410</v>
      </c>
      <c r="FI183" s="710"/>
      <c r="FJ183" s="710"/>
      <c r="FK183" s="710" t="s">
        <v>3864</v>
      </c>
      <c r="FL183" s="710" t="s">
        <v>3889</v>
      </c>
      <c r="FM183" s="945" t="s">
        <v>3911</v>
      </c>
      <c r="FN183" s="710"/>
      <c r="FO183" s="710"/>
      <c r="FP183" s="984"/>
    </row>
    <row r="184" spans="2:172" ht="95" customHeight="1">
      <c r="B184" s="850" t="s">
        <v>5313</v>
      </c>
      <c r="C184" s="863"/>
      <c r="D184" s="850" t="s">
        <v>4934</v>
      </c>
      <c r="E184" s="850" t="s">
        <v>5314</v>
      </c>
      <c r="F184" s="863"/>
      <c r="H184" s="850" t="s">
        <v>4934</v>
      </c>
      <c r="I184" s="850" t="s">
        <v>5520</v>
      </c>
      <c r="J184" s="850" t="s">
        <v>5461</v>
      </c>
      <c r="K184" s="710" t="s">
        <v>267</v>
      </c>
      <c r="L184" s="710" t="s">
        <v>3621</v>
      </c>
      <c r="M184" s="710" t="s">
        <v>3646</v>
      </c>
      <c r="N184" s="710"/>
      <c r="O184" s="895">
        <v>2016</v>
      </c>
      <c r="P184" s="896">
        <v>43556</v>
      </c>
      <c r="Q184" s="896">
        <v>43738</v>
      </c>
      <c r="R184" s="712">
        <f t="shared" si="65"/>
        <v>182</v>
      </c>
      <c r="S184" s="896"/>
      <c r="T184" s="896"/>
      <c r="U184" s="896"/>
      <c r="V184" s="896"/>
      <c r="W184" s="896"/>
      <c r="X184" s="896"/>
      <c r="Y184" s="896"/>
      <c r="Z184" s="896"/>
      <c r="AA184" s="896"/>
      <c r="AB184" s="710" t="s">
        <v>3655</v>
      </c>
      <c r="AC184" s="945"/>
      <c r="AD184" s="710" t="s">
        <v>3701</v>
      </c>
      <c r="AE184" s="710" t="s">
        <v>3725</v>
      </c>
      <c r="AF184" s="710"/>
      <c r="AG184" s="710" t="s">
        <v>3725</v>
      </c>
      <c r="AH184" s="898">
        <v>8.0000000000000002E-3</v>
      </c>
      <c r="AI184" s="868">
        <f t="shared" si="47"/>
        <v>8.0000000000000002E-3</v>
      </c>
      <c r="AJ184" s="867">
        <f t="shared" si="48"/>
        <v>0</v>
      </c>
      <c r="AK184" s="898"/>
      <c r="AL184" s="898"/>
      <c r="AM184" s="898"/>
      <c r="AN184" s="869">
        <f t="shared" si="49"/>
        <v>0</v>
      </c>
      <c r="AO184" s="869">
        <f t="shared" si="50"/>
        <v>0</v>
      </c>
      <c r="AP184" s="898"/>
      <c r="AQ184" s="899"/>
      <c r="AR184" s="899">
        <v>0</v>
      </c>
      <c r="AS184" s="869">
        <f t="shared" si="51"/>
        <v>0</v>
      </c>
      <c r="AT184" s="869">
        <f t="shared" si="52"/>
        <v>0</v>
      </c>
      <c r="AU184" s="942">
        <v>8.0000000000000002E-3</v>
      </c>
      <c r="AV184" s="899">
        <v>1</v>
      </c>
      <c r="AW184" s="869">
        <f t="shared" si="53"/>
        <v>1</v>
      </c>
      <c r="AX184" s="869">
        <f t="shared" si="54"/>
        <v>0</v>
      </c>
      <c r="AY184" s="898">
        <v>0</v>
      </c>
      <c r="AZ184" s="899"/>
      <c r="BA184" s="869">
        <f t="shared" si="55"/>
        <v>0</v>
      </c>
      <c r="BB184" s="869">
        <f t="shared" si="56"/>
        <v>0</v>
      </c>
      <c r="BC184" s="898">
        <v>0</v>
      </c>
      <c r="BD184" s="899"/>
      <c r="BE184" s="869">
        <f t="shared" si="57"/>
        <v>0</v>
      </c>
      <c r="BF184" s="869">
        <f t="shared" si="58"/>
        <v>0</v>
      </c>
      <c r="BG184" s="899"/>
      <c r="BH184" s="899"/>
      <c r="BI184" s="899"/>
      <c r="BJ184" s="899"/>
      <c r="BK184" s="899"/>
      <c r="BL184" s="714">
        <f t="shared" si="59"/>
        <v>0</v>
      </c>
      <c r="BM184" s="869">
        <f t="shared" si="60"/>
        <v>0</v>
      </c>
      <c r="BN184" s="898">
        <v>0</v>
      </c>
      <c r="BO184" s="899"/>
      <c r="BP184" s="869">
        <f t="shared" si="61"/>
        <v>0</v>
      </c>
      <c r="BQ184" s="869">
        <f t="shared" si="62"/>
        <v>0</v>
      </c>
      <c r="BR184" s="899"/>
      <c r="BS184" s="899"/>
      <c r="BT184" s="898">
        <v>0.1</v>
      </c>
      <c r="BU184" s="899">
        <v>3.0000000000000001E-3</v>
      </c>
      <c r="BV184" s="901">
        <v>2</v>
      </c>
      <c r="BW184" s="901">
        <v>2</v>
      </c>
      <c r="BX184" s="901">
        <v>1</v>
      </c>
      <c r="BY184" s="901"/>
      <c r="BZ184" s="901"/>
      <c r="CA184" s="901"/>
      <c r="CB184" s="901"/>
      <c r="CC184" s="901"/>
      <c r="CD184" s="901"/>
      <c r="CE184" s="901"/>
      <c r="CF184" s="901"/>
      <c r="CG184" s="901"/>
      <c r="CH184" s="901"/>
      <c r="CI184" s="901"/>
      <c r="CJ184" s="901">
        <v>1</v>
      </c>
      <c r="CK184" s="901"/>
      <c r="CL184" s="901"/>
      <c r="CM184" s="901"/>
      <c r="CN184" s="901"/>
      <c r="CO184" s="901"/>
      <c r="CP184" s="901"/>
      <c r="CQ184" s="901"/>
      <c r="CR184" s="901"/>
      <c r="CS184" s="902">
        <f t="shared" si="67"/>
        <v>1</v>
      </c>
      <c r="CT184" s="871">
        <f t="shared" si="63"/>
        <v>1</v>
      </c>
      <c r="CU184" s="871">
        <f t="shared" si="64"/>
        <v>0</v>
      </c>
      <c r="CV184" s="942">
        <v>1.1000000000000001</v>
      </c>
      <c r="CW184" s="710"/>
      <c r="CX184" s="710"/>
      <c r="CY184" s="710"/>
      <c r="CZ184" s="710"/>
      <c r="DA184" s="710"/>
      <c r="DB184" s="899">
        <v>0.12</v>
      </c>
      <c r="DC184" s="710" t="s">
        <v>279</v>
      </c>
      <c r="DD184" s="710"/>
      <c r="DE184" s="710"/>
      <c r="DF184" s="901"/>
      <c r="DG184" s="901"/>
      <c r="DH184" s="901">
        <v>2</v>
      </c>
      <c r="DI184" s="710" t="s">
        <v>279</v>
      </c>
      <c r="DJ184" s="710"/>
      <c r="DK184" s="901"/>
      <c r="DL184" s="710" t="s">
        <v>278</v>
      </c>
      <c r="DM184" s="710" t="s">
        <v>551</v>
      </c>
      <c r="DN184" s="901">
        <v>7</v>
      </c>
      <c r="DO184" s="710" t="s">
        <v>279</v>
      </c>
      <c r="DP184" s="710"/>
      <c r="DQ184" s="901"/>
      <c r="DR184" s="710" t="s">
        <v>279</v>
      </c>
      <c r="DS184" s="710"/>
      <c r="DT184" s="901"/>
      <c r="DU184" s="710" t="s">
        <v>279</v>
      </c>
      <c r="DV184" s="710"/>
      <c r="DW184" s="901"/>
      <c r="DX184" s="710" t="s">
        <v>279</v>
      </c>
      <c r="DY184" s="710"/>
      <c r="DZ184" s="901"/>
      <c r="EA184" s="710" t="s">
        <v>279</v>
      </c>
      <c r="EB184" s="710"/>
      <c r="EC184" s="901"/>
      <c r="ED184" s="710" t="s">
        <v>278</v>
      </c>
      <c r="EE184" s="710" t="s">
        <v>551</v>
      </c>
      <c r="EF184" s="901"/>
      <c r="EG184" s="710" t="s">
        <v>279</v>
      </c>
      <c r="EH184" s="710"/>
      <c r="EI184" s="901"/>
      <c r="EJ184" s="710" t="s">
        <v>279</v>
      </c>
      <c r="EK184" s="710"/>
      <c r="EL184" s="901"/>
      <c r="EM184" s="710" t="s">
        <v>279</v>
      </c>
      <c r="EN184" s="901"/>
      <c r="EO184" s="901"/>
      <c r="EP184" s="710" t="s">
        <v>279</v>
      </c>
      <c r="EQ184" s="710"/>
      <c r="ER184" s="901"/>
      <c r="ES184" s="710" t="s">
        <v>279</v>
      </c>
      <c r="ET184" s="710"/>
      <c r="EU184" s="901"/>
      <c r="EV184" s="901"/>
      <c r="EW184" s="901"/>
      <c r="EX184" s="901"/>
      <c r="EY184" s="710" t="s">
        <v>279</v>
      </c>
      <c r="EZ184" s="710"/>
      <c r="FA184" s="710" t="s">
        <v>279</v>
      </c>
      <c r="FB184" s="710"/>
      <c r="FC184" s="945" t="s">
        <v>3811</v>
      </c>
      <c r="FD184" s="710"/>
      <c r="FE184" s="710"/>
      <c r="FF184" s="710"/>
      <c r="FG184" s="710"/>
      <c r="FH184" s="710" t="s">
        <v>279</v>
      </c>
      <c r="FI184" s="710"/>
      <c r="FJ184" s="710"/>
      <c r="FK184" s="710" t="s">
        <v>3864</v>
      </c>
      <c r="FL184" s="710" t="s">
        <v>3889</v>
      </c>
      <c r="FM184" s="945" t="s">
        <v>3911</v>
      </c>
      <c r="FN184" s="710"/>
      <c r="FO184" s="710"/>
      <c r="FP184" s="984"/>
    </row>
    <row r="185" spans="2:172" ht="112" customHeight="1">
      <c r="B185" s="850" t="s">
        <v>5313</v>
      </c>
      <c r="C185" s="863"/>
      <c r="D185" s="850" t="s">
        <v>4934</v>
      </c>
      <c r="E185" s="850" t="s">
        <v>5314</v>
      </c>
      <c r="F185" s="863"/>
      <c r="H185" s="850" t="s">
        <v>4934</v>
      </c>
      <c r="I185" s="850" t="s">
        <v>5520</v>
      </c>
      <c r="J185" s="850" t="s">
        <v>5461</v>
      </c>
      <c r="K185" s="710" t="s">
        <v>267</v>
      </c>
      <c r="L185" s="710" t="s">
        <v>3622</v>
      </c>
      <c r="M185" s="710" t="s">
        <v>3647</v>
      </c>
      <c r="N185" s="710" t="s">
        <v>3651</v>
      </c>
      <c r="O185" s="895">
        <v>2016</v>
      </c>
      <c r="P185" s="896">
        <v>43466</v>
      </c>
      <c r="Q185" s="896">
        <v>43830</v>
      </c>
      <c r="R185" s="712">
        <f t="shared" si="65"/>
        <v>364</v>
      </c>
      <c r="S185" s="896"/>
      <c r="T185" s="896"/>
      <c r="U185" s="896"/>
      <c r="V185" s="896"/>
      <c r="W185" s="896"/>
      <c r="X185" s="896"/>
      <c r="Y185" s="896"/>
      <c r="Z185" s="896"/>
      <c r="AA185" s="896"/>
      <c r="AB185" s="710" t="s">
        <v>3656</v>
      </c>
      <c r="AC185" s="974" t="s">
        <v>3681</v>
      </c>
      <c r="AD185" s="710" t="s">
        <v>3702</v>
      </c>
      <c r="AE185" s="710" t="s">
        <v>3726</v>
      </c>
      <c r="AF185" s="710" t="s">
        <v>454</v>
      </c>
      <c r="AG185" s="710" t="s">
        <v>3748</v>
      </c>
      <c r="AH185" s="901">
        <v>5</v>
      </c>
      <c r="AI185" s="868">
        <f t="shared" si="47"/>
        <v>5</v>
      </c>
      <c r="AJ185" s="867">
        <f t="shared" si="48"/>
        <v>0</v>
      </c>
      <c r="AK185" s="901"/>
      <c r="AL185" s="901"/>
      <c r="AM185" s="901"/>
      <c r="AN185" s="869">
        <f t="shared" si="49"/>
        <v>0</v>
      </c>
      <c r="AO185" s="869">
        <f t="shared" si="50"/>
        <v>0</v>
      </c>
      <c r="AP185" s="901"/>
      <c r="AQ185" s="899"/>
      <c r="AR185" s="899">
        <v>2E-3</v>
      </c>
      <c r="AS185" s="869">
        <f t="shared" si="51"/>
        <v>0</v>
      </c>
      <c r="AT185" s="869">
        <f t="shared" si="52"/>
        <v>0</v>
      </c>
      <c r="AU185" s="942">
        <v>5</v>
      </c>
      <c r="AV185" s="899">
        <v>1</v>
      </c>
      <c r="AW185" s="869">
        <f t="shared" si="53"/>
        <v>1</v>
      </c>
      <c r="AX185" s="869">
        <f t="shared" si="54"/>
        <v>0</v>
      </c>
      <c r="AY185" s="898">
        <v>0</v>
      </c>
      <c r="AZ185" s="898"/>
      <c r="BA185" s="869">
        <f t="shared" si="55"/>
        <v>0</v>
      </c>
      <c r="BB185" s="869">
        <f t="shared" si="56"/>
        <v>0</v>
      </c>
      <c r="BC185" s="898">
        <v>0</v>
      </c>
      <c r="BD185" s="898"/>
      <c r="BE185" s="869">
        <f t="shared" si="57"/>
        <v>0</v>
      </c>
      <c r="BF185" s="869">
        <f t="shared" si="58"/>
        <v>0</v>
      </c>
      <c r="BG185" s="898"/>
      <c r="BH185" s="898"/>
      <c r="BI185" s="898"/>
      <c r="BJ185" s="898"/>
      <c r="BK185" s="898"/>
      <c r="BL185" s="714">
        <f t="shared" si="59"/>
        <v>0</v>
      </c>
      <c r="BM185" s="869">
        <f t="shared" si="60"/>
        <v>0</v>
      </c>
      <c r="BN185" s="898">
        <v>0</v>
      </c>
      <c r="BO185" s="898"/>
      <c r="BP185" s="869">
        <f t="shared" si="61"/>
        <v>0</v>
      </c>
      <c r="BQ185" s="869">
        <f t="shared" si="62"/>
        <v>0</v>
      </c>
      <c r="BR185" s="898"/>
      <c r="BS185" s="898"/>
      <c r="BT185" s="901">
        <v>5</v>
      </c>
      <c r="BU185" s="899">
        <v>2E-3</v>
      </c>
      <c r="BV185" s="901">
        <v>14</v>
      </c>
      <c r="BW185" s="901">
        <v>6</v>
      </c>
      <c r="BX185" s="901">
        <v>6</v>
      </c>
      <c r="BY185" s="901"/>
      <c r="BZ185" s="901"/>
      <c r="CA185" s="901"/>
      <c r="CB185" s="901"/>
      <c r="CC185" s="901"/>
      <c r="CD185" s="901"/>
      <c r="CE185" s="901"/>
      <c r="CF185" s="901"/>
      <c r="CG185" s="901">
        <v>4</v>
      </c>
      <c r="CH185" s="901"/>
      <c r="CI185" s="901"/>
      <c r="CJ185" s="901">
        <v>1</v>
      </c>
      <c r="CK185" s="901">
        <v>1</v>
      </c>
      <c r="CL185" s="901"/>
      <c r="CM185" s="901"/>
      <c r="CN185" s="901"/>
      <c r="CO185" s="901"/>
      <c r="CP185" s="901"/>
      <c r="CQ185" s="901"/>
      <c r="CR185" s="901"/>
      <c r="CS185" s="902">
        <f t="shared" si="67"/>
        <v>6</v>
      </c>
      <c r="CT185" s="871">
        <f t="shared" si="63"/>
        <v>6</v>
      </c>
      <c r="CU185" s="871">
        <f t="shared" si="64"/>
        <v>0</v>
      </c>
      <c r="CV185" s="942">
        <v>114.2</v>
      </c>
      <c r="CW185" s="710"/>
      <c r="CX185" s="710"/>
      <c r="CY185" s="710"/>
      <c r="CZ185" s="710"/>
      <c r="DA185" s="904">
        <v>1</v>
      </c>
      <c r="DB185" s="899"/>
      <c r="DC185" s="710" t="s">
        <v>279</v>
      </c>
      <c r="DD185" s="710" t="s">
        <v>3778</v>
      </c>
      <c r="DE185" s="710" t="s">
        <v>3778</v>
      </c>
      <c r="DF185" s="710" t="s">
        <v>3778</v>
      </c>
      <c r="DG185" s="901" t="s">
        <v>3778</v>
      </c>
      <c r="DH185" s="901">
        <v>2</v>
      </c>
      <c r="DI185" s="710" t="s">
        <v>279</v>
      </c>
      <c r="DJ185" s="710"/>
      <c r="DK185" s="710"/>
      <c r="DL185" s="710" t="s">
        <v>278</v>
      </c>
      <c r="DM185" s="710" t="s">
        <v>1685</v>
      </c>
      <c r="DN185" s="901">
        <v>85</v>
      </c>
      <c r="DO185" s="710" t="s">
        <v>279</v>
      </c>
      <c r="DP185" s="710"/>
      <c r="DQ185" s="901"/>
      <c r="DR185" s="710" t="s">
        <v>279</v>
      </c>
      <c r="DS185" s="710"/>
      <c r="DT185" s="901"/>
      <c r="DU185" s="710" t="s">
        <v>279</v>
      </c>
      <c r="DV185" s="710"/>
      <c r="DW185" s="901"/>
      <c r="DX185" s="710" t="s">
        <v>279</v>
      </c>
      <c r="DY185" s="710"/>
      <c r="DZ185" s="901"/>
      <c r="EA185" s="710" t="s">
        <v>279</v>
      </c>
      <c r="EB185" s="710"/>
      <c r="EC185" s="901"/>
      <c r="ED185" s="710" t="s">
        <v>278</v>
      </c>
      <c r="EE185" s="710" t="s">
        <v>1685</v>
      </c>
      <c r="EF185" s="901">
        <v>15</v>
      </c>
      <c r="EG185" s="710" t="s">
        <v>279</v>
      </c>
      <c r="EH185" s="710"/>
      <c r="EI185" s="710"/>
      <c r="EJ185" s="710" t="s">
        <v>279</v>
      </c>
      <c r="EK185" s="710"/>
      <c r="EL185" s="710"/>
      <c r="EM185" s="710" t="s">
        <v>279</v>
      </c>
      <c r="EN185" s="710"/>
      <c r="EO185" s="901"/>
      <c r="EP185" s="710" t="s">
        <v>279</v>
      </c>
      <c r="EQ185" s="710"/>
      <c r="ER185" s="901"/>
      <c r="ES185" s="710" t="s">
        <v>279</v>
      </c>
      <c r="ET185" s="710"/>
      <c r="EU185" s="901"/>
      <c r="EV185" s="901"/>
      <c r="EW185" s="901"/>
      <c r="EX185" s="901"/>
      <c r="EY185" s="710" t="s">
        <v>950</v>
      </c>
      <c r="EZ185" s="710"/>
      <c r="FA185" s="710" t="s">
        <v>950</v>
      </c>
      <c r="FB185" s="710"/>
      <c r="FC185" s="974" t="s">
        <v>3812</v>
      </c>
      <c r="FD185" s="710"/>
      <c r="FE185" s="710" t="s">
        <v>279</v>
      </c>
      <c r="FF185" s="710" t="s">
        <v>3834</v>
      </c>
      <c r="FG185" s="710"/>
      <c r="FH185" s="710" t="s">
        <v>3849</v>
      </c>
      <c r="FI185" s="710">
        <v>4</v>
      </c>
      <c r="FJ185" s="710">
        <v>319</v>
      </c>
      <c r="FK185" s="710" t="s">
        <v>3865</v>
      </c>
      <c r="FL185" s="710" t="s">
        <v>3890</v>
      </c>
      <c r="FM185" s="974" t="s">
        <v>3912</v>
      </c>
      <c r="FN185" s="710"/>
      <c r="FO185" s="710"/>
      <c r="FP185" s="974"/>
    </row>
    <row r="186" spans="2:172" ht="124.5" customHeight="1">
      <c r="B186" s="850" t="s">
        <v>5313</v>
      </c>
      <c r="C186" s="863"/>
      <c r="D186" s="850" t="s">
        <v>4934</v>
      </c>
      <c r="E186" s="850" t="s">
        <v>5314</v>
      </c>
      <c r="F186" s="863"/>
      <c r="H186" s="850" t="s">
        <v>4934</v>
      </c>
      <c r="I186" s="850" t="s">
        <v>5520</v>
      </c>
      <c r="J186" s="850" t="s">
        <v>5461</v>
      </c>
      <c r="K186" s="710" t="s">
        <v>267</v>
      </c>
      <c r="L186" s="710" t="s">
        <v>3623</v>
      </c>
      <c r="M186" s="710" t="s">
        <v>2931</v>
      </c>
      <c r="N186" s="1017"/>
      <c r="O186" s="1017">
        <v>2017</v>
      </c>
      <c r="P186" s="896">
        <v>43293</v>
      </c>
      <c r="Q186" s="896">
        <v>43764</v>
      </c>
      <c r="R186" s="712">
        <f t="shared" si="65"/>
        <v>471</v>
      </c>
      <c r="S186" s="896"/>
      <c r="T186" s="896"/>
      <c r="U186" s="896"/>
      <c r="V186" s="896"/>
      <c r="W186" s="896"/>
      <c r="X186" s="896"/>
      <c r="Y186" s="896"/>
      <c r="Z186" s="896"/>
      <c r="AA186" s="896"/>
      <c r="AB186" s="948" t="s">
        <v>3657</v>
      </c>
      <c r="AC186" s="945" t="s">
        <v>3682</v>
      </c>
      <c r="AD186" s="710" t="s">
        <v>3703</v>
      </c>
      <c r="AE186" s="1017" t="s">
        <v>3727</v>
      </c>
      <c r="AF186" s="1017" t="s">
        <v>2743</v>
      </c>
      <c r="AG186" s="1017" t="s">
        <v>3727</v>
      </c>
      <c r="AH186" s="898">
        <v>0.35199999999999998</v>
      </c>
      <c r="AI186" s="868">
        <f t="shared" si="47"/>
        <v>0.29499999999999998</v>
      </c>
      <c r="AJ186" s="875">
        <f t="shared" si="48"/>
        <v>-5.6999999999999995E-2</v>
      </c>
      <c r="AK186" s="898"/>
      <c r="AL186" s="898"/>
      <c r="AM186" s="898"/>
      <c r="AN186" s="869">
        <f t="shared" si="49"/>
        <v>0</v>
      </c>
      <c r="AO186" s="869">
        <f t="shared" si="50"/>
        <v>0</v>
      </c>
      <c r="AP186" s="898"/>
      <c r="AQ186" s="899"/>
      <c r="AR186" s="899">
        <v>8.9999999999999998E-4</v>
      </c>
      <c r="AS186" s="869">
        <f t="shared" si="51"/>
        <v>0</v>
      </c>
      <c r="AT186" s="869">
        <f t="shared" si="52"/>
        <v>0</v>
      </c>
      <c r="AU186" s="942">
        <v>0.29499999999999998</v>
      </c>
      <c r="AV186" s="899">
        <v>0.83799999999999997</v>
      </c>
      <c r="AW186" s="869">
        <f t="shared" si="53"/>
        <v>0.83806818181818177</v>
      </c>
      <c r="AX186" s="869">
        <f t="shared" si="54"/>
        <v>-6.818181818180058E-5</v>
      </c>
      <c r="AY186" s="898">
        <v>0</v>
      </c>
      <c r="AZ186" s="899">
        <v>0</v>
      </c>
      <c r="BA186" s="869">
        <f t="shared" si="55"/>
        <v>0</v>
      </c>
      <c r="BB186" s="869">
        <f t="shared" si="56"/>
        <v>0</v>
      </c>
      <c r="BC186" s="898"/>
      <c r="BD186" s="899"/>
      <c r="BE186" s="869">
        <f t="shared" si="57"/>
        <v>0</v>
      </c>
      <c r="BF186" s="869">
        <f t="shared" si="58"/>
        <v>0</v>
      </c>
      <c r="BG186" s="899"/>
      <c r="BH186" s="899"/>
      <c r="BI186" s="899"/>
      <c r="BJ186" s="899"/>
      <c r="BK186" s="899"/>
      <c r="BL186" s="714">
        <f t="shared" si="59"/>
        <v>0</v>
      </c>
      <c r="BM186" s="869">
        <f t="shared" si="60"/>
        <v>0</v>
      </c>
      <c r="BN186" s="898"/>
      <c r="BO186" s="899"/>
      <c r="BP186" s="869">
        <f t="shared" si="61"/>
        <v>0</v>
      </c>
      <c r="BQ186" s="869">
        <f t="shared" si="62"/>
        <v>0</v>
      </c>
      <c r="BR186" s="899"/>
      <c r="BS186" s="899"/>
      <c r="BT186" s="898">
        <v>0.3</v>
      </c>
      <c r="BU186" s="899">
        <v>4.0000000000000002E-4</v>
      </c>
      <c r="BV186" s="901">
        <v>5</v>
      </c>
      <c r="BW186" s="901">
        <v>1</v>
      </c>
      <c r="BX186" s="901">
        <v>1</v>
      </c>
      <c r="BY186" s="901"/>
      <c r="BZ186" s="901"/>
      <c r="CA186" s="901"/>
      <c r="CB186" s="901"/>
      <c r="CC186" s="901"/>
      <c r="CD186" s="901"/>
      <c r="CE186" s="901"/>
      <c r="CF186" s="901"/>
      <c r="CG186" s="901"/>
      <c r="CH186" s="901">
        <v>1</v>
      </c>
      <c r="CI186" s="901"/>
      <c r="CJ186" s="901"/>
      <c r="CK186" s="901"/>
      <c r="CL186" s="901"/>
      <c r="CM186" s="901"/>
      <c r="CN186" s="901"/>
      <c r="CO186" s="901"/>
      <c r="CP186" s="901"/>
      <c r="CQ186" s="901"/>
      <c r="CR186" s="901"/>
      <c r="CS186" s="902">
        <f t="shared" si="67"/>
        <v>1</v>
      </c>
      <c r="CT186" s="871">
        <f t="shared" si="63"/>
        <v>1</v>
      </c>
      <c r="CU186" s="871">
        <f t="shared" si="64"/>
        <v>0</v>
      </c>
      <c r="CV186" s="942">
        <v>1.05</v>
      </c>
      <c r="CW186" s="710" t="s">
        <v>3764</v>
      </c>
      <c r="CX186" s="710"/>
      <c r="CY186" s="710"/>
      <c r="CZ186" s="710"/>
      <c r="DA186" s="710">
        <v>6</v>
      </c>
      <c r="DB186" s="943"/>
      <c r="DC186" s="710" t="s">
        <v>279</v>
      </c>
      <c r="DD186" s="710"/>
      <c r="DE186" s="710"/>
      <c r="DF186" s="901"/>
      <c r="DG186" s="901"/>
      <c r="DH186" s="901">
        <v>5</v>
      </c>
      <c r="DI186" s="710" t="s">
        <v>279</v>
      </c>
      <c r="DJ186" s="710"/>
      <c r="DK186" s="901"/>
      <c r="DL186" s="710" t="s">
        <v>278</v>
      </c>
      <c r="DM186" s="710" t="s">
        <v>3780</v>
      </c>
      <c r="DN186" s="901">
        <v>10</v>
      </c>
      <c r="DO186" s="710" t="s">
        <v>279</v>
      </c>
      <c r="DP186" s="710"/>
      <c r="DQ186" s="901"/>
      <c r="DR186" s="710" t="s">
        <v>279</v>
      </c>
      <c r="DS186" s="710"/>
      <c r="DT186" s="901"/>
      <c r="DU186" s="710" t="s">
        <v>279</v>
      </c>
      <c r="DV186" s="710"/>
      <c r="DW186" s="901"/>
      <c r="DX186" s="710" t="s">
        <v>279</v>
      </c>
      <c r="DY186" s="710"/>
      <c r="DZ186" s="901"/>
      <c r="EA186" s="710" t="s">
        <v>279</v>
      </c>
      <c r="EB186" s="710"/>
      <c r="EC186" s="901"/>
      <c r="ED186" s="710" t="s">
        <v>278</v>
      </c>
      <c r="EE186" s="710" t="s">
        <v>3780</v>
      </c>
      <c r="EF186" s="901">
        <v>10</v>
      </c>
      <c r="EG186" s="710" t="s">
        <v>279</v>
      </c>
      <c r="EH186" s="710"/>
      <c r="EI186" s="901"/>
      <c r="EJ186" s="710" t="s">
        <v>279</v>
      </c>
      <c r="EK186" s="710"/>
      <c r="EL186" s="901"/>
      <c r="EM186" s="710" t="s">
        <v>279</v>
      </c>
      <c r="EN186" s="710"/>
      <c r="EO186" s="901"/>
      <c r="EP186" s="710" t="s">
        <v>279</v>
      </c>
      <c r="EQ186" s="710"/>
      <c r="ER186" s="901"/>
      <c r="ES186" s="710" t="s">
        <v>279</v>
      </c>
      <c r="ET186" s="710"/>
      <c r="EU186" s="901"/>
      <c r="EV186" s="901"/>
      <c r="EW186" s="901"/>
      <c r="EX186" s="901"/>
      <c r="EY186" s="710" t="s">
        <v>279</v>
      </c>
      <c r="EZ186" s="710"/>
      <c r="FA186" s="710" t="s">
        <v>279</v>
      </c>
      <c r="FB186" s="710"/>
      <c r="FC186" s="984" t="s">
        <v>3813</v>
      </c>
      <c r="FD186" s="710"/>
      <c r="FE186" s="945"/>
      <c r="FF186" s="945"/>
      <c r="FG186" s="710"/>
      <c r="FH186" s="710" t="s">
        <v>3850</v>
      </c>
      <c r="FI186" s="710">
        <v>2</v>
      </c>
      <c r="FJ186" s="710">
        <v>10</v>
      </c>
      <c r="FK186" s="710" t="s">
        <v>3866</v>
      </c>
      <c r="FL186" s="710" t="s">
        <v>3891</v>
      </c>
      <c r="FM186" s="945" t="s">
        <v>3913</v>
      </c>
      <c r="FN186" s="710"/>
      <c r="FO186" s="710"/>
      <c r="FP186" s="710"/>
    </row>
    <row r="187" spans="2:172" ht="120.5" customHeight="1">
      <c r="B187" s="850" t="s">
        <v>5313</v>
      </c>
      <c r="C187" s="863"/>
      <c r="D187" s="850" t="s">
        <v>4934</v>
      </c>
      <c r="E187" s="850" t="s">
        <v>5314</v>
      </c>
      <c r="F187" s="863"/>
      <c r="H187" s="850" t="s">
        <v>4934</v>
      </c>
      <c r="I187" s="850" t="s">
        <v>5520</v>
      </c>
      <c r="J187" s="850" t="s">
        <v>5461</v>
      </c>
      <c r="K187" s="710" t="s">
        <v>267</v>
      </c>
      <c r="L187" s="710" t="s">
        <v>3624</v>
      </c>
      <c r="M187" s="710" t="s">
        <v>2931</v>
      </c>
      <c r="N187" s="1017"/>
      <c r="O187" s="1017">
        <v>2016</v>
      </c>
      <c r="P187" s="896">
        <v>43171</v>
      </c>
      <c r="Q187" s="896">
        <v>43830</v>
      </c>
      <c r="R187" s="712">
        <f t="shared" si="65"/>
        <v>659</v>
      </c>
      <c r="S187" s="896"/>
      <c r="T187" s="896"/>
      <c r="U187" s="896"/>
      <c r="V187" s="896"/>
      <c r="W187" s="896"/>
      <c r="X187" s="896"/>
      <c r="Y187" s="896"/>
      <c r="Z187" s="896"/>
      <c r="AA187" s="896"/>
      <c r="AB187" s="948" t="s">
        <v>3658</v>
      </c>
      <c r="AC187" s="945" t="s">
        <v>3683</v>
      </c>
      <c r="AD187" s="710" t="s">
        <v>3704</v>
      </c>
      <c r="AE187" s="1017" t="s">
        <v>3728</v>
      </c>
      <c r="AF187" s="1017" t="s">
        <v>3737</v>
      </c>
      <c r="AG187" s="710" t="s">
        <v>3749</v>
      </c>
      <c r="AH187" s="898">
        <v>30.82</v>
      </c>
      <c r="AI187" s="868">
        <f t="shared" si="47"/>
        <v>30.82</v>
      </c>
      <c r="AJ187" s="867">
        <f t="shared" si="48"/>
        <v>0</v>
      </c>
      <c r="AK187" s="898"/>
      <c r="AL187" s="898"/>
      <c r="AM187" s="898"/>
      <c r="AN187" s="869">
        <f t="shared" si="49"/>
        <v>0</v>
      </c>
      <c r="AO187" s="869">
        <f t="shared" si="50"/>
        <v>0</v>
      </c>
      <c r="AP187" s="898"/>
      <c r="AQ187" s="899"/>
      <c r="AR187" s="899">
        <v>2.3999999999999998E-3</v>
      </c>
      <c r="AS187" s="869">
        <f t="shared" si="51"/>
        <v>0</v>
      </c>
      <c r="AT187" s="869">
        <f t="shared" si="52"/>
        <v>0</v>
      </c>
      <c r="AU187" s="942">
        <v>29.521000000000001</v>
      </c>
      <c r="AV187" s="899">
        <v>0.95799999999999996</v>
      </c>
      <c r="AW187" s="869">
        <f t="shared" si="53"/>
        <v>0.95785204412719016</v>
      </c>
      <c r="AX187" s="869">
        <f t="shared" si="54"/>
        <v>1.4795587280980182E-4</v>
      </c>
      <c r="AY187" s="898">
        <v>1.2989999999999999</v>
      </c>
      <c r="AZ187" s="899">
        <v>4.2000000000000003E-2</v>
      </c>
      <c r="BA187" s="869">
        <f t="shared" si="55"/>
        <v>4.214795587280986E-2</v>
      </c>
      <c r="BB187" s="869">
        <f t="shared" si="56"/>
        <v>-1.4795587280985734E-4</v>
      </c>
      <c r="BC187" s="898"/>
      <c r="BD187" s="899"/>
      <c r="BE187" s="869">
        <f t="shared" si="57"/>
        <v>0</v>
      </c>
      <c r="BF187" s="869">
        <f t="shared" si="58"/>
        <v>0</v>
      </c>
      <c r="BG187" s="899"/>
      <c r="BH187" s="899"/>
      <c r="BI187" s="899"/>
      <c r="BJ187" s="899"/>
      <c r="BK187" s="899"/>
      <c r="BL187" s="714">
        <f t="shared" si="59"/>
        <v>0</v>
      </c>
      <c r="BM187" s="869">
        <f t="shared" si="60"/>
        <v>0</v>
      </c>
      <c r="BN187" s="898"/>
      <c r="BO187" s="899"/>
      <c r="BP187" s="869">
        <f t="shared" si="61"/>
        <v>0</v>
      </c>
      <c r="BQ187" s="869">
        <f t="shared" si="62"/>
        <v>0</v>
      </c>
      <c r="BR187" s="899"/>
      <c r="BS187" s="899"/>
      <c r="BT187" s="898">
        <v>30</v>
      </c>
      <c r="BU187" s="899">
        <v>2.5000000000000001E-3</v>
      </c>
      <c r="BV187" s="901">
        <v>13</v>
      </c>
      <c r="BW187" s="901">
        <v>13</v>
      </c>
      <c r="BX187" s="901">
        <v>8</v>
      </c>
      <c r="BY187" s="901"/>
      <c r="BZ187" s="901"/>
      <c r="CA187" s="901">
        <v>1</v>
      </c>
      <c r="CB187" s="901"/>
      <c r="CC187" s="901"/>
      <c r="CD187" s="901"/>
      <c r="CE187" s="901">
        <v>2</v>
      </c>
      <c r="CF187" s="901"/>
      <c r="CG187" s="901">
        <v>2</v>
      </c>
      <c r="CH187" s="901">
        <v>2</v>
      </c>
      <c r="CI187" s="901"/>
      <c r="CJ187" s="901">
        <v>1</v>
      </c>
      <c r="CK187" s="901"/>
      <c r="CL187" s="901"/>
      <c r="CM187" s="901"/>
      <c r="CN187" s="901"/>
      <c r="CO187" s="901"/>
      <c r="CP187" s="901"/>
      <c r="CQ187" s="901"/>
      <c r="CR187" s="901"/>
      <c r="CS187" s="902">
        <f t="shared" si="67"/>
        <v>8</v>
      </c>
      <c r="CT187" s="871">
        <f t="shared" si="63"/>
        <v>8</v>
      </c>
      <c r="CU187" s="871">
        <f t="shared" si="64"/>
        <v>0</v>
      </c>
      <c r="CV187" s="942">
        <v>620</v>
      </c>
      <c r="CW187" s="710" t="s">
        <v>279</v>
      </c>
      <c r="CX187" s="710"/>
      <c r="CY187" s="710"/>
      <c r="CZ187" s="710"/>
      <c r="DA187" s="710">
        <v>95.3</v>
      </c>
      <c r="DB187" s="943" t="s">
        <v>3772</v>
      </c>
      <c r="DC187" s="710" t="s">
        <v>279</v>
      </c>
      <c r="DD187" s="710"/>
      <c r="DE187" s="710"/>
      <c r="DF187" s="901"/>
      <c r="DG187" s="901"/>
      <c r="DH187" s="901">
        <v>11</v>
      </c>
      <c r="DI187" s="710" t="s">
        <v>279</v>
      </c>
      <c r="DJ187" s="710"/>
      <c r="DK187" s="901"/>
      <c r="DL187" s="710" t="s">
        <v>279</v>
      </c>
      <c r="DM187" s="710"/>
      <c r="DN187" s="901"/>
      <c r="DO187" s="710" t="s">
        <v>279</v>
      </c>
      <c r="DP187" s="710"/>
      <c r="DQ187" s="901"/>
      <c r="DR187" s="710" t="s">
        <v>279</v>
      </c>
      <c r="DS187" s="710"/>
      <c r="DT187" s="901"/>
      <c r="DU187" s="710" t="s">
        <v>279</v>
      </c>
      <c r="DV187" s="710"/>
      <c r="DW187" s="901"/>
      <c r="DX187" s="710" t="s">
        <v>278</v>
      </c>
      <c r="DY187" s="710" t="s">
        <v>3793</v>
      </c>
      <c r="DZ187" s="901">
        <v>818</v>
      </c>
      <c r="EA187" s="710" t="s">
        <v>279</v>
      </c>
      <c r="EB187" s="710"/>
      <c r="EC187" s="901"/>
      <c r="ED187" s="710" t="s">
        <v>279</v>
      </c>
      <c r="EE187" s="710"/>
      <c r="EF187" s="901"/>
      <c r="EG187" s="710" t="s">
        <v>279</v>
      </c>
      <c r="EH187" s="710"/>
      <c r="EI187" s="901"/>
      <c r="EJ187" s="710" t="s">
        <v>278</v>
      </c>
      <c r="EK187" s="710" t="s">
        <v>3800</v>
      </c>
      <c r="EL187" s="901">
        <v>15</v>
      </c>
      <c r="EM187" s="710" t="s">
        <v>279</v>
      </c>
      <c r="EN187" s="710"/>
      <c r="EO187" s="901"/>
      <c r="EP187" s="710" t="s">
        <v>279</v>
      </c>
      <c r="EQ187" s="710"/>
      <c r="ER187" s="901"/>
      <c r="ES187" s="710" t="s">
        <v>279</v>
      </c>
      <c r="ET187" s="710"/>
      <c r="EU187" s="901"/>
      <c r="EV187" s="901"/>
      <c r="EW187" s="901"/>
      <c r="EX187" s="901"/>
      <c r="EY187" s="710" t="s">
        <v>279</v>
      </c>
      <c r="EZ187" s="710"/>
      <c r="FA187" s="710" t="s">
        <v>279</v>
      </c>
      <c r="FB187" s="710"/>
      <c r="FC187" s="945" t="s">
        <v>3814</v>
      </c>
      <c r="FD187" s="710" t="s">
        <v>279</v>
      </c>
      <c r="FE187" s="945" t="s">
        <v>3831</v>
      </c>
      <c r="FF187" s="945" t="s">
        <v>3835</v>
      </c>
      <c r="FG187" s="710" t="s">
        <v>279</v>
      </c>
      <c r="FH187" s="710" t="s">
        <v>3851</v>
      </c>
      <c r="FI187" s="710">
        <v>1</v>
      </c>
      <c r="FJ187" s="710" t="s">
        <v>3860</v>
      </c>
      <c r="FK187" s="710" t="s">
        <v>3867</v>
      </c>
      <c r="FL187" s="710" t="s">
        <v>3892</v>
      </c>
      <c r="FM187" s="945" t="s">
        <v>3914</v>
      </c>
      <c r="FN187" s="710"/>
      <c r="FO187" s="710"/>
      <c r="FP187" s="710"/>
    </row>
    <row r="188" spans="2:172" ht="109" customHeight="1">
      <c r="B188" s="850" t="s">
        <v>5313</v>
      </c>
      <c r="C188" s="863"/>
      <c r="D188" s="850" t="s">
        <v>4934</v>
      </c>
      <c r="E188" s="850" t="s">
        <v>5314</v>
      </c>
      <c r="F188" s="863"/>
      <c r="H188" s="850" t="s">
        <v>4934</v>
      </c>
      <c r="I188" s="850" t="s">
        <v>5520</v>
      </c>
      <c r="J188" s="850" t="s">
        <v>5461</v>
      </c>
      <c r="K188" s="710" t="s">
        <v>267</v>
      </c>
      <c r="L188" s="710" t="s">
        <v>3625</v>
      </c>
      <c r="M188" s="710" t="s">
        <v>2931</v>
      </c>
      <c r="N188" s="710"/>
      <c r="O188" s="895">
        <v>2016</v>
      </c>
      <c r="P188" s="896">
        <v>43556</v>
      </c>
      <c r="Q188" s="896">
        <v>43738</v>
      </c>
      <c r="R188" s="712">
        <f t="shared" si="65"/>
        <v>182</v>
      </c>
      <c r="S188" s="896"/>
      <c r="T188" s="896"/>
      <c r="U188" s="896"/>
      <c r="V188" s="896"/>
      <c r="W188" s="896"/>
      <c r="X188" s="896"/>
      <c r="Y188" s="896"/>
      <c r="Z188" s="896"/>
      <c r="AA188" s="896"/>
      <c r="AB188" s="710" t="s">
        <v>3659</v>
      </c>
      <c r="AC188" s="945"/>
      <c r="AD188" s="710" t="s">
        <v>3705</v>
      </c>
      <c r="AE188" s="710" t="s">
        <v>3705</v>
      </c>
      <c r="AF188" s="710"/>
      <c r="AG188" s="710" t="s">
        <v>3705</v>
      </c>
      <c r="AH188" s="898">
        <v>0.125</v>
      </c>
      <c r="AI188" s="868">
        <f t="shared" si="47"/>
        <v>0.125</v>
      </c>
      <c r="AJ188" s="867">
        <f t="shared" si="48"/>
        <v>0</v>
      </c>
      <c r="AK188" s="898"/>
      <c r="AL188" s="898"/>
      <c r="AM188" s="898"/>
      <c r="AN188" s="869">
        <f t="shared" si="49"/>
        <v>0</v>
      </c>
      <c r="AO188" s="869">
        <f t="shared" si="50"/>
        <v>0</v>
      </c>
      <c r="AP188" s="898"/>
      <c r="AQ188" s="899"/>
      <c r="AR188" s="899">
        <v>2.1000000000000001E-2</v>
      </c>
      <c r="AS188" s="869">
        <f t="shared" si="51"/>
        <v>0</v>
      </c>
      <c r="AT188" s="869">
        <f t="shared" si="52"/>
        <v>0</v>
      </c>
      <c r="AU188" s="942">
        <v>0.125</v>
      </c>
      <c r="AV188" s="899">
        <v>1</v>
      </c>
      <c r="AW188" s="869">
        <f t="shared" si="53"/>
        <v>1</v>
      </c>
      <c r="AX188" s="869">
        <f t="shared" si="54"/>
        <v>0</v>
      </c>
      <c r="AY188" s="898">
        <v>0</v>
      </c>
      <c r="AZ188" s="899"/>
      <c r="BA188" s="869">
        <f t="shared" si="55"/>
        <v>0</v>
      </c>
      <c r="BB188" s="869">
        <f t="shared" si="56"/>
        <v>0</v>
      </c>
      <c r="BC188" s="898">
        <v>0</v>
      </c>
      <c r="BD188" s="899"/>
      <c r="BE188" s="869">
        <f t="shared" si="57"/>
        <v>0</v>
      </c>
      <c r="BF188" s="869">
        <f t="shared" si="58"/>
        <v>0</v>
      </c>
      <c r="BG188" s="899"/>
      <c r="BH188" s="899"/>
      <c r="BI188" s="899"/>
      <c r="BJ188" s="899"/>
      <c r="BK188" s="899"/>
      <c r="BL188" s="714">
        <f t="shared" si="59"/>
        <v>0</v>
      </c>
      <c r="BM188" s="869">
        <f t="shared" si="60"/>
        <v>0</v>
      </c>
      <c r="BN188" s="898">
        <v>0</v>
      </c>
      <c r="BO188" s="899"/>
      <c r="BP188" s="869">
        <f t="shared" si="61"/>
        <v>0</v>
      </c>
      <c r="BQ188" s="869">
        <f t="shared" si="62"/>
        <v>0</v>
      </c>
      <c r="BR188" s="899"/>
      <c r="BS188" s="899"/>
      <c r="BT188" s="898">
        <v>2.5000000000000001E-2</v>
      </c>
      <c r="BU188" s="899">
        <v>3.0000000000000001E-3</v>
      </c>
      <c r="BV188" s="901">
        <v>2</v>
      </c>
      <c r="BW188" s="901">
        <v>2</v>
      </c>
      <c r="BX188" s="901">
        <v>1</v>
      </c>
      <c r="BY188" s="901"/>
      <c r="BZ188" s="901"/>
      <c r="CA188" s="901"/>
      <c r="CB188" s="901"/>
      <c r="CC188" s="901"/>
      <c r="CD188" s="901"/>
      <c r="CE188" s="901"/>
      <c r="CF188" s="901"/>
      <c r="CG188" s="901"/>
      <c r="CH188" s="901"/>
      <c r="CI188" s="901"/>
      <c r="CJ188" s="901">
        <v>1</v>
      </c>
      <c r="CK188" s="901"/>
      <c r="CL188" s="901"/>
      <c r="CM188" s="901"/>
      <c r="CN188" s="901"/>
      <c r="CO188" s="901"/>
      <c r="CP188" s="901"/>
      <c r="CQ188" s="901"/>
      <c r="CR188" s="901"/>
      <c r="CS188" s="902">
        <f t="shared" si="67"/>
        <v>1</v>
      </c>
      <c r="CT188" s="871">
        <f t="shared" si="63"/>
        <v>1</v>
      </c>
      <c r="CU188" s="871">
        <f t="shared" si="64"/>
        <v>0</v>
      </c>
      <c r="CV188" s="942">
        <v>0.9</v>
      </c>
      <c r="CW188" s="710"/>
      <c r="CX188" s="710"/>
      <c r="CY188" s="710"/>
      <c r="CZ188" s="710"/>
      <c r="DA188" s="710">
        <v>35</v>
      </c>
      <c r="DB188" s="899"/>
      <c r="DC188" s="710" t="s">
        <v>279</v>
      </c>
      <c r="DD188" s="710"/>
      <c r="DE188" s="710"/>
      <c r="DF188" s="901"/>
      <c r="DG188" s="901"/>
      <c r="DH188" s="901">
        <v>2</v>
      </c>
      <c r="DI188" s="710" t="s">
        <v>279</v>
      </c>
      <c r="DJ188" s="710"/>
      <c r="DK188" s="901"/>
      <c r="DL188" s="710" t="s">
        <v>278</v>
      </c>
      <c r="DM188" s="710" t="s">
        <v>551</v>
      </c>
      <c r="DN188" s="901">
        <v>5</v>
      </c>
      <c r="DO188" s="710" t="s">
        <v>279</v>
      </c>
      <c r="DP188" s="710"/>
      <c r="DQ188" s="901"/>
      <c r="DR188" s="710" t="s">
        <v>279</v>
      </c>
      <c r="DS188" s="710"/>
      <c r="DT188" s="901"/>
      <c r="DU188" s="710" t="s">
        <v>279</v>
      </c>
      <c r="DV188" s="710"/>
      <c r="DW188" s="901"/>
      <c r="DX188" s="710" t="s">
        <v>279</v>
      </c>
      <c r="DY188" s="710"/>
      <c r="DZ188" s="901"/>
      <c r="EA188" s="710" t="s">
        <v>279</v>
      </c>
      <c r="EB188" s="710"/>
      <c r="EC188" s="901"/>
      <c r="ED188" s="710" t="s">
        <v>278</v>
      </c>
      <c r="EE188" s="710" t="s">
        <v>551</v>
      </c>
      <c r="EF188" s="901">
        <v>5</v>
      </c>
      <c r="EG188" s="710" t="s">
        <v>279</v>
      </c>
      <c r="EH188" s="710"/>
      <c r="EI188" s="901"/>
      <c r="EJ188" s="710" t="s">
        <v>279</v>
      </c>
      <c r="EK188" s="710"/>
      <c r="EL188" s="901"/>
      <c r="EM188" s="710" t="s">
        <v>279</v>
      </c>
      <c r="EN188" s="901"/>
      <c r="EO188" s="901"/>
      <c r="EP188" s="710" t="s">
        <v>279</v>
      </c>
      <c r="EQ188" s="710"/>
      <c r="ER188" s="901"/>
      <c r="ES188" s="710" t="s">
        <v>279</v>
      </c>
      <c r="ET188" s="710"/>
      <c r="EU188" s="901"/>
      <c r="EV188" s="901"/>
      <c r="EW188" s="901"/>
      <c r="EX188" s="901"/>
      <c r="EY188" s="710" t="s">
        <v>279</v>
      </c>
      <c r="EZ188" s="710"/>
      <c r="FA188" s="710" t="s">
        <v>279</v>
      </c>
      <c r="FB188" s="710"/>
      <c r="FC188" s="945" t="s">
        <v>3811</v>
      </c>
      <c r="FD188" s="710"/>
      <c r="FE188" s="710"/>
      <c r="FF188" s="710"/>
      <c r="FG188" s="710"/>
      <c r="FH188" s="710" t="s">
        <v>410</v>
      </c>
      <c r="FI188" s="710"/>
      <c r="FJ188" s="710"/>
      <c r="FK188" s="710" t="s">
        <v>3868</v>
      </c>
      <c r="FL188" s="710" t="s">
        <v>3893</v>
      </c>
      <c r="FM188" s="945" t="s">
        <v>3915</v>
      </c>
      <c r="FN188" s="710"/>
      <c r="FO188" s="710"/>
      <c r="FP188" s="984"/>
    </row>
    <row r="189" spans="2:172" ht="87" customHeight="1">
      <c r="B189" s="850" t="s">
        <v>5313</v>
      </c>
      <c r="C189" s="863"/>
      <c r="D189" s="850" t="s">
        <v>4934</v>
      </c>
      <c r="E189" s="850" t="s">
        <v>5314</v>
      </c>
      <c r="F189" s="863"/>
      <c r="H189" s="850" t="s">
        <v>4934</v>
      </c>
      <c r="I189" s="850" t="s">
        <v>5520</v>
      </c>
      <c r="J189" s="850" t="s">
        <v>5461</v>
      </c>
      <c r="K189" s="710" t="s">
        <v>267</v>
      </c>
      <c r="L189" s="710" t="s">
        <v>3626</v>
      </c>
      <c r="M189" s="710" t="s">
        <v>626</v>
      </c>
      <c r="N189" s="948"/>
      <c r="O189" s="895">
        <v>2017</v>
      </c>
      <c r="P189" s="896">
        <v>43307</v>
      </c>
      <c r="Q189" s="896">
        <v>43690</v>
      </c>
      <c r="R189" s="712">
        <f t="shared" si="65"/>
        <v>383</v>
      </c>
      <c r="S189" s="896"/>
      <c r="T189" s="896"/>
      <c r="U189" s="896"/>
      <c r="V189" s="896"/>
      <c r="W189" s="896"/>
      <c r="X189" s="896"/>
      <c r="Y189" s="896"/>
      <c r="Z189" s="896"/>
      <c r="AA189" s="896"/>
      <c r="AB189" s="711" t="s">
        <v>3660</v>
      </c>
      <c r="AC189" s="861" t="s">
        <v>3684</v>
      </c>
      <c r="AD189" s="710" t="s">
        <v>3706</v>
      </c>
      <c r="AE189" s="710" t="s">
        <v>3706</v>
      </c>
      <c r="AF189" s="710" t="s">
        <v>2743</v>
      </c>
      <c r="AG189" s="710" t="s">
        <v>3750</v>
      </c>
      <c r="AH189" s="898">
        <v>8.8900000000000007E-2</v>
      </c>
      <c r="AI189" s="868">
        <f t="shared" si="47"/>
        <v>8.8999999999999996E-2</v>
      </c>
      <c r="AJ189" s="867">
        <f t="shared" si="48"/>
        <v>9.9999999999988987E-5</v>
      </c>
      <c r="AK189" s="898"/>
      <c r="AL189" s="898"/>
      <c r="AM189" s="898"/>
      <c r="AN189" s="869">
        <f t="shared" si="49"/>
        <v>0</v>
      </c>
      <c r="AO189" s="869">
        <f t="shared" si="50"/>
        <v>0</v>
      </c>
      <c r="AP189" s="898"/>
      <c r="AQ189" s="899"/>
      <c r="AR189" s="899">
        <v>1.8E-3</v>
      </c>
      <c r="AS189" s="869">
        <f t="shared" si="51"/>
        <v>0</v>
      </c>
      <c r="AT189" s="869">
        <f t="shared" si="52"/>
        <v>0</v>
      </c>
      <c r="AU189" s="942">
        <v>8.8999999999999996E-2</v>
      </c>
      <c r="AV189" s="899">
        <v>1</v>
      </c>
      <c r="AW189" s="869">
        <f t="shared" si="53"/>
        <v>1.0011248593925759</v>
      </c>
      <c r="AX189" s="869">
        <f t="shared" si="54"/>
        <v>-1.1248593925758943E-3</v>
      </c>
      <c r="AY189" s="898">
        <v>0</v>
      </c>
      <c r="AZ189" s="899"/>
      <c r="BA189" s="869">
        <f t="shared" si="55"/>
        <v>0</v>
      </c>
      <c r="BB189" s="869">
        <f t="shared" si="56"/>
        <v>0</v>
      </c>
      <c r="BC189" s="898">
        <v>0</v>
      </c>
      <c r="BD189" s="899"/>
      <c r="BE189" s="869">
        <f t="shared" si="57"/>
        <v>0</v>
      </c>
      <c r="BF189" s="869">
        <f t="shared" si="58"/>
        <v>0</v>
      </c>
      <c r="BG189" s="899"/>
      <c r="BH189" s="899"/>
      <c r="BI189" s="899"/>
      <c r="BJ189" s="899"/>
      <c r="BK189" s="899"/>
      <c r="BL189" s="714">
        <f t="shared" si="59"/>
        <v>0</v>
      </c>
      <c r="BM189" s="869">
        <f t="shared" si="60"/>
        <v>0</v>
      </c>
      <c r="BN189" s="898">
        <v>0</v>
      </c>
      <c r="BO189" s="899"/>
      <c r="BP189" s="869">
        <f t="shared" si="61"/>
        <v>0</v>
      </c>
      <c r="BQ189" s="869">
        <f t="shared" si="62"/>
        <v>0</v>
      </c>
      <c r="BR189" s="899"/>
      <c r="BS189" s="899"/>
      <c r="BT189" s="898">
        <v>0.2</v>
      </c>
      <c r="BU189" s="899">
        <v>4.0000000000000001E-3</v>
      </c>
      <c r="BV189" s="901">
        <v>2</v>
      </c>
      <c r="BW189" s="901">
        <v>1</v>
      </c>
      <c r="BX189" s="901">
        <v>1</v>
      </c>
      <c r="BY189" s="901"/>
      <c r="BZ189" s="901"/>
      <c r="CA189" s="901"/>
      <c r="CB189" s="901"/>
      <c r="CC189" s="901"/>
      <c r="CD189" s="901"/>
      <c r="CE189" s="901"/>
      <c r="CF189" s="901"/>
      <c r="CG189" s="901"/>
      <c r="CH189" s="901">
        <v>1</v>
      </c>
      <c r="CI189" s="901"/>
      <c r="CJ189" s="901"/>
      <c r="CK189" s="901"/>
      <c r="CL189" s="901"/>
      <c r="CM189" s="901"/>
      <c r="CN189" s="901"/>
      <c r="CO189" s="901"/>
      <c r="CP189" s="901"/>
      <c r="CQ189" s="901"/>
      <c r="CR189" s="901"/>
      <c r="CS189" s="902">
        <f t="shared" si="67"/>
        <v>1</v>
      </c>
      <c r="CT189" s="871">
        <f t="shared" si="63"/>
        <v>1</v>
      </c>
      <c r="CU189" s="871">
        <f t="shared" si="64"/>
        <v>0</v>
      </c>
      <c r="CV189" s="942"/>
      <c r="CW189" s="710"/>
      <c r="CX189" s="710"/>
      <c r="CY189" s="710"/>
      <c r="CZ189" s="710"/>
      <c r="DA189" s="710">
        <v>1.48</v>
      </c>
      <c r="DB189" s="899" t="s">
        <v>3773</v>
      </c>
      <c r="DC189" s="710" t="s">
        <v>279</v>
      </c>
      <c r="DD189" s="710"/>
      <c r="DE189" s="710"/>
      <c r="DF189" s="901"/>
      <c r="DG189" s="901"/>
      <c r="DH189" s="901">
        <v>2</v>
      </c>
      <c r="DI189" s="710" t="s">
        <v>279</v>
      </c>
      <c r="DJ189" s="710"/>
      <c r="DK189" s="901"/>
      <c r="DL189" s="710" t="s">
        <v>278</v>
      </c>
      <c r="DM189" s="710" t="s">
        <v>3781</v>
      </c>
      <c r="DN189" s="901">
        <v>120</v>
      </c>
      <c r="DO189" s="710" t="s">
        <v>279</v>
      </c>
      <c r="DP189" s="710"/>
      <c r="DQ189" s="901"/>
      <c r="DR189" s="710" t="s">
        <v>279</v>
      </c>
      <c r="DS189" s="710"/>
      <c r="DT189" s="901"/>
      <c r="DU189" s="710" t="s">
        <v>279</v>
      </c>
      <c r="DV189" s="710"/>
      <c r="DW189" s="901"/>
      <c r="DX189" s="710" t="s">
        <v>279</v>
      </c>
      <c r="DY189" s="710"/>
      <c r="DZ189" s="901"/>
      <c r="EA189" s="710" t="s">
        <v>279</v>
      </c>
      <c r="EB189" s="710"/>
      <c r="EC189" s="901"/>
      <c r="ED189" s="710" t="s">
        <v>279</v>
      </c>
      <c r="EE189" s="710"/>
      <c r="EF189" s="901"/>
      <c r="EG189" s="710" t="s">
        <v>279</v>
      </c>
      <c r="EH189" s="710"/>
      <c r="EI189" s="901"/>
      <c r="EJ189" s="710" t="s">
        <v>278</v>
      </c>
      <c r="EK189" s="710" t="s">
        <v>3482</v>
      </c>
      <c r="EL189" s="901">
        <v>115</v>
      </c>
      <c r="EM189" s="710" t="s">
        <v>279</v>
      </c>
      <c r="EN189" s="710"/>
      <c r="EO189" s="901"/>
      <c r="EP189" s="710" t="s">
        <v>279</v>
      </c>
      <c r="EQ189" s="710"/>
      <c r="ER189" s="901"/>
      <c r="ES189" s="710" t="s">
        <v>279</v>
      </c>
      <c r="ET189" s="710"/>
      <c r="EU189" s="901"/>
      <c r="EV189" s="901"/>
      <c r="EW189" s="901"/>
      <c r="EX189" s="901"/>
      <c r="EY189" s="710" t="s">
        <v>279</v>
      </c>
      <c r="EZ189" s="710"/>
      <c r="FA189" s="710" t="s">
        <v>279</v>
      </c>
      <c r="FB189" s="710"/>
      <c r="FC189" s="710"/>
      <c r="FD189" s="710"/>
      <c r="FE189" s="710"/>
      <c r="FF189" s="710"/>
      <c r="FG189" s="710"/>
      <c r="FH189" s="710"/>
      <c r="FI189" s="710"/>
      <c r="FJ189" s="710"/>
      <c r="FK189" s="710" t="s">
        <v>3869</v>
      </c>
      <c r="FL189" s="710">
        <v>89278109028</v>
      </c>
      <c r="FM189" s="710"/>
      <c r="FN189" s="710"/>
      <c r="FO189" s="710"/>
      <c r="FP189" s="710"/>
    </row>
    <row r="190" spans="2:172" ht="101.5" customHeight="1">
      <c r="B190" s="850" t="s">
        <v>5313</v>
      </c>
      <c r="C190" s="863"/>
      <c r="D190" s="850" t="s">
        <v>4934</v>
      </c>
      <c r="E190" s="850" t="s">
        <v>5314</v>
      </c>
      <c r="F190" s="863"/>
      <c r="H190" s="850" t="s">
        <v>4934</v>
      </c>
      <c r="I190" s="850" t="s">
        <v>5520</v>
      </c>
      <c r="J190" s="850" t="s">
        <v>5461</v>
      </c>
      <c r="K190" s="710" t="s">
        <v>267</v>
      </c>
      <c r="L190" s="710" t="s">
        <v>3627</v>
      </c>
      <c r="M190" s="710" t="s">
        <v>2931</v>
      </c>
      <c r="N190" s="710"/>
      <c r="O190" s="895">
        <v>2016</v>
      </c>
      <c r="P190" s="896">
        <v>43556</v>
      </c>
      <c r="Q190" s="896">
        <v>43738</v>
      </c>
      <c r="R190" s="712">
        <f t="shared" si="65"/>
        <v>182</v>
      </c>
      <c r="S190" s="896"/>
      <c r="T190" s="896"/>
      <c r="U190" s="896"/>
      <c r="V190" s="896"/>
      <c r="W190" s="896"/>
      <c r="X190" s="896"/>
      <c r="Y190" s="896"/>
      <c r="Z190" s="896"/>
      <c r="AA190" s="896"/>
      <c r="AB190" s="710" t="s">
        <v>3661</v>
      </c>
      <c r="AC190" s="945"/>
      <c r="AD190" s="710" t="s">
        <v>3707</v>
      </c>
      <c r="AE190" s="710" t="s">
        <v>3707</v>
      </c>
      <c r="AF190" s="710" t="s">
        <v>3734</v>
      </c>
      <c r="AG190" s="710" t="s">
        <v>3707</v>
      </c>
      <c r="AH190" s="898">
        <v>0.02</v>
      </c>
      <c r="AI190" s="868">
        <f t="shared" si="47"/>
        <v>0.02</v>
      </c>
      <c r="AJ190" s="867">
        <f t="shared" si="48"/>
        <v>0</v>
      </c>
      <c r="AK190" s="898"/>
      <c r="AL190" s="898"/>
      <c r="AM190" s="898"/>
      <c r="AN190" s="869">
        <f t="shared" si="49"/>
        <v>0</v>
      </c>
      <c r="AO190" s="869">
        <f t="shared" si="50"/>
        <v>0</v>
      </c>
      <c r="AP190" s="898"/>
      <c r="AQ190" s="899"/>
      <c r="AR190" s="899">
        <v>4.0000000000000001E-3</v>
      </c>
      <c r="AS190" s="869">
        <f t="shared" si="51"/>
        <v>0</v>
      </c>
      <c r="AT190" s="869">
        <f t="shared" si="52"/>
        <v>0</v>
      </c>
      <c r="AU190" s="942">
        <v>0.02</v>
      </c>
      <c r="AV190" s="899">
        <v>1</v>
      </c>
      <c r="AW190" s="869">
        <f t="shared" si="53"/>
        <v>1</v>
      </c>
      <c r="AX190" s="869">
        <f t="shared" si="54"/>
        <v>0</v>
      </c>
      <c r="AY190" s="898"/>
      <c r="AZ190" s="899"/>
      <c r="BA190" s="869">
        <f t="shared" si="55"/>
        <v>0</v>
      </c>
      <c r="BB190" s="869">
        <f t="shared" si="56"/>
        <v>0</v>
      </c>
      <c r="BC190" s="898"/>
      <c r="BD190" s="899"/>
      <c r="BE190" s="869">
        <f t="shared" si="57"/>
        <v>0</v>
      </c>
      <c r="BF190" s="869">
        <f t="shared" si="58"/>
        <v>0</v>
      </c>
      <c r="BG190" s="899"/>
      <c r="BH190" s="899"/>
      <c r="BI190" s="899"/>
      <c r="BJ190" s="899"/>
      <c r="BK190" s="899"/>
      <c r="BL190" s="714">
        <f t="shared" si="59"/>
        <v>0</v>
      </c>
      <c r="BM190" s="869">
        <f t="shared" si="60"/>
        <v>0</v>
      </c>
      <c r="BN190" s="898"/>
      <c r="BO190" s="899"/>
      <c r="BP190" s="869">
        <f t="shared" si="61"/>
        <v>0</v>
      </c>
      <c r="BQ190" s="869">
        <f t="shared" si="62"/>
        <v>0</v>
      </c>
      <c r="BR190" s="899"/>
      <c r="BS190" s="899"/>
      <c r="BT190" s="898">
        <v>0.02</v>
      </c>
      <c r="BU190" s="899">
        <v>3.0000000000000001E-3</v>
      </c>
      <c r="BV190" s="901">
        <v>2</v>
      </c>
      <c r="BW190" s="901">
        <v>2</v>
      </c>
      <c r="BX190" s="901">
        <v>1</v>
      </c>
      <c r="BY190" s="901"/>
      <c r="BZ190" s="901"/>
      <c r="CA190" s="901"/>
      <c r="CB190" s="901"/>
      <c r="CC190" s="901"/>
      <c r="CD190" s="901">
        <v>1</v>
      </c>
      <c r="CE190" s="901"/>
      <c r="CF190" s="901"/>
      <c r="CG190" s="901"/>
      <c r="CH190" s="901"/>
      <c r="CI190" s="901"/>
      <c r="CJ190" s="901"/>
      <c r="CK190" s="901"/>
      <c r="CL190" s="901"/>
      <c r="CM190" s="901"/>
      <c r="CN190" s="901"/>
      <c r="CO190" s="901"/>
      <c r="CP190" s="901"/>
      <c r="CQ190" s="901"/>
      <c r="CR190" s="901"/>
      <c r="CS190" s="902">
        <f t="shared" si="67"/>
        <v>1</v>
      </c>
      <c r="CT190" s="871">
        <f t="shared" si="63"/>
        <v>1</v>
      </c>
      <c r="CU190" s="871">
        <f t="shared" si="64"/>
        <v>0</v>
      </c>
      <c r="CV190" s="942">
        <v>0.5</v>
      </c>
      <c r="CW190" s="710"/>
      <c r="CX190" s="710"/>
      <c r="CY190" s="710"/>
      <c r="CZ190" s="710"/>
      <c r="DA190" s="710">
        <v>50</v>
      </c>
      <c r="DB190" s="899"/>
      <c r="DC190" s="710" t="s">
        <v>279</v>
      </c>
      <c r="DD190" s="710"/>
      <c r="DE190" s="710"/>
      <c r="DF190" s="901"/>
      <c r="DG190" s="901"/>
      <c r="DH190" s="901">
        <v>2</v>
      </c>
      <c r="DI190" s="710" t="s">
        <v>279</v>
      </c>
      <c r="DJ190" s="710"/>
      <c r="DK190" s="901"/>
      <c r="DL190" s="710" t="s">
        <v>278</v>
      </c>
      <c r="DM190" s="710" t="s">
        <v>551</v>
      </c>
      <c r="DN190" s="901">
        <v>5</v>
      </c>
      <c r="DO190" s="710" t="s">
        <v>279</v>
      </c>
      <c r="DP190" s="710"/>
      <c r="DQ190" s="901"/>
      <c r="DR190" s="710" t="s">
        <v>279</v>
      </c>
      <c r="DS190" s="710"/>
      <c r="DT190" s="901"/>
      <c r="DU190" s="710" t="s">
        <v>279</v>
      </c>
      <c r="DV190" s="710"/>
      <c r="DW190" s="901"/>
      <c r="DX190" s="710" t="s">
        <v>279</v>
      </c>
      <c r="DY190" s="710"/>
      <c r="DZ190" s="901"/>
      <c r="EA190" s="710" t="s">
        <v>279</v>
      </c>
      <c r="EB190" s="710"/>
      <c r="EC190" s="901"/>
      <c r="ED190" s="710" t="s">
        <v>278</v>
      </c>
      <c r="EE190" s="710" t="s">
        <v>551</v>
      </c>
      <c r="EF190" s="901">
        <v>5</v>
      </c>
      <c r="EG190" s="710" t="s">
        <v>279</v>
      </c>
      <c r="EH190" s="710"/>
      <c r="EI190" s="901"/>
      <c r="EJ190" s="710" t="s">
        <v>279</v>
      </c>
      <c r="EK190" s="710"/>
      <c r="EL190" s="901"/>
      <c r="EM190" s="710" t="s">
        <v>279</v>
      </c>
      <c r="EN190" s="901"/>
      <c r="EO190" s="901"/>
      <c r="EP190" s="710" t="s">
        <v>279</v>
      </c>
      <c r="EQ190" s="710"/>
      <c r="ER190" s="901"/>
      <c r="ES190" s="710" t="s">
        <v>279</v>
      </c>
      <c r="ET190" s="710"/>
      <c r="EU190" s="901"/>
      <c r="EV190" s="901"/>
      <c r="EW190" s="901"/>
      <c r="EX190" s="901"/>
      <c r="EY190" s="710" t="s">
        <v>279</v>
      </c>
      <c r="EZ190" s="710"/>
      <c r="FA190" s="710" t="s">
        <v>279</v>
      </c>
      <c r="FB190" s="710"/>
      <c r="FC190" s="945" t="s">
        <v>3811</v>
      </c>
      <c r="FD190" s="710"/>
      <c r="FE190" s="710"/>
      <c r="FF190" s="710"/>
      <c r="FG190" s="710"/>
      <c r="FH190" s="710"/>
      <c r="FI190" s="710"/>
      <c r="FJ190" s="710"/>
      <c r="FK190" s="710" t="s">
        <v>3870</v>
      </c>
      <c r="FL190" s="710" t="s">
        <v>3894</v>
      </c>
      <c r="FM190" s="945" t="s">
        <v>3916</v>
      </c>
      <c r="FN190" s="710"/>
      <c r="FO190" s="710"/>
      <c r="FP190" s="984"/>
    </row>
    <row r="191" spans="2:172" ht="115.5" customHeight="1">
      <c r="B191" s="850" t="s">
        <v>5313</v>
      </c>
      <c r="C191" s="863"/>
      <c r="D191" s="850" t="s">
        <v>4934</v>
      </c>
      <c r="E191" s="850" t="s">
        <v>5314</v>
      </c>
      <c r="F191" s="863"/>
      <c r="H191" s="850" t="s">
        <v>4934</v>
      </c>
      <c r="I191" s="850" t="s">
        <v>5520</v>
      </c>
      <c r="J191" s="850" t="s">
        <v>5461</v>
      </c>
      <c r="K191" s="710" t="s">
        <v>267</v>
      </c>
      <c r="L191" s="710" t="s">
        <v>3628</v>
      </c>
      <c r="M191" s="710" t="s">
        <v>2931</v>
      </c>
      <c r="N191" s="710"/>
      <c r="O191" s="895">
        <v>2016</v>
      </c>
      <c r="P191" s="896">
        <v>43287</v>
      </c>
      <c r="Q191" s="896">
        <v>43748</v>
      </c>
      <c r="R191" s="712">
        <f t="shared" si="65"/>
        <v>461</v>
      </c>
      <c r="S191" s="896"/>
      <c r="T191" s="896"/>
      <c r="U191" s="896"/>
      <c r="V191" s="896"/>
      <c r="W191" s="896"/>
      <c r="X191" s="896"/>
      <c r="Y191" s="896"/>
      <c r="Z191" s="896"/>
      <c r="AA191" s="896"/>
      <c r="AB191" s="710" t="s">
        <v>3662</v>
      </c>
      <c r="AC191" s="984" t="s">
        <v>3685</v>
      </c>
      <c r="AD191" s="710" t="s">
        <v>3708</v>
      </c>
      <c r="AE191" s="710" t="s">
        <v>3708</v>
      </c>
      <c r="AF191" s="710" t="s">
        <v>3738</v>
      </c>
      <c r="AG191" s="710" t="s">
        <v>3751</v>
      </c>
      <c r="AH191" s="898">
        <v>0.29963250000000002</v>
      </c>
      <c r="AI191" s="868">
        <f t="shared" si="47"/>
        <v>0.29963250000000002</v>
      </c>
      <c r="AJ191" s="867">
        <f t="shared" si="48"/>
        <v>0</v>
      </c>
      <c r="AK191" s="898"/>
      <c r="AL191" s="898"/>
      <c r="AM191" s="898"/>
      <c r="AN191" s="869">
        <f t="shared" si="49"/>
        <v>0</v>
      </c>
      <c r="AO191" s="869">
        <f t="shared" si="50"/>
        <v>0</v>
      </c>
      <c r="AP191" s="898"/>
      <c r="AQ191" s="899"/>
      <c r="AR191" s="899">
        <v>7.0000000000000001E-3</v>
      </c>
      <c r="AS191" s="869">
        <f t="shared" si="51"/>
        <v>0</v>
      </c>
      <c r="AT191" s="869">
        <f t="shared" si="52"/>
        <v>0</v>
      </c>
      <c r="AU191" s="942">
        <v>0.29963250000000002</v>
      </c>
      <c r="AV191" s="899">
        <v>1</v>
      </c>
      <c r="AW191" s="869">
        <f t="shared" si="53"/>
        <v>1</v>
      </c>
      <c r="AX191" s="869">
        <f t="shared" si="54"/>
        <v>0</v>
      </c>
      <c r="AY191" s="898">
        <v>0</v>
      </c>
      <c r="AZ191" s="899"/>
      <c r="BA191" s="869">
        <f t="shared" si="55"/>
        <v>0</v>
      </c>
      <c r="BB191" s="869">
        <f t="shared" si="56"/>
        <v>0</v>
      </c>
      <c r="BC191" s="898">
        <v>0</v>
      </c>
      <c r="BD191" s="899"/>
      <c r="BE191" s="869">
        <f t="shared" si="57"/>
        <v>0</v>
      </c>
      <c r="BF191" s="869">
        <f t="shared" si="58"/>
        <v>0</v>
      </c>
      <c r="BG191" s="899"/>
      <c r="BH191" s="899"/>
      <c r="BI191" s="899"/>
      <c r="BJ191" s="899"/>
      <c r="BK191" s="899"/>
      <c r="BL191" s="714">
        <f t="shared" si="59"/>
        <v>0</v>
      </c>
      <c r="BM191" s="869">
        <f t="shared" si="60"/>
        <v>0</v>
      </c>
      <c r="BN191" s="898">
        <v>0</v>
      </c>
      <c r="BO191" s="899"/>
      <c r="BP191" s="869">
        <f t="shared" si="61"/>
        <v>0</v>
      </c>
      <c r="BQ191" s="869">
        <f t="shared" si="62"/>
        <v>0</v>
      </c>
      <c r="BR191" s="899"/>
      <c r="BS191" s="899"/>
      <c r="BT191" s="898">
        <v>0.3</v>
      </c>
      <c r="BU191" s="899">
        <v>5.0000000000000001E-3</v>
      </c>
      <c r="BV191" s="901">
        <v>7</v>
      </c>
      <c r="BW191" s="901">
        <v>5</v>
      </c>
      <c r="BX191" s="901">
        <v>1</v>
      </c>
      <c r="BY191" s="901"/>
      <c r="BZ191" s="901"/>
      <c r="CA191" s="901"/>
      <c r="CB191" s="901"/>
      <c r="CC191" s="901"/>
      <c r="CD191" s="901"/>
      <c r="CE191" s="901"/>
      <c r="CF191" s="901"/>
      <c r="CG191" s="901"/>
      <c r="CH191" s="901"/>
      <c r="CI191" s="901"/>
      <c r="CJ191" s="901"/>
      <c r="CK191" s="901">
        <v>1</v>
      </c>
      <c r="CL191" s="901"/>
      <c r="CM191" s="901"/>
      <c r="CN191" s="901"/>
      <c r="CO191" s="901"/>
      <c r="CP191" s="901"/>
      <c r="CQ191" s="901"/>
      <c r="CR191" s="901"/>
      <c r="CS191" s="902">
        <f t="shared" si="67"/>
        <v>1</v>
      </c>
      <c r="CT191" s="871">
        <f t="shared" si="63"/>
        <v>1</v>
      </c>
      <c r="CU191" s="871">
        <f t="shared" si="64"/>
        <v>0</v>
      </c>
      <c r="CV191" s="942" t="s">
        <v>5513</v>
      </c>
      <c r="CW191" s="710" t="s">
        <v>3765</v>
      </c>
      <c r="CX191" s="710"/>
      <c r="CY191" s="710"/>
      <c r="CZ191" s="710"/>
      <c r="DA191" s="710">
        <v>3.1</v>
      </c>
      <c r="DB191" s="899"/>
      <c r="DC191" s="710" t="s">
        <v>279</v>
      </c>
      <c r="DD191" s="710"/>
      <c r="DE191" s="710"/>
      <c r="DF191" s="901"/>
      <c r="DG191" s="901"/>
      <c r="DH191" s="901">
        <v>3</v>
      </c>
      <c r="DI191" s="710" t="s">
        <v>279</v>
      </c>
      <c r="DJ191" s="710"/>
      <c r="DK191" s="901"/>
      <c r="DL191" s="710" t="s">
        <v>278</v>
      </c>
      <c r="DM191" s="710" t="s">
        <v>3782</v>
      </c>
      <c r="DN191" s="901">
        <v>7</v>
      </c>
      <c r="DO191" s="710" t="s">
        <v>279</v>
      </c>
      <c r="DP191" s="710"/>
      <c r="DQ191" s="901"/>
      <c r="DR191" s="710" t="s">
        <v>279</v>
      </c>
      <c r="DS191" s="710"/>
      <c r="DT191" s="901"/>
      <c r="DU191" s="710" t="s">
        <v>279</v>
      </c>
      <c r="DV191" s="710"/>
      <c r="DW191" s="901"/>
      <c r="DX191" s="710" t="s">
        <v>279</v>
      </c>
      <c r="DY191" s="710"/>
      <c r="DZ191" s="901"/>
      <c r="EA191" s="710" t="s">
        <v>279</v>
      </c>
      <c r="EB191" s="710"/>
      <c r="EC191" s="901"/>
      <c r="ED191" s="710" t="s">
        <v>279</v>
      </c>
      <c r="EE191" s="710"/>
      <c r="EF191" s="901"/>
      <c r="EG191" s="710" t="s">
        <v>279</v>
      </c>
      <c r="EH191" s="710"/>
      <c r="EI191" s="901"/>
      <c r="EJ191" s="710" t="s">
        <v>3799</v>
      </c>
      <c r="EK191" s="710" t="s">
        <v>3482</v>
      </c>
      <c r="EL191" s="901">
        <v>5</v>
      </c>
      <c r="EM191" s="710" t="s">
        <v>279</v>
      </c>
      <c r="EN191" s="710"/>
      <c r="EO191" s="901"/>
      <c r="EP191" s="710" t="s">
        <v>279</v>
      </c>
      <c r="EQ191" s="710"/>
      <c r="ER191" s="901"/>
      <c r="ES191" s="710" t="s">
        <v>279</v>
      </c>
      <c r="ET191" s="710"/>
      <c r="EU191" s="901"/>
      <c r="EV191" s="901"/>
      <c r="EW191" s="901"/>
      <c r="EX191" s="901"/>
      <c r="EY191" s="710" t="s">
        <v>279</v>
      </c>
      <c r="EZ191" s="710"/>
      <c r="FA191" s="710" t="s">
        <v>279</v>
      </c>
      <c r="FB191" s="710"/>
      <c r="FC191" s="984" t="s">
        <v>3815</v>
      </c>
      <c r="FD191" s="710"/>
      <c r="FE191" s="710"/>
      <c r="FF191" s="710" t="s">
        <v>3836</v>
      </c>
      <c r="FG191" s="710"/>
      <c r="FH191" s="710" t="s">
        <v>279</v>
      </c>
      <c r="FI191" s="710"/>
      <c r="FJ191" s="710"/>
      <c r="FK191" s="710" t="s">
        <v>3871</v>
      </c>
      <c r="FL191" s="710" t="s">
        <v>3895</v>
      </c>
      <c r="FM191" s="710" t="s">
        <v>3917</v>
      </c>
      <c r="FN191" s="710"/>
      <c r="FO191" s="710"/>
      <c r="FP191" s="945"/>
    </row>
    <row r="192" spans="2:172" ht="89.5" customHeight="1">
      <c r="B192" s="850" t="s">
        <v>5313</v>
      </c>
      <c r="C192" s="863"/>
      <c r="D192" s="850" t="s">
        <v>4934</v>
      </c>
      <c r="E192" s="850" t="s">
        <v>5314</v>
      </c>
      <c r="F192" s="863"/>
      <c r="H192" s="850" t="s">
        <v>4934</v>
      </c>
      <c r="I192" s="850" t="s">
        <v>5520</v>
      </c>
      <c r="J192" s="850" t="s">
        <v>5461</v>
      </c>
      <c r="K192" s="710" t="s">
        <v>267</v>
      </c>
      <c r="L192" s="710" t="s">
        <v>3629</v>
      </c>
      <c r="M192" s="710" t="s">
        <v>626</v>
      </c>
      <c r="N192" s="710" t="s">
        <v>2931</v>
      </c>
      <c r="O192" s="895">
        <v>2016</v>
      </c>
      <c r="P192" s="896">
        <v>43511</v>
      </c>
      <c r="Q192" s="896">
        <v>43823</v>
      </c>
      <c r="R192" s="712">
        <f t="shared" si="65"/>
        <v>312</v>
      </c>
      <c r="S192" s="896"/>
      <c r="T192" s="896"/>
      <c r="U192" s="896"/>
      <c r="V192" s="896"/>
      <c r="W192" s="896"/>
      <c r="X192" s="896"/>
      <c r="Y192" s="896"/>
      <c r="Z192" s="896"/>
      <c r="AA192" s="896"/>
      <c r="AB192" s="710" t="s">
        <v>3663</v>
      </c>
      <c r="AC192" s="945" t="s">
        <v>3686</v>
      </c>
      <c r="AD192" s="710" t="s">
        <v>3709</v>
      </c>
      <c r="AE192" s="710" t="s">
        <v>3709</v>
      </c>
      <c r="AF192" s="710" t="s">
        <v>3736</v>
      </c>
      <c r="AG192" s="710" t="s">
        <v>3709</v>
      </c>
      <c r="AH192" s="898">
        <v>0.24</v>
      </c>
      <c r="AI192" s="868">
        <f t="shared" si="47"/>
        <v>0.24</v>
      </c>
      <c r="AJ192" s="867">
        <f t="shared" si="48"/>
        <v>0</v>
      </c>
      <c r="AK192" s="898"/>
      <c r="AL192" s="898"/>
      <c r="AM192" s="898"/>
      <c r="AN192" s="869">
        <f t="shared" si="49"/>
        <v>0</v>
      </c>
      <c r="AO192" s="869">
        <f t="shared" si="50"/>
        <v>0</v>
      </c>
      <c r="AP192" s="898"/>
      <c r="AQ192" s="899"/>
      <c r="AR192" s="899">
        <v>1</v>
      </c>
      <c r="AS192" s="869">
        <f t="shared" si="51"/>
        <v>0</v>
      </c>
      <c r="AT192" s="869">
        <f t="shared" si="52"/>
        <v>0</v>
      </c>
      <c r="AU192" s="942">
        <v>0.24</v>
      </c>
      <c r="AV192" s="899">
        <v>1</v>
      </c>
      <c r="AW192" s="869">
        <f t="shared" si="53"/>
        <v>1</v>
      </c>
      <c r="AX192" s="869">
        <f t="shared" si="54"/>
        <v>0</v>
      </c>
      <c r="AY192" s="898">
        <v>0</v>
      </c>
      <c r="AZ192" s="899"/>
      <c r="BA192" s="869">
        <f t="shared" si="55"/>
        <v>0</v>
      </c>
      <c r="BB192" s="869">
        <f t="shared" si="56"/>
        <v>0</v>
      </c>
      <c r="BC192" s="898">
        <v>0</v>
      </c>
      <c r="BD192" s="899"/>
      <c r="BE192" s="869">
        <f t="shared" si="57"/>
        <v>0</v>
      </c>
      <c r="BF192" s="869">
        <f t="shared" si="58"/>
        <v>0</v>
      </c>
      <c r="BG192" s="899"/>
      <c r="BH192" s="899"/>
      <c r="BI192" s="899"/>
      <c r="BJ192" s="899"/>
      <c r="BK192" s="899"/>
      <c r="BL192" s="714">
        <f t="shared" si="59"/>
        <v>0</v>
      </c>
      <c r="BM192" s="869">
        <f t="shared" si="60"/>
        <v>0</v>
      </c>
      <c r="BN192" s="898">
        <v>0</v>
      </c>
      <c r="BO192" s="899"/>
      <c r="BP192" s="869">
        <f t="shared" si="61"/>
        <v>0</v>
      </c>
      <c r="BQ192" s="869">
        <f t="shared" si="62"/>
        <v>0</v>
      </c>
      <c r="BR192" s="899"/>
      <c r="BS192" s="899"/>
      <c r="BT192" s="898">
        <v>0.24</v>
      </c>
      <c r="BU192" s="899">
        <v>8.9999999999999993E-3</v>
      </c>
      <c r="BV192" s="901">
        <v>2</v>
      </c>
      <c r="BW192" s="901">
        <v>1</v>
      </c>
      <c r="BX192" s="901">
        <v>1</v>
      </c>
      <c r="BY192" s="901"/>
      <c r="BZ192" s="901"/>
      <c r="CA192" s="901"/>
      <c r="CB192" s="901"/>
      <c r="CC192" s="901"/>
      <c r="CD192" s="901"/>
      <c r="CE192" s="901"/>
      <c r="CF192" s="901"/>
      <c r="CG192" s="901"/>
      <c r="CH192" s="901"/>
      <c r="CI192" s="901"/>
      <c r="CJ192" s="901">
        <v>1</v>
      </c>
      <c r="CK192" s="901"/>
      <c r="CL192" s="901"/>
      <c r="CM192" s="901"/>
      <c r="CN192" s="901"/>
      <c r="CO192" s="901"/>
      <c r="CP192" s="901"/>
      <c r="CQ192" s="901"/>
      <c r="CR192" s="901"/>
      <c r="CS192" s="902">
        <f t="shared" si="67"/>
        <v>1</v>
      </c>
      <c r="CT192" s="871">
        <f t="shared" si="63"/>
        <v>1</v>
      </c>
      <c r="CU192" s="871">
        <f t="shared" si="64"/>
        <v>0</v>
      </c>
      <c r="CV192" s="942">
        <v>8.2249999999999996</v>
      </c>
      <c r="CW192" s="710"/>
      <c r="CX192" s="710"/>
      <c r="CY192" s="710"/>
      <c r="CZ192" s="710"/>
      <c r="DA192" s="899">
        <v>0.37340000000000001</v>
      </c>
      <c r="DB192" s="899"/>
      <c r="DC192" s="710" t="s">
        <v>279</v>
      </c>
      <c r="DD192" s="710"/>
      <c r="DE192" s="710"/>
      <c r="DF192" s="901"/>
      <c r="DG192" s="901"/>
      <c r="DH192" s="901">
        <v>1</v>
      </c>
      <c r="DI192" s="710" t="s">
        <v>279</v>
      </c>
      <c r="DJ192" s="710"/>
      <c r="DK192" s="901"/>
      <c r="DL192" s="710" t="s">
        <v>278</v>
      </c>
      <c r="DM192" s="710" t="s">
        <v>753</v>
      </c>
      <c r="DN192" s="901">
        <v>11</v>
      </c>
      <c r="DO192" s="710" t="s">
        <v>279</v>
      </c>
      <c r="DP192" s="710"/>
      <c r="DQ192" s="901"/>
      <c r="DR192" s="710" t="s">
        <v>279</v>
      </c>
      <c r="DS192" s="710"/>
      <c r="DT192" s="901"/>
      <c r="DU192" s="710" t="s">
        <v>279</v>
      </c>
      <c r="DV192" s="710"/>
      <c r="DW192" s="901"/>
      <c r="DX192" s="710" t="s">
        <v>279</v>
      </c>
      <c r="DY192" s="710"/>
      <c r="DZ192" s="901"/>
      <c r="EA192" s="710" t="s">
        <v>279</v>
      </c>
      <c r="EB192" s="710"/>
      <c r="EC192" s="901"/>
      <c r="ED192" s="710" t="s">
        <v>279</v>
      </c>
      <c r="EE192" s="710"/>
      <c r="EF192" s="901"/>
      <c r="EG192" s="710" t="s">
        <v>279</v>
      </c>
      <c r="EH192" s="710"/>
      <c r="EI192" s="901"/>
      <c r="EJ192" s="710" t="s">
        <v>278</v>
      </c>
      <c r="EK192" s="710" t="s">
        <v>2719</v>
      </c>
      <c r="EL192" s="901">
        <v>11</v>
      </c>
      <c r="EM192" s="710" t="s">
        <v>279</v>
      </c>
      <c r="EN192" s="710"/>
      <c r="EO192" s="901"/>
      <c r="EP192" s="710" t="s">
        <v>279</v>
      </c>
      <c r="EQ192" s="710"/>
      <c r="ER192" s="901"/>
      <c r="ES192" s="710" t="s">
        <v>279</v>
      </c>
      <c r="ET192" s="710"/>
      <c r="EU192" s="901"/>
      <c r="EV192" s="901"/>
      <c r="EW192" s="901"/>
      <c r="EX192" s="901"/>
      <c r="EY192" s="710" t="s">
        <v>279</v>
      </c>
      <c r="EZ192" s="710"/>
      <c r="FA192" s="710" t="s">
        <v>279</v>
      </c>
      <c r="FB192" s="710"/>
      <c r="FC192" s="945" t="s">
        <v>3816</v>
      </c>
      <c r="FD192" s="710"/>
      <c r="FE192" s="710"/>
      <c r="FF192" s="710" t="s">
        <v>3837</v>
      </c>
      <c r="FG192" s="710"/>
      <c r="FH192" s="710" t="s">
        <v>3852</v>
      </c>
      <c r="FI192" s="710">
        <v>1</v>
      </c>
      <c r="FJ192" s="710">
        <v>11</v>
      </c>
      <c r="FK192" s="710" t="s">
        <v>3872</v>
      </c>
      <c r="FL192" s="710" t="s">
        <v>3896</v>
      </c>
      <c r="FM192" s="945" t="s">
        <v>3918</v>
      </c>
      <c r="FN192" s="710"/>
      <c r="FO192" s="710"/>
      <c r="FP192" s="710"/>
    </row>
    <row r="193" spans="2:172" ht="98.5" customHeight="1">
      <c r="B193" s="850" t="s">
        <v>5313</v>
      </c>
      <c r="C193" s="863"/>
      <c r="D193" s="850" t="s">
        <v>4934</v>
      </c>
      <c r="E193" s="850" t="s">
        <v>5314</v>
      </c>
      <c r="F193" s="863"/>
      <c r="H193" s="850" t="s">
        <v>4934</v>
      </c>
      <c r="I193" s="850" t="s">
        <v>5520</v>
      </c>
      <c r="J193" s="850" t="s">
        <v>5461</v>
      </c>
      <c r="K193" s="710" t="s">
        <v>267</v>
      </c>
      <c r="L193" s="710" t="s">
        <v>3630</v>
      </c>
      <c r="M193" s="710" t="s">
        <v>2931</v>
      </c>
      <c r="N193" s="710"/>
      <c r="O193" s="710">
        <v>2019</v>
      </c>
      <c r="P193" s="939">
        <v>43616</v>
      </c>
      <c r="Q193" s="939">
        <v>43733</v>
      </c>
      <c r="R193" s="712">
        <f t="shared" si="65"/>
        <v>117</v>
      </c>
      <c r="S193" s="939"/>
      <c r="T193" s="939"/>
      <c r="U193" s="939"/>
      <c r="V193" s="939"/>
      <c r="W193" s="939"/>
      <c r="X193" s="939"/>
      <c r="Y193" s="939"/>
      <c r="Z193" s="939"/>
      <c r="AA193" s="939"/>
      <c r="AB193" s="710" t="s">
        <v>3664</v>
      </c>
      <c r="AC193" s="945" t="s">
        <v>3687</v>
      </c>
      <c r="AD193" s="710" t="s">
        <v>3710</v>
      </c>
      <c r="AE193" s="710" t="s">
        <v>3729</v>
      </c>
      <c r="AF193" s="710" t="s">
        <v>3739</v>
      </c>
      <c r="AG193" s="710" t="s">
        <v>3752</v>
      </c>
      <c r="AH193" s="710">
        <v>0.5</v>
      </c>
      <c r="AI193" s="868">
        <f t="shared" si="47"/>
        <v>0.5</v>
      </c>
      <c r="AJ193" s="867">
        <f t="shared" si="48"/>
        <v>0</v>
      </c>
      <c r="AK193" s="710"/>
      <c r="AL193" s="710"/>
      <c r="AM193" s="710"/>
      <c r="AN193" s="869">
        <f t="shared" si="49"/>
        <v>0</v>
      </c>
      <c r="AO193" s="869">
        <f t="shared" si="50"/>
        <v>0</v>
      </c>
      <c r="AP193" s="710"/>
      <c r="AQ193" s="710"/>
      <c r="AR193" s="710">
        <v>0.14000000000000001</v>
      </c>
      <c r="AS193" s="869">
        <f t="shared" si="51"/>
        <v>0</v>
      </c>
      <c r="AT193" s="869">
        <f t="shared" si="52"/>
        <v>0</v>
      </c>
      <c r="AU193" s="942">
        <v>0.5</v>
      </c>
      <c r="AV193" s="710">
        <v>100</v>
      </c>
      <c r="AW193" s="869">
        <f t="shared" si="53"/>
        <v>1</v>
      </c>
      <c r="AX193" s="869">
        <f t="shared" si="54"/>
        <v>99</v>
      </c>
      <c r="AY193" s="710">
        <v>0</v>
      </c>
      <c r="AZ193" s="710"/>
      <c r="BA193" s="869">
        <f t="shared" si="55"/>
        <v>0</v>
      </c>
      <c r="BB193" s="869">
        <f t="shared" si="56"/>
        <v>0</v>
      </c>
      <c r="BC193" s="710">
        <v>0</v>
      </c>
      <c r="BD193" s="710"/>
      <c r="BE193" s="869">
        <f t="shared" si="57"/>
        <v>0</v>
      </c>
      <c r="BF193" s="869">
        <f t="shared" si="58"/>
        <v>0</v>
      </c>
      <c r="BG193" s="710"/>
      <c r="BH193" s="710"/>
      <c r="BI193" s="710"/>
      <c r="BJ193" s="710"/>
      <c r="BK193" s="710"/>
      <c r="BL193" s="714">
        <f t="shared" si="59"/>
        <v>0</v>
      </c>
      <c r="BM193" s="869">
        <f t="shared" si="60"/>
        <v>0</v>
      </c>
      <c r="BN193" s="710">
        <v>0</v>
      </c>
      <c r="BO193" s="710"/>
      <c r="BP193" s="869">
        <f t="shared" si="61"/>
        <v>0</v>
      </c>
      <c r="BQ193" s="869">
        <f t="shared" si="62"/>
        <v>0</v>
      </c>
      <c r="BR193" s="710"/>
      <c r="BS193" s="710"/>
      <c r="BT193" s="710">
        <v>0.5</v>
      </c>
      <c r="BU193" s="710">
        <v>7.0000000000000007E-2</v>
      </c>
      <c r="BV193" s="710">
        <v>9</v>
      </c>
      <c r="BW193" s="710">
        <v>9</v>
      </c>
      <c r="BX193" s="710">
        <v>1</v>
      </c>
      <c r="BY193" s="948"/>
      <c r="BZ193" s="948"/>
      <c r="CA193" s="948"/>
      <c r="CB193" s="948"/>
      <c r="CC193" s="948"/>
      <c r="CD193" s="948"/>
      <c r="CE193" s="710">
        <v>1</v>
      </c>
      <c r="CF193" s="948"/>
      <c r="CG193" s="948"/>
      <c r="CH193" s="948"/>
      <c r="CI193" s="948"/>
      <c r="CJ193" s="948"/>
      <c r="CK193" s="948"/>
      <c r="CL193" s="948"/>
      <c r="CM193" s="948"/>
      <c r="CN193" s="948"/>
      <c r="CO193" s="948"/>
      <c r="CP193" s="948"/>
      <c r="CQ193" s="948"/>
      <c r="CR193" s="948"/>
      <c r="CS193" s="710">
        <f t="shared" si="67"/>
        <v>1</v>
      </c>
      <c r="CT193" s="871">
        <f t="shared" si="63"/>
        <v>1</v>
      </c>
      <c r="CU193" s="871">
        <f t="shared" si="64"/>
        <v>0</v>
      </c>
      <c r="CV193" s="989">
        <v>7.2999999999999995E-2</v>
      </c>
      <c r="CW193" s="710"/>
      <c r="CX193" s="710"/>
      <c r="CY193" s="710"/>
      <c r="CZ193" s="710"/>
      <c r="DA193" s="710" t="s">
        <v>3770</v>
      </c>
      <c r="DB193" s="945" t="s">
        <v>3774</v>
      </c>
      <c r="DC193" s="710" t="s">
        <v>279</v>
      </c>
      <c r="DD193" s="710"/>
      <c r="DE193" s="710"/>
      <c r="DF193" s="710"/>
      <c r="DG193" s="710"/>
      <c r="DH193" s="710">
        <v>4</v>
      </c>
      <c r="DI193" s="710" t="s">
        <v>279</v>
      </c>
      <c r="DJ193" s="710"/>
      <c r="DK193" s="710"/>
      <c r="DL193" s="710" t="s">
        <v>579</v>
      </c>
      <c r="DM193" s="710" t="s">
        <v>3783</v>
      </c>
      <c r="DN193" s="710">
        <v>24</v>
      </c>
      <c r="DO193" s="710" t="s">
        <v>279</v>
      </c>
      <c r="DP193" s="710"/>
      <c r="DQ193" s="710"/>
      <c r="DR193" s="710" t="s">
        <v>279</v>
      </c>
      <c r="DS193" s="710"/>
      <c r="DT193" s="710"/>
      <c r="DU193" s="710" t="s">
        <v>279</v>
      </c>
      <c r="DV193" s="710"/>
      <c r="DW193" s="710"/>
      <c r="DX193" s="710" t="s">
        <v>279</v>
      </c>
      <c r="DY193" s="710"/>
      <c r="DZ193" s="710"/>
      <c r="EA193" s="710" t="s">
        <v>279</v>
      </c>
      <c r="EB193" s="710"/>
      <c r="EC193" s="710"/>
      <c r="ED193" s="710" t="s">
        <v>278</v>
      </c>
      <c r="EE193" s="710" t="s">
        <v>3794</v>
      </c>
      <c r="EF193" s="710">
        <v>24</v>
      </c>
      <c r="EG193" s="710" t="s">
        <v>279</v>
      </c>
      <c r="EH193" s="710"/>
      <c r="EI193" s="710"/>
      <c r="EJ193" s="710" t="s">
        <v>279</v>
      </c>
      <c r="EK193" s="710"/>
      <c r="EL193" s="710"/>
      <c r="EM193" s="710" t="s">
        <v>279</v>
      </c>
      <c r="EN193" s="710"/>
      <c r="EO193" s="710"/>
      <c r="EP193" s="710" t="s">
        <v>279</v>
      </c>
      <c r="EQ193" s="710"/>
      <c r="ER193" s="710"/>
      <c r="ES193" s="710" t="s">
        <v>279</v>
      </c>
      <c r="ET193" s="710"/>
      <c r="EU193" s="710"/>
      <c r="EV193" s="710"/>
      <c r="EW193" s="710"/>
      <c r="EX193" s="710"/>
      <c r="EY193" s="710" t="s">
        <v>278</v>
      </c>
      <c r="EZ193" s="710" t="s">
        <v>3804</v>
      </c>
      <c r="FA193" s="710" t="s">
        <v>279</v>
      </c>
      <c r="FB193" s="710"/>
      <c r="FC193" s="945" t="s">
        <v>3817</v>
      </c>
      <c r="FD193" s="710" t="s">
        <v>3827</v>
      </c>
      <c r="FE193" s="710"/>
      <c r="FF193" s="710" t="s">
        <v>3838</v>
      </c>
      <c r="FG193" s="710"/>
      <c r="FH193" s="710" t="s">
        <v>3853</v>
      </c>
      <c r="FI193" s="710">
        <v>2</v>
      </c>
      <c r="FJ193" s="710">
        <v>50</v>
      </c>
      <c r="FK193" s="710" t="s">
        <v>3873</v>
      </c>
      <c r="FL193" s="710" t="s">
        <v>3897</v>
      </c>
      <c r="FM193" s="945" t="s">
        <v>3919</v>
      </c>
      <c r="FN193" s="710"/>
      <c r="FO193" s="710"/>
      <c r="FP193" s="945"/>
    </row>
    <row r="194" spans="2:172" ht="135.5" customHeight="1">
      <c r="B194" s="850" t="s">
        <v>5313</v>
      </c>
      <c r="C194" s="863"/>
      <c r="D194" s="850" t="s">
        <v>4934</v>
      </c>
      <c r="E194" s="850" t="s">
        <v>5314</v>
      </c>
      <c r="F194" s="863"/>
      <c r="H194" s="850" t="s">
        <v>4934</v>
      </c>
      <c r="I194" s="850" t="s">
        <v>5520</v>
      </c>
      <c r="J194" s="850" t="s">
        <v>5461</v>
      </c>
      <c r="K194" s="710" t="s">
        <v>267</v>
      </c>
      <c r="L194" s="710" t="s">
        <v>3631</v>
      </c>
      <c r="M194" s="710" t="s">
        <v>2931</v>
      </c>
      <c r="N194" s="710"/>
      <c r="O194" s="895">
        <v>2019</v>
      </c>
      <c r="P194" s="896">
        <v>43713</v>
      </c>
      <c r="Q194" s="896">
        <v>43766</v>
      </c>
      <c r="R194" s="712">
        <f t="shared" si="65"/>
        <v>53</v>
      </c>
      <c r="S194" s="896"/>
      <c r="T194" s="896"/>
      <c r="U194" s="896"/>
      <c r="V194" s="896"/>
      <c r="W194" s="896"/>
      <c r="X194" s="896"/>
      <c r="Y194" s="896"/>
      <c r="Z194" s="896"/>
      <c r="AA194" s="896"/>
      <c r="AB194" s="710" t="s">
        <v>3665</v>
      </c>
      <c r="AC194" s="945" t="s">
        <v>3688</v>
      </c>
      <c r="AD194" s="710" t="s">
        <v>3711</v>
      </c>
      <c r="AE194" s="710" t="s">
        <v>3730</v>
      </c>
      <c r="AF194" s="710" t="s">
        <v>3736</v>
      </c>
      <c r="AG194" s="710" t="s">
        <v>3753</v>
      </c>
      <c r="AH194" s="898">
        <v>0.5</v>
      </c>
      <c r="AI194" s="868">
        <f t="shared" si="47"/>
        <v>0.5</v>
      </c>
      <c r="AJ194" s="867">
        <f t="shared" si="48"/>
        <v>0</v>
      </c>
      <c r="AK194" s="898"/>
      <c r="AL194" s="898"/>
      <c r="AM194" s="898"/>
      <c r="AN194" s="869">
        <f t="shared" si="49"/>
        <v>0</v>
      </c>
      <c r="AO194" s="869">
        <f t="shared" si="50"/>
        <v>0</v>
      </c>
      <c r="AP194" s="898"/>
      <c r="AQ194" s="899"/>
      <c r="AR194" s="899">
        <v>1.6000000000000001E-3</v>
      </c>
      <c r="AS194" s="869">
        <f t="shared" si="51"/>
        <v>0</v>
      </c>
      <c r="AT194" s="869">
        <f t="shared" si="52"/>
        <v>0</v>
      </c>
      <c r="AU194" s="942">
        <v>0.5</v>
      </c>
      <c r="AV194" s="899">
        <v>1</v>
      </c>
      <c r="AW194" s="869">
        <f t="shared" si="53"/>
        <v>1</v>
      </c>
      <c r="AX194" s="869">
        <f t="shared" si="54"/>
        <v>0</v>
      </c>
      <c r="AY194" s="898">
        <v>0</v>
      </c>
      <c r="AZ194" s="899">
        <v>0</v>
      </c>
      <c r="BA194" s="869">
        <f t="shared" si="55"/>
        <v>0</v>
      </c>
      <c r="BB194" s="869">
        <f t="shared" si="56"/>
        <v>0</v>
      </c>
      <c r="BC194" s="898">
        <v>0</v>
      </c>
      <c r="BD194" s="899"/>
      <c r="BE194" s="869">
        <f t="shared" si="57"/>
        <v>0</v>
      </c>
      <c r="BF194" s="869">
        <f t="shared" si="58"/>
        <v>0</v>
      </c>
      <c r="BG194" s="899"/>
      <c r="BH194" s="899"/>
      <c r="BI194" s="899"/>
      <c r="BJ194" s="899"/>
      <c r="BK194" s="899"/>
      <c r="BL194" s="714">
        <f t="shared" si="59"/>
        <v>0</v>
      </c>
      <c r="BM194" s="869">
        <f t="shared" si="60"/>
        <v>0</v>
      </c>
      <c r="BN194" s="898">
        <v>0</v>
      </c>
      <c r="BO194" s="899"/>
      <c r="BP194" s="869">
        <f t="shared" si="61"/>
        <v>0</v>
      </c>
      <c r="BQ194" s="869">
        <f t="shared" si="62"/>
        <v>0</v>
      </c>
      <c r="BR194" s="899"/>
      <c r="BS194" s="899"/>
      <c r="BT194" s="898">
        <v>0.3</v>
      </c>
      <c r="BU194" s="899">
        <v>0.25</v>
      </c>
      <c r="BV194" s="901">
        <v>1</v>
      </c>
      <c r="BW194" s="901">
        <v>1</v>
      </c>
      <c r="BX194" s="901">
        <v>1</v>
      </c>
      <c r="BY194" s="901"/>
      <c r="BZ194" s="901"/>
      <c r="CA194" s="901"/>
      <c r="CB194" s="901"/>
      <c r="CC194" s="901"/>
      <c r="CD194" s="901"/>
      <c r="CE194" s="901"/>
      <c r="CF194" s="901">
        <v>1</v>
      </c>
      <c r="CG194" s="901"/>
      <c r="CH194" s="901"/>
      <c r="CI194" s="901"/>
      <c r="CJ194" s="901"/>
      <c r="CK194" s="901"/>
      <c r="CL194" s="901"/>
      <c r="CM194" s="901"/>
      <c r="CN194" s="901"/>
      <c r="CO194" s="901"/>
      <c r="CP194" s="901"/>
      <c r="CQ194" s="901"/>
      <c r="CR194" s="901"/>
      <c r="CS194" s="902">
        <f t="shared" si="67"/>
        <v>1</v>
      </c>
      <c r="CT194" s="871">
        <f t="shared" si="63"/>
        <v>1</v>
      </c>
      <c r="CU194" s="871">
        <f t="shared" si="64"/>
        <v>0</v>
      </c>
      <c r="CV194" s="942">
        <v>7.2</v>
      </c>
      <c r="CW194" s="710"/>
      <c r="CX194" s="710"/>
      <c r="CY194" s="710"/>
      <c r="CZ194" s="710"/>
      <c r="DA194" s="899">
        <v>0.67800000000000005</v>
      </c>
      <c r="DB194" s="899"/>
      <c r="DC194" s="710" t="s">
        <v>279</v>
      </c>
      <c r="DD194" s="710"/>
      <c r="DE194" s="710"/>
      <c r="DF194" s="901"/>
      <c r="DG194" s="901"/>
      <c r="DH194" s="901">
        <v>3</v>
      </c>
      <c r="DI194" s="710" t="s">
        <v>279</v>
      </c>
      <c r="DJ194" s="710"/>
      <c r="DK194" s="901"/>
      <c r="DL194" s="710" t="s">
        <v>278</v>
      </c>
      <c r="DM194" s="710" t="s">
        <v>3784</v>
      </c>
      <c r="DN194" s="901">
        <v>900</v>
      </c>
      <c r="DO194" s="710" t="s">
        <v>279</v>
      </c>
      <c r="DP194" s="710"/>
      <c r="DQ194" s="901"/>
      <c r="DR194" s="710" t="s">
        <v>279</v>
      </c>
      <c r="DS194" s="710"/>
      <c r="DT194" s="901"/>
      <c r="DU194" s="710" t="s">
        <v>279</v>
      </c>
      <c r="DV194" s="710"/>
      <c r="DW194" s="901"/>
      <c r="DX194" s="710" t="s">
        <v>279</v>
      </c>
      <c r="DY194" s="710"/>
      <c r="DZ194" s="901"/>
      <c r="EA194" s="710"/>
      <c r="EB194" s="710"/>
      <c r="EC194" s="901"/>
      <c r="ED194" s="710" t="s">
        <v>278</v>
      </c>
      <c r="EE194" s="710" t="s">
        <v>3795</v>
      </c>
      <c r="EF194" s="901">
        <v>900</v>
      </c>
      <c r="EG194" s="710" t="s">
        <v>279</v>
      </c>
      <c r="EH194" s="710"/>
      <c r="EI194" s="901"/>
      <c r="EJ194" s="710" t="s">
        <v>279</v>
      </c>
      <c r="EK194" s="710"/>
      <c r="EL194" s="901"/>
      <c r="EM194" s="710" t="s">
        <v>279</v>
      </c>
      <c r="EN194" s="710"/>
      <c r="EO194" s="901"/>
      <c r="EP194" s="710" t="s">
        <v>279</v>
      </c>
      <c r="EQ194" s="710"/>
      <c r="ER194" s="901"/>
      <c r="ES194" s="710" t="s">
        <v>279</v>
      </c>
      <c r="ET194" s="710"/>
      <c r="EU194" s="901"/>
      <c r="EV194" s="901"/>
      <c r="EW194" s="901"/>
      <c r="EX194" s="901"/>
      <c r="EY194" s="710" t="s">
        <v>279</v>
      </c>
      <c r="EZ194" s="710"/>
      <c r="FA194" s="710" t="s">
        <v>278</v>
      </c>
      <c r="FB194" s="710" t="s">
        <v>3807</v>
      </c>
      <c r="FC194" s="945" t="s">
        <v>3818</v>
      </c>
      <c r="FD194" s="945" t="s">
        <v>3828</v>
      </c>
      <c r="FE194" s="710"/>
      <c r="FF194" s="710" t="s">
        <v>3839</v>
      </c>
      <c r="FG194" s="710"/>
      <c r="FH194" s="710" t="s">
        <v>3854</v>
      </c>
      <c r="FI194" s="895">
        <v>2</v>
      </c>
      <c r="FJ194" s="895">
        <v>56</v>
      </c>
      <c r="FK194" s="710" t="s">
        <v>3874</v>
      </c>
      <c r="FL194" s="710" t="s">
        <v>3898</v>
      </c>
      <c r="FM194" s="945" t="s">
        <v>3920</v>
      </c>
      <c r="FN194" s="710"/>
      <c r="FO194" s="710"/>
      <c r="FP194" s="945"/>
    </row>
    <row r="195" spans="2:172" ht="103" customHeight="1">
      <c r="B195" s="850" t="s">
        <v>5313</v>
      </c>
      <c r="C195" s="863"/>
      <c r="D195" s="850" t="s">
        <v>4934</v>
      </c>
      <c r="E195" s="850" t="s">
        <v>5314</v>
      </c>
      <c r="F195" s="863"/>
      <c r="H195" s="850" t="s">
        <v>4934</v>
      </c>
      <c r="I195" s="850" t="s">
        <v>5520</v>
      </c>
      <c r="J195" s="850" t="s">
        <v>5461</v>
      </c>
      <c r="K195" s="710" t="s">
        <v>267</v>
      </c>
      <c r="L195" s="710" t="s">
        <v>3632</v>
      </c>
      <c r="M195" s="710" t="s">
        <v>2931</v>
      </c>
      <c r="N195" s="710"/>
      <c r="O195" s="895">
        <v>2018</v>
      </c>
      <c r="P195" s="896">
        <v>43374</v>
      </c>
      <c r="Q195" s="896">
        <v>43741</v>
      </c>
      <c r="R195" s="712">
        <f t="shared" si="65"/>
        <v>367</v>
      </c>
      <c r="S195" s="896"/>
      <c r="T195" s="896"/>
      <c r="U195" s="896"/>
      <c r="V195" s="896"/>
      <c r="W195" s="896"/>
      <c r="X195" s="896"/>
      <c r="Y195" s="896"/>
      <c r="Z195" s="896"/>
      <c r="AA195" s="896"/>
      <c r="AB195" s="710" t="s">
        <v>3666</v>
      </c>
      <c r="AC195" s="984" t="s">
        <v>3689</v>
      </c>
      <c r="AD195" s="710" t="s">
        <v>3712</v>
      </c>
      <c r="AE195" s="710" t="s">
        <v>3712</v>
      </c>
      <c r="AF195" s="710" t="s">
        <v>3740</v>
      </c>
      <c r="AG195" s="710" t="s">
        <v>3754</v>
      </c>
      <c r="AH195" s="898">
        <v>0.2</v>
      </c>
      <c r="AI195" s="868">
        <f t="shared" si="47"/>
        <v>0.2</v>
      </c>
      <c r="AJ195" s="867">
        <f t="shared" si="48"/>
        <v>0</v>
      </c>
      <c r="AK195" s="898"/>
      <c r="AL195" s="898"/>
      <c r="AM195" s="898"/>
      <c r="AN195" s="869">
        <f t="shared" si="49"/>
        <v>0</v>
      </c>
      <c r="AO195" s="869">
        <f t="shared" si="50"/>
        <v>0</v>
      </c>
      <c r="AP195" s="898"/>
      <c r="AQ195" s="899"/>
      <c r="AR195" s="899">
        <v>0.01</v>
      </c>
      <c r="AS195" s="869">
        <f t="shared" si="51"/>
        <v>0</v>
      </c>
      <c r="AT195" s="869">
        <f t="shared" si="52"/>
        <v>0</v>
      </c>
      <c r="AU195" s="942">
        <v>0.2</v>
      </c>
      <c r="AV195" s="899">
        <v>0.24</v>
      </c>
      <c r="AW195" s="869">
        <f t="shared" si="53"/>
        <v>1</v>
      </c>
      <c r="AX195" s="869">
        <f t="shared" si="54"/>
        <v>-0.76</v>
      </c>
      <c r="AY195" s="898">
        <v>0</v>
      </c>
      <c r="AZ195" s="899"/>
      <c r="BA195" s="869">
        <f t="shared" si="55"/>
        <v>0</v>
      </c>
      <c r="BB195" s="869">
        <f t="shared" si="56"/>
        <v>0</v>
      </c>
      <c r="BC195" s="898">
        <v>0</v>
      </c>
      <c r="BD195" s="899"/>
      <c r="BE195" s="869">
        <f t="shared" si="57"/>
        <v>0</v>
      </c>
      <c r="BF195" s="869">
        <f t="shared" si="58"/>
        <v>0</v>
      </c>
      <c r="BG195" s="899"/>
      <c r="BH195" s="899"/>
      <c r="BI195" s="899"/>
      <c r="BJ195" s="899"/>
      <c r="BK195" s="899"/>
      <c r="BL195" s="714">
        <f t="shared" si="59"/>
        <v>0</v>
      </c>
      <c r="BM195" s="869">
        <f t="shared" si="60"/>
        <v>0</v>
      </c>
      <c r="BN195" s="898">
        <v>0</v>
      </c>
      <c r="BO195" s="899"/>
      <c r="BP195" s="869">
        <f t="shared" si="61"/>
        <v>0</v>
      </c>
      <c r="BQ195" s="869">
        <f t="shared" si="62"/>
        <v>0</v>
      </c>
      <c r="BR195" s="899"/>
      <c r="BS195" s="899"/>
      <c r="BT195" s="898">
        <v>0.2</v>
      </c>
      <c r="BU195" s="899">
        <v>8.9999999999999993E-3</v>
      </c>
      <c r="BV195" s="901">
        <v>2</v>
      </c>
      <c r="BW195" s="901">
        <v>2</v>
      </c>
      <c r="BX195" s="901">
        <v>1</v>
      </c>
      <c r="BY195" s="901"/>
      <c r="BZ195" s="901"/>
      <c r="CA195" s="901"/>
      <c r="CB195" s="901"/>
      <c r="CC195" s="901"/>
      <c r="CD195" s="901"/>
      <c r="CE195" s="901"/>
      <c r="CF195" s="901"/>
      <c r="CG195" s="901"/>
      <c r="CH195" s="901"/>
      <c r="CI195" s="901"/>
      <c r="CJ195" s="901">
        <v>1</v>
      </c>
      <c r="CK195" s="901"/>
      <c r="CL195" s="901"/>
      <c r="CM195" s="901"/>
      <c r="CN195" s="901"/>
      <c r="CO195" s="901"/>
      <c r="CP195" s="901"/>
      <c r="CQ195" s="901"/>
      <c r="CR195" s="901"/>
      <c r="CS195" s="902">
        <f t="shared" si="67"/>
        <v>1</v>
      </c>
      <c r="CT195" s="871">
        <f t="shared" si="63"/>
        <v>1</v>
      </c>
      <c r="CU195" s="871">
        <f t="shared" si="64"/>
        <v>0</v>
      </c>
      <c r="CV195" s="942">
        <v>0.8</v>
      </c>
      <c r="CW195" s="710"/>
      <c r="CX195" s="710"/>
      <c r="CY195" s="710"/>
      <c r="CZ195" s="710"/>
      <c r="DA195" s="710">
        <v>12</v>
      </c>
      <c r="DB195" s="899"/>
      <c r="DC195" s="710" t="s">
        <v>279</v>
      </c>
      <c r="DD195" s="710"/>
      <c r="DE195" s="710"/>
      <c r="DF195" s="901"/>
      <c r="DG195" s="901"/>
      <c r="DH195" s="901">
        <v>2</v>
      </c>
      <c r="DI195" s="710" t="s">
        <v>279</v>
      </c>
      <c r="DJ195" s="710"/>
      <c r="DK195" s="901"/>
      <c r="DL195" s="710" t="s">
        <v>278</v>
      </c>
      <c r="DM195" s="710" t="s">
        <v>3785</v>
      </c>
      <c r="DN195" s="901">
        <v>24</v>
      </c>
      <c r="DO195" s="710"/>
      <c r="DP195" s="710"/>
      <c r="DQ195" s="901"/>
      <c r="DR195" s="710" t="s">
        <v>278</v>
      </c>
      <c r="DS195" s="857" t="s">
        <v>3791</v>
      </c>
      <c r="DT195" s="857">
        <v>43</v>
      </c>
      <c r="DU195" s="857" t="s">
        <v>279</v>
      </c>
      <c r="DV195" s="1018"/>
      <c r="DW195" s="901"/>
      <c r="DX195" s="710" t="s">
        <v>279</v>
      </c>
      <c r="DY195" s="710"/>
      <c r="DZ195" s="901"/>
      <c r="EA195" s="710" t="s">
        <v>279</v>
      </c>
      <c r="EB195" s="710"/>
      <c r="EC195" s="901"/>
      <c r="ED195" s="710" t="s">
        <v>278</v>
      </c>
      <c r="EE195" s="710" t="s">
        <v>3796</v>
      </c>
      <c r="EF195" s="901">
        <v>67</v>
      </c>
      <c r="EG195" s="710" t="s">
        <v>279</v>
      </c>
      <c r="EH195" s="710"/>
      <c r="EI195" s="901"/>
      <c r="EJ195" s="710" t="s">
        <v>279</v>
      </c>
      <c r="EK195" s="710"/>
      <c r="EL195" s="901"/>
      <c r="EM195" s="710" t="s">
        <v>279</v>
      </c>
      <c r="EN195" s="710"/>
      <c r="EO195" s="901"/>
      <c r="EP195" s="710" t="s">
        <v>279</v>
      </c>
      <c r="EQ195" s="710"/>
      <c r="ER195" s="901"/>
      <c r="ES195" s="710" t="s">
        <v>279</v>
      </c>
      <c r="ET195" s="710"/>
      <c r="EU195" s="901"/>
      <c r="EV195" s="901"/>
      <c r="EW195" s="901"/>
      <c r="EX195" s="901"/>
      <c r="EY195" s="710" t="s">
        <v>279</v>
      </c>
      <c r="EZ195" s="710"/>
      <c r="FA195" s="710" t="s">
        <v>278</v>
      </c>
      <c r="FB195" s="710" t="s">
        <v>3808</v>
      </c>
      <c r="FC195" s="945" t="s">
        <v>3819</v>
      </c>
      <c r="FD195" s="710"/>
      <c r="FE195" s="710"/>
      <c r="FF195" s="710"/>
      <c r="FG195" s="710"/>
      <c r="FH195" s="710" t="s">
        <v>279</v>
      </c>
      <c r="FI195" s="710"/>
      <c r="FJ195" s="710"/>
      <c r="FK195" s="948" t="s">
        <v>3875</v>
      </c>
      <c r="FL195" s="948" t="s">
        <v>3899</v>
      </c>
      <c r="FM195" s="984" t="s">
        <v>3921</v>
      </c>
      <c r="FN195" s="710"/>
      <c r="FO195" s="710"/>
      <c r="FP195" s="710"/>
    </row>
    <row r="196" spans="2:172" ht="83" customHeight="1">
      <c r="B196" s="850" t="s">
        <v>5313</v>
      </c>
      <c r="C196" s="863"/>
      <c r="D196" s="850" t="s">
        <v>4934</v>
      </c>
      <c r="E196" s="850" t="s">
        <v>5314</v>
      </c>
      <c r="F196" s="863"/>
      <c r="H196" s="850" t="s">
        <v>4934</v>
      </c>
      <c r="I196" s="850" t="s">
        <v>5520</v>
      </c>
      <c r="J196" s="850" t="s">
        <v>5461</v>
      </c>
      <c r="K196" s="710" t="s">
        <v>267</v>
      </c>
      <c r="L196" s="710" t="s">
        <v>3633</v>
      </c>
      <c r="M196" s="710" t="s">
        <v>626</v>
      </c>
      <c r="N196" s="710"/>
      <c r="O196" s="895">
        <v>2016</v>
      </c>
      <c r="P196" s="896">
        <v>43305</v>
      </c>
      <c r="Q196" s="896">
        <v>43739</v>
      </c>
      <c r="R196" s="712">
        <f t="shared" si="65"/>
        <v>434</v>
      </c>
      <c r="S196" s="896"/>
      <c r="T196" s="896"/>
      <c r="U196" s="896"/>
      <c r="V196" s="896"/>
      <c r="W196" s="896"/>
      <c r="X196" s="896"/>
      <c r="Y196" s="896"/>
      <c r="Z196" s="896"/>
      <c r="AA196" s="896"/>
      <c r="AB196" s="710" t="s">
        <v>3667</v>
      </c>
      <c r="AC196" s="861" t="s">
        <v>3690</v>
      </c>
      <c r="AD196" s="708" t="s">
        <v>3713</v>
      </c>
      <c r="AE196" s="710" t="s">
        <v>3731</v>
      </c>
      <c r="AF196" s="710" t="s">
        <v>3516</v>
      </c>
      <c r="AG196" s="710" t="s">
        <v>3755</v>
      </c>
      <c r="AH196" s="898">
        <v>0.5</v>
      </c>
      <c r="AI196" s="868">
        <f t="shared" si="47"/>
        <v>0.5</v>
      </c>
      <c r="AJ196" s="867">
        <f t="shared" si="48"/>
        <v>0</v>
      </c>
      <c r="AK196" s="898"/>
      <c r="AL196" s="898"/>
      <c r="AM196" s="898"/>
      <c r="AN196" s="869">
        <f t="shared" si="49"/>
        <v>0</v>
      </c>
      <c r="AO196" s="869">
        <f t="shared" si="50"/>
        <v>0</v>
      </c>
      <c r="AP196" s="898"/>
      <c r="AQ196" s="899"/>
      <c r="AR196" s="899">
        <v>2E-3</v>
      </c>
      <c r="AS196" s="869">
        <f t="shared" si="51"/>
        <v>0</v>
      </c>
      <c r="AT196" s="869">
        <f t="shared" si="52"/>
        <v>0</v>
      </c>
      <c r="AU196" s="942">
        <v>0.5</v>
      </c>
      <c r="AV196" s="899">
        <v>0.17899999999999999</v>
      </c>
      <c r="AW196" s="869">
        <f t="shared" si="53"/>
        <v>1</v>
      </c>
      <c r="AX196" s="869">
        <f t="shared" si="54"/>
        <v>-0.82099999999999995</v>
      </c>
      <c r="AY196" s="898">
        <v>0</v>
      </c>
      <c r="AZ196" s="899"/>
      <c r="BA196" s="869">
        <f t="shared" si="55"/>
        <v>0</v>
      </c>
      <c r="BB196" s="869">
        <f t="shared" si="56"/>
        <v>0</v>
      </c>
      <c r="BC196" s="898">
        <v>0</v>
      </c>
      <c r="BD196" s="899"/>
      <c r="BE196" s="869">
        <f t="shared" si="57"/>
        <v>0</v>
      </c>
      <c r="BF196" s="869">
        <f t="shared" si="58"/>
        <v>0</v>
      </c>
      <c r="BG196" s="899"/>
      <c r="BH196" s="899"/>
      <c r="BI196" s="899"/>
      <c r="BJ196" s="899"/>
      <c r="BK196" s="899"/>
      <c r="BL196" s="714">
        <f t="shared" si="59"/>
        <v>0</v>
      </c>
      <c r="BM196" s="869">
        <f t="shared" si="60"/>
        <v>0</v>
      </c>
      <c r="BN196" s="898">
        <v>0</v>
      </c>
      <c r="BO196" s="899"/>
      <c r="BP196" s="869">
        <f t="shared" si="61"/>
        <v>0</v>
      </c>
      <c r="BQ196" s="869">
        <f t="shared" si="62"/>
        <v>0</v>
      </c>
      <c r="BR196" s="899"/>
      <c r="BS196" s="899"/>
      <c r="BT196" s="898">
        <v>0.3</v>
      </c>
      <c r="BU196" s="899">
        <v>1E-3</v>
      </c>
      <c r="BV196" s="901">
        <v>1</v>
      </c>
      <c r="BW196" s="901">
        <v>1</v>
      </c>
      <c r="BX196" s="901">
        <v>1</v>
      </c>
      <c r="BY196" s="901"/>
      <c r="BZ196" s="901"/>
      <c r="CA196" s="901"/>
      <c r="CB196" s="901"/>
      <c r="CC196" s="901"/>
      <c r="CD196" s="901"/>
      <c r="CE196" s="901"/>
      <c r="CF196" s="901">
        <v>1</v>
      </c>
      <c r="CG196" s="901"/>
      <c r="CH196" s="901"/>
      <c r="CI196" s="901"/>
      <c r="CJ196" s="901"/>
      <c r="CK196" s="901"/>
      <c r="CL196" s="901"/>
      <c r="CM196" s="901"/>
      <c r="CN196" s="901"/>
      <c r="CO196" s="901"/>
      <c r="CP196" s="901"/>
      <c r="CQ196" s="901"/>
      <c r="CR196" s="901"/>
      <c r="CS196" s="902">
        <f t="shared" si="67"/>
        <v>1</v>
      </c>
      <c r="CT196" s="871">
        <f t="shared" si="63"/>
        <v>1</v>
      </c>
      <c r="CU196" s="871">
        <f t="shared" si="64"/>
        <v>0</v>
      </c>
      <c r="CV196" s="942">
        <v>10.406000000000001</v>
      </c>
      <c r="CW196" s="710" t="s">
        <v>1183</v>
      </c>
      <c r="CX196" s="710"/>
      <c r="CY196" s="710"/>
      <c r="CZ196" s="710"/>
      <c r="DA196" s="710">
        <v>86</v>
      </c>
      <c r="DB196" s="899" t="s">
        <v>3775</v>
      </c>
      <c r="DC196" s="710" t="s">
        <v>279</v>
      </c>
      <c r="DD196" s="710" t="s">
        <v>1183</v>
      </c>
      <c r="DE196" s="710" t="s">
        <v>1183</v>
      </c>
      <c r="DF196" s="901" t="s">
        <v>1183</v>
      </c>
      <c r="DG196" s="901" t="s">
        <v>1183</v>
      </c>
      <c r="DH196" s="901">
        <v>2</v>
      </c>
      <c r="DI196" s="710" t="s">
        <v>279</v>
      </c>
      <c r="DJ196" s="710"/>
      <c r="DK196" s="901"/>
      <c r="DL196" s="710" t="s">
        <v>3124</v>
      </c>
      <c r="DM196" s="710" t="s">
        <v>3005</v>
      </c>
      <c r="DN196" s="901">
        <v>19</v>
      </c>
      <c r="DO196" s="710" t="s">
        <v>279</v>
      </c>
      <c r="DP196" s="710"/>
      <c r="DQ196" s="901"/>
      <c r="DR196" s="710" t="s">
        <v>279</v>
      </c>
      <c r="DS196" s="710"/>
      <c r="DT196" s="901"/>
      <c r="DU196" s="710" t="s">
        <v>279</v>
      </c>
      <c r="DV196" s="710"/>
      <c r="DW196" s="901"/>
      <c r="DX196" s="710" t="s">
        <v>279</v>
      </c>
      <c r="DY196" s="710"/>
      <c r="DZ196" s="901"/>
      <c r="EA196" s="710" t="s">
        <v>279</v>
      </c>
      <c r="EB196" s="710"/>
      <c r="EC196" s="901"/>
      <c r="ED196" s="710" t="s">
        <v>278</v>
      </c>
      <c r="EE196" s="710" t="s">
        <v>3797</v>
      </c>
      <c r="EF196" s="901">
        <v>10</v>
      </c>
      <c r="EG196" s="710" t="s">
        <v>279</v>
      </c>
      <c r="EH196" s="710"/>
      <c r="EI196" s="901"/>
      <c r="EJ196" s="710" t="s">
        <v>279</v>
      </c>
      <c r="EK196" s="710"/>
      <c r="EL196" s="901"/>
      <c r="EM196" s="710" t="s">
        <v>279</v>
      </c>
      <c r="EN196" s="710"/>
      <c r="EO196" s="901"/>
      <c r="EP196" s="710" t="s">
        <v>279</v>
      </c>
      <c r="EQ196" s="710"/>
      <c r="ER196" s="901"/>
      <c r="ES196" s="710" t="s">
        <v>279</v>
      </c>
      <c r="ET196" s="710"/>
      <c r="EU196" s="901"/>
      <c r="EV196" s="901"/>
      <c r="EW196" s="901"/>
      <c r="EX196" s="901"/>
      <c r="EY196" s="710" t="s">
        <v>279</v>
      </c>
      <c r="EZ196" s="710"/>
      <c r="FA196" s="710" t="s">
        <v>279</v>
      </c>
      <c r="FB196" s="710"/>
      <c r="FC196" s="861" t="s">
        <v>3820</v>
      </c>
      <c r="FD196" s="710"/>
      <c r="FE196" s="710"/>
      <c r="FF196" s="710" t="s">
        <v>3840</v>
      </c>
      <c r="FG196" s="710" t="s">
        <v>1183</v>
      </c>
      <c r="FH196" s="710" t="s">
        <v>1183</v>
      </c>
      <c r="FI196" s="710" t="s">
        <v>1183</v>
      </c>
      <c r="FJ196" s="710"/>
      <c r="FK196" s="710" t="s">
        <v>3876</v>
      </c>
      <c r="FL196" s="710" t="s">
        <v>3900</v>
      </c>
      <c r="FM196" s="861" t="s">
        <v>3922</v>
      </c>
      <c r="FN196" s="710"/>
      <c r="FO196" s="710"/>
      <c r="FP196" s="710"/>
    </row>
    <row r="197" spans="2:172" ht="107" customHeight="1">
      <c r="B197" s="850" t="s">
        <v>5313</v>
      </c>
      <c r="C197" s="863"/>
      <c r="D197" s="850" t="s">
        <v>4934</v>
      </c>
      <c r="E197" s="850" t="s">
        <v>5314</v>
      </c>
      <c r="F197" s="863"/>
      <c r="H197" s="850" t="s">
        <v>4934</v>
      </c>
      <c r="I197" s="850" t="s">
        <v>5520</v>
      </c>
      <c r="J197" s="850" t="s">
        <v>5461</v>
      </c>
      <c r="K197" s="710" t="s">
        <v>267</v>
      </c>
      <c r="L197" s="710" t="s">
        <v>3634</v>
      </c>
      <c r="M197" s="710" t="s">
        <v>3648</v>
      </c>
      <c r="N197" s="710" t="s">
        <v>2931</v>
      </c>
      <c r="O197" s="895">
        <v>2018</v>
      </c>
      <c r="P197" s="896">
        <v>43374</v>
      </c>
      <c r="Q197" s="896">
        <v>43678</v>
      </c>
      <c r="R197" s="712">
        <f t="shared" si="65"/>
        <v>304</v>
      </c>
      <c r="S197" s="896"/>
      <c r="T197" s="896"/>
      <c r="U197" s="896"/>
      <c r="V197" s="896"/>
      <c r="W197" s="896"/>
      <c r="X197" s="896"/>
      <c r="Y197" s="896"/>
      <c r="Z197" s="896"/>
      <c r="AA197" s="896"/>
      <c r="AB197" s="710" t="s">
        <v>3668</v>
      </c>
      <c r="AC197" s="974" t="s">
        <v>3691</v>
      </c>
      <c r="AD197" s="710" t="s">
        <v>3714</v>
      </c>
      <c r="AE197" s="710" t="s">
        <v>3732</v>
      </c>
      <c r="AF197" s="710" t="s">
        <v>3741</v>
      </c>
      <c r="AG197" s="710" t="s">
        <v>3756</v>
      </c>
      <c r="AH197" s="898">
        <v>0.1</v>
      </c>
      <c r="AI197" s="868">
        <f t="shared" si="47"/>
        <v>0.1</v>
      </c>
      <c r="AJ197" s="867">
        <f t="shared" si="48"/>
        <v>0</v>
      </c>
      <c r="AK197" s="898"/>
      <c r="AL197" s="898"/>
      <c r="AM197" s="898"/>
      <c r="AN197" s="869">
        <f t="shared" si="49"/>
        <v>0</v>
      </c>
      <c r="AO197" s="869">
        <f t="shared" si="50"/>
        <v>0</v>
      </c>
      <c r="AP197" s="898"/>
      <c r="AQ197" s="899"/>
      <c r="AR197" s="899">
        <v>8.0000000000000004E-4</v>
      </c>
      <c r="AS197" s="869">
        <f t="shared" si="51"/>
        <v>0</v>
      </c>
      <c r="AT197" s="869">
        <f t="shared" si="52"/>
        <v>0</v>
      </c>
      <c r="AU197" s="942">
        <v>0.1</v>
      </c>
      <c r="AV197" s="899">
        <v>1</v>
      </c>
      <c r="AW197" s="869">
        <f t="shared" si="53"/>
        <v>1</v>
      </c>
      <c r="AX197" s="869">
        <f t="shared" si="54"/>
        <v>0</v>
      </c>
      <c r="AY197" s="898">
        <v>0</v>
      </c>
      <c r="AZ197" s="899">
        <v>0</v>
      </c>
      <c r="BA197" s="869">
        <f t="shared" si="55"/>
        <v>0</v>
      </c>
      <c r="BB197" s="869">
        <f t="shared" si="56"/>
        <v>0</v>
      </c>
      <c r="BC197" s="898">
        <v>0</v>
      </c>
      <c r="BD197" s="899">
        <v>0</v>
      </c>
      <c r="BE197" s="869">
        <f t="shared" si="57"/>
        <v>0</v>
      </c>
      <c r="BF197" s="869">
        <f t="shared" si="58"/>
        <v>0</v>
      </c>
      <c r="BG197" s="899"/>
      <c r="BH197" s="899"/>
      <c r="BI197" s="899"/>
      <c r="BJ197" s="899"/>
      <c r="BK197" s="899"/>
      <c r="BL197" s="714">
        <f t="shared" si="59"/>
        <v>0</v>
      </c>
      <c r="BM197" s="869">
        <f t="shared" si="60"/>
        <v>0</v>
      </c>
      <c r="BN197" s="898">
        <v>0</v>
      </c>
      <c r="BO197" s="899">
        <v>0</v>
      </c>
      <c r="BP197" s="869">
        <f t="shared" si="61"/>
        <v>0</v>
      </c>
      <c r="BQ197" s="869">
        <f t="shared" si="62"/>
        <v>0</v>
      </c>
      <c r="BR197" s="899"/>
      <c r="BS197" s="899"/>
      <c r="BT197" s="898">
        <v>0.3</v>
      </c>
      <c r="BU197" s="899">
        <v>4.0000000000000001E-3</v>
      </c>
      <c r="BV197" s="901">
        <v>7</v>
      </c>
      <c r="BW197" s="901">
        <v>7</v>
      </c>
      <c r="BX197" s="901">
        <v>1</v>
      </c>
      <c r="BY197" s="901"/>
      <c r="BZ197" s="901"/>
      <c r="CA197" s="901"/>
      <c r="CB197" s="901"/>
      <c r="CC197" s="901"/>
      <c r="CD197" s="901"/>
      <c r="CE197" s="901">
        <v>1</v>
      </c>
      <c r="CF197" s="901"/>
      <c r="CG197" s="901"/>
      <c r="CH197" s="901"/>
      <c r="CI197" s="901"/>
      <c r="CJ197" s="901"/>
      <c r="CK197" s="901"/>
      <c r="CL197" s="901"/>
      <c r="CM197" s="901"/>
      <c r="CN197" s="901"/>
      <c r="CO197" s="901"/>
      <c r="CP197" s="901"/>
      <c r="CQ197" s="901"/>
      <c r="CR197" s="901"/>
      <c r="CS197" s="902">
        <f t="shared" si="67"/>
        <v>1</v>
      </c>
      <c r="CT197" s="871">
        <f t="shared" si="63"/>
        <v>1</v>
      </c>
      <c r="CU197" s="871">
        <f t="shared" si="64"/>
        <v>0</v>
      </c>
      <c r="CV197" s="942">
        <v>0.1</v>
      </c>
      <c r="CW197" s="710" t="s">
        <v>279</v>
      </c>
      <c r="CX197" s="710"/>
      <c r="CY197" s="710"/>
      <c r="CZ197" s="710"/>
      <c r="DA197" s="710"/>
      <c r="DB197" s="899"/>
      <c r="DC197" s="710" t="s">
        <v>279</v>
      </c>
      <c r="DD197" s="710"/>
      <c r="DE197" s="710"/>
      <c r="DF197" s="901"/>
      <c r="DG197" s="901"/>
      <c r="DH197" s="901">
        <v>2</v>
      </c>
      <c r="DI197" s="710" t="s">
        <v>279</v>
      </c>
      <c r="DJ197" s="710"/>
      <c r="DK197" s="901"/>
      <c r="DL197" s="710" t="s">
        <v>278</v>
      </c>
      <c r="DM197" s="710" t="s">
        <v>3786</v>
      </c>
      <c r="DN197" s="901">
        <v>19</v>
      </c>
      <c r="DO197" s="710" t="s">
        <v>279</v>
      </c>
      <c r="DP197" s="710"/>
      <c r="DQ197" s="901"/>
      <c r="DR197" s="710" t="s">
        <v>279</v>
      </c>
      <c r="DS197" s="710"/>
      <c r="DT197" s="901"/>
      <c r="DU197" s="710" t="s">
        <v>279</v>
      </c>
      <c r="DV197" s="710"/>
      <c r="DW197" s="901"/>
      <c r="DX197" s="710" t="s">
        <v>279</v>
      </c>
      <c r="DY197" s="710"/>
      <c r="DZ197" s="901"/>
      <c r="EA197" s="710" t="s">
        <v>278</v>
      </c>
      <c r="EB197" s="710"/>
      <c r="EC197" s="901">
        <v>14</v>
      </c>
      <c r="ED197" s="710" t="s">
        <v>278</v>
      </c>
      <c r="EE197" s="710" t="s">
        <v>1685</v>
      </c>
      <c r="EF197" s="901">
        <v>14</v>
      </c>
      <c r="EG197" s="710" t="s">
        <v>279</v>
      </c>
      <c r="EH197" s="710"/>
      <c r="EI197" s="901"/>
      <c r="EJ197" s="710" t="s">
        <v>279</v>
      </c>
      <c r="EK197" s="710"/>
      <c r="EL197" s="901"/>
      <c r="EM197" s="710" t="s">
        <v>279</v>
      </c>
      <c r="EN197" s="710"/>
      <c r="EO197" s="901"/>
      <c r="EP197" s="710" t="s">
        <v>279</v>
      </c>
      <c r="EQ197" s="710"/>
      <c r="ER197" s="901"/>
      <c r="ES197" s="710" t="s">
        <v>279</v>
      </c>
      <c r="ET197" s="710"/>
      <c r="EU197" s="901"/>
      <c r="EV197" s="901"/>
      <c r="EW197" s="901"/>
      <c r="EX197" s="901"/>
      <c r="EY197" s="710" t="s">
        <v>279</v>
      </c>
      <c r="EZ197" s="710"/>
      <c r="FA197" s="710" t="s">
        <v>279</v>
      </c>
      <c r="FB197" s="710"/>
      <c r="FC197" s="974" t="s">
        <v>3821</v>
      </c>
      <c r="FD197" s="974"/>
      <c r="FE197" s="710"/>
      <c r="FF197" s="710"/>
      <c r="FG197" s="710"/>
      <c r="FH197" s="710" t="s">
        <v>279</v>
      </c>
      <c r="FI197" s="710"/>
      <c r="FJ197" s="710"/>
      <c r="FK197" s="710" t="s">
        <v>3877</v>
      </c>
      <c r="FL197" s="710">
        <v>8423321641</v>
      </c>
      <c r="FM197" s="974" t="s">
        <v>3923</v>
      </c>
      <c r="FN197" s="710"/>
      <c r="FO197" s="710"/>
      <c r="FP197" s="710"/>
    </row>
    <row r="198" spans="2:172" ht="115.5" customHeight="1">
      <c r="B198" s="850" t="s">
        <v>5313</v>
      </c>
      <c r="C198" s="863"/>
      <c r="D198" s="850" t="s">
        <v>4934</v>
      </c>
      <c r="E198" s="850" t="s">
        <v>5314</v>
      </c>
      <c r="F198" s="863"/>
      <c r="H198" s="850" t="s">
        <v>4934</v>
      </c>
      <c r="I198" s="850" t="s">
        <v>5520</v>
      </c>
      <c r="J198" s="850" t="s">
        <v>5461</v>
      </c>
      <c r="K198" s="710" t="s">
        <v>267</v>
      </c>
      <c r="L198" s="710" t="s">
        <v>3635</v>
      </c>
      <c r="M198" s="710" t="s">
        <v>2931</v>
      </c>
      <c r="N198" s="710"/>
      <c r="O198" s="895">
        <v>2016</v>
      </c>
      <c r="P198" s="896">
        <v>43327</v>
      </c>
      <c r="Q198" s="896">
        <v>43830</v>
      </c>
      <c r="R198" s="712">
        <f t="shared" si="65"/>
        <v>503</v>
      </c>
      <c r="S198" s="896"/>
      <c r="T198" s="896"/>
      <c r="U198" s="896"/>
      <c r="V198" s="896"/>
      <c r="W198" s="896"/>
      <c r="X198" s="896"/>
      <c r="Y198" s="896"/>
      <c r="Z198" s="896"/>
      <c r="AA198" s="896"/>
      <c r="AB198" s="710" t="s">
        <v>3669</v>
      </c>
      <c r="AC198" s="945" t="s">
        <v>3692</v>
      </c>
      <c r="AD198" s="710" t="s">
        <v>3715</v>
      </c>
      <c r="AE198" s="710" t="s">
        <v>3715</v>
      </c>
      <c r="AF198" s="710" t="s">
        <v>3241</v>
      </c>
      <c r="AG198" s="710" t="s">
        <v>3757</v>
      </c>
      <c r="AH198" s="898">
        <v>0.33900000000000002</v>
      </c>
      <c r="AI198" s="868">
        <f t="shared" si="47"/>
        <v>0.33900000000000002</v>
      </c>
      <c r="AJ198" s="867">
        <f t="shared" si="48"/>
        <v>0</v>
      </c>
      <c r="AK198" s="898"/>
      <c r="AL198" s="898"/>
      <c r="AM198" s="898"/>
      <c r="AN198" s="869">
        <f t="shared" si="49"/>
        <v>0</v>
      </c>
      <c r="AO198" s="869">
        <f t="shared" si="50"/>
        <v>0</v>
      </c>
      <c r="AP198" s="898"/>
      <c r="AQ198" s="899"/>
      <c r="AR198" s="899">
        <v>1.1000000000000001E-3</v>
      </c>
      <c r="AS198" s="869">
        <f t="shared" si="51"/>
        <v>0</v>
      </c>
      <c r="AT198" s="869">
        <f t="shared" si="52"/>
        <v>0</v>
      </c>
      <c r="AU198" s="942">
        <v>0.33900000000000002</v>
      </c>
      <c r="AV198" s="899">
        <v>1</v>
      </c>
      <c r="AW198" s="869">
        <f t="shared" si="53"/>
        <v>1</v>
      </c>
      <c r="AX198" s="869">
        <f t="shared" si="54"/>
        <v>0</v>
      </c>
      <c r="AY198" s="898">
        <v>0</v>
      </c>
      <c r="AZ198" s="899">
        <v>0</v>
      </c>
      <c r="BA198" s="869">
        <f t="shared" si="55"/>
        <v>0</v>
      </c>
      <c r="BB198" s="869">
        <f t="shared" si="56"/>
        <v>0</v>
      </c>
      <c r="BC198" s="898">
        <v>0</v>
      </c>
      <c r="BD198" s="899">
        <v>0</v>
      </c>
      <c r="BE198" s="869">
        <f t="shared" si="57"/>
        <v>0</v>
      </c>
      <c r="BF198" s="869">
        <f t="shared" si="58"/>
        <v>0</v>
      </c>
      <c r="BG198" s="899"/>
      <c r="BH198" s="899"/>
      <c r="BI198" s="899"/>
      <c r="BJ198" s="899"/>
      <c r="BK198" s="899"/>
      <c r="BL198" s="714">
        <f t="shared" si="59"/>
        <v>0</v>
      </c>
      <c r="BM198" s="869">
        <f t="shared" si="60"/>
        <v>0</v>
      </c>
      <c r="BN198" s="898">
        <v>0</v>
      </c>
      <c r="BO198" s="899">
        <v>0</v>
      </c>
      <c r="BP198" s="869">
        <f t="shared" si="61"/>
        <v>0</v>
      </c>
      <c r="BQ198" s="869">
        <f t="shared" si="62"/>
        <v>0</v>
      </c>
      <c r="BR198" s="899"/>
      <c r="BS198" s="899"/>
      <c r="BT198" s="898">
        <v>0.17799999999999999</v>
      </c>
      <c r="BU198" s="899">
        <v>5.0000000000000001E-4</v>
      </c>
      <c r="BV198" s="901">
        <v>3</v>
      </c>
      <c r="BW198" s="901">
        <v>1</v>
      </c>
      <c r="BX198" s="901">
        <v>1</v>
      </c>
      <c r="BY198" s="901"/>
      <c r="BZ198" s="901"/>
      <c r="CA198" s="901"/>
      <c r="CB198" s="901"/>
      <c r="CC198" s="901"/>
      <c r="CD198" s="901"/>
      <c r="CE198" s="901"/>
      <c r="CF198" s="901"/>
      <c r="CG198" s="901"/>
      <c r="CH198" s="901"/>
      <c r="CI198" s="901">
        <v>1</v>
      </c>
      <c r="CJ198" s="901"/>
      <c r="CK198" s="901"/>
      <c r="CL198" s="901"/>
      <c r="CM198" s="901"/>
      <c r="CN198" s="901"/>
      <c r="CO198" s="901"/>
      <c r="CP198" s="901"/>
      <c r="CQ198" s="901"/>
      <c r="CR198" s="901"/>
      <c r="CS198" s="902">
        <f t="shared" si="67"/>
        <v>1</v>
      </c>
      <c r="CT198" s="871">
        <f t="shared" si="63"/>
        <v>1</v>
      </c>
      <c r="CU198" s="871">
        <f t="shared" si="64"/>
        <v>0</v>
      </c>
      <c r="CV198" s="956">
        <v>0.6</v>
      </c>
      <c r="CW198" s="710" t="s">
        <v>3766</v>
      </c>
      <c r="CX198" s="710" t="s">
        <v>279</v>
      </c>
      <c r="CY198" s="710"/>
      <c r="CZ198" s="710"/>
      <c r="DA198" s="899">
        <v>0.42799999999999999</v>
      </c>
      <c r="DB198" s="710" t="s">
        <v>279</v>
      </c>
      <c r="DC198" s="710" t="s">
        <v>279</v>
      </c>
      <c r="DD198" s="710"/>
      <c r="DE198" s="901"/>
      <c r="DF198" s="901"/>
      <c r="DG198" s="710"/>
      <c r="DH198" s="710">
        <v>2</v>
      </c>
      <c r="DI198" s="710" t="s">
        <v>279</v>
      </c>
      <c r="DJ198" s="710" t="s">
        <v>279</v>
      </c>
      <c r="DK198" s="901"/>
      <c r="DL198" s="710" t="s">
        <v>278</v>
      </c>
      <c r="DM198" s="710" t="s">
        <v>772</v>
      </c>
      <c r="DN198" s="901"/>
      <c r="DO198" s="710" t="s">
        <v>279</v>
      </c>
      <c r="DP198" s="710"/>
      <c r="DQ198" s="901"/>
      <c r="DR198" s="710" t="s">
        <v>279</v>
      </c>
      <c r="DS198" s="710"/>
      <c r="DT198" s="901"/>
      <c r="DU198" s="710" t="s">
        <v>279</v>
      </c>
      <c r="DV198" s="710"/>
      <c r="DW198" s="901"/>
      <c r="DX198" s="710" t="s">
        <v>279</v>
      </c>
      <c r="DY198" s="710"/>
      <c r="DZ198" s="901"/>
      <c r="EA198" s="710" t="s">
        <v>279</v>
      </c>
      <c r="EB198" s="710"/>
      <c r="EC198" s="901"/>
      <c r="ED198" s="710" t="s">
        <v>279</v>
      </c>
      <c r="EE198" s="710"/>
      <c r="EF198" s="901"/>
      <c r="EG198" s="710" t="s">
        <v>279</v>
      </c>
      <c r="EH198" s="710"/>
      <c r="EI198" s="901"/>
      <c r="EJ198" s="710" t="s">
        <v>278</v>
      </c>
      <c r="EK198" s="710" t="s">
        <v>3801</v>
      </c>
      <c r="EL198" s="901">
        <v>10</v>
      </c>
      <c r="EM198" s="710" t="s">
        <v>279</v>
      </c>
      <c r="EN198" s="710"/>
      <c r="EO198" s="901"/>
      <c r="EP198" s="710" t="s">
        <v>279</v>
      </c>
      <c r="EQ198" s="710"/>
      <c r="ER198" s="901"/>
      <c r="ES198" s="710" t="s">
        <v>279</v>
      </c>
      <c r="ET198" s="710"/>
      <c r="EU198" s="901"/>
      <c r="EV198" s="901"/>
      <c r="EW198" s="901"/>
      <c r="EX198" s="901"/>
      <c r="EY198" s="710" t="s">
        <v>279</v>
      </c>
      <c r="EZ198" s="710" t="s">
        <v>3805</v>
      </c>
      <c r="FA198" s="710" t="s">
        <v>279</v>
      </c>
      <c r="FB198" s="710" t="s">
        <v>279</v>
      </c>
      <c r="FC198" s="945" t="s">
        <v>3692</v>
      </c>
      <c r="FD198" s="710" t="s">
        <v>3829</v>
      </c>
      <c r="FE198" s="710" t="s">
        <v>279</v>
      </c>
      <c r="FF198" s="710" t="s">
        <v>3841</v>
      </c>
      <c r="FG198" s="710" t="s">
        <v>279</v>
      </c>
      <c r="FH198" s="718" t="s">
        <v>3855</v>
      </c>
      <c r="FI198" s="718"/>
      <c r="FJ198" s="718"/>
      <c r="FK198" s="710" t="s">
        <v>3878</v>
      </c>
      <c r="FL198" s="710" t="s">
        <v>3901</v>
      </c>
      <c r="FM198" s="945" t="s">
        <v>3924</v>
      </c>
      <c r="FN198" s="710"/>
      <c r="FO198" s="710"/>
      <c r="FP198" s="945"/>
    </row>
    <row r="199" spans="2:172" ht="104" customHeight="1">
      <c r="B199" s="850" t="s">
        <v>5313</v>
      </c>
      <c r="C199" s="863"/>
      <c r="D199" s="850" t="s">
        <v>4934</v>
      </c>
      <c r="E199" s="850" t="s">
        <v>5314</v>
      </c>
      <c r="F199" s="863"/>
      <c r="H199" s="850" t="s">
        <v>4934</v>
      </c>
      <c r="I199" s="850" t="s">
        <v>5520</v>
      </c>
      <c r="J199" s="850" t="s">
        <v>5461</v>
      </c>
      <c r="K199" s="710" t="s">
        <v>267</v>
      </c>
      <c r="L199" s="710" t="s">
        <v>3636</v>
      </c>
      <c r="M199" s="710" t="s">
        <v>3646</v>
      </c>
      <c r="N199" s="710"/>
      <c r="O199" s="895">
        <v>2018</v>
      </c>
      <c r="P199" s="896">
        <v>43556</v>
      </c>
      <c r="Q199" s="896">
        <v>43738</v>
      </c>
      <c r="R199" s="712">
        <f t="shared" si="65"/>
        <v>182</v>
      </c>
      <c r="S199" s="896"/>
      <c r="T199" s="896"/>
      <c r="U199" s="896"/>
      <c r="V199" s="896"/>
      <c r="W199" s="896"/>
      <c r="X199" s="896"/>
      <c r="Y199" s="896"/>
      <c r="Z199" s="896"/>
      <c r="AA199" s="896"/>
      <c r="AB199" s="710" t="s">
        <v>3670</v>
      </c>
      <c r="AC199" s="945"/>
      <c r="AD199" s="710" t="s">
        <v>3716</v>
      </c>
      <c r="AE199" s="710" t="s">
        <v>3716</v>
      </c>
      <c r="AF199" s="710"/>
      <c r="AG199" s="710" t="s">
        <v>3716</v>
      </c>
      <c r="AH199" s="898">
        <v>0.01</v>
      </c>
      <c r="AI199" s="868">
        <f t="shared" si="47"/>
        <v>0.01</v>
      </c>
      <c r="AJ199" s="867">
        <f t="shared" si="48"/>
        <v>0</v>
      </c>
      <c r="AK199" s="898"/>
      <c r="AL199" s="898"/>
      <c r="AM199" s="898"/>
      <c r="AN199" s="869">
        <f t="shared" si="49"/>
        <v>0</v>
      </c>
      <c r="AO199" s="869">
        <f t="shared" si="50"/>
        <v>0</v>
      </c>
      <c r="AP199" s="898"/>
      <c r="AQ199" s="899"/>
      <c r="AR199" s="899">
        <v>2E-3</v>
      </c>
      <c r="AS199" s="869">
        <f t="shared" si="51"/>
        <v>0</v>
      </c>
      <c r="AT199" s="869">
        <f t="shared" si="52"/>
        <v>0</v>
      </c>
      <c r="AU199" s="942">
        <v>0.01</v>
      </c>
      <c r="AV199" s="899">
        <v>1</v>
      </c>
      <c r="AW199" s="869">
        <f t="shared" si="53"/>
        <v>1</v>
      </c>
      <c r="AX199" s="869">
        <f t="shared" si="54"/>
        <v>0</v>
      </c>
      <c r="AY199" s="898">
        <v>0</v>
      </c>
      <c r="AZ199" s="899"/>
      <c r="BA199" s="869">
        <f t="shared" si="55"/>
        <v>0</v>
      </c>
      <c r="BB199" s="869">
        <f t="shared" si="56"/>
        <v>0</v>
      </c>
      <c r="BC199" s="898">
        <v>0</v>
      </c>
      <c r="BD199" s="899"/>
      <c r="BE199" s="869">
        <f t="shared" si="57"/>
        <v>0</v>
      </c>
      <c r="BF199" s="869">
        <f t="shared" si="58"/>
        <v>0</v>
      </c>
      <c r="BG199" s="899"/>
      <c r="BH199" s="899"/>
      <c r="BI199" s="899"/>
      <c r="BJ199" s="899"/>
      <c r="BK199" s="899"/>
      <c r="BL199" s="714">
        <f t="shared" si="59"/>
        <v>0</v>
      </c>
      <c r="BM199" s="869">
        <f t="shared" si="60"/>
        <v>0</v>
      </c>
      <c r="BN199" s="898">
        <v>0</v>
      </c>
      <c r="BO199" s="899"/>
      <c r="BP199" s="869">
        <f t="shared" si="61"/>
        <v>0</v>
      </c>
      <c r="BQ199" s="869">
        <f t="shared" si="62"/>
        <v>0</v>
      </c>
      <c r="BR199" s="899"/>
      <c r="BS199" s="899"/>
      <c r="BT199" s="898">
        <v>0.01</v>
      </c>
      <c r="BU199" s="899">
        <v>2E-3</v>
      </c>
      <c r="BV199" s="901">
        <v>2</v>
      </c>
      <c r="BW199" s="901">
        <v>2</v>
      </c>
      <c r="BX199" s="901">
        <v>1</v>
      </c>
      <c r="BY199" s="901"/>
      <c r="BZ199" s="901"/>
      <c r="CA199" s="901"/>
      <c r="CB199" s="901"/>
      <c r="CC199" s="901"/>
      <c r="CD199" s="901">
        <v>1</v>
      </c>
      <c r="CE199" s="901"/>
      <c r="CF199" s="901"/>
      <c r="CG199" s="901"/>
      <c r="CH199" s="901"/>
      <c r="CI199" s="901"/>
      <c r="CJ199" s="901"/>
      <c r="CK199" s="901"/>
      <c r="CL199" s="901"/>
      <c r="CM199" s="901"/>
      <c r="CN199" s="901"/>
      <c r="CO199" s="901"/>
      <c r="CP199" s="901"/>
      <c r="CQ199" s="901"/>
      <c r="CR199" s="901"/>
      <c r="CS199" s="902">
        <f t="shared" si="67"/>
        <v>1</v>
      </c>
      <c r="CT199" s="871">
        <f t="shared" si="63"/>
        <v>1</v>
      </c>
      <c r="CU199" s="871">
        <f t="shared" si="64"/>
        <v>0</v>
      </c>
      <c r="CV199" s="942">
        <v>0.2</v>
      </c>
      <c r="CW199" s="710"/>
      <c r="CX199" s="710"/>
      <c r="CY199" s="710"/>
      <c r="CZ199" s="710"/>
      <c r="DA199" s="710">
        <v>25</v>
      </c>
      <c r="DB199" s="899"/>
      <c r="DC199" s="710" t="s">
        <v>279</v>
      </c>
      <c r="DD199" s="710"/>
      <c r="DE199" s="710"/>
      <c r="DF199" s="901"/>
      <c r="DG199" s="901"/>
      <c r="DH199" s="901">
        <v>2</v>
      </c>
      <c r="DI199" s="710" t="s">
        <v>279</v>
      </c>
      <c r="DJ199" s="710"/>
      <c r="DK199" s="901"/>
      <c r="DL199" s="710" t="s">
        <v>278</v>
      </c>
      <c r="DM199" s="710" t="s">
        <v>551</v>
      </c>
      <c r="DN199" s="901">
        <v>5</v>
      </c>
      <c r="DO199" s="710" t="s">
        <v>279</v>
      </c>
      <c r="DP199" s="710"/>
      <c r="DQ199" s="901"/>
      <c r="DR199" s="710" t="s">
        <v>279</v>
      </c>
      <c r="DS199" s="710"/>
      <c r="DT199" s="901"/>
      <c r="DU199" s="710" t="s">
        <v>279</v>
      </c>
      <c r="DV199" s="710"/>
      <c r="DW199" s="901"/>
      <c r="DX199" s="710" t="s">
        <v>279</v>
      </c>
      <c r="DY199" s="710"/>
      <c r="DZ199" s="901"/>
      <c r="EA199" s="710" t="s">
        <v>279</v>
      </c>
      <c r="EB199" s="710"/>
      <c r="EC199" s="901"/>
      <c r="ED199" s="710" t="s">
        <v>278</v>
      </c>
      <c r="EE199" s="710" t="s">
        <v>551</v>
      </c>
      <c r="EF199" s="901">
        <v>5</v>
      </c>
      <c r="EG199" s="710" t="s">
        <v>279</v>
      </c>
      <c r="EH199" s="710"/>
      <c r="EI199" s="901"/>
      <c r="EJ199" s="710" t="s">
        <v>279</v>
      </c>
      <c r="EK199" s="710"/>
      <c r="EL199" s="901"/>
      <c r="EM199" s="710" t="s">
        <v>279</v>
      </c>
      <c r="EN199" s="901"/>
      <c r="EO199" s="901"/>
      <c r="EP199" s="710" t="s">
        <v>279</v>
      </c>
      <c r="EQ199" s="710"/>
      <c r="ER199" s="901"/>
      <c r="ES199" s="710" t="s">
        <v>279</v>
      </c>
      <c r="ET199" s="710"/>
      <c r="EU199" s="901"/>
      <c r="EV199" s="901"/>
      <c r="EW199" s="901"/>
      <c r="EX199" s="901"/>
      <c r="EY199" s="710" t="s">
        <v>279</v>
      </c>
      <c r="EZ199" s="710"/>
      <c r="FA199" s="710" t="s">
        <v>279</v>
      </c>
      <c r="FB199" s="710"/>
      <c r="FC199" s="945" t="s">
        <v>3811</v>
      </c>
      <c r="FD199" s="710"/>
      <c r="FE199" s="710"/>
      <c r="FF199" s="710"/>
      <c r="FG199" s="710"/>
      <c r="FH199" s="710" t="s">
        <v>410</v>
      </c>
      <c r="FI199" s="710"/>
      <c r="FJ199" s="710"/>
      <c r="FK199" s="710" t="s">
        <v>3879</v>
      </c>
      <c r="FL199" s="710" t="s">
        <v>3902</v>
      </c>
      <c r="FM199" s="945" t="s">
        <v>3925</v>
      </c>
      <c r="FN199" s="710"/>
      <c r="FO199" s="710"/>
      <c r="FP199" s="984"/>
    </row>
    <row r="200" spans="2:172" ht="87.5" customHeight="1">
      <c r="B200" s="850" t="s">
        <v>5313</v>
      </c>
      <c r="C200" s="863"/>
      <c r="D200" s="850" t="s">
        <v>4934</v>
      </c>
      <c r="E200" s="850" t="s">
        <v>5314</v>
      </c>
      <c r="F200" s="863"/>
      <c r="H200" s="850" t="s">
        <v>4934</v>
      </c>
      <c r="I200" s="850" t="s">
        <v>5520</v>
      </c>
      <c r="J200" s="850" t="s">
        <v>5461</v>
      </c>
      <c r="K200" s="710" t="s">
        <v>267</v>
      </c>
      <c r="L200" s="710" t="s">
        <v>3637</v>
      </c>
      <c r="M200" s="710" t="s">
        <v>3649</v>
      </c>
      <c r="N200" s="710" t="s">
        <v>2931</v>
      </c>
      <c r="O200" s="895">
        <v>2016</v>
      </c>
      <c r="P200" s="1014">
        <v>43738</v>
      </c>
      <c r="Q200" s="896">
        <v>43830</v>
      </c>
      <c r="R200" s="712">
        <f t="shared" si="65"/>
        <v>92</v>
      </c>
      <c r="S200" s="1014"/>
      <c r="T200" s="1014"/>
      <c r="U200" s="1014"/>
      <c r="V200" s="1014"/>
      <c r="W200" s="1014"/>
      <c r="X200" s="1014"/>
      <c r="Y200" s="1014"/>
      <c r="Z200" s="1014"/>
      <c r="AA200" s="1014"/>
      <c r="AB200" s="710" t="s">
        <v>3671</v>
      </c>
      <c r="AC200" s="980" t="s">
        <v>3693</v>
      </c>
      <c r="AD200" s="710" t="s">
        <v>3717</v>
      </c>
      <c r="AE200" s="710" t="s">
        <v>3717</v>
      </c>
      <c r="AF200" s="710" t="s">
        <v>3742</v>
      </c>
      <c r="AG200" s="710" t="s">
        <v>3758</v>
      </c>
      <c r="AH200" s="898">
        <v>0.5</v>
      </c>
      <c r="AI200" s="868">
        <f t="shared" si="47"/>
        <v>0.5</v>
      </c>
      <c r="AJ200" s="867">
        <f t="shared" si="48"/>
        <v>0</v>
      </c>
      <c r="AK200" s="898"/>
      <c r="AL200" s="898"/>
      <c r="AM200" s="898"/>
      <c r="AN200" s="869">
        <f t="shared" si="49"/>
        <v>0</v>
      </c>
      <c r="AO200" s="869">
        <f t="shared" si="50"/>
        <v>0</v>
      </c>
      <c r="AP200" s="898"/>
      <c r="AQ200" s="899"/>
      <c r="AR200" s="899">
        <v>1.15E-2</v>
      </c>
      <c r="AS200" s="869">
        <f t="shared" si="51"/>
        <v>0</v>
      </c>
      <c r="AT200" s="869">
        <f t="shared" si="52"/>
        <v>0</v>
      </c>
      <c r="AU200" s="942">
        <v>0.5</v>
      </c>
      <c r="AV200" s="899">
        <v>1</v>
      </c>
      <c r="AW200" s="869">
        <f t="shared" si="53"/>
        <v>1</v>
      </c>
      <c r="AX200" s="869">
        <f t="shared" si="54"/>
        <v>0</v>
      </c>
      <c r="AY200" s="898">
        <v>0</v>
      </c>
      <c r="AZ200" s="899">
        <v>0</v>
      </c>
      <c r="BA200" s="869">
        <f t="shared" si="55"/>
        <v>0</v>
      </c>
      <c r="BB200" s="869">
        <f t="shared" si="56"/>
        <v>0</v>
      </c>
      <c r="BC200" s="898">
        <v>0</v>
      </c>
      <c r="BD200" s="899"/>
      <c r="BE200" s="869">
        <f t="shared" si="57"/>
        <v>0</v>
      </c>
      <c r="BF200" s="869">
        <f t="shared" si="58"/>
        <v>0</v>
      </c>
      <c r="BG200" s="899"/>
      <c r="BH200" s="899"/>
      <c r="BI200" s="899"/>
      <c r="BJ200" s="899"/>
      <c r="BK200" s="899"/>
      <c r="BL200" s="714">
        <f t="shared" si="59"/>
        <v>0</v>
      </c>
      <c r="BM200" s="869">
        <f t="shared" si="60"/>
        <v>0</v>
      </c>
      <c r="BN200" s="898">
        <v>0</v>
      </c>
      <c r="BO200" s="899"/>
      <c r="BP200" s="869">
        <f t="shared" si="61"/>
        <v>0</v>
      </c>
      <c r="BQ200" s="869">
        <f t="shared" si="62"/>
        <v>0</v>
      </c>
      <c r="BR200" s="899"/>
      <c r="BS200" s="899"/>
      <c r="BT200" s="898">
        <v>0.5</v>
      </c>
      <c r="BU200" s="899">
        <v>1.14E-2</v>
      </c>
      <c r="BV200" s="901">
        <v>4</v>
      </c>
      <c r="BW200" s="901">
        <v>1</v>
      </c>
      <c r="BX200" s="901">
        <v>1</v>
      </c>
      <c r="BY200" s="901"/>
      <c r="BZ200" s="901"/>
      <c r="CA200" s="901"/>
      <c r="CB200" s="901"/>
      <c r="CC200" s="901"/>
      <c r="CD200" s="901"/>
      <c r="CE200" s="901"/>
      <c r="CF200" s="901"/>
      <c r="CG200" s="901"/>
      <c r="CH200" s="901"/>
      <c r="CI200" s="901">
        <v>1</v>
      </c>
      <c r="CJ200" s="901"/>
      <c r="CK200" s="901"/>
      <c r="CL200" s="901"/>
      <c r="CM200" s="901"/>
      <c r="CN200" s="901"/>
      <c r="CO200" s="901"/>
      <c r="CP200" s="901"/>
      <c r="CQ200" s="901"/>
      <c r="CR200" s="901"/>
      <c r="CS200" s="902">
        <f t="shared" si="67"/>
        <v>1</v>
      </c>
      <c r="CT200" s="871">
        <f t="shared" si="63"/>
        <v>1</v>
      </c>
      <c r="CU200" s="871">
        <f t="shared" si="64"/>
        <v>0</v>
      </c>
      <c r="CV200" s="942">
        <v>7.1120000000000001</v>
      </c>
      <c r="CW200" s="710"/>
      <c r="CX200" s="710"/>
      <c r="CY200" s="710"/>
      <c r="CZ200" s="710"/>
      <c r="DA200" s="710"/>
      <c r="DB200" s="899"/>
      <c r="DC200" s="710" t="s">
        <v>279</v>
      </c>
      <c r="DD200" s="710"/>
      <c r="DE200" s="710"/>
      <c r="DF200" s="901"/>
      <c r="DG200" s="901"/>
      <c r="DH200" s="901">
        <v>2</v>
      </c>
      <c r="DI200" s="710" t="s">
        <v>279</v>
      </c>
      <c r="DJ200" s="710"/>
      <c r="DK200" s="901"/>
      <c r="DL200" s="710" t="s">
        <v>278</v>
      </c>
      <c r="DM200" s="710" t="s">
        <v>3787</v>
      </c>
      <c r="DN200" s="901">
        <v>20</v>
      </c>
      <c r="DO200" s="710" t="s">
        <v>279</v>
      </c>
      <c r="DP200" s="710"/>
      <c r="DQ200" s="901"/>
      <c r="DR200" s="710" t="s">
        <v>279</v>
      </c>
      <c r="DS200" s="710"/>
      <c r="DT200" s="901"/>
      <c r="DU200" s="710" t="s">
        <v>279</v>
      </c>
      <c r="DV200" s="710"/>
      <c r="DW200" s="901"/>
      <c r="DX200" s="710" t="s">
        <v>279</v>
      </c>
      <c r="DY200" s="710"/>
      <c r="DZ200" s="901"/>
      <c r="EA200" s="710" t="s">
        <v>279</v>
      </c>
      <c r="EB200" s="710"/>
      <c r="EC200" s="901"/>
      <c r="ED200" s="710" t="s">
        <v>278</v>
      </c>
      <c r="EE200" s="710" t="s">
        <v>3798</v>
      </c>
      <c r="EF200" s="901">
        <v>20</v>
      </c>
      <c r="EG200" s="710" t="s">
        <v>279</v>
      </c>
      <c r="EH200" s="710"/>
      <c r="EI200" s="901"/>
      <c r="EJ200" s="710" t="s">
        <v>279</v>
      </c>
      <c r="EK200" s="710"/>
      <c r="EL200" s="901"/>
      <c r="EM200" s="710" t="s">
        <v>279</v>
      </c>
      <c r="EN200" s="710"/>
      <c r="EO200" s="901"/>
      <c r="EP200" s="710" t="s">
        <v>279</v>
      </c>
      <c r="EQ200" s="710"/>
      <c r="ER200" s="901"/>
      <c r="ES200" s="710" t="s">
        <v>279</v>
      </c>
      <c r="ET200" s="710"/>
      <c r="EU200" s="901"/>
      <c r="EV200" s="901"/>
      <c r="EW200" s="901"/>
      <c r="EX200" s="901"/>
      <c r="EY200" s="710" t="s">
        <v>279</v>
      </c>
      <c r="EZ200" s="710"/>
      <c r="FA200" s="710" t="s">
        <v>279</v>
      </c>
      <c r="FB200" s="710"/>
      <c r="FC200" s="1019" t="s">
        <v>3822</v>
      </c>
      <c r="FD200" s="710"/>
      <c r="FE200" s="710"/>
      <c r="FF200" s="710" t="s">
        <v>3842</v>
      </c>
      <c r="FG200" s="710"/>
      <c r="FH200" s="710"/>
      <c r="FI200" s="710"/>
      <c r="FJ200" s="710"/>
      <c r="FK200" s="710" t="s">
        <v>3880</v>
      </c>
      <c r="FL200" s="710" t="s">
        <v>3903</v>
      </c>
      <c r="FM200" s="710"/>
      <c r="FN200" s="710"/>
      <c r="FO200" s="710"/>
      <c r="FP200" s="710"/>
    </row>
    <row r="201" spans="2:172" ht="120.5" customHeight="1">
      <c r="B201" s="850" t="s">
        <v>5313</v>
      </c>
      <c r="C201" s="863"/>
      <c r="D201" s="850" t="s">
        <v>4934</v>
      </c>
      <c r="E201" s="850" t="s">
        <v>5314</v>
      </c>
      <c r="F201" s="863"/>
      <c r="H201" s="850" t="s">
        <v>4934</v>
      </c>
      <c r="I201" s="850" t="s">
        <v>5520</v>
      </c>
      <c r="J201" s="850" t="s">
        <v>5461</v>
      </c>
      <c r="K201" s="710" t="s">
        <v>267</v>
      </c>
      <c r="L201" s="710" t="s">
        <v>3638</v>
      </c>
      <c r="M201" s="710" t="s">
        <v>626</v>
      </c>
      <c r="N201" s="710"/>
      <c r="O201" s="895">
        <v>2017</v>
      </c>
      <c r="P201" s="896">
        <v>43617</v>
      </c>
      <c r="Q201" s="896">
        <v>43738</v>
      </c>
      <c r="R201" s="712">
        <f t="shared" si="65"/>
        <v>121</v>
      </c>
      <c r="S201" s="896"/>
      <c r="T201" s="896"/>
      <c r="U201" s="896"/>
      <c r="V201" s="896"/>
      <c r="W201" s="896"/>
      <c r="X201" s="896"/>
      <c r="Y201" s="896"/>
      <c r="Z201" s="896"/>
      <c r="AA201" s="896"/>
      <c r="AB201" s="710" t="s">
        <v>3672</v>
      </c>
      <c r="AC201" s="940" t="s">
        <v>3694</v>
      </c>
      <c r="AD201" s="710" t="s">
        <v>3718</v>
      </c>
      <c r="AE201" s="710" t="s">
        <v>3733</v>
      </c>
      <c r="AF201" s="710" t="s">
        <v>3743</v>
      </c>
      <c r="AG201" s="710" t="s">
        <v>3759</v>
      </c>
      <c r="AH201" s="898">
        <v>0.5</v>
      </c>
      <c r="AI201" s="868">
        <f t="shared" ref="AI201:AI263" si="68">AK201+AU201+AY201+BC201+BG201+AP201+BN201</f>
        <v>0.5</v>
      </c>
      <c r="AJ201" s="867">
        <f t="shared" si="48"/>
        <v>0</v>
      </c>
      <c r="AK201" s="898"/>
      <c r="AL201" s="898"/>
      <c r="AM201" s="898"/>
      <c r="AN201" s="869">
        <f t="shared" si="49"/>
        <v>0</v>
      </c>
      <c r="AO201" s="869">
        <f t="shared" si="50"/>
        <v>0</v>
      </c>
      <c r="AP201" s="898"/>
      <c r="AQ201" s="899"/>
      <c r="AR201" s="899">
        <v>5.9999999999999995E-4</v>
      </c>
      <c r="AS201" s="869">
        <f t="shared" si="51"/>
        <v>0</v>
      </c>
      <c r="AT201" s="869">
        <f t="shared" si="52"/>
        <v>0</v>
      </c>
      <c r="AU201" s="942">
        <v>0.5</v>
      </c>
      <c r="AV201" s="899">
        <v>1</v>
      </c>
      <c r="AW201" s="869">
        <f t="shared" si="53"/>
        <v>1</v>
      </c>
      <c r="AX201" s="869">
        <f t="shared" si="54"/>
        <v>0</v>
      </c>
      <c r="AY201" s="898">
        <v>0</v>
      </c>
      <c r="AZ201" s="899">
        <v>0</v>
      </c>
      <c r="BA201" s="869">
        <f t="shared" si="55"/>
        <v>0</v>
      </c>
      <c r="BB201" s="869">
        <f t="shared" si="56"/>
        <v>0</v>
      </c>
      <c r="BC201" s="898">
        <v>0</v>
      </c>
      <c r="BD201" s="899">
        <v>0</v>
      </c>
      <c r="BE201" s="869">
        <f t="shared" si="57"/>
        <v>0</v>
      </c>
      <c r="BF201" s="869">
        <f t="shared" si="58"/>
        <v>0</v>
      </c>
      <c r="BG201" s="899"/>
      <c r="BH201" s="899"/>
      <c r="BI201" s="899"/>
      <c r="BJ201" s="899"/>
      <c r="BK201" s="899"/>
      <c r="BL201" s="714">
        <f t="shared" si="59"/>
        <v>0</v>
      </c>
      <c r="BM201" s="869">
        <f t="shared" si="60"/>
        <v>0</v>
      </c>
      <c r="BN201" s="898">
        <v>0</v>
      </c>
      <c r="BO201" s="899">
        <v>0</v>
      </c>
      <c r="BP201" s="869">
        <f t="shared" si="61"/>
        <v>0</v>
      </c>
      <c r="BQ201" s="869">
        <f t="shared" si="62"/>
        <v>0</v>
      </c>
      <c r="BR201" s="899"/>
      <c r="BS201" s="899"/>
      <c r="BT201" s="898">
        <v>0.5</v>
      </c>
      <c r="BU201" s="899">
        <v>6.9999999999999999E-4</v>
      </c>
      <c r="BV201" s="901">
        <v>1</v>
      </c>
      <c r="BW201" s="901">
        <v>1</v>
      </c>
      <c r="BX201" s="901">
        <v>1</v>
      </c>
      <c r="BY201" s="901"/>
      <c r="BZ201" s="901"/>
      <c r="CA201" s="901" t="s">
        <v>410</v>
      </c>
      <c r="CB201" s="901" t="s">
        <v>410</v>
      </c>
      <c r="CC201" s="901" t="s">
        <v>410</v>
      </c>
      <c r="CD201" s="901" t="s">
        <v>410</v>
      </c>
      <c r="CE201" s="901">
        <v>1</v>
      </c>
      <c r="CF201" s="901" t="s">
        <v>410</v>
      </c>
      <c r="CG201" s="901" t="s">
        <v>410</v>
      </c>
      <c r="CH201" s="901" t="s">
        <v>410</v>
      </c>
      <c r="CI201" s="901" t="s">
        <v>410</v>
      </c>
      <c r="CJ201" s="901" t="s">
        <v>410</v>
      </c>
      <c r="CK201" s="901" t="s">
        <v>410</v>
      </c>
      <c r="CL201" s="901" t="s">
        <v>410</v>
      </c>
      <c r="CM201" s="901" t="s">
        <v>410</v>
      </c>
      <c r="CN201" s="901" t="s">
        <v>410</v>
      </c>
      <c r="CO201" s="901" t="s">
        <v>410</v>
      </c>
      <c r="CP201" s="901" t="s">
        <v>410</v>
      </c>
      <c r="CQ201" s="901" t="s">
        <v>410</v>
      </c>
      <c r="CR201" s="901" t="s">
        <v>410</v>
      </c>
      <c r="CS201" s="902">
        <f t="shared" si="67"/>
        <v>1</v>
      </c>
      <c r="CT201" s="871">
        <f t="shared" si="63"/>
        <v>1</v>
      </c>
      <c r="CU201" s="871">
        <f t="shared" si="64"/>
        <v>0</v>
      </c>
      <c r="CV201" s="942">
        <v>1.4</v>
      </c>
      <c r="CW201" s="710" t="s">
        <v>410</v>
      </c>
      <c r="CX201" s="710" t="s">
        <v>410</v>
      </c>
      <c r="CY201" s="710"/>
      <c r="CZ201" s="710"/>
      <c r="DA201" s="710">
        <v>0.1</v>
      </c>
      <c r="DB201" s="940" t="s">
        <v>3776</v>
      </c>
      <c r="DC201" s="710" t="s">
        <v>279</v>
      </c>
      <c r="DD201" s="710" t="s">
        <v>410</v>
      </c>
      <c r="DE201" s="710" t="s">
        <v>410</v>
      </c>
      <c r="DF201" s="901" t="s">
        <v>410</v>
      </c>
      <c r="DG201" s="901" t="s">
        <v>410</v>
      </c>
      <c r="DH201" s="901">
        <v>11</v>
      </c>
      <c r="DI201" s="710" t="s">
        <v>279</v>
      </c>
      <c r="DJ201" s="710" t="s">
        <v>410</v>
      </c>
      <c r="DK201" s="901" t="s">
        <v>410</v>
      </c>
      <c r="DL201" s="710" t="s">
        <v>279</v>
      </c>
      <c r="DM201" s="710" t="s">
        <v>410</v>
      </c>
      <c r="DN201" s="901" t="s">
        <v>410</v>
      </c>
      <c r="DO201" s="710" t="s">
        <v>279</v>
      </c>
      <c r="DP201" s="710" t="s">
        <v>410</v>
      </c>
      <c r="DQ201" s="901" t="s">
        <v>410</v>
      </c>
      <c r="DR201" s="710" t="s">
        <v>279</v>
      </c>
      <c r="DS201" s="710" t="s">
        <v>410</v>
      </c>
      <c r="DT201" s="901" t="s">
        <v>410</v>
      </c>
      <c r="DU201" s="710" t="s">
        <v>278</v>
      </c>
      <c r="DV201" s="710" t="s">
        <v>3792</v>
      </c>
      <c r="DW201" s="901">
        <v>4</v>
      </c>
      <c r="DX201" s="710" t="s">
        <v>279</v>
      </c>
      <c r="DY201" s="710" t="s">
        <v>410</v>
      </c>
      <c r="DZ201" s="901" t="s">
        <v>410</v>
      </c>
      <c r="EA201" s="710" t="s">
        <v>279</v>
      </c>
      <c r="EB201" s="710" t="s">
        <v>410</v>
      </c>
      <c r="EC201" s="901" t="s">
        <v>410</v>
      </c>
      <c r="ED201" s="710" t="s">
        <v>279</v>
      </c>
      <c r="EE201" s="710" t="s">
        <v>410</v>
      </c>
      <c r="EF201" s="901" t="s">
        <v>410</v>
      </c>
      <c r="EG201" s="710" t="s">
        <v>279</v>
      </c>
      <c r="EH201" s="710" t="s">
        <v>410</v>
      </c>
      <c r="EI201" s="901" t="s">
        <v>410</v>
      </c>
      <c r="EJ201" s="710" t="s">
        <v>278</v>
      </c>
      <c r="EK201" s="710" t="s">
        <v>3802</v>
      </c>
      <c r="EL201" s="901">
        <v>6</v>
      </c>
      <c r="EM201" s="710" t="s">
        <v>279</v>
      </c>
      <c r="EN201" s="710"/>
      <c r="EO201" s="901"/>
      <c r="EP201" s="710" t="s">
        <v>279</v>
      </c>
      <c r="EQ201" s="710"/>
      <c r="ER201" s="901"/>
      <c r="ES201" s="710" t="s">
        <v>279</v>
      </c>
      <c r="ET201" s="710"/>
      <c r="EU201" s="901"/>
      <c r="EV201" s="901"/>
      <c r="EW201" s="901"/>
      <c r="EX201" s="901"/>
      <c r="EY201" s="710" t="s">
        <v>278</v>
      </c>
      <c r="EZ201" s="964" t="s">
        <v>3806</v>
      </c>
      <c r="FA201" s="710" t="s">
        <v>279</v>
      </c>
      <c r="FB201" s="710" t="s">
        <v>410</v>
      </c>
      <c r="FC201" s="710" t="s">
        <v>410</v>
      </c>
      <c r="FD201" s="710" t="s">
        <v>410</v>
      </c>
      <c r="FE201" s="710" t="s">
        <v>410</v>
      </c>
      <c r="FF201" s="710" t="s">
        <v>3843</v>
      </c>
      <c r="FG201" s="710" t="s">
        <v>410</v>
      </c>
      <c r="FH201" s="710" t="s">
        <v>410</v>
      </c>
      <c r="FI201" s="710" t="s">
        <v>410</v>
      </c>
      <c r="FJ201" s="710" t="s">
        <v>410</v>
      </c>
      <c r="FK201" s="710" t="s">
        <v>3881</v>
      </c>
      <c r="FL201" s="710" t="s">
        <v>3904</v>
      </c>
      <c r="FM201" s="861" t="s">
        <v>3926</v>
      </c>
      <c r="FN201" s="710"/>
      <c r="FO201" s="710"/>
      <c r="FP201" s="861"/>
    </row>
    <row r="202" spans="2:172" ht="133" customHeight="1">
      <c r="B202" s="850" t="s">
        <v>5313</v>
      </c>
      <c r="C202" s="863"/>
      <c r="D202" s="850" t="s">
        <v>4934</v>
      </c>
      <c r="E202" s="850" t="s">
        <v>5314</v>
      </c>
      <c r="F202" s="863"/>
      <c r="H202" s="850" t="s">
        <v>4934</v>
      </c>
      <c r="I202" s="850" t="s">
        <v>5520</v>
      </c>
      <c r="J202" s="850" t="s">
        <v>5461</v>
      </c>
      <c r="K202" s="710" t="s">
        <v>267</v>
      </c>
      <c r="L202" s="710" t="s">
        <v>3639</v>
      </c>
      <c r="M202" s="710" t="s">
        <v>3646</v>
      </c>
      <c r="N202" s="710" t="s">
        <v>410</v>
      </c>
      <c r="O202" s="895">
        <v>2016</v>
      </c>
      <c r="P202" s="896">
        <v>43313</v>
      </c>
      <c r="Q202" s="896">
        <v>43739</v>
      </c>
      <c r="R202" s="712">
        <f t="shared" si="65"/>
        <v>426</v>
      </c>
      <c r="S202" s="896"/>
      <c r="T202" s="896"/>
      <c r="U202" s="896"/>
      <c r="V202" s="896"/>
      <c r="W202" s="896"/>
      <c r="X202" s="896"/>
      <c r="Y202" s="896"/>
      <c r="Z202" s="896"/>
      <c r="AA202" s="896"/>
      <c r="AB202" s="710" t="s">
        <v>3673</v>
      </c>
      <c r="AC202" s="861" t="s">
        <v>3695</v>
      </c>
      <c r="AD202" s="710" t="s">
        <v>3719</v>
      </c>
      <c r="AE202" s="710" t="s">
        <v>3719</v>
      </c>
      <c r="AF202" s="710" t="s">
        <v>3734</v>
      </c>
      <c r="AG202" s="710" t="s">
        <v>3760</v>
      </c>
      <c r="AH202" s="898">
        <v>0.97299999999999998</v>
      </c>
      <c r="AI202" s="868">
        <f t="shared" si="68"/>
        <v>0.97299999999999998</v>
      </c>
      <c r="AJ202" s="867">
        <f t="shared" ref="AJ202:AJ264" si="69">AI202-AH202</f>
        <v>0</v>
      </c>
      <c r="AK202" s="898"/>
      <c r="AL202" s="898"/>
      <c r="AM202" s="898"/>
      <c r="AN202" s="869">
        <f t="shared" ref="AN202:AN264" si="70">AK202/AH202</f>
        <v>0</v>
      </c>
      <c r="AO202" s="869">
        <f t="shared" ref="AO202:AO264" si="71">AL202-AN202</f>
        <v>0</v>
      </c>
      <c r="AP202" s="898"/>
      <c r="AQ202" s="899"/>
      <c r="AR202" s="899">
        <v>2E-3</v>
      </c>
      <c r="AS202" s="869">
        <f t="shared" ref="AS202:AS264" si="72">AP202/AH202</f>
        <v>0</v>
      </c>
      <c r="AT202" s="869">
        <f t="shared" ref="AT202:AT264" si="73">AQ202-AS202</f>
        <v>0</v>
      </c>
      <c r="AU202" s="942">
        <v>0.97299999999999998</v>
      </c>
      <c r="AV202" s="899">
        <v>1</v>
      </c>
      <c r="AW202" s="869">
        <f t="shared" ref="AW202:AW264" si="74">AU202/AH202</f>
        <v>1</v>
      </c>
      <c r="AX202" s="869">
        <f t="shared" ref="AX202:AX264" si="75">AV202-AW202</f>
        <v>0</v>
      </c>
      <c r="AY202" s="898">
        <v>0</v>
      </c>
      <c r="AZ202" s="899">
        <v>0</v>
      </c>
      <c r="BA202" s="869">
        <f t="shared" ref="BA202:BA264" si="76">AY202/AH202</f>
        <v>0</v>
      </c>
      <c r="BB202" s="869">
        <f t="shared" ref="BB202:BB264" si="77">AZ202-BA202</f>
        <v>0</v>
      </c>
      <c r="BC202" s="898">
        <v>0</v>
      </c>
      <c r="BD202" s="899">
        <v>0</v>
      </c>
      <c r="BE202" s="869">
        <f t="shared" ref="BE202:BE264" si="78">BC202/AH202</f>
        <v>0</v>
      </c>
      <c r="BF202" s="869">
        <f t="shared" ref="BF202:BF264" si="79">BD202-BE202</f>
        <v>0</v>
      </c>
      <c r="BG202" s="899"/>
      <c r="BH202" s="899"/>
      <c r="BI202" s="899"/>
      <c r="BJ202" s="899"/>
      <c r="BK202" s="899"/>
      <c r="BL202" s="714">
        <f t="shared" ref="BL202:BL264" si="80">BG202/AH202</f>
        <v>0</v>
      </c>
      <c r="BM202" s="869">
        <f t="shared" ref="BM202:BM264" si="81">BH202-BL202</f>
        <v>0</v>
      </c>
      <c r="BN202" s="898">
        <v>0</v>
      </c>
      <c r="BO202" s="899">
        <v>0</v>
      </c>
      <c r="BP202" s="869">
        <f t="shared" ref="BP202:BP264" si="82">BN202/AH202</f>
        <v>0</v>
      </c>
      <c r="BQ202" s="869">
        <f t="shared" ref="BQ202:BQ264" si="83">BO202-BP202</f>
        <v>0</v>
      </c>
      <c r="BR202" s="899"/>
      <c r="BS202" s="899"/>
      <c r="BT202" s="898">
        <v>1</v>
      </c>
      <c r="BU202" s="899">
        <v>2.5000000000000001E-3</v>
      </c>
      <c r="BV202" s="901">
        <v>7</v>
      </c>
      <c r="BW202" s="901">
        <v>7</v>
      </c>
      <c r="BX202" s="901">
        <v>4</v>
      </c>
      <c r="BY202" s="901"/>
      <c r="BZ202" s="901"/>
      <c r="CA202" s="901"/>
      <c r="CB202" s="901"/>
      <c r="CC202" s="901"/>
      <c r="CD202" s="901"/>
      <c r="CE202" s="901">
        <v>4</v>
      </c>
      <c r="CF202" s="901"/>
      <c r="CG202" s="901"/>
      <c r="CH202" s="901"/>
      <c r="CI202" s="901"/>
      <c r="CJ202" s="901"/>
      <c r="CK202" s="901"/>
      <c r="CL202" s="901"/>
      <c r="CM202" s="901"/>
      <c r="CN202" s="901"/>
      <c r="CO202" s="901"/>
      <c r="CP202" s="901"/>
      <c r="CQ202" s="901"/>
      <c r="CR202" s="901"/>
      <c r="CS202" s="902">
        <f t="shared" si="67"/>
        <v>4</v>
      </c>
      <c r="CT202" s="871">
        <f t="shared" ref="CT202:CT250" si="84">SUM(BY202:CR202)</f>
        <v>4</v>
      </c>
      <c r="CU202" s="871">
        <f t="shared" ref="CU202:CU264" si="85">CS202-CT202</f>
        <v>0</v>
      </c>
      <c r="CV202" s="956">
        <v>8.61</v>
      </c>
      <c r="CW202" s="710" t="s">
        <v>3767</v>
      </c>
      <c r="CX202" s="710" t="s">
        <v>410</v>
      </c>
      <c r="CY202" s="710"/>
      <c r="CZ202" s="710"/>
      <c r="DA202" s="954">
        <v>0.25259999999999999</v>
      </c>
      <c r="DB202" s="963" t="s">
        <v>3771</v>
      </c>
      <c r="DC202" s="710" t="s">
        <v>279</v>
      </c>
      <c r="DD202" s="710" t="s">
        <v>410</v>
      </c>
      <c r="DE202" s="710" t="s">
        <v>410</v>
      </c>
      <c r="DF202" s="901" t="s">
        <v>410</v>
      </c>
      <c r="DG202" s="901" t="s">
        <v>410</v>
      </c>
      <c r="DH202" s="901">
        <f>9</f>
        <v>9</v>
      </c>
      <c r="DI202" s="710" t="s">
        <v>279</v>
      </c>
      <c r="DJ202" s="710" t="s">
        <v>410</v>
      </c>
      <c r="DK202" s="901" t="s">
        <v>410</v>
      </c>
      <c r="DL202" s="710" t="s">
        <v>278</v>
      </c>
      <c r="DM202" s="710" t="s">
        <v>3788</v>
      </c>
      <c r="DN202" s="901">
        <f>7+5</f>
        <v>12</v>
      </c>
      <c r="DO202" s="710" t="s">
        <v>279</v>
      </c>
      <c r="DP202" s="710" t="s">
        <v>410</v>
      </c>
      <c r="DQ202" s="901" t="s">
        <v>410</v>
      </c>
      <c r="DR202" s="710" t="s">
        <v>279</v>
      </c>
      <c r="DS202" s="710" t="s">
        <v>410</v>
      </c>
      <c r="DT202" s="901" t="s">
        <v>410</v>
      </c>
      <c r="DU202" s="710" t="s">
        <v>279</v>
      </c>
      <c r="DV202" s="710" t="s">
        <v>410</v>
      </c>
      <c r="DW202" s="901" t="s">
        <v>410</v>
      </c>
      <c r="DX202" s="710" t="s">
        <v>279</v>
      </c>
      <c r="DY202" s="710" t="s">
        <v>410</v>
      </c>
      <c r="DZ202" s="901" t="s">
        <v>410</v>
      </c>
      <c r="EA202" s="710" t="s">
        <v>279</v>
      </c>
      <c r="EB202" s="710" t="s">
        <v>410</v>
      </c>
      <c r="EC202" s="901" t="s">
        <v>410</v>
      </c>
      <c r="ED202" s="710" t="s">
        <v>279</v>
      </c>
      <c r="EE202" s="710" t="s">
        <v>410</v>
      </c>
      <c r="EF202" s="901" t="s">
        <v>410</v>
      </c>
      <c r="EG202" s="710" t="s">
        <v>279</v>
      </c>
      <c r="EH202" s="710" t="s">
        <v>410</v>
      </c>
      <c r="EI202" s="901" t="s">
        <v>410</v>
      </c>
      <c r="EJ202" s="710" t="s">
        <v>392</v>
      </c>
      <c r="EK202" s="710" t="s">
        <v>3803</v>
      </c>
      <c r="EL202" s="901">
        <v>12</v>
      </c>
      <c r="EM202" s="710" t="s">
        <v>279</v>
      </c>
      <c r="EN202" s="710" t="s">
        <v>410</v>
      </c>
      <c r="EO202" s="901" t="s">
        <v>410</v>
      </c>
      <c r="EP202" s="710" t="s">
        <v>279</v>
      </c>
      <c r="EQ202" s="710" t="s">
        <v>410</v>
      </c>
      <c r="ER202" s="901" t="s">
        <v>410</v>
      </c>
      <c r="ES202" s="710" t="s">
        <v>279</v>
      </c>
      <c r="ET202" s="710" t="s">
        <v>410</v>
      </c>
      <c r="EU202" s="901" t="s">
        <v>410</v>
      </c>
      <c r="EV202" s="901"/>
      <c r="EW202" s="901"/>
      <c r="EX202" s="901"/>
      <c r="EY202" s="710" t="s">
        <v>279</v>
      </c>
      <c r="EZ202" s="901" t="s">
        <v>410</v>
      </c>
      <c r="FA202" s="710" t="s">
        <v>279</v>
      </c>
      <c r="FB202" s="710" t="s">
        <v>410</v>
      </c>
      <c r="FC202" s="861" t="s">
        <v>3823</v>
      </c>
      <c r="FD202" s="861" t="s">
        <v>3830</v>
      </c>
      <c r="FE202" s="861" t="s">
        <v>3832</v>
      </c>
      <c r="FF202" s="710" t="s">
        <v>3844</v>
      </c>
      <c r="FG202" s="710" t="s">
        <v>410</v>
      </c>
      <c r="FH202" s="710" t="s">
        <v>3856</v>
      </c>
      <c r="FI202" s="710">
        <v>2</v>
      </c>
      <c r="FJ202" s="710">
        <v>20</v>
      </c>
      <c r="FK202" s="710" t="s">
        <v>3882</v>
      </c>
      <c r="FL202" s="710" t="s">
        <v>3905</v>
      </c>
      <c r="FM202" s="861" t="s">
        <v>3927</v>
      </c>
      <c r="FN202" s="710" t="s">
        <v>410</v>
      </c>
      <c r="FO202" s="710" t="s">
        <v>410</v>
      </c>
      <c r="FP202" s="861" t="s">
        <v>410</v>
      </c>
    </row>
    <row r="203" spans="2:172" ht="110.5" customHeight="1">
      <c r="B203" s="850" t="s">
        <v>5313</v>
      </c>
      <c r="C203" s="863"/>
      <c r="D203" s="850" t="s">
        <v>4934</v>
      </c>
      <c r="E203" s="850" t="s">
        <v>5314</v>
      </c>
      <c r="F203" s="863"/>
      <c r="H203" s="850" t="s">
        <v>4934</v>
      </c>
      <c r="I203" s="850" t="s">
        <v>5520</v>
      </c>
      <c r="J203" s="850" t="s">
        <v>5461</v>
      </c>
      <c r="K203" s="710" t="s">
        <v>267</v>
      </c>
      <c r="L203" s="710" t="s">
        <v>3640</v>
      </c>
      <c r="M203" s="710" t="s">
        <v>3646</v>
      </c>
      <c r="N203" s="710"/>
      <c r="O203" s="895">
        <v>2019</v>
      </c>
      <c r="P203" s="896">
        <v>43556</v>
      </c>
      <c r="Q203" s="896">
        <v>43738</v>
      </c>
      <c r="R203" s="712">
        <f t="shared" si="65"/>
        <v>182</v>
      </c>
      <c r="S203" s="896"/>
      <c r="T203" s="896"/>
      <c r="U203" s="896"/>
      <c r="V203" s="896"/>
      <c r="W203" s="896"/>
      <c r="X203" s="896"/>
      <c r="Y203" s="896"/>
      <c r="Z203" s="896"/>
      <c r="AA203" s="896"/>
      <c r="AB203" s="710" t="s">
        <v>3674</v>
      </c>
      <c r="AC203" s="945"/>
      <c r="AD203" s="710" t="s">
        <v>3720</v>
      </c>
      <c r="AE203" s="710" t="s">
        <v>3720</v>
      </c>
      <c r="AF203" s="710"/>
      <c r="AG203" s="710" t="s">
        <v>3720</v>
      </c>
      <c r="AH203" s="898">
        <v>2.5000000000000001E-2</v>
      </c>
      <c r="AI203" s="868">
        <f t="shared" si="68"/>
        <v>2.5000000000000001E-2</v>
      </c>
      <c r="AJ203" s="867">
        <f t="shared" si="69"/>
        <v>0</v>
      </c>
      <c r="AK203" s="898"/>
      <c r="AL203" s="898"/>
      <c r="AM203" s="898"/>
      <c r="AN203" s="869">
        <f t="shared" si="70"/>
        <v>0</v>
      </c>
      <c r="AO203" s="869">
        <f t="shared" si="71"/>
        <v>0</v>
      </c>
      <c r="AP203" s="898"/>
      <c r="AQ203" s="899"/>
      <c r="AR203" s="899">
        <v>3.0000000000000001E-3</v>
      </c>
      <c r="AS203" s="869">
        <f t="shared" si="72"/>
        <v>0</v>
      </c>
      <c r="AT203" s="869">
        <f t="shared" si="73"/>
        <v>0</v>
      </c>
      <c r="AU203" s="942">
        <v>2.5000000000000001E-2</v>
      </c>
      <c r="AV203" s="899">
        <v>1</v>
      </c>
      <c r="AW203" s="869">
        <f t="shared" si="74"/>
        <v>1</v>
      </c>
      <c r="AX203" s="869">
        <f t="shared" si="75"/>
        <v>0</v>
      </c>
      <c r="AY203" s="898">
        <v>0</v>
      </c>
      <c r="AZ203" s="899"/>
      <c r="BA203" s="869">
        <f t="shared" si="76"/>
        <v>0</v>
      </c>
      <c r="BB203" s="869">
        <f t="shared" si="77"/>
        <v>0</v>
      </c>
      <c r="BC203" s="898">
        <v>0</v>
      </c>
      <c r="BD203" s="899"/>
      <c r="BE203" s="869">
        <f t="shared" si="78"/>
        <v>0</v>
      </c>
      <c r="BF203" s="869">
        <f t="shared" si="79"/>
        <v>0</v>
      </c>
      <c r="BG203" s="899"/>
      <c r="BH203" s="899"/>
      <c r="BI203" s="899"/>
      <c r="BJ203" s="899"/>
      <c r="BK203" s="899"/>
      <c r="BL203" s="714">
        <f t="shared" si="80"/>
        <v>0</v>
      </c>
      <c r="BM203" s="869">
        <f t="shared" si="81"/>
        <v>0</v>
      </c>
      <c r="BN203" s="898"/>
      <c r="BO203" s="899"/>
      <c r="BP203" s="869">
        <f t="shared" si="82"/>
        <v>0</v>
      </c>
      <c r="BQ203" s="869">
        <f t="shared" si="83"/>
        <v>0</v>
      </c>
      <c r="BR203" s="899"/>
      <c r="BS203" s="899"/>
      <c r="BT203" s="898">
        <v>2.5000000000000001E-2</v>
      </c>
      <c r="BU203" s="899">
        <v>3.0000000000000001E-3</v>
      </c>
      <c r="BV203" s="901">
        <v>2</v>
      </c>
      <c r="BW203" s="901">
        <v>2</v>
      </c>
      <c r="BX203" s="901">
        <v>1</v>
      </c>
      <c r="BY203" s="901"/>
      <c r="BZ203" s="901"/>
      <c r="CA203" s="901"/>
      <c r="CB203" s="901"/>
      <c r="CC203" s="901"/>
      <c r="CD203" s="901"/>
      <c r="CE203" s="901"/>
      <c r="CF203" s="901"/>
      <c r="CG203" s="901"/>
      <c r="CH203" s="901"/>
      <c r="CI203" s="901"/>
      <c r="CJ203" s="901">
        <v>1</v>
      </c>
      <c r="CK203" s="901"/>
      <c r="CL203" s="901"/>
      <c r="CM203" s="901"/>
      <c r="CN203" s="901"/>
      <c r="CO203" s="901"/>
      <c r="CP203" s="901"/>
      <c r="CQ203" s="901"/>
      <c r="CR203" s="901"/>
      <c r="CS203" s="902">
        <f t="shared" si="67"/>
        <v>1</v>
      </c>
      <c r="CT203" s="871">
        <f t="shared" si="84"/>
        <v>1</v>
      </c>
      <c r="CU203" s="871">
        <f t="shared" si="85"/>
        <v>0</v>
      </c>
      <c r="CV203" s="942">
        <v>0.9</v>
      </c>
      <c r="CW203" s="710"/>
      <c r="CX203" s="710"/>
      <c r="CY203" s="710"/>
      <c r="CZ203" s="710"/>
      <c r="DA203" s="710">
        <v>38</v>
      </c>
      <c r="DB203" s="899"/>
      <c r="DC203" s="710" t="s">
        <v>279</v>
      </c>
      <c r="DD203" s="710"/>
      <c r="DE203" s="710"/>
      <c r="DF203" s="901"/>
      <c r="DG203" s="901"/>
      <c r="DH203" s="901">
        <v>2</v>
      </c>
      <c r="DI203" s="710" t="s">
        <v>279</v>
      </c>
      <c r="DJ203" s="710"/>
      <c r="DK203" s="901"/>
      <c r="DL203" s="710" t="s">
        <v>278</v>
      </c>
      <c r="DM203" s="710" t="s">
        <v>551</v>
      </c>
      <c r="DN203" s="901">
        <v>5</v>
      </c>
      <c r="DO203" s="710" t="s">
        <v>279</v>
      </c>
      <c r="DP203" s="710"/>
      <c r="DQ203" s="901"/>
      <c r="DR203" s="710" t="s">
        <v>279</v>
      </c>
      <c r="DS203" s="710"/>
      <c r="DT203" s="901"/>
      <c r="DU203" s="710" t="s">
        <v>279</v>
      </c>
      <c r="DV203" s="710"/>
      <c r="DW203" s="901"/>
      <c r="DX203" s="710" t="s">
        <v>279</v>
      </c>
      <c r="DY203" s="710"/>
      <c r="DZ203" s="901"/>
      <c r="EA203" s="710" t="s">
        <v>279</v>
      </c>
      <c r="EB203" s="710"/>
      <c r="EC203" s="901"/>
      <c r="ED203" s="710" t="s">
        <v>278</v>
      </c>
      <c r="EE203" s="710" t="s">
        <v>551</v>
      </c>
      <c r="EF203" s="901">
        <v>5</v>
      </c>
      <c r="EG203" s="710" t="s">
        <v>279</v>
      </c>
      <c r="EH203" s="710"/>
      <c r="EI203" s="901"/>
      <c r="EJ203" s="710" t="s">
        <v>279</v>
      </c>
      <c r="EK203" s="710"/>
      <c r="EL203" s="901"/>
      <c r="EM203" s="710" t="s">
        <v>279</v>
      </c>
      <c r="EN203" s="901"/>
      <c r="EO203" s="901"/>
      <c r="EP203" s="710" t="s">
        <v>279</v>
      </c>
      <c r="EQ203" s="710"/>
      <c r="ER203" s="901"/>
      <c r="ES203" s="710" t="s">
        <v>279</v>
      </c>
      <c r="ET203" s="710"/>
      <c r="EU203" s="901"/>
      <c r="EV203" s="901"/>
      <c r="EW203" s="901"/>
      <c r="EX203" s="901"/>
      <c r="EY203" s="710" t="s">
        <v>279</v>
      </c>
      <c r="EZ203" s="710"/>
      <c r="FA203" s="710" t="s">
        <v>279</v>
      </c>
      <c r="FB203" s="710"/>
      <c r="FC203" s="945" t="s">
        <v>3811</v>
      </c>
      <c r="FD203" s="710"/>
      <c r="FE203" s="710"/>
      <c r="FF203" s="710"/>
      <c r="FG203" s="710"/>
      <c r="FH203" s="710"/>
      <c r="FI203" s="710"/>
      <c r="FJ203" s="710"/>
      <c r="FK203" s="710" t="s">
        <v>3883</v>
      </c>
      <c r="FL203" s="710" t="s">
        <v>3906</v>
      </c>
      <c r="FM203" s="945" t="s">
        <v>3928</v>
      </c>
      <c r="FN203" s="710"/>
      <c r="FO203" s="710"/>
      <c r="FP203" s="984"/>
    </row>
    <row r="204" spans="2:172" ht="105.5" customHeight="1">
      <c r="B204" s="850" t="s">
        <v>5313</v>
      </c>
      <c r="C204" s="863"/>
      <c r="D204" s="850" t="s">
        <v>4934</v>
      </c>
      <c r="E204" s="850" t="s">
        <v>5314</v>
      </c>
      <c r="F204" s="863"/>
      <c r="H204" s="850" t="s">
        <v>4934</v>
      </c>
      <c r="I204" s="850" t="s">
        <v>5520</v>
      </c>
      <c r="J204" s="850" t="s">
        <v>5461</v>
      </c>
      <c r="K204" s="710" t="s">
        <v>267</v>
      </c>
      <c r="L204" s="710" t="s">
        <v>3641</v>
      </c>
      <c r="M204" s="710" t="s">
        <v>3645</v>
      </c>
      <c r="N204" s="710"/>
      <c r="O204" s="895">
        <v>2016</v>
      </c>
      <c r="P204" s="896">
        <v>43282</v>
      </c>
      <c r="Q204" s="896">
        <v>43707</v>
      </c>
      <c r="R204" s="712">
        <f t="shared" si="65"/>
        <v>425</v>
      </c>
      <c r="S204" s="896"/>
      <c r="T204" s="896"/>
      <c r="U204" s="896"/>
      <c r="V204" s="896"/>
      <c r="W204" s="896"/>
      <c r="X204" s="896"/>
      <c r="Y204" s="896"/>
      <c r="Z204" s="896"/>
      <c r="AA204" s="896"/>
      <c r="AB204" s="710" t="s">
        <v>3675</v>
      </c>
      <c r="AC204" s="861" t="s">
        <v>3696</v>
      </c>
      <c r="AD204" s="710" t="s">
        <v>3721</v>
      </c>
      <c r="AE204" s="710" t="s">
        <v>3721</v>
      </c>
      <c r="AF204" s="710" t="s">
        <v>3744</v>
      </c>
      <c r="AG204" s="710" t="s">
        <v>3721</v>
      </c>
      <c r="AH204" s="898">
        <v>0.11899999999999999</v>
      </c>
      <c r="AI204" s="868">
        <f t="shared" si="68"/>
        <v>0.11899999999999999</v>
      </c>
      <c r="AJ204" s="867">
        <f t="shared" si="69"/>
        <v>0</v>
      </c>
      <c r="AK204" s="898"/>
      <c r="AL204" s="898"/>
      <c r="AM204" s="898"/>
      <c r="AN204" s="869">
        <f t="shared" si="70"/>
        <v>0</v>
      </c>
      <c r="AO204" s="869">
        <f t="shared" si="71"/>
        <v>0</v>
      </c>
      <c r="AP204" s="898"/>
      <c r="AQ204" s="899"/>
      <c r="AR204" s="899">
        <v>7.4000000000000003E-3</v>
      </c>
      <c r="AS204" s="869">
        <f t="shared" si="72"/>
        <v>0</v>
      </c>
      <c r="AT204" s="869">
        <f t="shared" si="73"/>
        <v>0</v>
      </c>
      <c r="AU204" s="942">
        <v>0.11899999999999999</v>
      </c>
      <c r="AV204" s="899">
        <v>1</v>
      </c>
      <c r="AW204" s="869">
        <f t="shared" si="74"/>
        <v>1</v>
      </c>
      <c r="AX204" s="869">
        <f t="shared" si="75"/>
        <v>0</v>
      </c>
      <c r="AY204" s="898">
        <v>0</v>
      </c>
      <c r="AZ204" s="899">
        <v>0</v>
      </c>
      <c r="BA204" s="869">
        <f t="shared" si="76"/>
        <v>0</v>
      </c>
      <c r="BB204" s="869">
        <f t="shared" si="77"/>
        <v>0</v>
      </c>
      <c r="BC204" s="898">
        <v>0</v>
      </c>
      <c r="BD204" s="899">
        <v>0</v>
      </c>
      <c r="BE204" s="869">
        <f t="shared" si="78"/>
        <v>0</v>
      </c>
      <c r="BF204" s="869">
        <f t="shared" si="79"/>
        <v>0</v>
      </c>
      <c r="BG204" s="899"/>
      <c r="BH204" s="899"/>
      <c r="BI204" s="899"/>
      <c r="BJ204" s="899"/>
      <c r="BK204" s="899"/>
      <c r="BL204" s="714">
        <f t="shared" si="80"/>
        <v>0</v>
      </c>
      <c r="BM204" s="869">
        <f t="shared" si="81"/>
        <v>0</v>
      </c>
      <c r="BN204" s="898">
        <v>0</v>
      </c>
      <c r="BO204" s="899">
        <v>0</v>
      </c>
      <c r="BP204" s="869">
        <f t="shared" si="82"/>
        <v>0</v>
      </c>
      <c r="BQ204" s="869">
        <f t="shared" si="83"/>
        <v>0</v>
      </c>
      <c r="BR204" s="899"/>
      <c r="BS204" s="899"/>
      <c r="BT204" s="898">
        <v>0.5</v>
      </c>
      <c r="BU204" s="899">
        <v>2.98E-2</v>
      </c>
      <c r="BV204" s="901">
        <v>2</v>
      </c>
      <c r="BW204" s="901">
        <v>2</v>
      </c>
      <c r="BX204" s="901">
        <v>1</v>
      </c>
      <c r="BY204" s="901"/>
      <c r="BZ204" s="901">
        <v>1</v>
      </c>
      <c r="CA204" s="901"/>
      <c r="CB204" s="901"/>
      <c r="CC204" s="901"/>
      <c r="CD204" s="901"/>
      <c r="CE204" s="901"/>
      <c r="CF204" s="901"/>
      <c r="CG204" s="901"/>
      <c r="CH204" s="901"/>
      <c r="CI204" s="901"/>
      <c r="CJ204" s="901"/>
      <c r="CK204" s="901"/>
      <c r="CL204" s="901"/>
      <c r="CM204" s="901"/>
      <c r="CN204" s="901"/>
      <c r="CO204" s="901"/>
      <c r="CP204" s="901"/>
      <c r="CQ204" s="901"/>
      <c r="CR204" s="901"/>
      <c r="CS204" s="902">
        <f t="shared" si="67"/>
        <v>1</v>
      </c>
      <c r="CT204" s="871">
        <f t="shared" si="84"/>
        <v>1</v>
      </c>
      <c r="CU204" s="871">
        <f t="shared" si="85"/>
        <v>0</v>
      </c>
      <c r="CV204" s="956">
        <v>0.59699999999999998</v>
      </c>
      <c r="CW204" s="710" t="s">
        <v>3768</v>
      </c>
      <c r="CX204" s="710"/>
      <c r="CY204" s="710"/>
      <c r="CZ204" s="710"/>
      <c r="DA204" s="1020">
        <v>12.36</v>
      </c>
      <c r="DB204" s="963" t="s">
        <v>3777</v>
      </c>
      <c r="DC204" s="710" t="s">
        <v>279</v>
      </c>
      <c r="DD204" s="710"/>
      <c r="DE204" s="710"/>
      <c r="DF204" s="901"/>
      <c r="DG204" s="901"/>
      <c r="DH204" s="901">
        <v>2</v>
      </c>
      <c r="DI204" s="710" t="s">
        <v>279</v>
      </c>
      <c r="DJ204" s="710"/>
      <c r="DK204" s="901"/>
      <c r="DL204" s="710" t="s">
        <v>579</v>
      </c>
      <c r="DM204" s="710" t="s">
        <v>3789</v>
      </c>
      <c r="DN204" s="901">
        <v>112</v>
      </c>
      <c r="DO204" s="710" t="s">
        <v>279</v>
      </c>
      <c r="DP204" s="710"/>
      <c r="DQ204" s="901"/>
      <c r="DR204" s="710" t="s">
        <v>279</v>
      </c>
      <c r="DS204" s="710"/>
      <c r="DT204" s="901"/>
      <c r="DU204" s="710" t="s">
        <v>279</v>
      </c>
      <c r="DV204" s="710"/>
      <c r="DW204" s="901"/>
      <c r="DX204" s="710" t="s">
        <v>279</v>
      </c>
      <c r="DY204" s="710"/>
      <c r="DZ204" s="901"/>
      <c r="EA204" s="710" t="s">
        <v>279</v>
      </c>
      <c r="EB204" s="710"/>
      <c r="EC204" s="901"/>
      <c r="ED204" s="710" t="s">
        <v>278</v>
      </c>
      <c r="EE204" s="710" t="s">
        <v>3789</v>
      </c>
      <c r="EF204" s="901">
        <v>112</v>
      </c>
      <c r="EG204" s="710" t="s">
        <v>279</v>
      </c>
      <c r="EH204" s="710"/>
      <c r="EI204" s="901"/>
      <c r="EJ204" s="710" t="s">
        <v>279</v>
      </c>
      <c r="EK204" s="710"/>
      <c r="EL204" s="901"/>
      <c r="EM204" s="710" t="s">
        <v>279</v>
      </c>
      <c r="EN204" s="710"/>
      <c r="EO204" s="901"/>
      <c r="EP204" s="710" t="s">
        <v>279</v>
      </c>
      <c r="EQ204" s="710"/>
      <c r="ER204" s="901"/>
      <c r="ES204" s="710" t="s">
        <v>279</v>
      </c>
      <c r="ET204" s="710"/>
      <c r="EU204" s="901"/>
      <c r="EV204" s="901"/>
      <c r="EW204" s="901"/>
      <c r="EX204" s="901"/>
      <c r="EY204" s="710" t="s">
        <v>279</v>
      </c>
      <c r="EZ204" s="710"/>
      <c r="FA204" s="710" t="s">
        <v>279</v>
      </c>
      <c r="FB204" s="710"/>
      <c r="FC204" s="861" t="s">
        <v>3824</v>
      </c>
      <c r="FD204" s="861"/>
      <c r="FE204" s="710"/>
      <c r="FF204" s="710" t="s">
        <v>3845</v>
      </c>
      <c r="FG204" s="710" t="s">
        <v>3847</v>
      </c>
      <c r="FH204" s="710" t="s">
        <v>3857</v>
      </c>
      <c r="FI204" s="710">
        <v>87</v>
      </c>
      <c r="FJ204" s="710" t="s">
        <v>3861</v>
      </c>
      <c r="FK204" s="710" t="s">
        <v>3884</v>
      </c>
      <c r="FL204" s="710" t="s">
        <v>3907</v>
      </c>
      <c r="FM204" s="1021" t="s">
        <v>3929</v>
      </c>
      <c r="FN204" s="710"/>
      <c r="FO204" s="710"/>
      <c r="FP204" s="710"/>
    </row>
    <row r="205" spans="2:172" ht="148.5" customHeight="1">
      <c r="B205" s="850" t="s">
        <v>5313</v>
      </c>
      <c r="C205" s="863"/>
      <c r="D205" s="850" t="s">
        <v>4934</v>
      </c>
      <c r="E205" s="850" t="s">
        <v>5314</v>
      </c>
      <c r="F205" s="863"/>
      <c r="H205" s="850" t="s">
        <v>4934</v>
      </c>
      <c r="I205" s="850" t="s">
        <v>5520</v>
      </c>
      <c r="J205" s="850" t="s">
        <v>5461</v>
      </c>
      <c r="K205" s="710" t="s">
        <v>267</v>
      </c>
      <c r="L205" s="710" t="s">
        <v>3642</v>
      </c>
      <c r="M205" s="710" t="s">
        <v>3650</v>
      </c>
      <c r="N205" s="710"/>
      <c r="O205" s="895">
        <v>2019</v>
      </c>
      <c r="P205" s="896">
        <v>43617</v>
      </c>
      <c r="Q205" s="896">
        <v>43678</v>
      </c>
      <c r="R205" s="712">
        <f t="shared" si="65"/>
        <v>61</v>
      </c>
      <c r="S205" s="896"/>
      <c r="T205" s="896"/>
      <c r="U205" s="896"/>
      <c r="V205" s="896"/>
      <c r="W205" s="896"/>
      <c r="X205" s="896"/>
      <c r="Y205" s="896"/>
      <c r="Z205" s="896"/>
      <c r="AA205" s="896"/>
      <c r="AB205" s="710" t="s">
        <v>3676</v>
      </c>
      <c r="AC205" s="945" t="s">
        <v>3697</v>
      </c>
      <c r="AD205" s="710" t="s">
        <v>3722</v>
      </c>
      <c r="AE205" s="710" t="s">
        <v>3722</v>
      </c>
      <c r="AF205" s="710" t="s">
        <v>3736</v>
      </c>
      <c r="AG205" s="710" t="s">
        <v>3761</v>
      </c>
      <c r="AH205" s="710">
        <v>0.14899999999999999</v>
      </c>
      <c r="AI205" s="868">
        <f t="shared" si="68"/>
        <v>0.14899999999999999</v>
      </c>
      <c r="AJ205" s="867">
        <f t="shared" si="69"/>
        <v>0</v>
      </c>
      <c r="AK205" s="710"/>
      <c r="AL205" s="710"/>
      <c r="AM205" s="710"/>
      <c r="AN205" s="869">
        <f t="shared" si="70"/>
        <v>0</v>
      </c>
      <c r="AO205" s="869">
        <f t="shared" si="71"/>
        <v>0</v>
      </c>
      <c r="AP205" s="710"/>
      <c r="AQ205" s="899"/>
      <c r="AR205" s="899"/>
      <c r="AS205" s="869">
        <f t="shared" si="72"/>
        <v>0</v>
      </c>
      <c r="AT205" s="869">
        <f t="shared" si="73"/>
        <v>0</v>
      </c>
      <c r="AU205" s="942">
        <v>0.14899999999999999</v>
      </c>
      <c r="AV205" s="899">
        <v>1</v>
      </c>
      <c r="AW205" s="869">
        <f t="shared" si="74"/>
        <v>1</v>
      </c>
      <c r="AX205" s="869">
        <f t="shared" si="75"/>
        <v>0</v>
      </c>
      <c r="AY205" s="898">
        <v>0</v>
      </c>
      <c r="AZ205" s="899"/>
      <c r="BA205" s="869">
        <f t="shared" si="76"/>
        <v>0</v>
      </c>
      <c r="BB205" s="869">
        <f t="shared" si="77"/>
        <v>0</v>
      </c>
      <c r="BC205" s="898">
        <v>0</v>
      </c>
      <c r="BD205" s="899"/>
      <c r="BE205" s="869">
        <f t="shared" si="78"/>
        <v>0</v>
      </c>
      <c r="BF205" s="869">
        <f t="shared" si="79"/>
        <v>0</v>
      </c>
      <c r="BG205" s="899"/>
      <c r="BH205" s="899"/>
      <c r="BI205" s="899"/>
      <c r="BJ205" s="899"/>
      <c r="BK205" s="899"/>
      <c r="BL205" s="714">
        <f t="shared" si="80"/>
        <v>0</v>
      </c>
      <c r="BM205" s="869">
        <f t="shared" si="81"/>
        <v>0</v>
      </c>
      <c r="BN205" s="898">
        <v>0</v>
      </c>
      <c r="BO205" s="899"/>
      <c r="BP205" s="869">
        <f t="shared" si="82"/>
        <v>0</v>
      </c>
      <c r="BQ205" s="869">
        <f t="shared" si="83"/>
        <v>0</v>
      </c>
      <c r="BR205" s="899"/>
      <c r="BS205" s="899"/>
      <c r="BT205" s="898">
        <v>0.4</v>
      </c>
      <c r="BU205" s="899">
        <v>0.16</v>
      </c>
      <c r="BV205" s="901">
        <v>7</v>
      </c>
      <c r="BW205" s="901">
        <v>1</v>
      </c>
      <c r="BX205" s="901">
        <v>1</v>
      </c>
      <c r="BY205" s="901"/>
      <c r="BZ205" s="901"/>
      <c r="CA205" s="901">
        <v>1</v>
      </c>
      <c r="CB205" s="901" t="s">
        <v>410</v>
      </c>
      <c r="CC205" s="901" t="s">
        <v>410</v>
      </c>
      <c r="CD205" s="901" t="s">
        <v>410</v>
      </c>
      <c r="CE205" s="901" t="s">
        <v>410</v>
      </c>
      <c r="CF205" s="901" t="s">
        <v>410</v>
      </c>
      <c r="CG205" s="901" t="s">
        <v>410</v>
      </c>
      <c r="CH205" s="901" t="s">
        <v>410</v>
      </c>
      <c r="CI205" s="901" t="s">
        <v>410</v>
      </c>
      <c r="CJ205" s="901" t="s">
        <v>410</v>
      </c>
      <c r="CK205" s="901" t="s">
        <v>410</v>
      </c>
      <c r="CL205" s="901" t="s">
        <v>410</v>
      </c>
      <c r="CM205" s="901" t="s">
        <v>410</v>
      </c>
      <c r="CN205" s="901" t="s">
        <v>410</v>
      </c>
      <c r="CO205" s="901" t="s">
        <v>410</v>
      </c>
      <c r="CP205" s="901" t="s">
        <v>410</v>
      </c>
      <c r="CQ205" s="901" t="s">
        <v>410</v>
      </c>
      <c r="CR205" s="901" t="s">
        <v>410</v>
      </c>
      <c r="CS205" s="902">
        <f t="shared" si="67"/>
        <v>1</v>
      </c>
      <c r="CT205" s="871">
        <f t="shared" si="84"/>
        <v>1</v>
      </c>
      <c r="CU205" s="871">
        <f t="shared" si="85"/>
        <v>0</v>
      </c>
      <c r="CV205" s="942">
        <v>2.35</v>
      </c>
      <c r="CW205" s="710"/>
      <c r="CX205" s="710"/>
      <c r="CY205" s="710"/>
      <c r="CZ205" s="710"/>
      <c r="DA205" s="899">
        <v>0.3</v>
      </c>
      <c r="DB205" s="861"/>
      <c r="DC205" s="710" t="s">
        <v>279</v>
      </c>
      <c r="DD205" s="710" t="s">
        <v>410</v>
      </c>
      <c r="DE205" s="710" t="s">
        <v>410</v>
      </c>
      <c r="DF205" s="901" t="s">
        <v>410</v>
      </c>
      <c r="DG205" s="901" t="s">
        <v>410</v>
      </c>
      <c r="DH205" s="901">
        <v>3</v>
      </c>
      <c r="DI205" s="710" t="s">
        <v>279</v>
      </c>
      <c r="DJ205" s="710" t="s">
        <v>410</v>
      </c>
      <c r="DK205" s="901" t="s">
        <v>410</v>
      </c>
      <c r="DL205" s="710" t="s">
        <v>278</v>
      </c>
      <c r="DM205" s="710" t="s">
        <v>3780</v>
      </c>
      <c r="DN205" s="901">
        <v>7</v>
      </c>
      <c r="DO205" s="710" t="s">
        <v>279</v>
      </c>
      <c r="DP205" s="710" t="s">
        <v>410</v>
      </c>
      <c r="DQ205" s="901" t="s">
        <v>410</v>
      </c>
      <c r="DR205" s="710" t="s">
        <v>279</v>
      </c>
      <c r="DS205" s="710" t="s">
        <v>410</v>
      </c>
      <c r="DT205" s="901" t="s">
        <v>410</v>
      </c>
      <c r="DU205" s="710" t="s">
        <v>279</v>
      </c>
      <c r="DV205" s="710" t="s">
        <v>410</v>
      </c>
      <c r="DW205" s="901" t="s">
        <v>410</v>
      </c>
      <c r="DX205" s="710" t="s">
        <v>279</v>
      </c>
      <c r="DY205" s="710" t="s">
        <v>410</v>
      </c>
      <c r="DZ205" s="901" t="s">
        <v>410</v>
      </c>
      <c r="EA205" s="710" t="s">
        <v>279</v>
      </c>
      <c r="EB205" s="710" t="s">
        <v>410</v>
      </c>
      <c r="EC205" s="901" t="s">
        <v>410</v>
      </c>
      <c r="ED205" s="710" t="s">
        <v>279</v>
      </c>
      <c r="EE205" s="710" t="s">
        <v>410</v>
      </c>
      <c r="EF205" s="901" t="s">
        <v>410</v>
      </c>
      <c r="EG205" s="710" t="s">
        <v>279</v>
      </c>
      <c r="EH205" s="710" t="s">
        <v>410</v>
      </c>
      <c r="EI205" s="901" t="s">
        <v>410</v>
      </c>
      <c r="EJ205" s="710" t="s">
        <v>278</v>
      </c>
      <c r="EK205" s="710" t="s">
        <v>3802</v>
      </c>
      <c r="EL205" s="901">
        <v>6</v>
      </c>
      <c r="EM205" s="710"/>
      <c r="EN205" s="710"/>
      <c r="EO205" s="901"/>
      <c r="EP205" s="710" t="s">
        <v>279</v>
      </c>
      <c r="EQ205" s="710" t="s">
        <v>410</v>
      </c>
      <c r="ER205" s="901" t="s">
        <v>410</v>
      </c>
      <c r="ES205" s="710" t="s">
        <v>279</v>
      </c>
      <c r="ET205" s="710" t="s">
        <v>410</v>
      </c>
      <c r="EU205" s="901" t="s">
        <v>410</v>
      </c>
      <c r="EV205" s="901"/>
      <c r="EW205" s="901"/>
      <c r="EX205" s="901"/>
      <c r="EY205" s="710" t="s">
        <v>279</v>
      </c>
      <c r="EZ205" s="964"/>
      <c r="FA205" s="710" t="s">
        <v>278</v>
      </c>
      <c r="FB205" s="710" t="s">
        <v>3809</v>
      </c>
      <c r="FC205" s="945" t="s">
        <v>3697</v>
      </c>
      <c r="FD205" s="710"/>
      <c r="FE205" s="710"/>
      <c r="FF205" s="710" t="s">
        <v>3846</v>
      </c>
      <c r="FG205" s="710"/>
      <c r="FH205" s="710" t="s">
        <v>410</v>
      </c>
      <c r="FI205" s="710" t="s">
        <v>410</v>
      </c>
      <c r="FJ205" s="710" t="s">
        <v>410</v>
      </c>
      <c r="FK205" s="710" t="s">
        <v>3885</v>
      </c>
      <c r="FL205" s="710" t="s">
        <v>3908</v>
      </c>
      <c r="FM205" s="945" t="s">
        <v>3930</v>
      </c>
      <c r="FN205" s="710"/>
      <c r="FO205" s="710"/>
      <c r="FP205" s="861"/>
    </row>
    <row r="206" spans="2:172" ht="111" customHeight="1">
      <c r="B206" s="850" t="s">
        <v>5313</v>
      </c>
      <c r="C206" s="863"/>
      <c r="D206" s="850" t="s">
        <v>4934</v>
      </c>
      <c r="E206" s="850" t="s">
        <v>5314</v>
      </c>
      <c r="F206" s="863"/>
      <c r="H206" s="850" t="s">
        <v>4934</v>
      </c>
      <c r="I206" s="850" t="s">
        <v>5520</v>
      </c>
      <c r="J206" s="850" t="s">
        <v>5461</v>
      </c>
      <c r="K206" s="710" t="s">
        <v>267</v>
      </c>
      <c r="L206" s="710" t="s">
        <v>3643</v>
      </c>
      <c r="M206" s="710" t="s">
        <v>2931</v>
      </c>
      <c r="N206" s="710"/>
      <c r="O206" s="895">
        <v>2019</v>
      </c>
      <c r="P206" s="896">
        <v>43525</v>
      </c>
      <c r="Q206" s="896">
        <v>43830</v>
      </c>
      <c r="R206" s="712">
        <f t="shared" si="65"/>
        <v>305</v>
      </c>
      <c r="S206" s="896"/>
      <c r="T206" s="896"/>
      <c r="U206" s="896"/>
      <c r="V206" s="896"/>
      <c r="W206" s="896"/>
      <c r="X206" s="896"/>
      <c r="Y206" s="896"/>
      <c r="Z206" s="896"/>
      <c r="AA206" s="896"/>
      <c r="AB206" s="710" t="s">
        <v>3677</v>
      </c>
      <c r="AC206" s="945" t="s">
        <v>3698</v>
      </c>
      <c r="AD206" s="710" t="s">
        <v>3723</v>
      </c>
      <c r="AE206" s="710" t="s">
        <v>3723</v>
      </c>
      <c r="AF206" s="710" t="s">
        <v>3745</v>
      </c>
      <c r="AG206" s="710" t="s">
        <v>3762</v>
      </c>
      <c r="AH206" s="898">
        <v>0.3</v>
      </c>
      <c r="AI206" s="868">
        <f t="shared" si="68"/>
        <v>0.3</v>
      </c>
      <c r="AJ206" s="867">
        <f t="shared" si="69"/>
        <v>0</v>
      </c>
      <c r="AK206" s="898"/>
      <c r="AL206" s="898"/>
      <c r="AM206" s="898"/>
      <c r="AN206" s="869">
        <f t="shared" si="70"/>
        <v>0</v>
      </c>
      <c r="AO206" s="869">
        <f t="shared" si="71"/>
        <v>0</v>
      </c>
      <c r="AP206" s="898"/>
      <c r="AQ206" s="899"/>
      <c r="AR206" s="899">
        <v>1.2E-2</v>
      </c>
      <c r="AS206" s="869">
        <f t="shared" si="72"/>
        <v>0</v>
      </c>
      <c r="AT206" s="869">
        <f t="shared" si="73"/>
        <v>0</v>
      </c>
      <c r="AU206" s="942">
        <v>0.3</v>
      </c>
      <c r="AV206" s="899">
        <v>1</v>
      </c>
      <c r="AW206" s="869">
        <f t="shared" si="74"/>
        <v>1</v>
      </c>
      <c r="AX206" s="869">
        <f t="shared" si="75"/>
        <v>0</v>
      </c>
      <c r="AY206" s="898">
        <v>0</v>
      </c>
      <c r="AZ206" s="899"/>
      <c r="BA206" s="869">
        <f t="shared" si="76"/>
        <v>0</v>
      </c>
      <c r="BB206" s="869">
        <f t="shared" si="77"/>
        <v>0</v>
      </c>
      <c r="BC206" s="898">
        <v>0</v>
      </c>
      <c r="BD206" s="899"/>
      <c r="BE206" s="869">
        <f t="shared" si="78"/>
        <v>0</v>
      </c>
      <c r="BF206" s="869">
        <f t="shared" si="79"/>
        <v>0</v>
      </c>
      <c r="BG206" s="899"/>
      <c r="BH206" s="899"/>
      <c r="BI206" s="899"/>
      <c r="BJ206" s="899"/>
      <c r="BK206" s="899"/>
      <c r="BL206" s="714">
        <f t="shared" si="80"/>
        <v>0</v>
      </c>
      <c r="BM206" s="869">
        <f t="shared" si="81"/>
        <v>0</v>
      </c>
      <c r="BN206" s="898">
        <v>0</v>
      </c>
      <c r="BO206" s="899"/>
      <c r="BP206" s="869">
        <f t="shared" si="82"/>
        <v>0</v>
      </c>
      <c r="BQ206" s="869">
        <f t="shared" si="83"/>
        <v>0</v>
      </c>
      <c r="BR206" s="899"/>
      <c r="BS206" s="899"/>
      <c r="BT206" s="898">
        <v>0.3</v>
      </c>
      <c r="BU206" s="899">
        <v>1.0200000000000001E-2</v>
      </c>
      <c r="BV206" s="901">
        <v>2</v>
      </c>
      <c r="BW206" s="901">
        <v>1</v>
      </c>
      <c r="BX206" s="901">
        <v>1</v>
      </c>
      <c r="BY206" s="901"/>
      <c r="BZ206" s="901"/>
      <c r="CA206" s="901">
        <v>1</v>
      </c>
      <c r="CB206" s="901"/>
      <c r="CC206" s="901"/>
      <c r="CD206" s="901"/>
      <c r="CE206" s="901"/>
      <c r="CF206" s="901"/>
      <c r="CG206" s="901"/>
      <c r="CH206" s="901"/>
      <c r="CI206" s="901"/>
      <c r="CJ206" s="901"/>
      <c r="CK206" s="901"/>
      <c r="CL206" s="901"/>
      <c r="CM206" s="901"/>
      <c r="CN206" s="901"/>
      <c r="CO206" s="901"/>
      <c r="CP206" s="901"/>
      <c r="CQ206" s="901"/>
      <c r="CR206" s="901"/>
      <c r="CS206" s="902">
        <f t="shared" si="67"/>
        <v>1</v>
      </c>
      <c r="CT206" s="871">
        <f t="shared" si="84"/>
        <v>1</v>
      </c>
      <c r="CU206" s="871">
        <f t="shared" si="85"/>
        <v>0</v>
      </c>
      <c r="CV206" s="942">
        <v>2</v>
      </c>
      <c r="CW206" s="710" t="s">
        <v>279</v>
      </c>
      <c r="CX206" s="710" t="s">
        <v>279</v>
      </c>
      <c r="CY206" s="710"/>
      <c r="CZ206" s="710"/>
      <c r="DA206" s="899">
        <v>0.05</v>
      </c>
      <c r="DB206" s="899"/>
      <c r="DC206" s="710" t="s">
        <v>279</v>
      </c>
      <c r="DD206" s="710"/>
      <c r="DE206" s="710"/>
      <c r="DF206" s="901"/>
      <c r="DG206" s="901"/>
      <c r="DH206" s="901">
        <v>2</v>
      </c>
      <c r="DI206" s="710" t="s">
        <v>279</v>
      </c>
      <c r="DJ206" s="710"/>
      <c r="DK206" s="901"/>
      <c r="DL206" s="710" t="s">
        <v>278</v>
      </c>
      <c r="DM206" s="710" t="s">
        <v>3790</v>
      </c>
      <c r="DN206" s="901">
        <v>45</v>
      </c>
      <c r="DO206" s="710" t="s">
        <v>279</v>
      </c>
      <c r="DP206" s="710"/>
      <c r="DQ206" s="901"/>
      <c r="DR206" s="710" t="s">
        <v>279</v>
      </c>
      <c r="DS206" s="710"/>
      <c r="DT206" s="901"/>
      <c r="DU206" s="710" t="s">
        <v>279</v>
      </c>
      <c r="DV206" s="710"/>
      <c r="DW206" s="901"/>
      <c r="DX206" s="710" t="s">
        <v>279</v>
      </c>
      <c r="DY206" s="710"/>
      <c r="DZ206" s="901"/>
      <c r="EA206" s="710" t="s">
        <v>279</v>
      </c>
      <c r="EB206" s="710"/>
      <c r="EC206" s="901"/>
      <c r="ED206" s="710" t="s">
        <v>279</v>
      </c>
      <c r="EE206" s="710"/>
      <c r="EF206" s="901"/>
      <c r="EG206" s="710" t="s">
        <v>279</v>
      </c>
      <c r="EH206" s="710"/>
      <c r="EI206" s="901"/>
      <c r="EJ206" s="710" t="s">
        <v>278</v>
      </c>
      <c r="EK206" s="710" t="s">
        <v>1685</v>
      </c>
      <c r="EL206" s="901">
        <v>5</v>
      </c>
      <c r="EM206" s="710" t="s">
        <v>279</v>
      </c>
      <c r="EN206" s="710"/>
      <c r="EO206" s="901"/>
      <c r="EP206" s="710" t="s">
        <v>279</v>
      </c>
      <c r="EQ206" s="710"/>
      <c r="ER206" s="901"/>
      <c r="ES206" s="710" t="s">
        <v>279</v>
      </c>
      <c r="ET206" s="710"/>
      <c r="EU206" s="901"/>
      <c r="EV206" s="901"/>
      <c r="EW206" s="901"/>
      <c r="EX206" s="901"/>
      <c r="EY206" s="710" t="s">
        <v>279</v>
      </c>
      <c r="EZ206" s="710"/>
      <c r="FA206" s="710" t="s">
        <v>279</v>
      </c>
      <c r="FB206" s="710"/>
      <c r="FC206" s="945" t="s">
        <v>3825</v>
      </c>
      <c r="FD206" s="710" t="s">
        <v>279</v>
      </c>
      <c r="FE206" s="710" t="s">
        <v>279</v>
      </c>
      <c r="FF206" s="710" t="s">
        <v>279</v>
      </c>
      <c r="FG206" s="710" t="s">
        <v>279</v>
      </c>
      <c r="FH206" s="710" t="s">
        <v>3858</v>
      </c>
      <c r="FI206" s="710">
        <v>1</v>
      </c>
      <c r="FJ206" s="710">
        <v>12</v>
      </c>
      <c r="FK206" s="710" t="s">
        <v>3886</v>
      </c>
      <c r="FL206" s="710">
        <v>88423723768</v>
      </c>
      <c r="FM206" s="945" t="s">
        <v>3931</v>
      </c>
      <c r="FN206" s="710"/>
      <c r="FO206" s="710"/>
      <c r="FP206" s="945"/>
    </row>
    <row r="207" spans="2:172" ht="129.5" customHeight="1">
      <c r="B207" s="850" t="s">
        <v>5313</v>
      </c>
      <c r="C207" s="863"/>
      <c r="D207" s="850" t="s">
        <v>4934</v>
      </c>
      <c r="E207" s="850" t="s">
        <v>5314</v>
      </c>
      <c r="F207" s="863"/>
      <c r="H207" s="850" t="s">
        <v>4934</v>
      </c>
      <c r="I207" s="850" t="s">
        <v>5520</v>
      </c>
      <c r="J207" s="850" t="s">
        <v>5461</v>
      </c>
      <c r="K207" s="710" t="s">
        <v>267</v>
      </c>
      <c r="L207" s="710" t="s">
        <v>3644</v>
      </c>
      <c r="M207" s="710" t="s">
        <v>3646</v>
      </c>
      <c r="N207" s="710" t="s">
        <v>410</v>
      </c>
      <c r="O207" s="895">
        <v>2016</v>
      </c>
      <c r="P207" s="896">
        <v>43313</v>
      </c>
      <c r="Q207" s="896">
        <v>43739</v>
      </c>
      <c r="R207" s="712">
        <f t="shared" si="65"/>
        <v>426</v>
      </c>
      <c r="S207" s="896"/>
      <c r="T207" s="896"/>
      <c r="U207" s="896"/>
      <c r="V207" s="896"/>
      <c r="W207" s="896"/>
      <c r="X207" s="896"/>
      <c r="Y207" s="896"/>
      <c r="Z207" s="896"/>
      <c r="AA207" s="896"/>
      <c r="AB207" s="710" t="s">
        <v>3678</v>
      </c>
      <c r="AC207" s="861" t="s">
        <v>3695</v>
      </c>
      <c r="AD207" s="710" t="s">
        <v>3719</v>
      </c>
      <c r="AE207" s="710" t="s">
        <v>3719</v>
      </c>
      <c r="AF207" s="710" t="s">
        <v>3746</v>
      </c>
      <c r="AG207" s="710" t="s">
        <v>3763</v>
      </c>
      <c r="AH207" s="898">
        <v>1</v>
      </c>
      <c r="AI207" s="868">
        <f t="shared" si="68"/>
        <v>1</v>
      </c>
      <c r="AJ207" s="867">
        <f t="shared" si="69"/>
        <v>0</v>
      </c>
      <c r="AK207" s="898"/>
      <c r="AL207" s="898"/>
      <c r="AM207" s="898"/>
      <c r="AN207" s="869">
        <f t="shared" si="70"/>
        <v>0</v>
      </c>
      <c r="AO207" s="869">
        <f t="shared" si="71"/>
        <v>0</v>
      </c>
      <c r="AP207" s="898"/>
      <c r="AQ207" s="899"/>
      <c r="AR207" s="899">
        <v>2.3E-3</v>
      </c>
      <c r="AS207" s="869">
        <f t="shared" si="72"/>
        <v>0</v>
      </c>
      <c r="AT207" s="869">
        <f t="shared" si="73"/>
        <v>0</v>
      </c>
      <c r="AU207" s="942">
        <v>1</v>
      </c>
      <c r="AV207" s="899">
        <v>1</v>
      </c>
      <c r="AW207" s="869">
        <f t="shared" si="74"/>
        <v>1</v>
      </c>
      <c r="AX207" s="869">
        <f t="shared" si="75"/>
        <v>0</v>
      </c>
      <c r="AY207" s="898">
        <v>0</v>
      </c>
      <c r="AZ207" s="899">
        <v>0</v>
      </c>
      <c r="BA207" s="869">
        <f t="shared" si="76"/>
        <v>0</v>
      </c>
      <c r="BB207" s="869">
        <f t="shared" si="77"/>
        <v>0</v>
      </c>
      <c r="BC207" s="898">
        <v>0</v>
      </c>
      <c r="BD207" s="899">
        <v>0</v>
      </c>
      <c r="BE207" s="869">
        <f t="shared" si="78"/>
        <v>0</v>
      </c>
      <c r="BF207" s="869">
        <f t="shared" si="79"/>
        <v>0</v>
      </c>
      <c r="BG207" s="899"/>
      <c r="BH207" s="899"/>
      <c r="BI207" s="899"/>
      <c r="BJ207" s="899"/>
      <c r="BK207" s="899"/>
      <c r="BL207" s="714">
        <f t="shared" si="80"/>
        <v>0</v>
      </c>
      <c r="BM207" s="869">
        <f t="shared" si="81"/>
        <v>0</v>
      </c>
      <c r="BN207" s="898">
        <v>0</v>
      </c>
      <c r="BO207" s="899">
        <v>0</v>
      </c>
      <c r="BP207" s="869">
        <f t="shared" si="82"/>
        <v>0</v>
      </c>
      <c r="BQ207" s="869">
        <f t="shared" si="83"/>
        <v>0</v>
      </c>
      <c r="BR207" s="899"/>
      <c r="BS207" s="899"/>
      <c r="BT207" s="898">
        <v>1</v>
      </c>
      <c r="BU207" s="899">
        <v>2.5000000000000001E-3</v>
      </c>
      <c r="BV207" s="901">
        <v>6</v>
      </c>
      <c r="BW207" s="901">
        <v>6</v>
      </c>
      <c r="BX207" s="901">
        <v>2</v>
      </c>
      <c r="BY207" s="901"/>
      <c r="BZ207" s="901">
        <v>2</v>
      </c>
      <c r="CA207" s="901"/>
      <c r="CB207" s="901"/>
      <c r="CC207" s="901"/>
      <c r="CD207" s="901"/>
      <c r="CE207" s="901"/>
      <c r="CF207" s="901"/>
      <c r="CG207" s="901"/>
      <c r="CH207" s="901"/>
      <c r="CI207" s="901"/>
      <c r="CJ207" s="901"/>
      <c r="CK207" s="901"/>
      <c r="CL207" s="901"/>
      <c r="CM207" s="901"/>
      <c r="CN207" s="901"/>
      <c r="CO207" s="901"/>
      <c r="CP207" s="901"/>
      <c r="CQ207" s="901"/>
      <c r="CR207" s="901"/>
      <c r="CS207" s="902">
        <f t="shared" si="67"/>
        <v>2</v>
      </c>
      <c r="CT207" s="871">
        <f t="shared" si="84"/>
        <v>2</v>
      </c>
      <c r="CU207" s="871">
        <f t="shared" si="85"/>
        <v>0</v>
      </c>
      <c r="CV207" s="956">
        <v>1.9870000000000001</v>
      </c>
      <c r="CW207" s="710" t="s">
        <v>3769</v>
      </c>
      <c r="CX207" s="710" t="s">
        <v>410</v>
      </c>
      <c r="CY207" s="710"/>
      <c r="CZ207" s="710"/>
      <c r="DA207" s="954">
        <v>0.182</v>
      </c>
      <c r="DB207" s="963" t="s">
        <v>3771</v>
      </c>
      <c r="DC207" s="710" t="s">
        <v>279</v>
      </c>
      <c r="DD207" s="710" t="s">
        <v>410</v>
      </c>
      <c r="DE207" s="710" t="s">
        <v>410</v>
      </c>
      <c r="DF207" s="901" t="s">
        <v>410</v>
      </c>
      <c r="DG207" s="901" t="s">
        <v>410</v>
      </c>
      <c r="DH207" s="901">
        <v>3</v>
      </c>
      <c r="DI207" s="710" t="s">
        <v>279</v>
      </c>
      <c r="DJ207" s="710" t="s">
        <v>410</v>
      </c>
      <c r="DK207" s="901" t="s">
        <v>410</v>
      </c>
      <c r="DL207" s="710" t="s">
        <v>278</v>
      </c>
      <c r="DM207" s="710" t="s">
        <v>3788</v>
      </c>
      <c r="DN207" s="901">
        <v>5</v>
      </c>
      <c r="DO207" s="710" t="s">
        <v>279</v>
      </c>
      <c r="DP207" s="710" t="s">
        <v>410</v>
      </c>
      <c r="DQ207" s="901" t="s">
        <v>410</v>
      </c>
      <c r="DR207" s="710" t="s">
        <v>279</v>
      </c>
      <c r="DS207" s="710" t="s">
        <v>410</v>
      </c>
      <c r="DT207" s="901" t="s">
        <v>410</v>
      </c>
      <c r="DU207" s="710" t="s">
        <v>279</v>
      </c>
      <c r="DV207" s="710" t="s">
        <v>410</v>
      </c>
      <c r="DW207" s="901" t="s">
        <v>410</v>
      </c>
      <c r="DX207" s="710" t="s">
        <v>279</v>
      </c>
      <c r="DY207" s="710" t="s">
        <v>410</v>
      </c>
      <c r="DZ207" s="901" t="s">
        <v>410</v>
      </c>
      <c r="EA207" s="710" t="s">
        <v>279</v>
      </c>
      <c r="EB207" s="710" t="s">
        <v>410</v>
      </c>
      <c r="EC207" s="901" t="s">
        <v>410</v>
      </c>
      <c r="ED207" s="710" t="s">
        <v>279</v>
      </c>
      <c r="EE207" s="710" t="s">
        <v>410</v>
      </c>
      <c r="EF207" s="901" t="s">
        <v>410</v>
      </c>
      <c r="EG207" s="710" t="s">
        <v>279</v>
      </c>
      <c r="EH207" s="710" t="s">
        <v>410</v>
      </c>
      <c r="EI207" s="901" t="s">
        <v>410</v>
      </c>
      <c r="EJ207" s="710" t="s">
        <v>392</v>
      </c>
      <c r="EK207" s="710" t="s">
        <v>3803</v>
      </c>
      <c r="EL207" s="901">
        <v>5</v>
      </c>
      <c r="EM207" s="710" t="s">
        <v>279</v>
      </c>
      <c r="EN207" s="710" t="s">
        <v>410</v>
      </c>
      <c r="EO207" s="901" t="s">
        <v>410</v>
      </c>
      <c r="EP207" s="710" t="s">
        <v>279</v>
      </c>
      <c r="EQ207" s="710" t="s">
        <v>410</v>
      </c>
      <c r="ER207" s="901" t="s">
        <v>410</v>
      </c>
      <c r="ES207" s="710" t="s">
        <v>279</v>
      </c>
      <c r="ET207" s="710" t="s">
        <v>410</v>
      </c>
      <c r="EU207" s="901" t="s">
        <v>410</v>
      </c>
      <c r="EV207" s="901"/>
      <c r="EW207" s="901"/>
      <c r="EX207" s="901"/>
      <c r="EY207" s="710" t="s">
        <v>279</v>
      </c>
      <c r="EZ207" s="901" t="s">
        <v>410</v>
      </c>
      <c r="FA207" s="710" t="s">
        <v>279</v>
      </c>
      <c r="FB207" s="710" t="s">
        <v>410</v>
      </c>
      <c r="FC207" s="861" t="s">
        <v>3823</v>
      </c>
      <c r="FD207" s="861" t="s">
        <v>3830</v>
      </c>
      <c r="FE207" s="861" t="s">
        <v>3832</v>
      </c>
      <c r="FF207" s="710" t="s">
        <v>3844</v>
      </c>
      <c r="FG207" s="710" t="s">
        <v>410</v>
      </c>
      <c r="FH207" s="710" t="s">
        <v>3856</v>
      </c>
      <c r="FI207" s="710">
        <v>2</v>
      </c>
      <c r="FJ207" s="710">
        <v>20</v>
      </c>
      <c r="FK207" s="710" t="s">
        <v>3882</v>
      </c>
      <c r="FL207" s="710" t="s">
        <v>3905</v>
      </c>
      <c r="FM207" s="861" t="s">
        <v>3927</v>
      </c>
      <c r="FN207" s="710" t="s">
        <v>410</v>
      </c>
      <c r="FO207" s="710" t="s">
        <v>410</v>
      </c>
      <c r="FP207" s="861" t="s">
        <v>410</v>
      </c>
    </row>
    <row r="208" spans="2:172" ht="140.5" customHeight="1">
      <c r="B208" s="850" t="s">
        <v>5315</v>
      </c>
      <c r="C208" s="850" t="s">
        <v>5321</v>
      </c>
      <c r="D208" s="850" t="s">
        <v>4933</v>
      </c>
      <c r="E208" s="850" t="s">
        <v>5314</v>
      </c>
      <c r="F208" s="863"/>
      <c r="G208" s="850" t="s">
        <v>4933</v>
      </c>
      <c r="I208" s="850" t="s">
        <v>5522</v>
      </c>
      <c r="J208" s="850" t="s">
        <v>5462</v>
      </c>
      <c r="K208" s="710" t="s">
        <v>268</v>
      </c>
      <c r="L208" s="710"/>
      <c r="M208" s="710" t="s">
        <v>1623</v>
      </c>
      <c r="N208" s="710"/>
      <c r="O208" s="895">
        <v>2016</v>
      </c>
      <c r="P208" s="896">
        <v>43627</v>
      </c>
      <c r="Q208" s="896">
        <v>43686</v>
      </c>
      <c r="R208" s="712">
        <f t="shared" si="65"/>
        <v>59</v>
      </c>
      <c r="S208" s="710" t="s">
        <v>1624</v>
      </c>
      <c r="T208" s="710" t="s">
        <v>1625</v>
      </c>
      <c r="U208" s="861" t="s">
        <v>1626</v>
      </c>
      <c r="V208" s="714" t="s">
        <v>279</v>
      </c>
      <c r="W208" s="714" t="s">
        <v>279</v>
      </c>
      <c r="X208" s="714" t="s">
        <v>279</v>
      </c>
      <c r="Y208" s="714" t="s">
        <v>279</v>
      </c>
      <c r="Z208" s="710" t="s">
        <v>1627</v>
      </c>
      <c r="AA208" s="861" t="s">
        <v>1628</v>
      </c>
      <c r="AB208" s="861"/>
      <c r="AC208" s="861"/>
      <c r="AD208" s="710" t="s">
        <v>1629</v>
      </c>
      <c r="AE208" s="710" t="s">
        <v>1629</v>
      </c>
      <c r="AF208" s="710" t="s">
        <v>1630</v>
      </c>
      <c r="AG208" s="710" t="s">
        <v>1631</v>
      </c>
      <c r="AH208" s="898">
        <v>122.065</v>
      </c>
      <c r="AI208" s="868">
        <f t="shared" si="68"/>
        <v>122.06399999999999</v>
      </c>
      <c r="AJ208" s="875">
        <f t="shared" si="69"/>
        <v>-1.0000000000047748E-3</v>
      </c>
      <c r="AK208" s="898">
        <v>75</v>
      </c>
      <c r="AL208" s="899">
        <v>0.61439999999999995</v>
      </c>
      <c r="AM208" s="899">
        <v>6.3000000000000003E-4</v>
      </c>
      <c r="AN208" s="869">
        <f t="shared" si="70"/>
        <v>0.61442673985171836</v>
      </c>
      <c r="AO208" s="869">
        <f t="shared" si="71"/>
        <v>-2.6739851718415864E-5</v>
      </c>
      <c r="AP208" s="899"/>
      <c r="AQ208" s="899"/>
      <c r="AR208" s="899"/>
      <c r="AS208" s="869">
        <f t="shared" si="72"/>
        <v>0</v>
      </c>
      <c r="AT208" s="869">
        <f t="shared" si="73"/>
        <v>0</v>
      </c>
      <c r="AU208" s="898">
        <v>1.389</v>
      </c>
      <c r="AV208" s="899">
        <v>1.137E-2</v>
      </c>
      <c r="AW208" s="869">
        <f t="shared" si="74"/>
        <v>1.1379183222053824E-2</v>
      </c>
      <c r="AX208" s="869">
        <f t="shared" si="75"/>
        <v>-9.1832220538243942E-6</v>
      </c>
      <c r="AY208" s="898">
        <v>45.674999999999997</v>
      </c>
      <c r="AZ208" s="899">
        <v>0.37419999999999998</v>
      </c>
      <c r="BA208" s="869">
        <f t="shared" si="76"/>
        <v>0.37418588456969648</v>
      </c>
      <c r="BB208" s="869">
        <f t="shared" si="77"/>
        <v>1.4115430303496268E-5</v>
      </c>
      <c r="BC208" s="898"/>
      <c r="BD208" s="899"/>
      <c r="BE208" s="869">
        <f t="shared" si="78"/>
        <v>0</v>
      </c>
      <c r="BF208" s="869">
        <f t="shared" si="79"/>
        <v>0</v>
      </c>
      <c r="BG208" s="898"/>
      <c r="BH208" s="899" t="s">
        <v>279</v>
      </c>
      <c r="BI208" s="710" t="s">
        <v>279</v>
      </c>
      <c r="BJ208" s="710" t="s">
        <v>279</v>
      </c>
      <c r="BK208" s="710" t="s">
        <v>279</v>
      </c>
      <c r="BL208" s="714">
        <f t="shared" si="80"/>
        <v>0</v>
      </c>
      <c r="BM208" s="869" t="e">
        <f t="shared" si="81"/>
        <v>#VALUE!</v>
      </c>
      <c r="BN208" s="898"/>
      <c r="BO208" s="899" t="s">
        <v>279</v>
      </c>
      <c r="BP208" s="869">
        <f t="shared" si="82"/>
        <v>0</v>
      </c>
      <c r="BQ208" s="869" t="e">
        <f t="shared" si="83"/>
        <v>#VALUE!</v>
      </c>
      <c r="BR208" s="898">
        <v>75</v>
      </c>
      <c r="BS208" s="899">
        <v>5.9999999999999995E-4</v>
      </c>
      <c r="BT208" s="899"/>
      <c r="BU208" s="899"/>
      <c r="BV208" s="901">
        <v>423</v>
      </c>
      <c r="BW208" s="901">
        <v>396</v>
      </c>
      <c r="BX208" s="901">
        <v>208</v>
      </c>
      <c r="BY208" s="901">
        <v>26</v>
      </c>
      <c r="BZ208" s="901">
        <v>9</v>
      </c>
      <c r="CA208" s="901">
        <v>21</v>
      </c>
      <c r="CB208" s="901">
        <v>0</v>
      </c>
      <c r="CC208" s="901">
        <v>0</v>
      </c>
      <c r="CD208" s="901">
        <v>9</v>
      </c>
      <c r="CE208" s="901">
        <v>0</v>
      </c>
      <c r="CF208" s="901">
        <v>0</v>
      </c>
      <c r="CG208" s="901">
        <v>37</v>
      </c>
      <c r="CH208" s="901">
        <v>11</v>
      </c>
      <c r="CI208" s="901">
        <v>52</v>
      </c>
      <c r="CJ208" s="901">
        <v>19</v>
      </c>
      <c r="CK208" s="901">
        <v>7</v>
      </c>
      <c r="CL208" s="901">
        <v>6</v>
      </c>
      <c r="CM208" s="901">
        <v>6</v>
      </c>
      <c r="CN208" s="901">
        <v>0</v>
      </c>
      <c r="CO208" s="901">
        <v>5</v>
      </c>
      <c r="CP208" s="901">
        <v>0</v>
      </c>
      <c r="CQ208" s="901">
        <v>0</v>
      </c>
      <c r="CR208" s="901">
        <v>0</v>
      </c>
      <c r="CS208" s="902">
        <f t="shared" si="67"/>
        <v>208</v>
      </c>
      <c r="CT208" s="871">
        <f t="shared" si="84"/>
        <v>208</v>
      </c>
      <c r="CU208" s="871">
        <f t="shared" si="85"/>
        <v>0</v>
      </c>
      <c r="CV208" s="942">
        <v>79.2</v>
      </c>
      <c r="CW208" s="710" t="s">
        <v>1632</v>
      </c>
      <c r="CX208" s="710" t="s">
        <v>279</v>
      </c>
      <c r="CY208" s="710">
        <v>6.0209999999999999</v>
      </c>
      <c r="CZ208" s="963" t="s">
        <v>1633</v>
      </c>
      <c r="DA208" s="963"/>
      <c r="DB208" s="963"/>
      <c r="DC208" s="710" t="s">
        <v>278</v>
      </c>
      <c r="DD208" s="710" t="s">
        <v>1634</v>
      </c>
      <c r="DE208" s="710" t="s">
        <v>1635</v>
      </c>
      <c r="DF208" s="901">
        <v>6</v>
      </c>
      <c r="DG208" s="901" t="s">
        <v>279</v>
      </c>
      <c r="DH208" s="901">
        <v>3</v>
      </c>
      <c r="DI208" s="710" t="s">
        <v>279</v>
      </c>
      <c r="DJ208" s="710"/>
      <c r="DK208" s="901"/>
      <c r="DL208" s="710" t="s">
        <v>278</v>
      </c>
      <c r="DM208" s="710" t="s">
        <v>1636</v>
      </c>
      <c r="DN208" s="901">
        <v>470</v>
      </c>
      <c r="DO208" s="710" t="s">
        <v>279</v>
      </c>
      <c r="DP208" s="710"/>
      <c r="DQ208" s="901"/>
      <c r="DR208" s="710" t="s">
        <v>279</v>
      </c>
      <c r="DS208" s="710"/>
      <c r="DT208" s="901"/>
      <c r="DU208" s="710" t="s">
        <v>279</v>
      </c>
      <c r="DV208" s="710"/>
      <c r="DW208" s="901"/>
      <c r="DX208" s="710" t="s">
        <v>279</v>
      </c>
      <c r="DY208" s="710"/>
      <c r="DZ208" s="901"/>
      <c r="EA208" s="710" t="s">
        <v>279</v>
      </c>
      <c r="EB208" s="710"/>
      <c r="EC208" s="901"/>
      <c r="ED208" s="710" t="s">
        <v>279</v>
      </c>
      <c r="EE208" s="710"/>
      <c r="EF208" s="901"/>
      <c r="EG208" s="710" t="s">
        <v>279</v>
      </c>
      <c r="EH208" s="710"/>
      <c r="EI208" s="901"/>
      <c r="EJ208" s="710" t="s">
        <v>279</v>
      </c>
      <c r="EK208" s="710"/>
      <c r="EL208" s="901"/>
      <c r="EM208" s="710" t="s">
        <v>279</v>
      </c>
      <c r="EN208" s="710"/>
      <c r="EO208" s="901"/>
      <c r="EP208" s="710" t="s">
        <v>279</v>
      </c>
      <c r="EQ208" s="710"/>
      <c r="ER208" s="901"/>
      <c r="ES208" s="710" t="s">
        <v>278</v>
      </c>
      <c r="ET208" s="710" t="s">
        <v>1637</v>
      </c>
      <c r="EU208" s="901">
        <v>15</v>
      </c>
      <c r="EV208" s="710">
        <v>100</v>
      </c>
      <c r="EW208" s="710"/>
      <c r="EX208" s="860">
        <v>128</v>
      </c>
      <c r="EY208" s="710" t="s">
        <v>279</v>
      </c>
      <c r="EZ208" s="710"/>
      <c r="FA208" s="710" t="s">
        <v>278</v>
      </c>
      <c r="FB208" s="710" t="s">
        <v>1638</v>
      </c>
      <c r="FC208" s="861" t="s">
        <v>1639</v>
      </c>
      <c r="FD208" s="861" t="s">
        <v>1640</v>
      </c>
      <c r="FE208" s="861" t="s">
        <v>1639</v>
      </c>
      <c r="FF208" s="710" t="s">
        <v>1641</v>
      </c>
      <c r="FG208" s="710" t="s">
        <v>1642</v>
      </c>
      <c r="FH208" s="710" t="s">
        <v>1643</v>
      </c>
      <c r="FI208" s="710">
        <v>8</v>
      </c>
      <c r="FJ208" s="710">
        <v>370</v>
      </c>
      <c r="FK208" s="710" t="s">
        <v>1644</v>
      </c>
      <c r="FL208" s="710" t="s">
        <v>1645</v>
      </c>
      <c r="FM208" s="861" t="s">
        <v>1646</v>
      </c>
      <c r="FN208" s="708" t="s">
        <v>1620</v>
      </c>
      <c r="FO208" s="710" t="s">
        <v>1621</v>
      </c>
      <c r="FP208" s="861" t="s">
        <v>1622</v>
      </c>
    </row>
    <row r="209" spans="2:172" ht="124.5" customHeight="1">
      <c r="B209" s="850" t="s">
        <v>5313</v>
      </c>
      <c r="C209" s="863"/>
      <c r="D209" s="850" t="s">
        <v>5317</v>
      </c>
      <c r="E209" s="850" t="s">
        <v>5314</v>
      </c>
      <c r="F209" s="850" t="s">
        <v>5334</v>
      </c>
      <c r="G209" s="850" t="s">
        <v>4933</v>
      </c>
      <c r="I209" s="850" t="s">
        <v>5522</v>
      </c>
      <c r="J209" s="850" t="s">
        <v>5462</v>
      </c>
      <c r="K209" s="710" t="s">
        <v>268</v>
      </c>
      <c r="L209" s="710"/>
      <c r="M209" s="710" t="s">
        <v>1594</v>
      </c>
      <c r="N209" s="708" t="s">
        <v>1595</v>
      </c>
      <c r="O209" s="950">
        <v>2014</v>
      </c>
      <c r="P209" s="951">
        <v>43466</v>
      </c>
      <c r="Q209" s="896">
        <v>43830</v>
      </c>
      <c r="R209" s="712">
        <f t="shared" si="65"/>
        <v>364</v>
      </c>
      <c r="S209" s="708" t="s">
        <v>1596</v>
      </c>
      <c r="T209" s="708" t="s">
        <v>1597</v>
      </c>
      <c r="U209" s="952" t="s">
        <v>1598</v>
      </c>
      <c r="V209" s="708" t="s">
        <v>410</v>
      </c>
      <c r="W209" s="708" t="s">
        <v>410</v>
      </c>
      <c r="X209" s="708" t="s">
        <v>410</v>
      </c>
      <c r="Y209" s="708" t="s">
        <v>410</v>
      </c>
      <c r="Z209" s="708" t="s">
        <v>410</v>
      </c>
      <c r="AA209" s="708" t="s">
        <v>410</v>
      </c>
      <c r="AB209" s="708"/>
      <c r="AC209" s="708"/>
      <c r="AD209" s="708" t="s">
        <v>1599</v>
      </c>
      <c r="AE209" s="708" t="s">
        <v>1599</v>
      </c>
      <c r="AF209" s="708" t="s">
        <v>1600</v>
      </c>
      <c r="AG209" s="708" t="s">
        <v>1601</v>
      </c>
      <c r="AH209" s="941">
        <v>78.3</v>
      </c>
      <c r="AI209" s="868">
        <f t="shared" si="68"/>
        <v>76.000000000000014</v>
      </c>
      <c r="AJ209" s="875">
        <f t="shared" si="69"/>
        <v>-2.2999999999999829</v>
      </c>
      <c r="AK209" s="941">
        <v>45.1</v>
      </c>
      <c r="AL209" s="954">
        <f>AK209/AH209</f>
        <v>0.57598978288633462</v>
      </c>
      <c r="AM209" s="954">
        <v>2.9999999999999997E-4</v>
      </c>
      <c r="AN209" s="869">
        <f t="shared" si="70"/>
        <v>0.57598978288633462</v>
      </c>
      <c r="AO209" s="869">
        <f t="shared" si="71"/>
        <v>0</v>
      </c>
      <c r="AP209" s="954"/>
      <c r="AQ209" s="954"/>
      <c r="AR209" s="954"/>
      <c r="AS209" s="869">
        <f t="shared" si="72"/>
        <v>0</v>
      </c>
      <c r="AT209" s="869">
        <f t="shared" si="73"/>
        <v>0</v>
      </c>
      <c r="AU209" s="941">
        <v>11.1</v>
      </c>
      <c r="AV209" s="954">
        <f>AU209/AH209</f>
        <v>0.1417624521072797</v>
      </c>
      <c r="AW209" s="869">
        <f t="shared" si="74"/>
        <v>0.1417624521072797</v>
      </c>
      <c r="AX209" s="869">
        <f t="shared" si="75"/>
        <v>0</v>
      </c>
      <c r="AY209" s="941">
        <v>9</v>
      </c>
      <c r="AZ209" s="954">
        <f>AY209/AH209</f>
        <v>0.11494252873563218</v>
      </c>
      <c r="BA209" s="869">
        <f t="shared" si="76"/>
        <v>0.11494252873563218</v>
      </c>
      <c r="BB209" s="869">
        <f t="shared" si="77"/>
        <v>0</v>
      </c>
      <c r="BC209" s="941">
        <v>9.4</v>
      </c>
      <c r="BD209" s="954">
        <f>BC209/AH209</f>
        <v>0.12005108556832696</v>
      </c>
      <c r="BE209" s="869">
        <f t="shared" si="78"/>
        <v>0.12005108556832696</v>
      </c>
      <c r="BF209" s="869">
        <f t="shared" si="79"/>
        <v>0</v>
      </c>
      <c r="BG209" s="941">
        <v>1.4</v>
      </c>
      <c r="BH209" s="954">
        <f>BG209/AH209</f>
        <v>1.7879948914431672E-2</v>
      </c>
      <c r="BI209" s="708" t="s">
        <v>1602</v>
      </c>
      <c r="BJ209" s="708" t="s">
        <v>769</v>
      </c>
      <c r="BK209" s="708" t="s">
        <v>1599</v>
      </c>
      <c r="BL209" s="714">
        <f t="shared" si="80"/>
        <v>1.7879948914431672E-2</v>
      </c>
      <c r="BM209" s="869">
        <f t="shared" si="81"/>
        <v>0</v>
      </c>
      <c r="BN209" s="941"/>
      <c r="BO209" s="954"/>
      <c r="BP209" s="869">
        <f t="shared" si="82"/>
        <v>0</v>
      </c>
      <c r="BQ209" s="869">
        <f t="shared" si="83"/>
        <v>0</v>
      </c>
      <c r="BR209" s="941">
        <v>70.099999999999994</v>
      </c>
      <c r="BS209" s="954">
        <v>5.9999999999999995E-4</v>
      </c>
      <c r="BT209" s="954"/>
      <c r="BU209" s="954"/>
      <c r="BV209" s="955">
        <v>139</v>
      </c>
      <c r="BW209" s="955">
        <v>66</v>
      </c>
      <c r="BX209" s="955">
        <v>41</v>
      </c>
      <c r="BY209" s="955">
        <v>1</v>
      </c>
      <c r="BZ209" s="955">
        <v>7</v>
      </c>
      <c r="CA209" s="955">
        <v>5</v>
      </c>
      <c r="CB209" s="955">
        <v>1</v>
      </c>
      <c r="CC209" s="955">
        <v>0</v>
      </c>
      <c r="CD209" s="955">
        <v>4</v>
      </c>
      <c r="CE209" s="955">
        <v>0</v>
      </c>
      <c r="CF209" s="955">
        <v>3</v>
      </c>
      <c r="CG209" s="955">
        <v>6</v>
      </c>
      <c r="CH209" s="955">
        <v>0</v>
      </c>
      <c r="CI209" s="955">
        <v>2</v>
      </c>
      <c r="CJ209" s="955">
        <v>10</v>
      </c>
      <c r="CK209" s="955">
        <v>2</v>
      </c>
      <c r="CL209" s="955">
        <v>0</v>
      </c>
      <c r="CM209" s="955">
        <v>0</v>
      </c>
      <c r="CN209" s="955">
        <v>0</v>
      </c>
      <c r="CO209" s="955">
        <v>0</v>
      </c>
      <c r="CP209" s="955">
        <v>0</v>
      </c>
      <c r="CQ209" s="955">
        <v>0</v>
      </c>
      <c r="CR209" s="955">
        <v>0</v>
      </c>
      <c r="CS209" s="938">
        <f t="shared" si="67"/>
        <v>41</v>
      </c>
      <c r="CT209" s="871">
        <f t="shared" si="84"/>
        <v>41</v>
      </c>
      <c r="CU209" s="871">
        <f t="shared" si="85"/>
        <v>0</v>
      </c>
      <c r="CV209" s="956">
        <v>146</v>
      </c>
      <c r="CW209" s="708" t="s">
        <v>1603</v>
      </c>
      <c r="CX209" s="708" t="s">
        <v>410</v>
      </c>
      <c r="CY209" s="954">
        <f>CV209/1321.473</f>
        <v>0.11048277187653475</v>
      </c>
      <c r="CZ209" s="957" t="s">
        <v>1604</v>
      </c>
      <c r="DA209" s="957"/>
      <c r="DB209" s="957"/>
      <c r="DC209" s="708" t="s">
        <v>279</v>
      </c>
      <c r="DD209" s="708" t="s">
        <v>410</v>
      </c>
      <c r="DE209" s="708" t="s">
        <v>410</v>
      </c>
      <c r="DF209" s="955" t="s">
        <v>410</v>
      </c>
      <c r="DG209" s="955" t="s">
        <v>410</v>
      </c>
      <c r="DH209" s="955" t="s">
        <v>410</v>
      </c>
      <c r="DI209" s="708" t="s">
        <v>278</v>
      </c>
      <c r="DJ209" s="708" t="s">
        <v>1605</v>
      </c>
      <c r="DK209" s="955">
        <v>74467</v>
      </c>
      <c r="DL209" s="708" t="s">
        <v>278</v>
      </c>
      <c r="DM209" s="708" t="s">
        <v>1606</v>
      </c>
      <c r="DN209" s="955">
        <v>16062</v>
      </c>
      <c r="DO209" s="708" t="s">
        <v>279</v>
      </c>
      <c r="DP209" s="708" t="s">
        <v>410</v>
      </c>
      <c r="DQ209" s="955" t="s">
        <v>410</v>
      </c>
      <c r="DR209" s="708" t="s">
        <v>279</v>
      </c>
      <c r="DS209" s="708" t="s">
        <v>410</v>
      </c>
      <c r="DT209" s="955" t="s">
        <v>410</v>
      </c>
      <c r="DU209" s="708" t="s">
        <v>279</v>
      </c>
      <c r="DV209" s="708" t="s">
        <v>410</v>
      </c>
      <c r="DW209" s="955" t="s">
        <v>410</v>
      </c>
      <c r="DX209" s="708" t="s">
        <v>279</v>
      </c>
      <c r="DY209" s="708" t="s">
        <v>410</v>
      </c>
      <c r="DZ209" s="955" t="s">
        <v>410</v>
      </c>
      <c r="EA209" s="708" t="s">
        <v>279</v>
      </c>
      <c r="EB209" s="708" t="s">
        <v>410</v>
      </c>
      <c r="EC209" s="955" t="s">
        <v>410</v>
      </c>
      <c r="ED209" s="708" t="s">
        <v>278</v>
      </c>
      <c r="EE209" s="708" t="s">
        <v>1607</v>
      </c>
      <c r="EF209" s="955">
        <v>16062</v>
      </c>
      <c r="EG209" s="708" t="s">
        <v>279</v>
      </c>
      <c r="EH209" s="708" t="s">
        <v>410</v>
      </c>
      <c r="EI209" s="955" t="s">
        <v>410</v>
      </c>
      <c r="EJ209" s="708" t="s">
        <v>279</v>
      </c>
      <c r="EK209" s="708" t="s">
        <v>410</v>
      </c>
      <c r="EL209" s="955" t="s">
        <v>410</v>
      </c>
      <c r="EM209" s="708" t="s">
        <v>279</v>
      </c>
      <c r="EN209" s="708" t="s">
        <v>410</v>
      </c>
      <c r="EO209" s="955" t="s">
        <v>410</v>
      </c>
      <c r="EP209" s="708" t="s">
        <v>278</v>
      </c>
      <c r="EQ209" s="708" t="s">
        <v>1608</v>
      </c>
      <c r="ER209" s="955" t="s">
        <v>410</v>
      </c>
      <c r="ES209" s="708" t="s">
        <v>279</v>
      </c>
      <c r="ET209" s="708" t="s">
        <v>410</v>
      </c>
      <c r="EU209" s="955" t="s">
        <v>410</v>
      </c>
      <c r="EV209" s="708" t="s">
        <v>1609</v>
      </c>
      <c r="EW209" s="708" t="s">
        <v>1610</v>
      </c>
      <c r="EX209" s="959">
        <v>41</v>
      </c>
      <c r="EY209" s="708" t="s">
        <v>279</v>
      </c>
      <c r="EZ209" s="708" t="s">
        <v>410</v>
      </c>
      <c r="FA209" s="708" t="s">
        <v>278</v>
      </c>
      <c r="FB209" s="708" t="s">
        <v>1611</v>
      </c>
      <c r="FC209" s="952" t="s">
        <v>1612</v>
      </c>
      <c r="FD209" s="952" t="s">
        <v>1613</v>
      </c>
      <c r="FE209" s="708" t="s">
        <v>410</v>
      </c>
      <c r="FF209" s="708" t="s">
        <v>1614</v>
      </c>
      <c r="FG209" s="708" t="s">
        <v>1615</v>
      </c>
      <c r="FH209" s="708" t="s">
        <v>1616</v>
      </c>
      <c r="FI209" s="708">
        <v>6</v>
      </c>
      <c r="FJ209" s="708">
        <v>282</v>
      </c>
      <c r="FK209" s="708" t="s">
        <v>1617</v>
      </c>
      <c r="FL209" s="708" t="s">
        <v>1618</v>
      </c>
      <c r="FM209" s="861" t="s">
        <v>1619</v>
      </c>
      <c r="FN209" s="708" t="s">
        <v>1620</v>
      </c>
      <c r="FO209" s="710" t="s">
        <v>1621</v>
      </c>
      <c r="FP209" s="861" t="s">
        <v>1622</v>
      </c>
    </row>
    <row r="210" spans="2:172" ht="68.5" customHeight="1">
      <c r="B210" s="863"/>
      <c r="C210" s="863"/>
      <c r="D210" s="863"/>
      <c r="E210" s="863"/>
      <c r="F210" s="863"/>
      <c r="I210" s="850" t="s">
        <v>5518</v>
      </c>
      <c r="J210" s="850" t="s">
        <v>5463</v>
      </c>
      <c r="K210" s="710" t="s">
        <v>269</v>
      </c>
      <c r="L210" s="710"/>
      <c r="M210" s="710"/>
      <c r="N210" s="710"/>
      <c r="O210" s="895"/>
      <c r="P210" s="896"/>
      <c r="Q210" s="896"/>
      <c r="R210" s="712">
        <f t="shared" si="65"/>
        <v>0</v>
      </c>
      <c r="S210" s="710"/>
      <c r="T210" s="710"/>
      <c r="U210" s="710"/>
      <c r="V210" s="710"/>
      <c r="W210" s="710"/>
      <c r="X210" s="710"/>
      <c r="Y210" s="710"/>
      <c r="Z210" s="710"/>
      <c r="AA210" s="710"/>
      <c r="AB210" s="710"/>
      <c r="AC210" s="710"/>
      <c r="AD210" s="710"/>
      <c r="AE210" s="710"/>
      <c r="AF210" s="710"/>
      <c r="AG210" s="710"/>
      <c r="AH210" s="898"/>
      <c r="AI210" s="868">
        <f t="shared" si="68"/>
        <v>0</v>
      </c>
      <c r="AJ210" s="867">
        <f t="shared" si="69"/>
        <v>0</v>
      </c>
      <c r="AK210" s="898"/>
      <c r="AL210" s="899"/>
      <c r="AM210" s="899"/>
      <c r="AN210" s="869" t="e">
        <f t="shared" si="70"/>
        <v>#DIV/0!</v>
      </c>
      <c r="AO210" s="869" t="e">
        <f t="shared" si="71"/>
        <v>#DIV/0!</v>
      </c>
      <c r="AP210" s="899"/>
      <c r="AQ210" s="899"/>
      <c r="AR210" s="899"/>
      <c r="AS210" s="869" t="e">
        <f t="shared" si="72"/>
        <v>#DIV/0!</v>
      </c>
      <c r="AT210" s="869" t="e">
        <f t="shared" si="73"/>
        <v>#DIV/0!</v>
      </c>
      <c r="AU210" s="898"/>
      <c r="AV210" s="899"/>
      <c r="AW210" s="869" t="e">
        <f t="shared" si="74"/>
        <v>#DIV/0!</v>
      </c>
      <c r="AX210" s="869" t="e">
        <f t="shared" si="75"/>
        <v>#DIV/0!</v>
      </c>
      <c r="AY210" s="898"/>
      <c r="AZ210" s="899"/>
      <c r="BA210" s="869" t="e">
        <f t="shared" si="76"/>
        <v>#DIV/0!</v>
      </c>
      <c r="BB210" s="869" t="e">
        <f t="shared" si="77"/>
        <v>#DIV/0!</v>
      </c>
      <c r="BC210" s="898"/>
      <c r="BD210" s="899"/>
      <c r="BE210" s="869" t="e">
        <f t="shared" si="78"/>
        <v>#DIV/0!</v>
      </c>
      <c r="BF210" s="869" t="e">
        <f t="shared" si="79"/>
        <v>#DIV/0!</v>
      </c>
      <c r="BG210" s="898"/>
      <c r="BH210" s="899"/>
      <c r="BI210" s="710"/>
      <c r="BJ210" s="710"/>
      <c r="BK210" s="710"/>
      <c r="BL210" s="714" t="e">
        <f t="shared" si="80"/>
        <v>#DIV/0!</v>
      </c>
      <c r="BM210" s="869" t="e">
        <f t="shared" si="81"/>
        <v>#DIV/0!</v>
      </c>
      <c r="BN210" s="898"/>
      <c r="BO210" s="899"/>
      <c r="BP210" s="869" t="e">
        <f t="shared" si="82"/>
        <v>#DIV/0!</v>
      </c>
      <c r="BQ210" s="869" t="e">
        <f t="shared" si="83"/>
        <v>#DIV/0!</v>
      </c>
      <c r="BR210" s="898"/>
      <c r="BS210" s="899"/>
      <c r="BT210" s="899"/>
      <c r="BU210" s="899"/>
      <c r="BV210" s="901"/>
      <c r="BW210" s="901"/>
      <c r="BX210" s="901"/>
      <c r="BY210" s="901"/>
      <c r="BZ210" s="901"/>
      <c r="CA210" s="901"/>
      <c r="CB210" s="901"/>
      <c r="CC210" s="901"/>
      <c r="CD210" s="901"/>
      <c r="CE210" s="901"/>
      <c r="CF210" s="901"/>
      <c r="CG210" s="901"/>
      <c r="CH210" s="901"/>
      <c r="CI210" s="901"/>
      <c r="CJ210" s="901"/>
      <c r="CK210" s="901"/>
      <c r="CL210" s="901"/>
      <c r="CM210" s="901"/>
      <c r="CN210" s="901"/>
      <c r="CO210" s="901"/>
      <c r="CP210" s="901"/>
      <c r="CQ210" s="901"/>
      <c r="CR210" s="901"/>
      <c r="CS210" s="902"/>
      <c r="CT210" s="871">
        <f t="shared" si="84"/>
        <v>0</v>
      </c>
      <c r="CU210" s="871">
        <f t="shared" si="85"/>
        <v>0</v>
      </c>
      <c r="CV210" s="942"/>
      <c r="CW210" s="710"/>
      <c r="CX210" s="710"/>
      <c r="CY210" s="899"/>
      <c r="CZ210" s="710"/>
      <c r="DA210" s="710"/>
      <c r="DB210" s="710"/>
      <c r="DC210" s="710"/>
      <c r="DD210" s="710"/>
      <c r="DE210" s="901"/>
      <c r="DF210" s="901"/>
      <c r="DG210" s="710"/>
      <c r="DH210" s="710"/>
      <c r="DI210" s="901"/>
      <c r="DJ210" s="710"/>
      <c r="DK210" s="710"/>
      <c r="DL210" s="901"/>
      <c r="DM210" s="710"/>
      <c r="DN210" s="710"/>
      <c r="DO210" s="901"/>
      <c r="DP210" s="710"/>
      <c r="DQ210" s="710"/>
      <c r="DR210" s="901"/>
      <c r="DS210" s="710"/>
      <c r="DT210" s="710"/>
      <c r="DU210" s="901"/>
      <c r="DV210" s="710"/>
      <c r="DW210" s="710"/>
      <c r="DX210" s="901"/>
      <c r="DY210" s="710"/>
      <c r="DZ210" s="710"/>
      <c r="EA210" s="901"/>
      <c r="EB210" s="710"/>
      <c r="EC210" s="710"/>
      <c r="ED210" s="901"/>
      <c r="EE210" s="710"/>
      <c r="EF210" s="710"/>
      <c r="EG210" s="901"/>
      <c r="EH210" s="710"/>
      <c r="EI210" s="710"/>
      <c r="EJ210" s="901"/>
      <c r="EK210" s="710"/>
      <c r="EL210" s="710"/>
      <c r="EM210" s="901"/>
      <c r="EN210" s="710"/>
      <c r="EO210" s="710"/>
      <c r="EP210" s="901"/>
      <c r="EQ210" s="710"/>
      <c r="ER210" s="710"/>
      <c r="ES210" s="901"/>
      <c r="ET210" s="710"/>
      <c r="EU210" s="710"/>
      <c r="EV210" s="860"/>
      <c r="EW210" s="710"/>
      <c r="EX210" s="710"/>
      <c r="EY210" s="710"/>
      <c r="EZ210" s="710"/>
      <c r="FA210" s="710"/>
      <c r="FB210" s="710"/>
      <c r="FC210" s="710"/>
      <c r="FD210" s="710"/>
      <c r="FE210" s="710"/>
      <c r="FF210" s="710"/>
      <c r="FG210" s="710"/>
      <c r="FH210" s="710"/>
      <c r="FI210" s="710"/>
      <c r="FJ210" s="949"/>
      <c r="FK210" s="949"/>
      <c r="FL210" s="949"/>
      <c r="FM210" s="949"/>
      <c r="FN210" s="949"/>
      <c r="FO210" s="949"/>
      <c r="FP210" s="949"/>
    </row>
    <row r="211" spans="2:172" ht="92" customHeight="1">
      <c r="B211" s="850" t="s">
        <v>5315</v>
      </c>
      <c r="C211" s="850" t="s">
        <v>5316</v>
      </c>
      <c r="D211" s="850" t="s">
        <v>5317</v>
      </c>
      <c r="E211" s="850" t="s">
        <v>5323</v>
      </c>
      <c r="F211" s="879">
        <v>1</v>
      </c>
      <c r="G211" s="850" t="s">
        <v>4933</v>
      </c>
      <c r="I211" s="850" t="s">
        <v>5519</v>
      </c>
      <c r="J211" s="850" t="s">
        <v>5464</v>
      </c>
      <c r="K211" s="710" t="s">
        <v>270</v>
      </c>
      <c r="L211" s="710"/>
      <c r="M211" s="710" t="s">
        <v>1667</v>
      </c>
      <c r="N211" s="710" t="s">
        <v>1667</v>
      </c>
      <c r="O211" s="895">
        <v>2019</v>
      </c>
      <c r="P211" s="896">
        <v>43466</v>
      </c>
      <c r="Q211" s="896">
        <v>43830</v>
      </c>
      <c r="R211" s="712">
        <f t="shared" si="65"/>
        <v>364</v>
      </c>
      <c r="S211" s="710" t="s">
        <v>1977</v>
      </c>
      <c r="T211" s="710" t="s">
        <v>1978</v>
      </c>
      <c r="U211" s="710" t="s">
        <v>1979</v>
      </c>
      <c r="V211" s="710" t="s">
        <v>410</v>
      </c>
      <c r="W211" s="710" t="s">
        <v>410</v>
      </c>
      <c r="X211" s="710" t="s">
        <v>410</v>
      </c>
      <c r="Y211" s="710" t="s">
        <v>410</v>
      </c>
      <c r="Z211" s="710" t="s">
        <v>410</v>
      </c>
      <c r="AA211" s="710" t="s">
        <v>410</v>
      </c>
      <c r="AB211" s="710"/>
      <c r="AC211" s="710"/>
      <c r="AD211" s="710" t="s">
        <v>1980</v>
      </c>
      <c r="AE211" s="710" t="s">
        <v>1980</v>
      </c>
      <c r="AF211" s="710" t="s">
        <v>633</v>
      </c>
      <c r="AG211" s="710" t="s">
        <v>1981</v>
      </c>
      <c r="AH211" s="867">
        <v>599.66999999999996</v>
      </c>
      <c r="AI211" s="868">
        <f t="shared" si="68"/>
        <v>599.66999999999996</v>
      </c>
      <c r="AJ211" s="875">
        <f t="shared" si="69"/>
        <v>0</v>
      </c>
      <c r="AK211" s="898">
        <v>305.12099999999998</v>
      </c>
      <c r="AL211" s="899">
        <f>AK211/AH211</f>
        <v>0.50881484816649158</v>
      </c>
      <c r="AM211" s="899">
        <v>1.16E-3</v>
      </c>
      <c r="AN211" s="869">
        <f t="shared" si="70"/>
        <v>0.50881484816649158</v>
      </c>
      <c r="AO211" s="869">
        <f t="shared" si="71"/>
        <v>0</v>
      </c>
      <c r="AP211" s="899"/>
      <c r="AQ211" s="899"/>
      <c r="AR211" s="899"/>
      <c r="AS211" s="869">
        <f t="shared" si="72"/>
        <v>0</v>
      </c>
      <c r="AT211" s="869">
        <f t="shared" si="73"/>
        <v>0</v>
      </c>
      <c r="AU211" s="898">
        <v>99.471999999999994</v>
      </c>
      <c r="AV211" s="899">
        <f>AU211/AH211</f>
        <v>0.16587789951139795</v>
      </c>
      <c r="AW211" s="869">
        <f t="shared" si="74"/>
        <v>0.16587789951139795</v>
      </c>
      <c r="AX211" s="869">
        <f t="shared" si="75"/>
        <v>0</v>
      </c>
      <c r="AY211" s="898">
        <v>0</v>
      </c>
      <c r="AZ211" s="899">
        <v>0</v>
      </c>
      <c r="BA211" s="869">
        <f t="shared" si="76"/>
        <v>0</v>
      </c>
      <c r="BB211" s="869">
        <f t="shared" si="77"/>
        <v>0</v>
      </c>
      <c r="BC211" s="898">
        <v>0</v>
      </c>
      <c r="BD211" s="899">
        <f>BC211/AH211</f>
        <v>0</v>
      </c>
      <c r="BE211" s="869">
        <f t="shared" si="78"/>
        <v>0</v>
      </c>
      <c r="BF211" s="869">
        <f t="shared" si="79"/>
        <v>0</v>
      </c>
      <c r="BG211" s="898">
        <v>195.077</v>
      </c>
      <c r="BH211" s="899">
        <f>BG211/AH211</f>
        <v>0.3253072523221105</v>
      </c>
      <c r="BI211" s="710" t="s">
        <v>1982</v>
      </c>
      <c r="BJ211" s="710" t="s">
        <v>1983</v>
      </c>
      <c r="BK211" s="710" t="s">
        <v>1980</v>
      </c>
      <c r="BL211" s="714">
        <f t="shared" si="80"/>
        <v>0.3253072523221105</v>
      </c>
      <c r="BM211" s="869">
        <f t="shared" si="81"/>
        <v>0</v>
      </c>
      <c r="BN211" s="898"/>
      <c r="BO211" s="899"/>
      <c r="BP211" s="869">
        <f t="shared" si="82"/>
        <v>0</v>
      </c>
      <c r="BQ211" s="869">
        <f t="shared" si="83"/>
        <v>0</v>
      </c>
      <c r="BR211" s="898">
        <v>284.36</v>
      </c>
      <c r="BS211" s="899">
        <v>1.0399999999999999E-3</v>
      </c>
      <c r="BT211" s="899"/>
      <c r="BU211" s="899"/>
      <c r="BV211" s="901"/>
      <c r="BW211" s="901">
        <v>64</v>
      </c>
      <c r="BX211" s="901">
        <v>64</v>
      </c>
      <c r="BY211" s="901"/>
      <c r="BZ211" s="901"/>
      <c r="CA211" s="901"/>
      <c r="CB211" s="901"/>
      <c r="CC211" s="901"/>
      <c r="CD211" s="901"/>
      <c r="CE211" s="901"/>
      <c r="CF211" s="901"/>
      <c r="CG211" s="901"/>
      <c r="CH211" s="901"/>
      <c r="CI211" s="901"/>
      <c r="CJ211" s="901">
        <v>60</v>
      </c>
      <c r="CK211" s="901"/>
      <c r="CL211" s="901"/>
      <c r="CM211" s="901"/>
      <c r="CN211" s="901"/>
      <c r="CO211" s="901"/>
      <c r="CP211" s="901"/>
      <c r="CQ211" s="901"/>
      <c r="CR211" s="901"/>
      <c r="CS211" s="902">
        <f t="shared" ref="CS211:CS219" si="86">SUM(BY211:CR211)</f>
        <v>60</v>
      </c>
      <c r="CT211" s="871">
        <f t="shared" si="84"/>
        <v>60</v>
      </c>
      <c r="CU211" s="871">
        <f t="shared" si="85"/>
        <v>0</v>
      </c>
      <c r="CV211" s="942">
        <v>215.7</v>
      </c>
      <c r="CW211" s="710" t="s">
        <v>1985</v>
      </c>
      <c r="CX211" s="710"/>
      <c r="CY211" s="710">
        <v>12.87</v>
      </c>
      <c r="CZ211" s="963" t="s">
        <v>1986</v>
      </c>
      <c r="DA211" s="963"/>
      <c r="DB211" s="963"/>
      <c r="DC211" s="710" t="s">
        <v>279</v>
      </c>
      <c r="DD211" s="710"/>
      <c r="DE211" s="710"/>
      <c r="DF211" s="901"/>
      <c r="DG211" s="901"/>
      <c r="DH211" s="901"/>
      <c r="DI211" s="710" t="s">
        <v>278</v>
      </c>
      <c r="DJ211" s="710" t="s">
        <v>1987</v>
      </c>
      <c r="DK211" s="901">
        <v>5702</v>
      </c>
      <c r="DL211" s="710" t="s">
        <v>278</v>
      </c>
      <c r="DM211" s="710" t="s">
        <v>1988</v>
      </c>
      <c r="DN211" s="901">
        <f>63704+68578</f>
        <v>132282</v>
      </c>
      <c r="DO211" s="710" t="s">
        <v>279</v>
      </c>
      <c r="DP211" s="710"/>
      <c r="DQ211" s="901"/>
      <c r="DR211" s="710" t="s">
        <v>279</v>
      </c>
      <c r="DS211" s="710"/>
      <c r="DT211" s="901"/>
      <c r="DU211" s="710" t="s">
        <v>279</v>
      </c>
      <c r="DV211" s="710"/>
      <c r="DW211" s="901"/>
      <c r="DX211" s="710"/>
      <c r="DY211" s="710"/>
      <c r="DZ211" s="901"/>
      <c r="EA211" s="710" t="s">
        <v>278</v>
      </c>
      <c r="EB211" s="861" t="s">
        <v>1989</v>
      </c>
      <c r="EC211" s="901">
        <v>10846</v>
      </c>
      <c r="ED211" s="710" t="s">
        <v>279</v>
      </c>
      <c r="EE211" s="710"/>
      <c r="EF211" s="901"/>
      <c r="EG211" s="710" t="s">
        <v>279</v>
      </c>
      <c r="EH211" s="710"/>
      <c r="EI211" s="901"/>
      <c r="EJ211" s="710" t="s">
        <v>279</v>
      </c>
      <c r="EK211" s="710"/>
      <c r="EL211" s="901"/>
      <c r="EM211" s="710" t="s">
        <v>279</v>
      </c>
      <c r="EN211" s="710"/>
      <c r="EO211" s="901"/>
      <c r="EP211" s="710" t="s">
        <v>279</v>
      </c>
      <c r="EQ211" s="710"/>
      <c r="ER211" s="901"/>
      <c r="ES211" s="710"/>
      <c r="ET211" s="710"/>
      <c r="EU211" s="901"/>
      <c r="EV211" s="904">
        <v>1</v>
      </c>
      <c r="EW211" s="710" t="s">
        <v>410</v>
      </c>
      <c r="EX211" s="860">
        <v>22</v>
      </c>
      <c r="EY211" s="710" t="s">
        <v>279</v>
      </c>
      <c r="EZ211" s="710"/>
      <c r="FA211" s="710" t="s">
        <v>278</v>
      </c>
      <c r="FB211" s="710" t="s">
        <v>1990</v>
      </c>
      <c r="FC211" s="710" t="s">
        <v>1991</v>
      </c>
      <c r="FD211" s="710"/>
      <c r="FE211" s="710"/>
      <c r="FF211" s="710"/>
      <c r="FG211" s="710"/>
      <c r="FH211" s="710"/>
      <c r="FI211" s="710"/>
      <c r="FJ211" s="710"/>
      <c r="FK211" s="710" t="s">
        <v>1992</v>
      </c>
      <c r="FL211" s="710" t="s">
        <v>1993</v>
      </c>
      <c r="FM211" s="710" t="s">
        <v>1994</v>
      </c>
      <c r="FN211" s="710"/>
      <c r="FO211" s="710"/>
      <c r="FP211" s="710"/>
    </row>
    <row r="212" spans="2:172" ht="137" customHeight="1">
      <c r="B212" s="850" t="s">
        <v>5315</v>
      </c>
      <c r="C212" s="850" t="s">
        <v>5320</v>
      </c>
      <c r="D212" s="850" t="s">
        <v>5317</v>
      </c>
      <c r="E212" s="850" t="s">
        <v>5318</v>
      </c>
      <c r="F212" s="850" t="s">
        <v>694</v>
      </c>
      <c r="G212" s="850" t="s">
        <v>4933</v>
      </c>
      <c r="I212" s="850" t="s">
        <v>5519</v>
      </c>
      <c r="J212" s="850" t="s">
        <v>5464</v>
      </c>
      <c r="K212" s="710" t="s">
        <v>270</v>
      </c>
      <c r="L212" s="710"/>
      <c r="M212" s="710" t="s">
        <v>1995</v>
      </c>
      <c r="N212" s="710"/>
      <c r="O212" s="895">
        <v>2014</v>
      </c>
      <c r="P212" s="1014">
        <v>43596</v>
      </c>
      <c r="Q212" s="1014">
        <v>43739</v>
      </c>
      <c r="R212" s="712">
        <f t="shared" si="65"/>
        <v>143</v>
      </c>
      <c r="S212" s="710" t="s">
        <v>1996</v>
      </c>
      <c r="T212" s="710" t="s">
        <v>1997</v>
      </c>
      <c r="U212" s="710" t="s">
        <v>1998</v>
      </c>
      <c r="V212" s="710"/>
      <c r="W212" s="710"/>
      <c r="X212" s="710"/>
      <c r="Y212" s="710"/>
      <c r="Z212" s="710"/>
      <c r="AA212" s="710"/>
      <c r="AB212" s="710"/>
      <c r="AC212" s="710"/>
      <c r="AD212" s="710" t="s">
        <v>1999</v>
      </c>
      <c r="AE212" s="710" t="s">
        <v>2000</v>
      </c>
      <c r="AF212" s="710" t="s">
        <v>2001</v>
      </c>
      <c r="AG212" s="710" t="s">
        <v>2002</v>
      </c>
      <c r="AH212" s="898">
        <v>3.1206</v>
      </c>
      <c r="AI212" s="868">
        <f t="shared" si="68"/>
        <v>3.1208</v>
      </c>
      <c r="AJ212" s="867">
        <f t="shared" si="69"/>
        <v>1.9999999999997797E-4</v>
      </c>
      <c r="AK212" s="898">
        <v>1.129</v>
      </c>
      <c r="AL212" s="899">
        <v>0.36199999999999999</v>
      </c>
      <c r="AM212" s="968">
        <v>1.2E-5</v>
      </c>
      <c r="AN212" s="869">
        <f t="shared" si="70"/>
        <v>0.36178939947446004</v>
      </c>
      <c r="AO212" s="869">
        <f t="shared" si="71"/>
        <v>2.1060052553995012E-4</v>
      </c>
      <c r="AP212" s="968"/>
      <c r="AQ212" s="968"/>
      <c r="AR212" s="968"/>
      <c r="AS212" s="869">
        <f t="shared" si="72"/>
        <v>0</v>
      </c>
      <c r="AT212" s="869">
        <f t="shared" si="73"/>
        <v>0</v>
      </c>
      <c r="AU212" s="898">
        <v>0.98009999999999997</v>
      </c>
      <c r="AV212" s="899">
        <v>0.314</v>
      </c>
      <c r="AW212" s="869">
        <f t="shared" si="74"/>
        <v>0.31407421649682754</v>
      </c>
      <c r="AX212" s="869">
        <f t="shared" si="75"/>
        <v>-7.4216496827539391E-5</v>
      </c>
      <c r="AY212" s="898">
        <v>0.33800000000000002</v>
      </c>
      <c r="AZ212" s="899">
        <v>0.108</v>
      </c>
      <c r="BA212" s="869">
        <f t="shared" si="76"/>
        <v>0.10831250400563995</v>
      </c>
      <c r="BB212" s="869">
        <f t="shared" si="77"/>
        <v>-3.1250400563995195E-4</v>
      </c>
      <c r="BC212" s="898">
        <v>0.18990000000000001</v>
      </c>
      <c r="BD212" s="899">
        <v>6.0999999999999999E-2</v>
      </c>
      <c r="BE212" s="869">
        <f t="shared" si="78"/>
        <v>6.0853681984233805E-2</v>
      </c>
      <c r="BF212" s="869">
        <f t="shared" si="79"/>
        <v>1.4631801576619335E-4</v>
      </c>
      <c r="BG212" s="898">
        <v>0.48380000000000001</v>
      </c>
      <c r="BH212" s="899">
        <v>0.155</v>
      </c>
      <c r="BI212" s="710" t="s">
        <v>2003</v>
      </c>
      <c r="BJ212" s="710" t="s">
        <v>769</v>
      </c>
      <c r="BK212" s="710" t="s">
        <v>2000</v>
      </c>
      <c r="BL212" s="714">
        <f t="shared" si="80"/>
        <v>0.15503428827789528</v>
      </c>
      <c r="BM212" s="869">
        <f t="shared" si="81"/>
        <v>-3.4288277895283548E-5</v>
      </c>
      <c r="BN212" s="898"/>
      <c r="BO212" s="899"/>
      <c r="BP212" s="869">
        <f t="shared" si="82"/>
        <v>0</v>
      </c>
      <c r="BQ212" s="869">
        <f t="shared" si="83"/>
        <v>0</v>
      </c>
      <c r="BR212" s="898">
        <v>1.1659999999999999</v>
      </c>
      <c r="BS212" s="968">
        <v>3.9999999999999998E-6</v>
      </c>
      <c r="BT212" s="968"/>
      <c r="BU212" s="968"/>
      <c r="BV212" s="901">
        <v>3</v>
      </c>
      <c r="BW212" s="901">
        <v>3</v>
      </c>
      <c r="BX212" s="901">
        <v>1</v>
      </c>
      <c r="BY212" s="901"/>
      <c r="BZ212" s="901"/>
      <c r="CA212" s="901"/>
      <c r="CB212" s="901"/>
      <c r="CC212" s="901"/>
      <c r="CD212" s="901"/>
      <c r="CE212" s="901"/>
      <c r="CF212" s="901"/>
      <c r="CG212" s="901"/>
      <c r="CH212" s="901"/>
      <c r="CI212" s="901"/>
      <c r="CJ212" s="901">
        <v>1</v>
      </c>
      <c r="CK212" s="901"/>
      <c r="CL212" s="901"/>
      <c r="CM212" s="901"/>
      <c r="CN212" s="901"/>
      <c r="CO212" s="901"/>
      <c r="CP212" s="901"/>
      <c r="CQ212" s="901"/>
      <c r="CR212" s="901"/>
      <c r="CS212" s="902">
        <f t="shared" si="86"/>
        <v>1</v>
      </c>
      <c r="CT212" s="871">
        <f t="shared" si="84"/>
        <v>1</v>
      </c>
      <c r="CU212" s="871">
        <f t="shared" si="85"/>
        <v>0</v>
      </c>
      <c r="CV212" s="942">
        <v>0.107</v>
      </c>
      <c r="CW212" s="710" t="s">
        <v>2004</v>
      </c>
      <c r="CX212" s="710"/>
      <c r="CY212" s="899">
        <v>6.9999999999999994E-5</v>
      </c>
      <c r="CZ212" s="899"/>
      <c r="DA212" s="899"/>
      <c r="DB212" s="899"/>
      <c r="DC212" s="710" t="s">
        <v>279</v>
      </c>
      <c r="DD212" s="710"/>
      <c r="DE212" s="710"/>
      <c r="DF212" s="901"/>
      <c r="DG212" s="901"/>
      <c r="DH212" s="901">
        <v>1</v>
      </c>
      <c r="DI212" s="710" t="s">
        <v>279</v>
      </c>
      <c r="DJ212" s="710"/>
      <c r="DK212" s="901"/>
      <c r="DL212" s="710" t="s">
        <v>278</v>
      </c>
      <c r="DM212" s="710" t="s">
        <v>1041</v>
      </c>
      <c r="DN212" s="901">
        <v>15</v>
      </c>
      <c r="DO212" s="710" t="s">
        <v>279</v>
      </c>
      <c r="DP212" s="710"/>
      <c r="DQ212" s="901"/>
      <c r="DR212" s="710" t="s">
        <v>279</v>
      </c>
      <c r="DS212" s="710"/>
      <c r="DT212" s="901"/>
      <c r="DU212" s="710" t="s">
        <v>279</v>
      </c>
      <c r="DV212" s="710"/>
      <c r="DW212" s="901"/>
      <c r="DX212" s="710" t="s">
        <v>279</v>
      </c>
      <c r="DY212" s="710"/>
      <c r="DZ212" s="901"/>
      <c r="EA212" s="710" t="s">
        <v>279</v>
      </c>
      <c r="EB212" s="710"/>
      <c r="EC212" s="901"/>
      <c r="ED212" s="710" t="s">
        <v>278</v>
      </c>
      <c r="EE212" s="710" t="s">
        <v>1041</v>
      </c>
      <c r="EF212" s="901">
        <v>15</v>
      </c>
      <c r="EG212" s="710" t="s">
        <v>279</v>
      </c>
      <c r="EH212" s="710"/>
      <c r="EI212" s="901"/>
      <c r="EJ212" s="710" t="s">
        <v>279</v>
      </c>
      <c r="EK212" s="710"/>
      <c r="EL212" s="901"/>
      <c r="EM212" s="710"/>
      <c r="EN212" s="710"/>
      <c r="EO212" s="901"/>
      <c r="EP212" s="710" t="s">
        <v>279</v>
      </c>
      <c r="EQ212" s="710"/>
      <c r="ER212" s="901"/>
      <c r="ES212" s="710" t="s">
        <v>279</v>
      </c>
      <c r="ET212" s="710"/>
      <c r="EU212" s="901"/>
      <c r="EV212" s="710" t="s">
        <v>1995</v>
      </c>
      <c r="EW212" s="710" t="s">
        <v>2005</v>
      </c>
      <c r="EX212" s="860">
        <v>3</v>
      </c>
      <c r="EY212" s="710" t="s">
        <v>279</v>
      </c>
      <c r="EZ212" s="710"/>
      <c r="FA212" s="710" t="s">
        <v>279</v>
      </c>
      <c r="FB212" s="710"/>
      <c r="FC212" s="710"/>
      <c r="FD212" s="710"/>
      <c r="FE212" s="710"/>
      <c r="FF212" s="710" t="s">
        <v>2006</v>
      </c>
      <c r="FG212" s="710"/>
      <c r="FH212" s="710"/>
      <c r="FI212" s="710"/>
      <c r="FJ212" s="710"/>
      <c r="FK212" s="710"/>
      <c r="FL212" s="710"/>
      <c r="FM212" s="710"/>
      <c r="FN212" s="710" t="s">
        <v>2007</v>
      </c>
      <c r="FO212" s="710" t="s">
        <v>2008</v>
      </c>
      <c r="FP212" s="710" t="s">
        <v>2009</v>
      </c>
    </row>
    <row r="213" spans="2:172" ht="129.5" customHeight="1">
      <c r="B213" s="850" t="s">
        <v>5315</v>
      </c>
      <c r="C213" s="850" t="s">
        <v>5357</v>
      </c>
      <c r="D213" s="850" t="s">
        <v>4933</v>
      </c>
      <c r="E213" s="850" t="s">
        <v>5318</v>
      </c>
      <c r="F213" s="850" t="s">
        <v>5358</v>
      </c>
      <c r="G213" s="850" t="s">
        <v>4933</v>
      </c>
      <c r="I213" s="850" t="s">
        <v>5519</v>
      </c>
      <c r="J213" s="850" t="s">
        <v>5464</v>
      </c>
      <c r="K213" s="710" t="s">
        <v>270</v>
      </c>
      <c r="L213" s="710"/>
      <c r="M213" s="710" t="s">
        <v>2010</v>
      </c>
      <c r="N213" s="710" t="s">
        <v>279</v>
      </c>
      <c r="O213" s="895">
        <v>2018</v>
      </c>
      <c r="P213" s="896">
        <v>43173</v>
      </c>
      <c r="Q213" s="896">
        <v>43830</v>
      </c>
      <c r="R213" s="712">
        <f t="shared" si="65"/>
        <v>657</v>
      </c>
      <c r="S213" s="710" t="s">
        <v>2011</v>
      </c>
      <c r="T213" s="710" t="s">
        <v>2012</v>
      </c>
      <c r="U213" s="945" t="s">
        <v>2013</v>
      </c>
      <c r="V213" s="710" t="s">
        <v>279</v>
      </c>
      <c r="W213" s="710"/>
      <c r="X213" s="710" t="s">
        <v>410</v>
      </c>
      <c r="Y213" s="710"/>
      <c r="Z213" s="710" t="s">
        <v>410</v>
      </c>
      <c r="AA213" s="710"/>
      <c r="AB213" s="710"/>
      <c r="AC213" s="710"/>
      <c r="AD213" s="710" t="s">
        <v>2014</v>
      </c>
      <c r="AE213" s="710" t="s">
        <v>2014</v>
      </c>
      <c r="AF213" s="710" t="s">
        <v>454</v>
      </c>
      <c r="AG213" s="710" t="s">
        <v>2015</v>
      </c>
      <c r="AH213" s="898">
        <v>10.379</v>
      </c>
      <c r="AI213" s="868">
        <f t="shared" si="68"/>
        <v>10.379</v>
      </c>
      <c r="AJ213" s="867">
        <f t="shared" si="69"/>
        <v>0</v>
      </c>
      <c r="AK213" s="898">
        <v>10.275</v>
      </c>
      <c r="AL213" s="899">
        <v>0.99</v>
      </c>
      <c r="AM213" s="900">
        <v>4.0000000000000003E-5</v>
      </c>
      <c r="AN213" s="869">
        <f t="shared" si="70"/>
        <v>0.98997976683688227</v>
      </c>
      <c r="AO213" s="869">
        <f t="shared" si="71"/>
        <v>2.0233163117722164E-5</v>
      </c>
      <c r="AP213" s="900"/>
      <c r="AQ213" s="900"/>
      <c r="AR213" s="900"/>
      <c r="AS213" s="869">
        <f t="shared" si="72"/>
        <v>0</v>
      </c>
      <c r="AT213" s="869">
        <f t="shared" si="73"/>
        <v>0</v>
      </c>
      <c r="AU213" s="898">
        <v>0.104</v>
      </c>
      <c r="AV213" s="899">
        <v>0.01</v>
      </c>
      <c r="AW213" s="869">
        <f t="shared" si="74"/>
        <v>1.0020233163117833E-2</v>
      </c>
      <c r="AX213" s="869">
        <f t="shared" si="75"/>
        <v>-2.0233163117833186E-5</v>
      </c>
      <c r="AY213" s="898"/>
      <c r="AZ213" s="899"/>
      <c r="BA213" s="869">
        <f t="shared" si="76"/>
        <v>0</v>
      </c>
      <c r="BB213" s="869">
        <f t="shared" si="77"/>
        <v>0</v>
      </c>
      <c r="BC213" s="898"/>
      <c r="BD213" s="899"/>
      <c r="BE213" s="869">
        <f t="shared" si="78"/>
        <v>0</v>
      </c>
      <c r="BF213" s="869">
        <f t="shared" si="79"/>
        <v>0</v>
      </c>
      <c r="BG213" s="898"/>
      <c r="BH213" s="899"/>
      <c r="BI213" s="710"/>
      <c r="BJ213" s="710"/>
      <c r="BK213" s="710"/>
      <c r="BL213" s="714">
        <f t="shared" si="80"/>
        <v>0</v>
      </c>
      <c r="BM213" s="869">
        <f t="shared" si="81"/>
        <v>0</v>
      </c>
      <c r="BN213" s="898"/>
      <c r="BO213" s="899"/>
      <c r="BP213" s="869">
        <f t="shared" si="82"/>
        <v>0</v>
      </c>
      <c r="BQ213" s="869">
        <f t="shared" si="83"/>
        <v>0</v>
      </c>
      <c r="BR213" s="898">
        <v>23.1</v>
      </c>
      <c r="BS213" s="900">
        <v>9.0000000000000006E-5</v>
      </c>
      <c r="BT213" s="900"/>
      <c r="BU213" s="900"/>
      <c r="BV213" s="901">
        <v>27</v>
      </c>
      <c r="BW213" s="901">
        <v>18</v>
      </c>
      <c r="BX213" s="901">
        <v>17</v>
      </c>
      <c r="BY213" s="901"/>
      <c r="BZ213" s="901"/>
      <c r="CA213" s="901"/>
      <c r="CB213" s="901"/>
      <c r="CC213" s="901"/>
      <c r="CD213" s="901">
        <v>6</v>
      </c>
      <c r="CE213" s="901"/>
      <c r="CF213" s="901"/>
      <c r="CG213" s="901"/>
      <c r="CH213" s="901"/>
      <c r="CI213" s="901"/>
      <c r="CJ213" s="901">
        <v>11</v>
      </c>
      <c r="CK213" s="901"/>
      <c r="CL213" s="901"/>
      <c r="CM213" s="901"/>
      <c r="CN213" s="901"/>
      <c r="CO213" s="901"/>
      <c r="CP213" s="901"/>
      <c r="CQ213" s="901"/>
      <c r="CR213" s="901"/>
      <c r="CS213" s="902">
        <f t="shared" si="86"/>
        <v>17</v>
      </c>
      <c r="CT213" s="871">
        <f t="shared" si="84"/>
        <v>17</v>
      </c>
      <c r="CU213" s="871">
        <f t="shared" si="85"/>
        <v>0</v>
      </c>
      <c r="CV213" s="942">
        <v>44.646000000000001</v>
      </c>
      <c r="CW213" s="710" t="s">
        <v>2016</v>
      </c>
      <c r="CX213" s="710"/>
      <c r="CY213" s="710">
        <v>2.7</v>
      </c>
      <c r="CZ213" s="899"/>
      <c r="DA213" s="899"/>
      <c r="DB213" s="899"/>
      <c r="DC213" s="710"/>
      <c r="DD213" s="710"/>
      <c r="DE213" s="710"/>
      <c r="DF213" s="901"/>
      <c r="DG213" s="901"/>
      <c r="DH213" s="901">
        <v>32</v>
      </c>
      <c r="DI213" s="710"/>
      <c r="DJ213" s="710"/>
      <c r="DK213" s="901"/>
      <c r="DL213" s="710" t="s">
        <v>278</v>
      </c>
      <c r="DM213" s="710" t="s">
        <v>2017</v>
      </c>
      <c r="DN213" s="901">
        <v>543</v>
      </c>
      <c r="DO213" s="710" t="s">
        <v>278</v>
      </c>
      <c r="DP213" s="710" t="s">
        <v>2018</v>
      </c>
      <c r="DQ213" s="901">
        <v>0</v>
      </c>
      <c r="DR213" s="710" t="s">
        <v>278</v>
      </c>
      <c r="DS213" s="710" t="s">
        <v>2018</v>
      </c>
      <c r="DT213" s="901">
        <v>7</v>
      </c>
      <c r="DU213" s="710" t="s">
        <v>278</v>
      </c>
      <c r="DV213" s="710" t="s">
        <v>2019</v>
      </c>
      <c r="DW213" s="901">
        <v>1</v>
      </c>
      <c r="DX213" s="710"/>
      <c r="DY213" s="710"/>
      <c r="DZ213" s="901"/>
      <c r="EA213" s="710"/>
      <c r="EB213" s="710"/>
      <c r="EC213" s="901"/>
      <c r="ED213" s="710" t="s">
        <v>278</v>
      </c>
      <c r="EE213" s="710" t="s">
        <v>1685</v>
      </c>
      <c r="EF213" s="901">
        <v>346</v>
      </c>
      <c r="EG213" s="710"/>
      <c r="EH213" s="710"/>
      <c r="EI213" s="901"/>
      <c r="EJ213" s="710" t="s">
        <v>278</v>
      </c>
      <c r="EK213" s="710" t="s">
        <v>1685</v>
      </c>
      <c r="EL213" s="901">
        <v>25</v>
      </c>
      <c r="EM213" s="710" t="s">
        <v>278</v>
      </c>
      <c r="EN213" s="710" t="s">
        <v>1685</v>
      </c>
      <c r="EO213" s="901">
        <v>52</v>
      </c>
      <c r="EP213" s="710" t="s">
        <v>278</v>
      </c>
      <c r="EQ213" s="710" t="s">
        <v>2020</v>
      </c>
      <c r="ER213" s="901"/>
      <c r="ES213" s="710" t="s">
        <v>278</v>
      </c>
      <c r="ET213" s="710" t="s">
        <v>1685</v>
      </c>
      <c r="EU213" s="901">
        <v>9</v>
      </c>
      <c r="EV213" s="710" t="s">
        <v>2021</v>
      </c>
      <c r="EW213" s="710" t="s">
        <v>410</v>
      </c>
      <c r="EX213" s="860" t="s">
        <v>2022</v>
      </c>
      <c r="EY213" s="710" t="s">
        <v>279</v>
      </c>
      <c r="EZ213" s="710"/>
      <c r="FA213" s="710" t="s">
        <v>279</v>
      </c>
      <c r="FB213" s="710" t="s">
        <v>410</v>
      </c>
      <c r="FC213" s="710" t="s">
        <v>2059</v>
      </c>
      <c r="FD213" s="710" t="s">
        <v>2023</v>
      </c>
      <c r="FE213" s="945" t="s">
        <v>2024</v>
      </c>
      <c r="FF213" s="710" t="s">
        <v>2025</v>
      </c>
      <c r="FG213" s="710" t="s">
        <v>2026</v>
      </c>
      <c r="FH213" s="710" t="s">
        <v>2027</v>
      </c>
      <c r="FI213" s="710" t="s">
        <v>2028</v>
      </c>
      <c r="FJ213" s="710" t="s">
        <v>410</v>
      </c>
      <c r="FK213" s="710" t="s">
        <v>2029</v>
      </c>
      <c r="FL213" s="710" t="s">
        <v>2030</v>
      </c>
      <c r="FM213" s="945" t="s">
        <v>2031</v>
      </c>
      <c r="FN213" s="710"/>
      <c r="FO213" s="710"/>
      <c r="FP213" s="710"/>
    </row>
    <row r="214" spans="2:172" ht="152" customHeight="1">
      <c r="B214" s="850" t="s">
        <v>5313</v>
      </c>
      <c r="C214" s="863"/>
      <c r="D214" s="850" t="s">
        <v>4934</v>
      </c>
      <c r="E214" s="850" t="s">
        <v>5314</v>
      </c>
      <c r="F214" s="863"/>
      <c r="H214" s="850" t="s">
        <v>4934</v>
      </c>
      <c r="I214" s="850" t="s">
        <v>5519</v>
      </c>
      <c r="J214" s="850" t="s">
        <v>5464</v>
      </c>
      <c r="K214" s="710" t="s">
        <v>270</v>
      </c>
      <c r="L214" s="710" t="s">
        <v>3932</v>
      </c>
      <c r="M214" s="710" t="s">
        <v>526</v>
      </c>
      <c r="N214" s="710" t="s">
        <v>526</v>
      </c>
      <c r="O214" s="895">
        <v>2019</v>
      </c>
      <c r="P214" s="896">
        <v>43668</v>
      </c>
      <c r="Q214" s="896">
        <v>43812</v>
      </c>
      <c r="R214" s="712">
        <f t="shared" si="65"/>
        <v>144</v>
      </c>
      <c r="S214" s="896"/>
      <c r="T214" s="896"/>
      <c r="U214" s="896"/>
      <c r="V214" s="896"/>
      <c r="W214" s="896"/>
      <c r="X214" s="896"/>
      <c r="Y214" s="896"/>
      <c r="Z214" s="896"/>
      <c r="AA214" s="896"/>
      <c r="AB214" s="710" t="s">
        <v>3987</v>
      </c>
      <c r="AC214" s="945" t="s">
        <v>4016</v>
      </c>
      <c r="AD214" s="710" t="s">
        <v>4045</v>
      </c>
      <c r="AE214" s="710" t="s">
        <v>4075</v>
      </c>
      <c r="AF214" s="710" t="s">
        <v>2419</v>
      </c>
      <c r="AG214" s="710" t="s">
        <v>4100</v>
      </c>
      <c r="AH214" s="898">
        <v>1.5771953400000001</v>
      </c>
      <c r="AI214" s="868">
        <f t="shared" si="68"/>
        <v>1.5771953400000001</v>
      </c>
      <c r="AJ214" s="867">
        <f t="shared" si="69"/>
        <v>0</v>
      </c>
      <c r="AK214" s="898"/>
      <c r="AL214" s="898"/>
      <c r="AM214" s="898"/>
      <c r="AN214" s="869">
        <f t="shared" si="70"/>
        <v>0</v>
      </c>
      <c r="AO214" s="869">
        <f t="shared" si="71"/>
        <v>0</v>
      </c>
      <c r="AP214" s="898"/>
      <c r="AQ214" s="899"/>
      <c r="AR214" s="899">
        <v>2.0000000000000001E-4</v>
      </c>
      <c r="AS214" s="869">
        <f t="shared" si="72"/>
        <v>0</v>
      </c>
      <c r="AT214" s="869">
        <f t="shared" si="73"/>
        <v>0</v>
      </c>
      <c r="AU214" s="942">
        <v>1.4074053399999999</v>
      </c>
      <c r="AV214" s="899">
        <v>0.89239999999999997</v>
      </c>
      <c r="AW214" s="869">
        <f t="shared" si="74"/>
        <v>0.89234687949306257</v>
      </c>
      <c r="AX214" s="869">
        <f t="shared" si="75"/>
        <v>5.3120506937398559E-5</v>
      </c>
      <c r="AY214" s="898">
        <v>0.12828999999999999</v>
      </c>
      <c r="AZ214" s="899">
        <v>8.1299999999999997E-2</v>
      </c>
      <c r="BA214" s="869">
        <f t="shared" si="76"/>
        <v>8.1340590316479111E-2</v>
      </c>
      <c r="BB214" s="869">
        <f t="shared" si="77"/>
        <v>-4.0590316479113819E-5</v>
      </c>
      <c r="BC214" s="898">
        <v>4.1500000000000002E-2</v>
      </c>
      <c r="BD214" s="899">
        <v>2.63E-2</v>
      </c>
      <c r="BE214" s="869">
        <f t="shared" si="78"/>
        <v>2.6312530190458209E-2</v>
      </c>
      <c r="BF214" s="869">
        <f t="shared" si="79"/>
        <v>-1.2530190458208412E-5</v>
      </c>
      <c r="BG214" s="899"/>
      <c r="BH214" s="899"/>
      <c r="BI214" s="899"/>
      <c r="BJ214" s="899"/>
      <c r="BK214" s="899"/>
      <c r="BL214" s="714">
        <f t="shared" si="80"/>
        <v>0</v>
      </c>
      <c r="BM214" s="869">
        <f t="shared" si="81"/>
        <v>0</v>
      </c>
      <c r="BN214" s="898">
        <v>0</v>
      </c>
      <c r="BO214" s="899">
        <v>0</v>
      </c>
      <c r="BP214" s="869">
        <f t="shared" si="82"/>
        <v>0</v>
      </c>
      <c r="BQ214" s="869">
        <f t="shared" si="83"/>
        <v>0</v>
      </c>
      <c r="BR214" s="899"/>
      <c r="BS214" s="899"/>
      <c r="BT214" s="898">
        <v>1</v>
      </c>
      <c r="BU214" s="899">
        <v>2.2000000000000001E-4</v>
      </c>
      <c r="BV214" s="901"/>
      <c r="BW214" s="901">
        <v>7</v>
      </c>
      <c r="BX214" s="901">
        <v>7</v>
      </c>
      <c r="BY214" s="901"/>
      <c r="BZ214" s="901"/>
      <c r="CA214" s="901"/>
      <c r="CB214" s="901"/>
      <c r="CC214" s="901"/>
      <c r="CD214" s="901">
        <v>1</v>
      </c>
      <c r="CE214" s="901"/>
      <c r="CF214" s="901"/>
      <c r="CG214" s="901"/>
      <c r="CH214" s="901">
        <v>2</v>
      </c>
      <c r="CI214" s="901">
        <v>1</v>
      </c>
      <c r="CJ214" s="901">
        <v>3</v>
      </c>
      <c r="CK214" s="901"/>
      <c r="CL214" s="901"/>
      <c r="CM214" s="901"/>
      <c r="CN214" s="901"/>
      <c r="CO214" s="901"/>
      <c r="CP214" s="901"/>
      <c r="CQ214" s="901"/>
      <c r="CR214" s="901"/>
      <c r="CS214" s="902">
        <f t="shared" si="86"/>
        <v>7</v>
      </c>
      <c r="CT214" s="871">
        <f t="shared" si="84"/>
        <v>7</v>
      </c>
      <c r="CU214" s="871">
        <f t="shared" si="85"/>
        <v>0</v>
      </c>
      <c r="CV214" s="942">
        <v>12843</v>
      </c>
      <c r="CW214" s="710"/>
      <c r="CX214" s="710"/>
      <c r="CY214" s="710"/>
      <c r="CZ214" s="710"/>
      <c r="DA214" s="710">
        <v>26.67</v>
      </c>
      <c r="DB214" s="943" t="s">
        <v>4133</v>
      </c>
      <c r="DC214" s="710" t="s">
        <v>279</v>
      </c>
      <c r="DD214" s="710"/>
      <c r="DE214" s="710"/>
      <c r="DF214" s="901"/>
      <c r="DG214" s="901"/>
      <c r="DH214" s="901"/>
      <c r="DI214" s="710" t="s">
        <v>279</v>
      </c>
      <c r="DJ214" s="710"/>
      <c r="DK214" s="901"/>
      <c r="DL214" s="710" t="s">
        <v>279</v>
      </c>
      <c r="DM214" s="710"/>
      <c r="DN214" s="901"/>
      <c r="DO214" s="710" t="s">
        <v>279</v>
      </c>
      <c r="DP214" s="710"/>
      <c r="DQ214" s="901"/>
      <c r="DR214" s="710" t="s">
        <v>279</v>
      </c>
      <c r="DS214" s="710"/>
      <c r="DT214" s="901"/>
      <c r="DU214" s="710" t="s">
        <v>279</v>
      </c>
      <c r="DV214" s="710"/>
      <c r="DW214" s="901"/>
      <c r="DX214" s="710"/>
      <c r="DY214" s="710"/>
      <c r="DZ214" s="901"/>
      <c r="EA214" s="710" t="s">
        <v>279</v>
      </c>
      <c r="EB214" s="710"/>
      <c r="EC214" s="901"/>
      <c r="ED214" s="710" t="s">
        <v>279</v>
      </c>
      <c r="EE214" s="710"/>
      <c r="EF214" s="901"/>
      <c r="EG214" s="710" t="s">
        <v>279</v>
      </c>
      <c r="EH214" s="710"/>
      <c r="EI214" s="901"/>
      <c r="EJ214" s="710" t="s">
        <v>278</v>
      </c>
      <c r="EK214" s="710" t="s">
        <v>1685</v>
      </c>
      <c r="EL214" s="901">
        <v>32</v>
      </c>
      <c r="EM214" s="710" t="s">
        <v>278</v>
      </c>
      <c r="EN214" s="710" t="s">
        <v>1685</v>
      </c>
      <c r="EO214" s="901">
        <v>8</v>
      </c>
      <c r="EP214" s="710" t="s">
        <v>279</v>
      </c>
      <c r="EQ214" s="710"/>
      <c r="ER214" s="901"/>
      <c r="ES214" s="710"/>
      <c r="ET214" s="710"/>
      <c r="EU214" s="901"/>
      <c r="EV214" s="901"/>
      <c r="EW214" s="901"/>
      <c r="EX214" s="901"/>
      <c r="EY214" s="710" t="s">
        <v>279</v>
      </c>
      <c r="EZ214" s="710"/>
      <c r="FA214" s="710" t="s">
        <v>279</v>
      </c>
      <c r="FB214" s="710"/>
      <c r="FC214" s="710" t="s">
        <v>4245</v>
      </c>
      <c r="FD214" s="945" t="s">
        <v>4267</v>
      </c>
      <c r="FE214" s="710"/>
      <c r="FF214" s="710" t="s">
        <v>4288</v>
      </c>
      <c r="FG214" s="710"/>
      <c r="FH214" s="710"/>
      <c r="FI214" s="710"/>
      <c r="FJ214" s="710"/>
      <c r="FK214" s="710" t="s">
        <v>4331</v>
      </c>
      <c r="FL214" s="901">
        <v>3467554913</v>
      </c>
      <c r="FM214" s="945" t="s">
        <v>4384</v>
      </c>
      <c r="FN214" s="710"/>
      <c r="FO214" s="710"/>
      <c r="FP214" s="710"/>
    </row>
    <row r="215" spans="2:172" ht="102" customHeight="1">
      <c r="B215" s="850" t="s">
        <v>5313</v>
      </c>
      <c r="C215" s="863"/>
      <c r="D215" s="850" t="s">
        <v>4934</v>
      </c>
      <c r="E215" s="850" t="s">
        <v>5314</v>
      </c>
      <c r="F215" s="863"/>
      <c r="H215" s="850" t="s">
        <v>4934</v>
      </c>
      <c r="I215" s="850" t="s">
        <v>5519</v>
      </c>
      <c r="J215" s="850" t="s">
        <v>5464</v>
      </c>
      <c r="K215" s="710" t="s">
        <v>270</v>
      </c>
      <c r="L215" s="710" t="s">
        <v>3933</v>
      </c>
      <c r="M215" s="710" t="s">
        <v>3962</v>
      </c>
      <c r="N215" s="710" t="s">
        <v>3962</v>
      </c>
      <c r="O215" s="895">
        <v>2017</v>
      </c>
      <c r="P215" s="896">
        <v>43401</v>
      </c>
      <c r="Q215" s="896">
        <v>43829</v>
      </c>
      <c r="R215" s="712">
        <f t="shared" si="65"/>
        <v>428</v>
      </c>
      <c r="S215" s="896"/>
      <c r="T215" s="896"/>
      <c r="U215" s="896"/>
      <c r="V215" s="896"/>
      <c r="W215" s="896"/>
      <c r="X215" s="896"/>
      <c r="Y215" s="896"/>
      <c r="Z215" s="896"/>
      <c r="AA215" s="896"/>
      <c r="AB215" s="710" t="s">
        <v>3988</v>
      </c>
      <c r="AC215" s="861" t="s">
        <v>4017</v>
      </c>
      <c r="AD215" s="710" t="s">
        <v>4046</v>
      </c>
      <c r="AE215" s="710" t="s">
        <v>4076</v>
      </c>
      <c r="AF215" s="710" t="s">
        <v>4092</v>
      </c>
      <c r="AG215" s="710" t="s">
        <v>4101</v>
      </c>
      <c r="AH215" s="898">
        <v>15.3</v>
      </c>
      <c r="AI215" s="868">
        <f t="shared" si="68"/>
        <v>15.3</v>
      </c>
      <c r="AJ215" s="867">
        <f t="shared" si="69"/>
        <v>0</v>
      </c>
      <c r="AK215" s="898"/>
      <c r="AL215" s="898"/>
      <c r="AM215" s="898"/>
      <c r="AN215" s="869">
        <f t="shared" si="70"/>
        <v>0</v>
      </c>
      <c r="AO215" s="869">
        <f t="shared" si="71"/>
        <v>0</v>
      </c>
      <c r="AP215" s="898"/>
      <c r="AQ215" s="899"/>
      <c r="AR215" s="1022">
        <v>2E-3</v>
      </c>
      <c r="AS215" s="869">
        <f t="shared" si="72"/>
        <v>0</v>
      </c>
      <c r="AT215" s="869">
        <f t="shared" si="73"/>
        <v>0</v>
      </c>
      <c r="AU215" s="1023">
        <v>14</v>
      </c>
      <c r="AV215" s="1022">
        <v>0.91503267973856206</v>
      </c>
      <c r="AW215" s="869">
        <f t="shared" si="74"/>
        <v>0.91503267973856206</v>
      </c>
      <c r="AX215" s="869">
        <f t="shared" si="75"/>
        <v>0</v>
      </c>
      <c r="AY215" s="898">
        <v>1.3</v>
      </c>
      <c r="AZ215" s="899">
        <v>8.4967320261437912E-2</v>
      </c>
      <c r="BA215" s="869">
        <f t="shared" si="76"/>
        <v>8.4967320261437912E-2</v>
      </c>
      <c r="BB215" s="869">
        <f t="shared" si="77"/>
        <v>0</v>
      </c>
      <c r="BC215" s="898"/>
      <c r="BD215" s="899"/>
      <c r="BE215" s="869">
        <f t="shared" si="78"/>
        <v>0</v>
      </c>
      <c r="BF215" s="869">
        <f t="shared" si="79"/>
        <v>0</v>
      </c>
      <c r="BG215" s="899"/>
      <c r="BH215" s="899"/>
      <c r="BI215" s="899"/>
      <c r="BJ215" s="899"/>
      <c r="BK215" s="899"/>
      <c r="BL215" s="714">
        <f t="shared" si="80"/>
        <v>0</v>
      </c>
      <c r="BM215" s="869">
        <f t="shared" si="81"/>
        <v>0</v>
      </c>
      <c r="BN215" s="898">
        <v>0</v>
      </c>
      <c r="BO215" s="899"/>
      <c r="BP215" s="869">
        <f t="shared" si="82"/>
        <v>0</v>
      </c>
      <c r="BQ215" s="869">
        <f t="shared" si="83"/>
        <v>0</v>
      </c>
      <c r="BR215" s="899"/>
      <c r="BS215" s="899"/>
      <c r="BT215" s="898">
        <v>20</v>
      </c>
      <c r="BU215" s="899">
        <v>2E-3</v>
      </c>
      <c r="BV215" s="901">
        <v>21</v>
      </c>
      <c r="BW215" s="901">
        <v>21</v>
      </c>
      <c r="BX215" s="901">
        <v>12</v>
      </c>
      <c r="BY215" s="901"/>
      <c r="BZ215" s="901"/>
      <c r="CA215" s="901"/>
      <c r="CB215" s="901"/>
      <c r="CC215" s="901"/>
      <c r="CD215" s="901"/>
      <c r="CE215" s="901"/>
      <c r="CF215" s="901">
        <v>1</v>
      </c>
      <c r="CG215" s="901">
        <v>5</v>
      </c>
      <c r="CH215" s="901"/>
      <c r="CI215" s="901">
        <v>1</v>
      </c>
      <c r="CJ215" s="901">
        <v>2</v>
      </c>
      <c r="CK215" s="901"/>
      <c r="CL215" s="901"/>
      <c r="CM215" s="901">
        <v>1</v>
      </c>
      <c r="CN215" s="901"/>
      <c r="CO215" s="901"/>
      <c r="CP215" s="901"/>
      <c r="CQ215" s="901"/>
      <c r="CR215" s="901">
        <v>2</v>
      </c>
      <c r="CS215" s="902">
        <f t="shared" si="86"/>
        <v>12</v>
      </c>
      <c r="CT215" s="871">
        <f t="shared" si="84"/>
        <v>12</v>
      </c>
      <c r="CU215" s="871">
        <f t="shared" si="85"/>
        <v>0</v>
      </c>
      <c r="CV215" s="942">
        <v>12</v>
      </c>
      <c r="CW215" s="710" t="s">
        <v>4116</v>
      </c>
      <c r="CX215" s="710"/>
      <c r="CY215" s="710"/>
      <c r="CZ215" s="710"/>
      <c r="DA215" s="710">
        <v>12</v>
      </c>
      <c r="DB215" s="899" t="s">
        <v>4134</v>
      </c>
      <c r="DC215" s="710" t="s">
        <v>279</v>
      </c>
      <c r="DD215" s="710"/>
      <c r="DE215" s="710"/>
      <c r="DF215" s="901"/>
      <c r="DG215" s="901"/>
      <c r="DH215" s="901">
        <v>2</v>
      </c>
      <c r="DI215" s="710"/>
      <c r="DJ215" s="710"/>
      <c r="DK215" s="901"/>
      <c r="DL215" s="710"/>
      <c r="DM215" s="710"/>
      <c r="DN215" s="901"/>
      <c r="DO215" s="710"/>
      <c r="DP215" s="710"/>
      <c r="DQ215" s="901"/>
      <c r="DR215" s="710"/>
      <c r="DS215" s="710"/>
      <c r="DT215" s="901"/>
      <c r="DU215" s="710"/>
      <c r="DV215" s="710"/>
      <c r="DW215" s="901"/>
      <c r="DX215" s="710" t="s">
        <v>278</v>
      </c>
      <c r="DY215" s="710" t="s">
        <v>4179</v>
      </c>
      <c r="DZ215" s="901">
        <v>71</v>
      </c>
      <c r="EA215" s="710"/>
      <c r="EB215" s="710"/>
      <c r="EC215" s="901"/>
      <c r="ED215" s="710"/>
      <c r="EE215" s="710"/>
      <c r="EF215" s="901"/>
      <c r="EG215" s="710"/>
      <c r="EH215" s="710"/>
      <c r="EI215" s="901"/>
      <c r="EJ215" s="710" t="s">
        <v>278</v>
      </c>
      <c r="EK215" s="861" t="s">
        <v>4191</v>
      </c>
      <c r="EL215" s="901">
        <v>17</v>
      </c>
      <c r="EM215" s="710"/>
      <c r="EN215" s="710"/>
      <c r="EO215" s="901"/>
      <c r="EP215" s="710"/>
      <c r="EQ215" s="710"/>
      <c r="ER215" s="901"/>
      <c r="ES215" s="710"/>
      <c r="ET215" s="710"/>
      <c r="EU215" s="901"/>
      <c r="EV215" s="901"/>
      <c r="EW215" s="901"/>
      <c r="EX215" s="901"/>
      <c r="EY215" s="710" t="s">
        <v>279</v>
      </c>
      <c r="EZ215" s="710" t="s">
        <v>4216</v>
      </c>
      <c r="FA215" s="710" t="s">
        <v>278</v>
      </c>
      <c r="FB215" s="710" t="s">
        <v>4223</v>
      </c>
      <c r="FC215" s="861" t="s">
        <v>4246</v>
      </c>
      <c r="FD215" s="861" t="s">
        <v>4268</v>
      </c>
      <c r="FE215" s="710"/>
      <c r="FF215" s="710" t="s">
        <v>4289</v>
      </c>
      <c r="FG215" s="710"/>
      <c r="FH215" s="710"/>
      <c r="FI215" s="710"/>
      <c r="FJ215" s="710"/>
      <c r="FK215" s="710" t="s">
        <v>4332</v>
      </c>
      <c r="FL215" s="710" t="s">
        <v>4359</v>
      </c>
      <c r="FM215" s="861" t="s">
        <v>4385</v>
      </c>
      <c r="FN215" s="710"/>
      <c r="FO215" s="710"/>
      <c r="FP215" s="710"/>
    </row>
    <row r="216" spans="2:172" ht="77.5" customHeight="1">
      <c r="B216" s="850" t="s">
        <v>5313</v>
      </c>
      <c r="C216" s="863"/>
      <c r="D216" s="850" t="s">
        <v>4934</v>
      </c>
      <c r="E216" s="850" t="s">
        <v>5314</v>
      </c>
      <c r="F216" s="863"/>
      <c r="H216" s="850" t="s">
        <v>4934</v>
      </c>
      <c r="I216" s="850" t="s">
        <v>5519</v>
      </c>
      <c r="J216" s="850" t="s">
        <v>5464</v>
      </c>
      <c r="K216" s="710" t="s">
        <v>270</v>
      </c>
      <c r="L216" s="710" t="s">
        <v>3934</v>
      </c>
      <c r="M216" s="710" t="s">
        <v>3963</v>
      </c>
      <c r="N216" s="710" t="s">
        <v>3974</v>
      </c>
      <c r="O216" s="895">
        <v>2017</v>
      </c>
      <c r="P216" s="896">
        <v>43560</v>
      </c>
      <c r="Q216" s="896">
        <v>43711</v>
      </c>
      <c r="R216" s="712">
        <f t="shared" si="65"/>
        <v>151</v>
      </c>
      <c r="S216" s="896"/>
      <c r="T216" s="896"/>
      <c r="U216" s="896"/>
      <c r="V216" s="896"/>
      <c r="W216" s="896"/>
      <c r="X216" s="896"/>
      <c r="Y216" s="896"/>
      <c r="Z216" s="896"/>
      <c r="AA216" s="896"/>
      <c r="AB216" s="710" t="s">
        <v>3989</v>
      </c>
      <c r="AC216" s="861" t="s">
        <v>4018</v>
      </c>
      <c r="AD216" s="710" t="s">
        <v>4047</v>
      </c>
      <c r="AE216" s="710" t="s">
        <v>4047</v>
      </c>
      <c r="AF216" s="710" t="s">
        <v>4093</v>
      </c>
      <c r="AG216" s="710" t="s">
        <v>4047</v>
      </c>
      <c r="AH216" s="898">
        <f>0.239</f>
        <v>0.23899999999999999</v>
      </c>
      <c r="AI216" s="868">
        <f t="shared" si="68"/>
        <v>0.23900000000000002</v>
      </c>
      <c r="AJ216" s="867">
        <f t="shared" si="69"/>
        <v>0</v>
      </c>
      <c r="AK216" s="898"/>
      <c r="AL216" s="898"/>
      <c r="AM216" s="898"/>
      <c r="AN216" s="869">
        <f t="shared" si="70"/>
        <v>0</v>
      </c>
      <c r="AO216" s="869">
        <f t="shared" si="71"/>
        <v>0</v>
      </c>
      <c r="AP216" s="898"/>
      <c r="AQ216" s="899"/>
      <c r="AR216" s="899">
        <f>AH216/178.553</f>
        <v>1.3385381371357524E-3</v>
      </c>
      <c r="AS216" s="869">
        <f t="shared" si="72"/>
        <v>0</v>
      </c>
      <c r="AT216" s="869">
        <f t="shared" si="73"/>
        <v>0</v>
      </c>
      <c r="AU216" s="942">
        <v>0.21560000000000001</v>
      </c>
      <c r="AV216" s="899">
        <v>0.90209205020920513</v>
      </c>
      <c r="AW216" s="869">
        <f t="shared" si="74"/>
        <v>0.90209205020920513</v>
      </c>
      <c r="AX216" s="869">
        <f t="shared" si="75"/>
        <v>0</v>
      </c>
      <c r="AY216" s="898">
        <f>0.0234</f>
        <v>2.3400000000000001E-2</v>
      </c>
      <c r="AZ216" s="899">
        <f>AY216/AH216</f>
        <v>9.7907949790794979E-2</v>
      </c>
      <c r="BA216" s="869">
        <f t="shared" si="76"/>
        <v>9.7907949790794979E-2</v>
      </c>
      <c r="BB216" s="869">
        <f t="shared" si="77"/>
        <v>0</v>
      </c>
      <c r="BC216" s="898">
        <v>0</v>
      </c>
      <c r="BD216" s="899"/>
      <c r="BE216" s="869">
        <f t="shared" si="78"/>
        <v>0</v>
      </c>
      <c r="BF216" s="869">
        <f t="shared" si="79"/>
        <v>0</v>
      </c>
      <c r="BG216" s="899"/>
      <c r="BH216" s="899"/>
      <c r="BI216" s="899"/>
      <c r="BJ216" s="899"/>
      <c r="BK216" s="899"/>
      <c r="BL216" s="714">
        <f t="shared" si="80"/>
        <v>0</v>
      </c>
      <c r="BM216" s="869">
        <f t="shared" si="81"/>
        <v>0</v>
      </c>
      <c r="BN216" s="898">
        <v>0</v>
      </c>
      <c r="BO216" s="899"/>
      <c r="BP216" s="869">
        <f t="shared" si="82"/>
        <v>0</v>
      </c>
      <c r="BQ216" s="869">
        <f t="shared" si="83"/>
        <v>0</v>
      </c>
      <c r="BR216" s="899"/>
      <c r="BS216" s="899"/>
      <c r="BT216" s="898">
        <f>0.75</f>
        <v>0.75</v>
      </c>
      <c r="BU216" s="899">
        <f>BT216/173.272</f>
        <v>4.3284546839650953E-3</v>
      </c>
      <c r="BV216" s="901">
        <v>3</v>
      </c>
      <c r="BW216" s="901"/>
      <c r="BX216" s="901">
        <v>3</v>
      </c>
      <c r="BY216" s="901"/>
      <c r="BZ216" s="901"/>
      <c r="CA216" s="901"/>
      <c r="CB216" s="901"/>
      <c r="CC216" s="901"/>
      <c r="CD216" s="901"/>
      <c r="CE216" s="901"/>
      <c r="CF216" s="901"/>
      <c r="CG216" s="901"/>
      <c r="CH216" s="901">
        <v>3</v>
      </c>
      <c r="CI216" s="901"/>
      <c r="CJ216" s="901"/>
      <c r="CK216" s="901"/>
      <c r="CL216" s="901"/>
      <c r="CM216" s="901"/>
      <c r="CN216" s="901"/>
      <c r="CO216" s="901"/>
      <c r="CP216" s="901"/>
      <c r="CQ216" s="901"/>
      <c r="CR216" s="901"/>
      <c r="CS216" s="871">
        <f t="shared" si="86"/>
        <v>3</v>
      </c>
      <c r="CT216" s="871">
        <f t="shared" si="84"/>
        <v>3</v>
      </c>
      <c r="CU216" s="871">
        <f t="shared" si="85"/>
        <v>0</v>
      </c>
      <c r="CV216" s="872">
        <v>0.28299999999999997</v>
      </c>
      <c r="CW216" s="710" t="s">
        <v>4117</v>
      </c>
      <c r="CX216" s="710"/>
      <c r="CY216" s="710"/>
      <c r="CZ216" s="710"/>
      <c r="DA216" s="872">
        <f>CV216/19.547*100</f>
        <v>1.4477925001278968</v>
      </c>
      <c r="DB216" s="899"/>
      <c r="DC216" s="714" t="s">
        <v>279</v>
      </c>
      <c r="DD216" s="710"/>
      <c r="DE216" s="710"/>
      <c r="DF216" s="901"/>
      <c r="DG216" s="901"/>
      <c r="DH216" s="870">
        <f>1</f>
        <v>1</v>
      </c>
      <c r="DI216" s="948"/>
      <c r="DJ216" s="710"/>
      <c r="DK216" s="901"/>
      <c r="DL216" s="714" t="s">
        <v>278</v>
      </c>
      <c r="DM216" s="710" t="s">
        <v>4165</v>
      </c>
      <c r="DN216" s="870">
        <f>22</f>
        <v>22</v>
      </c>
      <c r="DO216" s="714">
        <v>0</v>
      </c>
      <c r="DP216" s="714"/>
      <c r="DQ216" s="870"/>
      <c r="DR216" s="714">
        <v>0</v>
      </c>
      <c r="DS216" s="714"/>
      <c r="DT216" s="870"/>
      <c r="DU216" s="714">
        <v>0</v>
      </c>
      <c r="DV216" s="714"/>
      <c r="DW216" s="870"/>
      <c r="DX216" s="714">
        <v>0</v>
      </c>
      <c r="DY216" s="710"/>
      <c r="DZ216" s="901"/>
      <c r="EA216" s="714" t="s">
        <v>279</v>
      </c>
      <c r="EB216" s="710"/>
      <c r="EC216" s="901"/>
      <c r="ED216" s="714"/>
      <c r="EE216" s="710"/>
      <c r="EF216" s="901"/>
      <c r="EG216" s="714">
        <v>0</v>
      </c>
      <c r="EH216" s="710"/>
      <c r="EI216" s="901"/>
      <c r="EJ216" s="714">
        <v>0</v>
      </c>
      <c r="EK216" s="710"/>
      <c r="EL216" s="901"/>
      <c r="EM216" s="714" t="s">
        <v>278</v>
      </c>
      <c r="EN216" s="714" t="s">
        <v>4194</v>
      </c>
      <c r="EO216" s="870">
        <v>7</v>
      </c>
      <c r="EP216" s="714">
        <v>0</v>
      </c>
      <c r="EQ216" s="710"/>
      <c r="ER216" s="901"/>
      <c r="ES216" s="714">
        <v>0</v>
      </c>
      <c r="ET216" s="710"/>
      <c r="EU216" s="901"/>
      <c r="EV216" s="901"/>
      <c r="EW216" s="901"/>
      <c r="EX216" s="901"/>
      <c r="EY216" s="710"/>
      <c r="EZ216" s="710"/>
      <c r="FA216" s="714" t="s">
        <v>278</v>
      </c>
      <c r="FB216" s="710" t="s">
        <v>4224</v>
      </c>
      <c r="FC216" s="861" t="s">
        <v>4018</v>
      </c>
      <c r="FD216" s="714">
        <v>0</v>
      </c>
      <c r="FE216" s="714">
        <v>0</v>
      </c>
      <c r="FF216" s="714" t="s">
        <v>4290</v>
      </c>
      <c r="FG216" s="714">
        <v>0</v>
      </c>
      <c r="FH216" s="714">
        <v>0</v>
      </c>
      <c r="FI216" s="710"/>
      <c r="FJ216" s="710"/>
      <c r="FK216" s="710" t="s">
        <v>4333</v>
      </c>
      <c r="FL216" s="710" t="s">
        <v>4360</v>
      </c>
      <c r="FM216" s="861" t="s">
        <v>4386</v>
      </c>
      <c r="FN216" s="710" t="s">
        <v>4333</v>
      </c>
      <c r="FO216" s="710" t="s">
        <v>4360</v>
      </c>
      <c r="FP216" s="861" t="s">
        <v>4386</v>
      </c>
    </row>
    <row r="217" spans="2:172" ht="128.5" customHeight="1">
      <c r="B217" s="850" t="s">
        <v>5313</v>
      </c>
      <c r="C217" s="863"/>
      <c r="D217" s="850" t="s">
        <v>4934</v>
      </c>
      <c r="E217" s="850" t="s">
        <v>5314</v>
      </c>
      <c r="F217" s="863"/>
      <c r="H217" s="850" t="s">
        <v>4934</v>
      </c>
      <c r="I217" s="850" t="s">
        <v>5519</v>
      </c>
      <c r="J217" s="850" t="s">
        <v>5464</v>
      </c>
      <c r="K217" s="710" t="s">
        <v>270</v>
      </c>
      <c r="L217" s="710" t="s">
        <v>3935</v>
      </c>
      <c r="M217" s="710" t="s">
        <v>3963</v>
      </c>
      <c r="N217" s="710" t="s">
        <v>3974</v>
      </c>
      <c r="O217" s="895">
        <v>2017</v>
      </c>
      <c r="P217" s="896">
        <v>43493</v>
      </c>
      <c r="Q217" s="896">
        <v>43682</v>
      </c>
      <c r="R217" s="712">
        <f t="shared" si="65"/>
        <v>189</v>
      </c>
      <c r="S217" s="896"/>
      <c r="T217" s="896"/>
      <c r="U217" s="896"/>
      <c r="V217" s="896"/>
      <c r="W217" s="896"/>
      <c r="X217" s="896"/>
      <c r="Y217" s="896"/>
      <c r="Z217" s="896"/>
      <c r="AA217" s="896"/>
      <c r="AB217" s="710" t="s">
        <v>3990</v>
      </c>
      <c r="AC217" s="940" t="s">
        <v>4019</v>
      </c>
      <c r="AD217" s="710" t="s">
        <v>4048</v>
      </c>
      <c r="AE217" s="710" t="s">
        <v>4048</v>
      </c>
      <c r="AF217" s="710" t="s">
        <v>4093</v>
      </c>
      <c r="AG217" s="710" t="s">
        <v>4048</v>
      </c>
      <c r="AH217" s="898">
        <v>0.15</v>
      </c>
      <c r="AI217" s="868">
        <f t="shared" si="68"/>
        <v>0.15</v>
      </c>
      <c r="AJ217" s="867">
        <f t="shared" si="69"/>
        <v>0</v>
      </c>
      <c r="AK217" s="898"/>
      <c r="AL217" s="898"/>
      <c r="AM217" s="898"/>
      <c r="AN217" s="869">
        <f t="shared" si="70"/>
        <v>0</v>
      </c>
      <c r="AO217" s="869">
        <f t="shared" si="71"/>
        <v>0</v>
      </c>
      <c r="AP217" s="898"/>
      <c r="AQ217" s="899"/>
      <c r="AR217" s="899">
        <f>AH217/26.789</f>
        <v>5.599313150920153E-3</v>
      </c>
      <c r="AS217" s="869">
        <f t="shared" si="72"/>
        <v>0</v>
      </c>
      <c r="AT217" s="869">
        <f t="shared" si="73"/>
        <v>0</v>
      </c>
      <c r="AU217" s="942">
        <v>0.15</v>
      </c>
      <c r="AV217" s="899">
        <v>1</v>
      </c>
      <c r="AW217" s="869">
        <f t="shared" si="74"/>
        <v>1</v>
      </c>
      <c r="AX217" s="869">
        <f t="shared" si="75"/>
        <v>0</v>
      </c>
      <c r="AY217" s="898"/>
      <c r="AZ217" s="899">
        <f>AY217/AH217</f>
        <v>0</v>
      </c>
      <c r="BA217" s="869">
        <f t="shared" si="76"/>
        <v>0</v>
      </c>
      <c r="BB217" s="869">
        <f t="shared" si="77"/>
        <v>0</v>
      </c>
      <c r="BC217" s="898">
        <v>0</v>
      </c>
      <c r="BD217" s="899"/>
      <c r="BE217" s="869">
        <f t="shared" si="78"/>
        <v>0</v>
      </c>
      <c r="BF217" s="869">
        <f t="shared" si="79"/>
        <v>0</v>
      </c>
      <c r="BG217" s="899"/>
      <c r="BH217" s="899"/>
      <c r="BI217" s="899"/>
      <c r="BJ217" s="899"/>
      <c r="BK217" s="899"/>
      <c r="BL217" s="714">
        <f t="shared" si="80"/>
        <v>0</v>
      </c>
      <c r="BM217" s="869">
        <f t="shared" si="81"/>
        <v>0</v>
      </c>
      <c r="BN217" s="898">
        <v>0</v>
      </c>
      <c r="BO217" s="899"/>
      <c r="BP217" s="869">
        <f t="shared" si="82"/>
        <v>0</v>
      </c>
      <c r="BQ217" s="869">
        <f t="shared" si="83"/>
        <v>0</v>
      </c>
      <c r="BR217" s="899"/>
      <c r="BS217" s="899"/>
      <c r="BT217" s="898">
        <v>0.151</v>
      </c>
      <c r="BU217" s="899">
        <f>BT217/173.272</f>
        <v>8.714622097049725E-4</v>
      </c>
      <c r="BV217" s="901">
        <v>1</v>
      </c>
      <c r="BW217" s="901"/>
      <c r="BX217" s="901">
        <v>1</v>
      </c>
      <c r="BY217" s="901"/>
      <c r="BZ217" s="901"/>
      <c r="CA217" s="901"/>
      <c r="CB217" s="901"/>
      <c r="CC217" s="901"/>
      <c r="CD217" s="901"/>
      <c r="CE217" s="901"/>
      <c r="CF217" s="901"/>
      <c r="CG217" s="901"/>
      <c r="CH217" s="901"/>
      <c r="CI217" s="901"/>
      <c r="CJ217" s="901">
        <v>1</v>
      </c>
      <c r="CK217" s="901"/>
      <c r="CL217" s="901"/>
      <c r="CM217" s="901"/>
      <c r="CN217" s="901"/>
      <c r="CO217" s="901"/>
      <c r="CP217" s="901"/>
      <c r="CQ217" s="901"/>
      <c r="CR217" s="901"/>
      <c r="CS217" s="871">
        <f t="shared" si="86"/>
        <v>1</v>
      </c>
      <c r="CT217" s="871">
        <f t="shared" si="84"/>
        <v>1</v>
      </c>
      <c r="CU217" s="871">
        <f t="shared" si="85"/>
        <v>0</v>
      </c>
      <c r="CV217" s="872">
        <v>1.4870000000000001</v>
      </c>
      <c r="CW217" s="901" t="s">
        <v>4118</v>
      </c>
      <c r="CX217" s="901"/>
      <c r="CY217" s="901"/>
      <c r="CZ217" s="901"/>
      <c r="DA217" s="870">
        <f>CV217/1.487*100</f>
        <v>100</v>
      </c>
      <c r="DB217" s="901"/>
      <c r="DC217" s="714" t="s">
        <v>279</v>
      </c>
      <c r="DD217" s="948"/>
      <c r="DE217" s="948"/>
      <c r="DF217" s="948"/>
      <c r="DG217" s="901"/>
      <c r="DH217" s="714">
        <v>1</v>
      </c>
      <c r="DI217" s="714" t="s">
        <v>278</v>
      </c>
      <c r="DJ217" s="714" t="s">
        <v>4159</v>
      </c>
      <c r="DK217" s="714">
        <v>259</v>
      </c>
      <c r="DL217" s="857"/>
      <c r="DM217" s="857"/>
      <c r="DN217" s="857"/>
      <c r="DO217" s="714">
        <v>0</v>
      </c>
      <c r="DP217" s="714"/>
      <c r="DQ217" s="870"/>
      <c r="DR217" s="714">
        <v>0</v>
      </c>
      <c r="DS217" s="714"/>
      <c r="DT217" s="870"/>
      <c r="DU217" s="714">
        <v>0</v>
      </c>
      <c r="DV217" s="714"/>
      <c r="DW217" s="870"/>
      <c r="DX217" s="714">
        <v>0</v>
      </c>
      <c r="DY217" s="710"/>
      <c r="DZ217" s="901"/>
      <c r="EA217" s="714" t="s">
        <v>279</v>
      </c>
      <c r="EB217" s="710"/>
      <c r="EC217" s="901"/>
      <c r="ED217" s="714"/>
      <c r="EE217" s="710"/>
      <c r="EF217" s="901"/>
      <c r="EG217" s="714">
        <v>0</v>
      </c>
      <c r="EH217" s="710"/>
      <c r="EI217" s="901"/>
      <c r="EJ217" s="714">
        <v>0</v>
      </c>
      <c r="EK217" s="710"/>
      <c r="EL217" s="901"/>
      <c r="EM217" s="714" t="s">
        <v>278</v>
      </c>
      <c r="EN217" s="714" t="s">
        <v>4194</v>
      </c>
      <c r="EO217" s="870">
        <v>5</v>
      </c>
      <c r="EP217" s="714">
        <v>0</v>
      </c>
      <c r="EQ217" s="710"/>
      <c r="ER217" s="901"/>
      <c r="ES217" s="714">
        <v>0</v>
      </c>
      <c r="ET217" s="710"/>
      <c r="EU217" s="901"/>
      <c r="EV217" s="901"/>
      <c r="EW217" s="901"/>
      <c r="EX217" s="901"/>
      <c r="EY217" s="710"/>
      <c r="EZ217" s="710"/>
      <c r="FA217" s="714" t="s">
        <v>278</v>
      </c>
      <c r="FB217" s="710" t="s">
        <v>4225</v>
      </c>
      <c r="FC217" s="861" t="s">
        <v>4247</v>
      </c>
      <c r="FD217" s="714">
        <v>0</v>
      </c>
      <c r="FE217" s="714">
        <v>0</v>
      </c>
      <c r="FF217" s="714" t="s">
        <v>4290</v>
      </c>
      <c r="FG217" s="714">
        <v>0</v>
      </c>
      <c r="FH217" s="714">
        <v>0</v>
      </c>
      <c r="FI217" s="710"/>
      <c r="FJ217" s="710"/>
      <c r="FK217" s="710" t="s">
        <v>4333</v>
      </c>
      <c r="FL217" s="710" t="s">
        <v>4360</v>
      </c>
      <c r="FM217" s="861" t="s">
        <v>4386</v>
      </c>
      <c r="FN217" s="710" t="s">
        <v>4333</v>
      </c>
      <c r="FO217" s="710" t="s">
        <v>4360</v>
      </c>
      <c r="FP217" s="861" t="s">
        <v>4386</v>
      </c>
    </row>
    <row r="218" spans="2:172" ht="144.5" customHeight="1">
      <c r="B218" s="850" t="s">
        <v>5313</v>
      </c>
      <c r="C218" s="863"/>
      <c r="D218" s="850" t="s">
        <v>4934</v>
      </c>
      <c r="E218" s="850" t="s">
        <v>5314</v>
      </c>
      <c r="F218" s="863"/>
      <c r="H218" s="850" t="s">
        <v>4934</v>
      </c>
      <c r="I218" s="850" t="s">
        <v>5519</v>
      </c>
      <c r="J218" s="850" t="s">
        <v>5464</v>
      </c>
      <c r="K218" s="710" t="s">
        <v>270</v>
      </c>
      <c r="L218" s="710" t="s">
        <v>3936</v>
      </c>
      <c r="M218" s="710" t="s">
        <v>3963</v>
      </c>
      <c r="N218" s="710" t="s">
        <v>3974</v>
      </c>
      <c r="O218" s="895">
        <v>2017</v>
      </c>
      <c r="P218" s="896">
        <v>43487</v>
      </c>
      <c r="Q218" s="896">
        <v>43799</v>
      </c>
      <c r="R218" s="712">
        <f t="shared" ref="R218:R277" si="87">Q218-P218</f>
        <v>312</v>
      </c>
      <c r="S218" s="896"/>
      <c r="T218" s="896"/>
      <c r="U218" s="896"/>
      <c r="V218" s="896"/>
      <c r="W218" s="896"/>
      <c r="X218" s="896"/>
      <c r="Y218" s="896"/>
      <c r="Z218" s="896"/>
      <c r="AA218" s="896"/>
      <c r="AB218" s="710" t="s">
        <v>3991</v>
      </c>
      <c r="AC218" s="940" t="s">
        <v>4020</v>
      </c>
      <c r="AD218" s="710" t="s">
        <v>4049</v>
      </c>
      <c r="AE218" s="710" t="s">
        <v>4049</v>
      </c>
      <c r="AF218" s="710" t="s">
        <v>4093</v>
      </c>
      <c r="AG218" s="710" t="s">
        <v>4049</v>
      </c>
      <c r="AH218" s="898">
        <v>2.4830000000000001</v>
      </c>
      <c r="AI218" s="868">
        <f t="shared" si="68"/>
        <v>1.5198</v>
      </c>
      <c r="AJ218" s="875">
        <f t="shared" si="69"/>
        <v>-0.96320000000000006</v>
      </c>
      <c r="AK218" s="898"/>
      <c r="AL218" s="898"/>
      <c r="AM218" s="898"/>
      <c r="AN218" s="869">
        <f t="shared" si="70"/>
        <v>0</v>
      </c>
      <c r="AO218" s="869">
        <f t="shared" si="71"/>
        <v>0</v>
      </c>
      <c r="AP218" s="898"/>
      <c r="AQ218" s="899"/>
      <c r="AR218" s="899">
        <f>AH218/176.03</f>
        <v>1.410555019030847E-2</v>
      </c>
      <c r="AS218" s="869">
        <f t="shared" si="72"/>
        <v>0</v>
      </c>
      <c r="AT218" s="869">
        <f t="shared" si="73"/>
        <v>0</v>
      </c>
      <c r="AU218" s="942">
        <v>1.3109999999999999</v>
      </c>
      <c r="AV218" s="899">
        <v>0.52799033427305675</v>
      </c>
      <c r="AW218" s="869">
        <f t="shared" si="74"/>
        <v>0.52799033427305675</v>
      </c>
      <c r="AX218" s="869">
        <f t="shared" si="75"/>
        <v>0</v>
      </c>
      <c r="AY218" s="898">
        <f>0.2322-0.0234</f>
        <v>0.20879999999999999</v>
      </c>
      <c r="AZ218" s="899">
        <f>AY218/AH218</f>
        <v>8.4091824405960525E-2</v>
      </c>
      <c r="BA218" s="869">
        <f t="shared" si="76"/>
        <v>8.4091824405960525E-2</v>
      </c>
      <c r="BB218" s="869">
        <f t="shared" si="77"/>
        <v>0</v>
      </c>
      <c r="BC218" s="898">
        <v>0</v>
      </c>
      <c r="BD218" s="899"/>
      <c r="BE218" s="869">
        <f t="shared" si="78"/>
        <v>0</v>
      </c>
      <c r="BF218" s="869">
        <f t="shared" si="79"/>
        <v>0</v>
      </c>
      <c r="BG218" s="899"/>
      <c r="BH218" s="899"/>
      <c r="BI218" s="899"/>
      <c r="BJ218" s="899"/>
      <c r="BK218" s="899"/>
      <c r="BL218" s="714">
        <f t="shared" si="80"/>
        <v>0</v>
      </c>
      <c r="BM218" s="869">
        <f t="shared" si="81"/>
        <v>0</v>
      </c>
      <c r="BN218" s="898">
        <v>0</v>
      </c>
      <c r="BO218" s="899"/>
      <c r="BP218" s="869">
        <f t="shared" si="82"/>
        <v>0</v>
      </c>
      <c r="BQ218" s="869">
        <f t="shared" si="83"/>
        <v>0</v>
      </c>
      <c r="BR218" s="899"/>
      <c r="BS218" s="899"/>
      <c r="BT218" s="898">
        <v>1.0122</v>
      </c>
      <c r="BU218" s="899">
        <f>BT218/173.272</f>
        <v>5.8416824414792932E-3</v>
      </c>
      <c r="BV218" s="901">
        <v>7</v>
      </c>
      <c r="BW218" s="901"/>
      <c r="BX218" s="901">
        <f>6</f>
        <v>6</v>
      </c>
      <c r="BY218" s="901"/>
      <c r="BZ218" s="901">
        <v>1</v>
      </c>
      <c r="CA218" s="901"/>
      <c r="CB218" s="901"/>
      <c r="CC218" s="901"/>
      <c r="CD218" s="901">
        <f>1+1</f>
        <v>2</v>
      </c>
      <c r="CE218" s="901"/>
      <c r="CF218" s="901"/>
      <c r="CG218" s="901"/>
      <c r="CH218" s="901"/>
      <c r="CI218" s="901"/>
      <c r="CJ218" s="901">
        <f>1+1+1</f>
        <v>3</v>
      </c>
      <c r="CK218" s="901"/>
      <c r="CL218" s="901"/>
      <c r="CM218" s="901"/>
      <c r="CN218" s="901"/>
      <c r="CO218" s="901"/>
      <c r="CP218" s="901"/>
      <c r="CQ218" s="901"/>
      <c r="CR218" s="901"/>
      <c r="CS218" s="871">
        <f t="shared" si="86"/>
        <v>6</v>
      </c>
      <c r="CT218" s="871">
        <f t="shared" si="84"/>
        <v>6</v>
      </c>
      <c r="CU218" s="871">
        <f t="shared" si="85"/>
        <v>0</v>
      </c>
      <c r="CV218" s="872">
        <v>5.875</v>
      </c>
      <c r="CW218" s="901" t="s">
        <v>4119</v>
      </c>
      <c r="CX218" s="901"/>
      <c r="CY218" s="901"/>
      <c r="CZ218" s="901"/>
      <c r="DA218" s="870">
        <v>100</v>
      </c>
      <c r="DB218" s="870"/>
      <c r="DC218" s="714" t="s">
        <v>279</v>
      </c>
      <c r="DD218" s="948"/>
      <c r="DE218" s="948"/>
      <c r="DF218" s="948"/>
      <c r="DG218" s="901"/>
      <c r="DH218" s="714">
        <v>6</v>
      </c>
      <c r="DI218" s="714" t="s">
        <v>278</v>
      </c>
      <c r="DJ218" s="714" t="s">
        <v>4160</v>
      </c>
      <c r="DK218" s="714">
        <v>290</v>
      </c>
      <c r="DL218" s="714" t="s">
        <v>278</v>
      </c>
      <c r="DM218" s="714" t="s">
        <v>4166</v>
      </c>
      <c r="DN218" s="714">
        <v>49</v>
      </c>
      <c r="DO218" s="714">
        <v>0</v>
      </c>
      <c r="DP218" s="714"/>
      <c r="DQ218" s="870"/>
      <c r="DR218" s="714">
        <v>0</v>
      </c>
      <c r="DS218" s="714"/>
      <c r="DT218" s="870"/>
      <c r="DU218" s="714">
        <v>0</v>
      </c>
      <c r="DV218" s="714"/>
      <c r="DW218" s="870"/>
      <c r="DX218" s="714">
        <v>0</v>
      </c>
      <c r="DY218" s="710"/>
      <c r="DZ218" s="901"/>
      <c r="EA218" s="714" t="s">
        <v>279</v>
      </c>
      <c r="EB218" s="710"/>
      <c r="EC218" s="901"/>
      <c r="ED218" s="714"/>
      <c r="EE218" s="710"/>
      <c r="EF218" s="901"/>
      <c r="EG218" s="714">
        <v>0</v>
      </c>
      <c r="EH218" s="710"/>
      <c r="EI218" s="901"/>
      <c r="EJ218" s="714">
        <v>0</v>
      </c>
      <c r="EK218" s="710"/>
      <c r="EL218" s="901"/>
      <c r="EM218" s="714" t="s">
        <v>278</v>
      </c>
      <c r="EN218" s="714" t="s">
        <v>4194</v>
      </c>
      <c r="EO218" s="870">
        <v>31</v>
      </c>
      <c r="EP218" s="714">
        <v>0</v>
      </c>
      <c r="EQ218" s="710"/>
      <c r="ER218" s="901"/>
      <c r="ES218" s="714">
        <v>0</v>
      </c>
      <c r="ET218" s="710"/>
      <c r="EU218" s="901"/>
      <c r="EV218" s="901"/>
      <c r="EW218" s="901"/>
      <c r="EX218" s="901"/>
      <c r="EY218" s="710"/>
      <c r="EZ218" s="710"/>
      <c r="FA218" s="714" t="s">
        <v>278</v>
      </c>
      <c r="FB218" s="710" t="s">
        <v>4226</v>
      </c>
      <c r="FC218" s="861" t="s">
        <v>4248</v>
      </c>
      <c r="FD218" s="714">
        <v>0</v>
      </c>
      <c r="FE218" s="714">
        <v>0</v>
      </c>
      <c r="FF218" s="714" t="s">
        <v>4291</v>
      </c>
      <c r="FG218" s="714">
        <v>0</v>
      </c>
      <c r="FH218" s="714">
        <v>0</v>
      </c>
      <c r="FI218" s="710"/>
      <c r="FJ218" s="710"/>
      <c r="FK218" s="710" t="s">
        <v>4333</v>
      </c>
      <c r="FL218" s="710" t="s">
        <v>4360</v>
      </c>
      <c r="FM218" s="861" t="s">
        <v>4386</v>
      </c>
      <c r="FN218" s="710" t="s">
        <v>4333</v>
      </c>
      <c r="FO218" s="710" t="s">
        <v>4360</v>
      </c>
      <c r="FP218" s="861" t="s">
        <v>4386</v>
      </c>
    </row>
    <row r="219" spans="2:172" ht="119.5" customHeight="1">
      <c r="B219" s="850" t="s">
        <v>5313</v>
      </c>
      <c r="C219" s="863"/>
      <c r="D219" s="850" t="s">
        <v>4934</v>
      </c>
      <c r="E219" s="850" t="s">
        <v>5314</v>
      </c>
      <c r="F219" s="863"/>
      <c r="H219" s="850" t="s">
        <v>4934</v>
      </c>
      <c r="I219" s="850" t="s">
        <v>5519</v>
      </c>
      <c r="J219" s="850" t="s">
        <v>5464</v>
      </c>
      <c r="K219" s="710" t="s">
        <v>270</v>
      </c>
      <c r="L219" s="710" t="s">
        <v>3937</v>
      </c>
      <c r="M219" s="710" t="s">
        <v>526</v>
      </c>
      <c r="N219" s="710" t="s">
        <v>3975</v>
      </c>
      <c r="O219" s="895">
        <v>2018</v>
      </c>
      <c r="P219" s="896">
        <v>43669</v>
      </c>
      <c r="Q219" s="896">
        <v>43767</v>
      </c>
      <c r="R219" s="712">
        <f t="shared" si="87"/>
        <v>98</v>
      </c>
      <c r="S219" s="896"/>
      <c r="T219" s="896"/>
      <c r="U219" s="896"/>
      <c r="V219" s="896"/>
      <c r="W219" s="896"/>
      <c r="X219" s="896"/>
      <c r="Y219" s="896"/>
      <c r="Z219" s="896"/>
      <c r="AA219" s="896"/>
      <c r="AB219" s="710" t="s">
        <v>3992</v>
      </c>
      <c r="AC219" s="861" t="s">
        <v>4923</v>
      </c>
      <c r="AD219" s="710" t="s">
        <v>4050</v>
      </c>
      <c r="AE219" s="710" t="s">
        <v>4077</v>
      </c>
      <c r="AF219" s="710" t="s">
        <v>4094</v>
      </c>
      <c r="AG219" s="710" t="s">
        <v>4102</v>
      </c>
      <c r="AH219" s="898">
        <v>1.3089999999999999</v>
      </c>
      <c r="AI219" s="868">
        <f t="shared" si="68"/>
        <v>1.3089999999999999</v>
      </c>
      <c r="AJ219" s="867">
        <f t="shared" si="69"/>
        <v>0</v>
      </c>
      <c r="AK219" s="898"/>
      <c r="AL219" s="898"/>
      <c r="AM219" s="898"/>
      <c r="AN219" s="869">
        <f t="shared" si="70"/>
        <v>0</v>
      </c>
      <c r="AO219" s="869">
        <f t="shared" si="71"/>
        <v>0</v>
      </c>
      <c r="AP219" s="898"/>
      <c r="AQ219" s="899"/>
      <c r="AR219" s="899">
        <v>4.4999999999999997E-3</v>
      </c>
      <c r="AS219" s="869">
        <f t="shared" si="72"/>
        <v>0</v>
      </c>
      <c r="AT219" s="869">
        <f t="shared" si="73"/>
        <v>0</v>
      </c>
      <c r="AU219" s="942">
        <v>1.296</v>
      </c>
      <c r="AV219" s="899">
        <v>0.99</v>
      </c>
      <c r="AW219" s="869">
        <f t="shared" si="74"/>
        <v>0.99006875477463718</v>
      </c>
      <c r="AX219" s="869">
        <f t="shared" si="75"/>
        <v>-6.8754774637191929E-5</v>
      </c>
      <c r="AY219" s="898">
        <v>1.2999999999999999E-2</v>
      </c>
      <c r="AZ219" s="899">
        <v>0.01</v>
      </c>
      <c r="BA219" s="869">
        <f t="shared" si="76"/>
        <v>9.9312452253628725E-3</v>
      </c>
      <c r="BB219" s="869">
        <f t="shared" si="77"/>
        <v>6.8754774637127744E-5</v>
      </c>
      <c r="BC219" s="898"/>
      <c r="BD219" s="899"/>
      <c r="BE219" s="869">
        <f t="shared" si="78"/>
        <v>0</v>
      </c>
      <c r="BF219" s="869">
        <f t="shared" si="79"/>
        <v>0</v>
      </c>
      <c r="BG219" s="899"/>
      <c r="BH219" s="899"/>
      <c r="BI219" s="899"/>
      <c r="BJ219" s="899"/>
      <c r="BK219" s="899"/>
      <c r="BL219" s="714">
        <f t="shared" si="80"/>
        <v>0</v>
      </c>
      <c r="BM219" s="869">
        <f t="shared" si="81"/>
        <v>0</v>
      </c>
      <c r="BN219" s="898"/>
      <c r="BO219" s="899"/>
      <c r="BP219" s="869">
        <f t="shared" si="82"/>
        <v>0</v>
      </c>
      <c r="BQ219" s="869">
        <f t="shared" si="83"/>
        <v>0</v>
      </c>
      <c r="BR219" s="899"/>
      <c r="BS219" s="899"/>
      <c r="BT219" s="898">
        <v>0.42299999999999999</v>
      </c>
      <c r="BU219" s="899">
        <v>2.96E-3</v>
      </c>
      <c r="BV219" s="901">
        <v>3</v>
      </c>
      <c r="BW219" s="901">
        <v>3</v>
      </c>
      <c r="BX219" s="901">
        <v>3</v>
      </c>
      <c r="BY219" s="901"/>
      <c r="BZ219" s="901">
        <v>2</v>
      </c>
      <c r="CA219" s="901"/>
      <c r="CB219" s="901"/>
      <c r="CC219" s="901"/>
      <c r="CD219" s="901"/>
      <c r="CE219" s="901"/>
      <c r="CF219" s="901"/>
      <c r="CG219" s="901">
        <v>1</v>
      </c>
      <c r="CH219" s="901"/>
      <c r="CI219" s="901"/>
      <c r="CJ219" s="901"/>
      <c r="CK219" s="901"/>
      <c r="CL219" s="901"/>
      <c r="CM219" s="901"/>
      <c r="CN219" s="901"/>
      <c r="CO219" s="901"/>
      <c r="CP219" s="901"/>
      <c r="CQ219" s="901"/>
      <c r="CR219" s="901"/>
      <c r="CS219" s="902">
        <f t="shared" si="86"/>
        <v>3</v>
      </c>
      <c r="CT219" s="871">
        <f t="shared" si="84"/>
        <v>3</v>
      </c>
      <c r="CU219" s="871">
        <f t="shared" si="85"/>
        <v>0</v>
      </c>
      <c r="CV219" s="942">
        <v>11.420999999999999</v>
      </c>
      <c r="CW219" s="710" t="s">
        <v>4120</v>
      </c>
      <c r="CX219" s="710"/>
      <c r="CY219" s="710"/>
      <c r="CZ219" s="710"/>
      <c r="DA219" s="904">
        <v>1</v>
      </c>
      <c r="DB219" s="963" t="s">
        <v>4924</v>
      </c>
      <c r="DC219" s="710" t="s">
        <v>4152</v>
      </c>
      <c r="DD219" s="710" t="s">
        <v>4154</v>
      </c>
      <c r="DE219" s="710" t="s">
        <v>4156</v>
      </c>
      <c r="DF219" s="901">
        <v>1</v>
      </c>
      <c r="DG219" s="901">
        <v>6</v>
      </c>
      <c r="DH219" s="901">
        <v>2</v>
      </c>
      <c r="DI219" s="710" t="s">
        <v>279</v>
      </c>
      <c r="DJ219" s="710"/>
      <c r="DK219" s="901"/>
      <c r="DL219" s="710" t="s">
        <v>278</v>
      </c>
      <c r="DM219" s="710" t="s">
        <v>1685</v>
      </c>
      <c r="DN219" s="901">
        <v>13</v>
      </c>
      <c r="DO219" s="710" t="s">
        <v>279</v>
      </c>
      <c r="DP219" s="710"/>
      <c r="DQ219" s="901"/>
      <c r="DR219" s="710" t="s">
        <v>279</v>
      </c>
      <c r="DS219" s="710"/>
      <c r="DT219" s="901"/>
      <c r="DU219" s="710" t="s">
        <v>279</v>
      </c>
      <c r="DV219" s="710"/>
      <c r="DW219" s="901"/>
      <c r="DX219" s="710"/>
      <c r="DY219" s="710"/>
      <c r="DZ219" s="901"/>
      <c r="EA219" s="710" t="s">
        <v>279</v>
      </c>
      <c r="EB219" s="710"/>
      <c r="EC219" s="901"/>
      <c r="ED219" s="710" t="s">
        <v>279</v>
      </c>
      <c r="EE219" s="710"/>
      <c r="EF219" s="901"/>
      <c r="EG219" s="710" t="s">
        <v>279</v>
      </c>
      <c r="EH219" s="710"/>
      <c r="EI219" s="901"/>
      <c r="EJ219" s="710" t="s">
        <v>279</v>
      </c>
      <c r="EK219" s="710"/>
      <c r="EL219" s="901"/>
      <c r="EM219" s="710" t="s">
        <v>278</v>
      </c>
      <c r="EN219" s="710" t="s">
        <v>1685</v>
      </c>
      <c r="EO219" s="901">
        <v>35</v>
      </c>
      <c r="EP219" s="710" t="s">
        <v>279</v>
      </c>
      <c r="EQ219" s="710"/>
      <c r="ER219" s="901"/>
      <c r="ES219" s="710"/>
      <c r="ET219" s="710"/>
      <c r="EU219" s="901"/>
      <c r="EV219" s="901"/>
      <c r="EW219" s="901"/>
      <c r="EX219" s="901"/>
      <c r="EY219" s="710" t="s">
        <v>279</v>
      </c>
      <c r="EZ219" s="710"/>
      <c r="FA219" s="710" t="s">
        <v>278</v>
      </c>
      <c r="FB219" s="710" t="s">
        <v>4227</v>
      </c>
      <c r="FC219" s="861" t="s">
        <v>4925</v>
      </c>
      <c r="FD219" s="940" t="s">
        <v>4269</v>
      </c>
      <c r="FE219" s="940" t="s">
        <v>4282</v>
      </c>
      <c r="FF219" s="710" t="s">
        <v>4292</v>
      </c>
      <c r="FG219" s="710" t="s">
        <v>4310</v>
      </c>
      <c r="FH219" s="710" t="s">
        <v>279</v>
      </c>
      <c r="FI219" s="710"/>
      <c r="FJ219" s="710"/>
      <c r="FK219" s="710" t="s">
        <v>4334</v>
      </c>
      <c r="FL219" s="710" t="s">
        <v>4361</v>
      </c>
      <c r="FM219" s="861" t="s">
        <v>4387</v>
      </c>
      <c r="FN219" s="710"/>
      <c r="FO219" s="710"/>
      <c r="FP219" s="710"/>
    </row>
    <row r="220" spans="2:172" ht="115" customHeight="1">
      <c r="B220" s="850" t="s">
        <v>5313</v>
      </c>
      <c r="C220" s="863"/>
      <c r="D220" s="850" t="s">
        <v>4934</v>
      </c>
      <c r="E220" s="850" t="s">
        <v>5314</v>
      </c>
      <c r="F220" s="863"/>
      <c r="H220" s="850" t="s">
        <v>4934</v>
      </c>
      <c r="I220" s="850" t="s">
        <v>5519</v>
      </c>
      <c r="J220" s="850" t="s">
        <v>5464</v>
      </c>
      <c r="K220" s="710" t="s">
        <v>270</v>
      </c>
      <c r="L220" s="710" t="s">
        <v>3938</v>
      </c>
      <c r="M220" s="710" t="s">
        <v>626</v>
      </c>
      <c r="N220" s="710"/>
      <c r="O220" s="895">
        <v>2019</v>
      </c>
      <c r="P220" s="896">
        <v>43733</v>
      </c>
      <c r="Q220" s="896">
        <v>43808</v>
      </c>
      <c r="R220" s="712">
        <f t="shared" si="87"/>
        <v>75</v>
      </c>
      <c r="S220" s="896"/>
      <c r="T220" s="896"/>
      <c r="U220" s="896"/>
      <c r="V220" s="896"/>
      <c r="W220" s="896"/>
      <c r="X220" s="896"/>
      <c r="Y220" s="896"/>
      <c r="Z220" s="896"/>
      <c r="AA220" s="896"/>
      <c r="AB220" s="710" t="s">
        <v>3993</v>
      </c>
      <c r="AC220" s="974" t="s">
        <v>4021</v>
      </c>
      <c r="AD220" s="710" t="s">
        <v>4051</v>
      </c>
      <c r="AE220" s="710" t="s">
        <v>4051</v>
      </c>
      <c r="AF220" s="710"/>
      <c r="AG220" s="710" t="s">
        <v>4051</v>
      </c>
      <c r="AH220" s="898">
        <v>0.16700000000000001</v>
      </c>
      <c r="AI220" s="868">
        <f t="shared" si="68"/>
        <v>0.16700000000000001</v>
      </c>
      <c r="AJ220" s="867">
        <f t="shared" si="69"/>
        <v>0</v>
      </c>
      <c r="AK220" s="898"/>
      <c r="AL220" s="898"/>
      <c r="AM220" s="898"/>
      <c r="AN220" s="869">
        <f t="shared" si="70"/>
        <v>0</v>
      </c>
      <c r="AO220" s="869">
        <f t="shared" si="71"/>
        <v>0</v>
      </c>
      <c r="AP220" s="898"/>
      <c r="AQ220" s="899"/>
      <c r="AR220" s="899">
        <v>5.9999999999999995E-4</v>
      </c>
      <c r="AS220" s="869">
        <f t="shared" si="72"/>
        <v>0</v>
      </c>
      <c r="AT220" s="869">
        <f t="shared" si="73"/>
        <v>0</v>
      </c>
      <c r="AU220" s="942">
        <v>0.16600000000000001</v>
      </c>
      <c r="AV220" s="899">
        <v>0.68600000000000005</v>
      </c>
      <c r="AW220" s="869">
        <f t="shared" si="74"/>
        <v>0.99401197604790414</v>
      </c>
      <c r="AX220" s="869">
        <f t="shared" si="75"/>
        <v>-0.30801197604790409</v>
      </c>
      <c r="AY220" s="898">
        <v>1E-3</v>
      </c>
      <c r="AZ220" s="899">
        <v>7.1999999999999998E-3</v>
      </c>
      <c r="BA220" s="869">
        <f t="shared" si="76"/>
        <v>5.9880239520958079E-3</v>
      </c>
      <c r="BB220" s="869">
        <f t="shared" si="77"/>
        <v>1.2119760479041919E-3</v>
      </c>
      <c r="BC220" s="898">
        <v>0</v>
      </c>
      <c r="BD220" s="899">
        <v>0</v>
      </c>
      <c r="BE220" s="869">
        <f t="shared" si="78"/>
        <v>0</v>
      </c>
      <c r="BF220" s="869">
        <f t="shared" si="79"/>
        <v>0</v>
      </c>
      <c r="BG220" s="899"/>
      <c r="BH220" s="899"/>
      <c r="BI220" s="899"/>
      <c r="BJ220" s="899"/>
      <c r="BK220" s="899"/>
      <c r="BL220" s="714">
        <f t="shared" si="80"/>
        <v>0</v>
      </c>
      <c r="BM220" s="869">
        <f t="shared" si="81"/>
        <v>0</v>
      </c>
      <c r="BN220" s="898"/>
      <c r="BO220" s="899"/>
      <c r="BP220" s="869">
        <f t="shared" si="82"/>
        <v>0</v>
      </c>
      <c r="BQ220" s="869">
        <f t="shared" si="83"/>
        <v>0</v>
      </c>
      <c r="BR220" s="899"/>
      <c r="BS220" s="899"/>
      <c r="BT220" s="898">
        <v>5</v>
      </c>
      <c r="BU220" s="899">
        <v>2.8500000000000001E-2</v>
      </c>
      <c r="BV220" s="901">
        <v>9</v>
      </c>
      <c r="BW220" s="901">
        <v>9</v>
      </c>
      <c r="BX220" s="901">
        <v>9</v>
      </c>
      <c r="BY220" s="901"/>
      <c r="BZ220" s="901">
        <v>7</v>
      </c>
      <c r="CA220" s="901"/>
      <c r="CB220" s="901"/>
      <c r="CC220" s="901"/>
      <c r="CD220" s="901"/>
      <c r="CE220" s="901"/>
      <c r="CF220" s="901"/>
      <c r="CG220" s="901"/>
      <c r="CH220" s="901">
        <v>1</v>
      </c>
      <c r="CI220" s="901"/>
      <c r="CJ220" s="901"/>
      <c r="CK220" s="901"/>
      <c r="CL220" s="901"/>
      <c r="CM220" s="901"/>
      <c r="CN220" s="901"/>
      <c r="CO220" s="901"/>
      <c r="CP220" s="901"/>
      <c r="CQ220" s="901"/>
      <c r="CR220" s="901">
        <v>1</v>
      </c>
      <c r="CS220" s="901">
        <v>9</v>
      </c>
      <c r="CT220" s="871">
        <f t="shared" si="84"/>
        <v>9</v>
      </c>
      <c r="CU220" s="871">
        <f t="shared" si="85"/>
        <v>0</v>
      </c>
      <c r="CV220" s="1024">
        <v>9</v>
      </c>
      <c r="CW220" s="898">
        <v>5.44</v>
      </c>
      <c r="CX220" s="710" t="s">
        <v>4121</v>
      </c>
      <c r="CY220" s="710"/>
      <c r="CZ220" s="710"/>
      <c r="DA220" s="710"/>
      <c r="DB220" s="710">
        <v>49.49</v>
      </c>
      <c r="DC220" s="974" t="s">
        <v>4153</v>
      </c>
      <c r="DD220" s="710" t="s">
        <v>279</v>
      </c>
      <c r="DE220" s="710"/>
      <c r="DF220" s="710"/>
      <c r="DG220" s="901"/>
      <c r="DH220" s="901">
        <v>2</v>
      </c>
      <c r="DI220" s="710" t="s">
        <v>279</v>
      </c>
      <c r="DJ220" s="710"/>
      <c r="DK220" s="901"/>
      <c r="DL220" s="710" t="s">
        <v>278</v>
      </c>
      <c r="DM220" s="710"/>
      <c r="DN220" s="901">
        <v>12</v>
      </c>
      <c r="DO220" s="710" t="s">
        <v>279</v>
      </c>
      <c r="DP220" s="710"/>
      <c r="DQ220" s="901"/>
      <c r="DR220" s="710" t="s">
        <v>279</v>
      </c>
      <c r="DS220" s="710"/>
      <c r="DT220" s="901"/>
      <c r="DU220" s="710" t="s">
        <v>279</v>
      </c>
      <c r="DV220" s="710"/>
      <c r="DW220" s="901"/>
      <c r="DX220" s="710" t="s">
        <v>278</v>
      </c>
      <c r="DY220" s="710" t="s">
        <v>4180</v>
      </c>
      <c r="DZ220" s="901">
        <v>21</v>
      </c>
      <c r="EA220" s="710" t="s">
        <v>279</v>
      </c>
      <c r="EB220" s="710"/>
      <c r="EC220" s="901"/>
      <c r="ED220" s="710" t="s">
        <v>279</v>
      </c>
      <c r="EE220" s="710"/>
      <c r="EF220" s="901"/>
      <c r="EG220" s="710" t="s">
        <v>279</v>
      </c>
      <c r="EH220" s="710"/>
      <c r="EI220" s="901"/>
      <c r="EJ220" s="710" t="s">
        <v>279</v>
      </c>
      <c r="EK220" s="710"/>
      <c r="EL220" s="901"/>
      <c r="EM220" s="710" t="s">
        <v>278</v>
      </c>
      <c r="EN220" s="974" t="s">
        <v>4208</v>
      </c>
      <c r="EO220" s="901">
        <v>9</v>
      </c>
      <c r="EP220" s="710" t="s">
        <v>279</v>
      </c>
      <c r="EQ220" s="710"/>
      <c r="ER220" s="901"/>
      <c r="ES220" s="710"/>
      <c r="ET220" s="710"/>
      <c r="EU220" s="710"/>
      <c r="EV220" s="710"/>
      <c r="EW220" s="710"/>
      <c r="EX220" s="901"/>
      <c r="EY220" s="710" t="s">
        <v>279</v>
      </c>
      <c r="EZ220" s="710"/>
      <c r="FA220" s="710" t="s">
        <v>278</v>
      </c>
      <c r="FB220" s="710" t="s">
        <v>4249</v>
      </c>
      <c r="FC220" s="974" t="s">
        <v>4270</v>
      </c>
      <c r="FD220" s="974" t="s">
        <v>4283</v>
      </c>
      <c r="FE220" s="710"/>
      <c r="FF220" s="710" t="s">
        <v>4311</v>
      </c>
      <c r="FG220" s="710" t="s">
        <v>4320</v>
      </c>
      <c r="FH220" s="710">
        <v>1</v>
      </c>
      <c r="FI220" s="710">
        <v>1</v>
      </c>
      <c r="FK220" s="710" t="s">
        <v>4335</v>
      </c>
      <c r="FL220" s="710" t="s">
        <v>4362</v>
      </c>
      <c r="FM220" s="974" t="s">
        <v>4388</v>
      </c>
      <c r="FN220" s="710"/>
      <c r="FO220" s="710"/>
      <c r="FP220" s="994"/>
    </row>
    <row r="221" spans="2:172" ht="133.5" customHeight="1">
      <c r="B221" s="850" t="s">
        <v>5313</v>
      </c>
      <c r="C221" s="863"/>
      <c r="D221" s="850" t="s">
        <v>4934</v>
      </c>
      <c r="E221" s="850" t="s">
        <v>5314</v>
      </c>
      <c r="F221" s="863"/>
      <c r="H221" s="850" t="s">
        <v>4934</v>
      </c>
      <c r="I221" s="850" t="s">
        <v>5519</v>
      </c>
      <c r="J221" s="850" t="s">
        <v>5464</v>
      </c>
      <c r="K221" s="710" t="s">
        <v>270</v>
      </c>
      <c r="L221" s="710" t="s">
        <v>3939</v>
      </c>
      <c r="M221" s="710" t="s">
        <v>626</v>
      </c>
      <c r="N221" s="710"/>
      <c r="O221" s="895">
        <v>2018</v>
      </c>
      <c r="P221" s="896">
        <v>43560</v>
      </c>
      <c r="Q221" s="896">
        <v>43823</v>
      </c>
      <c r="R221" s="712">
        <f t="shared" si="87"/>
        <v>263</v>
      </c>
      <c r="S221" s="896"/>
      <c r="T221" s="896"/>
      <c r="U221" s="896"/>
      <c r="V221" s="896"/>
      <c r="W221" s="896"/>
      <c r="X221" s="896"/>
      <c r="Y221" s="896"/>
      <c r="Z221" s="896"/>
      <c r="AA221" s="896"/>
      <c r="AB221" s="710" t="s">
        <v>3994</v>
      </c>
      <c r="AC221" s="974" t="s">
        <v>4022</v>
      </c>
      <c r="AD221" s="710" t="s">
        <v>4052</v>
      </c>
      <c r="AE221" s="710" t="s">
        <v>4052</v>
      </c>
      <c r="AF221" s="710"/>
      <c r="AG221" s="710" t="s">
        <v>4052</v>
      </c>
      <c r="AH221" s="898">
        <v>2.1240000000000001</v>
      </c>
      <c r="AI221" s="868">
        <f t="shared" si="68"/>
        <v>2.1230000000000002</v>
      </c>
      <c r="AJ221" s="875">
        <f t="shared" si="69"/>
        <v>-9.9999999999988987E-4</v>
      </c>
      <c r="AK221" s="898"/>
      <c r="AL221" s="898"/>
      <c r="AM221" s="898"/>
      <c r="AN221" s="869">
        <f t="shared" si="70"/>
        <v>0</v>
      </c>
      <c r="AO221" s="869">
        <f t="shared" si="71"/>
        <v>0</v>
      </c>
      <c r="AP221" s="898"/>
      <c r="AQ221" s="899"/>
      <c r="AR221" s="899">
        <v>2.9899999999999999E-2</v>
      </c>
      <c r="AS221" s="869">
        <f t="shared" si="72"/>
        <v>0</v>
      </c>
      <c r="AT221" s="869">
        <f t="shared" si="73"/>
        <v>0</v>
      </c>
      <c r="AU221" s="942">
        <v>1.9650000000000001</v>
      </c>
      <c r="AV221" s="899">
        <v>0.92510000000000003</v>
      </c>
      <c r="AW221" s="869">
        <f t="shared" si="74"/>
        <v>0.92514124293785305</v>
      </c>
      <c r="AX221" s="869">
        <f t="shared" si="75"/>
        <v>-4.1242937853014361E-5</v>
      </c>
      <c r="AY221" s="898">
        <v>0</v>
      </c>
      <c r="AZ221" s="899">
        <v>0</v>
      </c>
      <c r="BA221" s="869">
        <f t="shared" si="76"/>
        <v>0</v>
      </c>
      <c r="BB221" s="869">
        <f t="shared" si="77"/>
        <v>0</v>
      </c>
      <c r="BC221" s="898">
        <v>0.158</v>
      </c>
      <c r="BD221" s="899">
        <v>7.46E-2</v>
      </c>
      <c r="BE221" s="869">
        <f t="shared" si="78"/>
        <v>7.4387947269303201E-2</v>
      </c>
      <c r="BF221" s="869">
        <f t="shared" si="79"/>
        <v>2.1205273069679897E-4</v>
      </c>
      <c r="BG221" s="899"/>
      <c r="BH221" s="899"/>
      <c r="BI221" s="899"/>
      <c r="BJ221" s="899"/>
      <c r="BK221" s="899"/>
      <c r="BL221" s="714">
        <f t="shared" si="80"/>
        <v>0</v>
      </c>
      <c r="BM221" s="869">
        <f t="shared" si="81"/>
        <v>0</v>
      </c>
      <c r="BN221" s="898"/>
      <c r="BO221" s="899"/>
      <c r="BP221" s="869">
        <f t="shared" si="82"/>
        <v>0</v>
      </c>
      <c r="BQ221" s="869">
        <f t="shared" si="83"/>
        <v>0</v>
      </c>
      <c r="BR221" s="899"/>
      <c r="BS221" s="899"/>
      <c r="BT221" s="898">
        <v>1</v>
      </c>
      <c r="BU221" s="899">
        <v>1.7999999999999999E-2</v>
      </c>
      <c r="BV221" s="901">
        <v>26</v>
      </c>
      <c r="BW221" s="901">
        <v>26</v>
      </c>
      <c r="BX221" s="901">
        <v>3</v>
      </c>
      <c r="BY221" s="901"/>
      <c r="BZ221" s="901">
        <v>2</v>
      </c>
      <c r="CA221" s="901"/>
      <c r="CB221" s="901"/>
      <c r="CC221" s="901"/>
      <c r="CD221" s="901"/>
      <c r="CE221" s="901"/>
      <c r="CF221" s="901"/>
      <c r="CG221" s="901"/>
      <c r="CH221" s="901"/>
      <c r="CI221" s="901"/>
      <c r="CJ221" s="901">
        <v>1</v>
      </c>
      <c r="CK221" s="901"/>
      <c r="CL221" s="901"/>
      <c r="CM221" s="901"/>
      <c r="CN221" s="901"/>
      <c r="CO221" s="901"/>
      <c r="CP221" s="901"/>
      <c r="CQ221" s="901"/>
      <c r="CR221" s="901"/>
      <c r="CS221" s="902">
        <f>SUM(BY221:CR221)</f>
        <v>3</v>
      </c>
      <c r="CT221" s="871">
        <f t="shared" si="84"/>
        <v>3</v>
      </c>
      <c r="CU221" s="871">
        <f t="shared" si="85"/>
        <v>0</v>
      </c>
      <c r="CV221" s="942">
        <v>3</v>
      </c>
      <c r="CW221" s="710" t="s">
        <v>4121</v>
      </c>
      <c r="CX221" s="710"/>
      <c r="CY221" s="710"/>
      <c r="CZ221" s="710"/>
      <c r="DA221" s="710">
        <v>100</v>
      </c>
      <c r="DB221" s="1011" t="s">
        <v>4135</v>
      </c>
      <c r="DC221" s="710" t="s">
        <v>279</v>
      </c>
      <c r="DD221" s="710"/>
      <c r="DE221" s="710"/>
      <c r="DF221" s="901"/>
      <c r="DG221" s="901"/>
      <c r="DH221" s="901">
        <v>3</v>
      </c>
      <c r="DI221" s="710" t="s">
        <v>279</v>
      </c>
      <c r="DJ221" s="710"/>
      <c r="DK221" s="901"/>
      <c r="DL221" s="710" t="s">
        <v>278</v>
      </c>
      <c r="DM221" s="710"/>
      <c r="DN221" s="901">
        <v>230</v>
      </c>
      <c r="DO221" s="710" t="s">
        <v>279</v>
      </c>
      <c r="DP221" s="710"/>
      <c r="DQ221" s="901"/>
      <c r="DR221" s="710" t="s">
        <v>279</v>
      </c>
      <c r="DS221" s="710"/>
      <c r="DT221" s="901"/>
      <c r="DU221" s="710" t="s">
        <v>279</v>
      </c>
      <c r="DV221" s="710"/>
      <c r="DW221" s="901"/>
      <c r="DX221" s="710" t="s">
        <v>279</v>
      </c>
      <c r="DY221" s="710"/>
      <c r="DZ221" s="901"/>
      <c r="EA221" s="710" t="s">
        <v>279</v>
      </c>
      <c r="EB221" s="710"/>
      <c r="EC221" s="901"/>
      <c r="ED221" s="710" t="s">
        <v>279</v>
      </c>
      <c r="EE221" s="710"/>
      <c r="EF221" s="901"/>
      <c r="EG221" s="710" t="s">
        <v>279</v>
      </c>
      <c r="EH221" s="710"/>
      <c r="EI221" s="901"/>
      <c r="EJ221" s="710" t="s">
        <v>279</v>
      </c>
      <c r="EK221" s="710"/>
      <c r="EL221" s="901"/>
      <c r="EM221" s="710" t="s">
        <v>278</v>
      </c>
      <c r="EN221" s="974" t="s">
        <v>4195</v>
      </c>
      <c r="EO221" s="901">
        <v>7</v>
      </c>
      <c r="EP221" s="710" t="s">
        <v>279</v>
      </c>
      <c r="EQ221" s="710"/>
      <c r="ER221" s="901"/>
      <c r="ES221" s="710"/>
      <c r="ET221" s="710"/>
      <c r="EU221" s="901"/>
      <c r="EV221" s="901"/>
      <c r="EW221" s="901"/>
      <c r="EX221" s="901"/>
      <c r="EY221" s="710" t="s">
        <v>279</v>
      </c>
      <c r="EZ221" s="710"/>
      <c r="FA221" s="710" t="s">
        <v>279</v>
      </c>
      <c r="FB221" s="710" t="s">
        <v>4228</v>
      </c>
      <c r="FC221" s="974" t="s">
        <v>4195</v>
      </c>
      <c r="FD221" s="974"/>
      <c r="FE221" s="710"/>
      <c r="FF221" s="710" t="s">
        <v>4293</v>
      </c>
      <c r="FG221" s="994"/>
      <c r="FH221" s="710" t="s">
        <v>4320</v>
      </c>
      <c r="FI221" s="710">
        <v>1</v>
      </c>
      <c r="FJ221" s="710">
        <v>1</v>
      </c>
      <c r="FK221" s="710" t="s">
        <v>4336</v>
      </c>
      <c r="FL221" s="710" t="s">
        <v>4363</v>
      </c>
      <c r="FM221" s="974" t="s">
        <v>4389</v>
      </c>
      <c r="FN221" s="710"/>
      <c r="FO221" s="710"/>
      <c r="FP221" s="710"/>
    </row>
    <row r="222" spans="2:172" ht="137" customHeight="1">
      <c r="B222" s="850" t="s">
        <v>5313</v>
      </c>
      <c r="C222" s="863"/>
      <c r="D222" s="850" t="s">
        <v>4934</v>
      </c>
      <c r="E222" s="850" t="s">
        <v>5314</v>
      </c>
      <c r="F222" s="863"/>
      <c r="H222" s="850" t="s">
        <v>4934</v>
      </c>
      <c r="I222" s="850" t="s">
        <v>5519</v>
      </c>
      <c r="J222" s="850" t="s">
        <v>5464</v>
      </c>
      <c r="K222" s="710" t="s">
        <v>270</v>
      </c>
      <c r="L222" s="710" t="s">
        <v>3940</v>
      </c>
      <c r="M222" s="710" t="s">
        <v>626</v>
      </c>
      <c r="N222" s="710"/>
      <c r="O222" s="895">
        <v>2018</v>
      </c>
      <c r="P222" s="896">
        <v>43635</v>
      </c>
      <c r="Q222" s="896">
        <v>43768</v>
      </c>
      <c r="R222" s="712">
        <f t="shared" si="87"/>
        <v>133</v>
      </c>
      <c r="S222" s="896"/>
      <c r="T222" s="896"/>
      <c r="U222" s="896"/>
      <c r="V222" s="896"/>
      <c r="W222" s="896"/>
      <c r="X222" s="896"/>
      <c r="Y222" s="896"/>
      <c r="Z222" s="896"/>
      <c r="AA222" s="896"/>
      <c r="AB222" s="710" t="s">
        <v>3995</v>
      </c>
      <c r="AC222" s="974" t="s">
        <v>4023</v>
      </c>
      <c r="AD222" s="710" t="s">
        <v>4053</v>
      </c>
      <c r="AE222" s="710" t="s">
        <v>4053</v>
      </c>
      <c r="AF222" s="710"/>
      <c r="AG222" s="710" t="s">
        <v>4053</v>
      </c>
      <c r="AH222" s="898">
        <v>1.169</v>
      </c>
      <c r="AI222" s="868">
        <f t="shared" si="68"/>
        <v>1.1690000000000003</v>
      </c>
      <c r="AJ222" s="867">
        <f t="shared" si="69"/>
        <v>0</v>
      </c>
      <c r="AK222" s="898"/>
      <c r="AL222" s="898"/>
      <c r="AM222" s="898"/>
      <c r="AN222" s="869">
        <f t="shared" si="70"/>
        <v>0</v>
      </c>
      <c r="AO222" s="869">
        <f t="shared" si="71"/>
        <v>0</v>
      </c>
      <c r="AP222" s="898"/>
      <c r="AQ222" s="899"/>
      <c r="AR222" s="899">
        <v>2.3099999999999999E-2</v>
      </c>
      <c r="AS222" s="869">
        <f t="shared" si="72"/>
        <v>0</v>
      </c>
      <c r="AT222" s="869">
        <f t="shared" si="73"/>
        <v>0</v>
      </c>
      <c r="AU222" s="942">
        <v>0.48399999999999999</v>
      </c>
      <c r="AV222" s="899">
        <v>0.41370000000000001</v>
      </c>
      <c r="AW222" s="869">
        <f t="shared" si="74"/>
        <v>0.41402908468776728</v>
      </c>
      <c r="AX222" s="869">
        <f t="shared" si="75"/>
        <v>-3.2908468776726707E-4</v>
      </c>
      <c r="AY222" s="898">
        <v>0.05</v>
      </c>
      <c r="AZ222" s="899">
        <v>4.2799999999999998E-2</v>
      </c>
      <c r="BA222" s="869">
        <f t="shared" si="76"/>
        <v>4.2771599657827203E-2</v>
      </c>
      <c r="BB222" s="869">
        <f t="shared" si="77"/>
        <v>2.8400342172794912E-5</v>
      </c>
      <c r="BC222" s="898">
        <v>0.54500000000000004</v>
      </c>
      <c r="BD222" s="899">
        <v>0.46650000000000003</v>
      </c>
      <c r="BE222" s="869">
        <f t="shared" si="78"/>
        <v>0.46621043627031655</v>
      </c>
      <c r="BF222" s="869">
        <f t="shared" si="79"/>
        <v>2.8956372968347299E-4</v>
      </c>
      <c r="BG222" s="899"/>
      <c r="BH222" s="899"/>
      <c r="BI222" s="899"/>
      <c r="BJ222" s="899"/>
      <c r="BK222" s="899"/>
      <c r="BL222" s="714">
        <f t="shared" si="80"/>
        <v>0</v>
      </c>
      <c r="BM222" s="869">
        <f t="shared" si="81"/>
        <v>0</v>
      </c>
      <c r="BN222" s="898">
        <v>0.09</v>
      </c>
      <c r="BO222" s="899">
        <v>7.6999999999999999E-2</v>
      </c>
      <c r="BP222" s="869">
        <f t="shared" si="82"/>
        <v>7.6988879384088965E-2</v>
      </c>
      <c r="BQ222" s="869">
        <f t="shared" si="83"/>
        <v>1.112061591103386E-5</v>
      </c>
      <c r="BR222" s="899"/>
      <c r="BS222" s="899"/>
      <c r="BT222" s="898">
        <v>0</v>
      </c>
      <c r="BU222" s="899">
        <v>0</v>
      </c>
      <c r="BV222" s="901">
        <v>6</v>
      </c>
      <c r="BW222" s="901">
        <v>6</v>
      </c>
      <c r="BX222" s="901">
        <v>6</v>
      </c>
      <c r="BY222" s="901"/>
      <c r="BZ222" s="901">
        <v>2</v>
      </c>
      <c r="CA222" s="901"/>
      <c r="CB222" s="901">
        <v>1</v>
      </c>
      <c r="CC222" s="901"/>
      <c r="CD222" s="901"/>
      <c r="CE222" s="901"/>
      <c r="CF222" s="901"/>
      <c r="CG222" s="901"/>
      <c r="CH222" s="901"/>
      <c r="CI222" s="901">
        <v>1</v>
      </c>
      <c r="CJ222" s="901">
        <v>2</v>
      </c>
      <c r="CK222" s="901"/>
      <c r="CL222" s="901"/>
      <c r="CM222" s="901"/>
      <c r="CN222" s="901"/>
      <c r="CO222" s="901"/>
      <c r="CP222" s="901"/>
      <c r="CQ222" s="901"/>
      <c r="CR222" s="901"/>
      <c r="CS222" s="902">
        <f t="shared" ref="CS222:CS229" si="88">SUM(BY222:CQ222)</f>
        <v>6</v>
      </c>
      <c r="CT222" s="871">
        <f t="shared" si="84"/>
        <v>6</v>
      </c>
      <c r="CU222" s="871">
        <f t="shared" si="85"/>
        <v>0</v>
      </c>
      <c r="CV222" s="942">
        <v>2.2999999999999998</v>
      </c>
      <c r="CW222" s="710" t="s">
        <v>4121</v>
      </c>
      <c r="CX222" s="710"/>
      <c r="CY222" s="710"/>
      <c r="CZ222" s="710"/>
      <c r="DA222" s="710">
        <v>86.17</v>
      </c>
      <c r="DB222" s="1011" t="s">
        <v>4136</v>
      </c>
      <c r="DC222" s="710" t="s">
        <v>279</v>
      </c>
      <c r="DD222" s="710"/>
      <c r="DE222" s="710"/>
      <c r="DF222" s="901"/>
      <c r="DG222" s="901"/>
      <c r="DH222" s="901">
        <v>3</v>
      </c>
      <c r="DI222" s="710" t="s">
        <v>279</v>
      </c>
      <c r="DJ222" s="710"/>
      <c r="DK222" s="901"/>
      <c r="DL222" s="710" t="s">
        <v>279</v>
      </c>
      <c r="DM222" s="710"/>
      <c r="DN222" s="901"/>
      <c r="DO222" s="710" t="s">
        <v>279</v>
      </c>
      <c r="DP222" s="710"/>
      <c r="DQ222" s="901"/>
      <c r="DR222" s="710" t="s">
        <v>279</v>
      </c>
      <c r="DS222" s="710"/>
      <c r="DT222" s="901"/>
      <c r="DU222" s="710" t="s">
        <v>279</v>
      </c>
      <c r="DV222" s="710"/>
      <c r="DW222" s="901"/>
      <c r="DX222" s="710" t="s">
        <v>278</v>
      </c>
      <c r="DY222" s="710" t="s">
        <v>4180</v>
      </c>
      <c r="DZ222" s="901">
        <v>6</v>
      </c>
      <c r="EA222" s="710" t="s">
        <v>279</v>
      </c>
      <c r="EB222" s="710"/>
      <c r="EC222" s="901"/>
      <c r="ED222" s="710" t="s">
        <v>279</v>
      </c>
      <c r="EE222" s="710"/>
      <c r="EF222" s="901"/>
      <c r="EG222" s="710" t="s">
        <v>279</v>
      </c>
      <c r="EH222" s="710"/>
      <c r="EI222" s="901"/>
      <c r="EJ222" s="710" t="s">
        <v>279</v>
      </c>
      <c r="EK222" s="710"/>
      <c r="EL222" s="901"/>
      <c r="EM222" s="710" t="s">
        <v>278</v>
      </c>
      <c r="EN222" s="974" t="s">
        <v>4196</v>
      </c>
      <c r="EO222" s="901">
        <v>5</v>
      </c>
      <c r="EP222" s="710" t="s">
        <v>279</v>
      </c>
      <c r="EQ222" s="710"/>
      <c r="ER222" s="901"/>
      <c r="ES222" s="710"/>
      <c r="ET222" s="710"/>
      <c r="EU222" s="901"/>
      <c r="EV222" s="901"/>
      <c r="EW222" s="901"/>
      <c r="EX222" s="901"/>
      <c r="EY222" s="710" t="s">
        <v>279</v>
      </c>
      <c r="EZ222" s="710"/>
      <c r="FA222" s="710" t="s">
        <v>278</v>
      </c>
      <c r="FB222" s="710" t="s">
        <v>4229</v>
      </c>
      <c r="FC222" s="974" t="s">
        <v>4250</v>
      </c>
      <c r="FD222" s="974"/>
      <c r="FE222" s="710"/>
      <c r="FF222" s="710" t="s">
        <v>4294</v>
      </c>
      <c r="FG222" s="710"/>
      <c r="FH222" s="710" t="s">
        <v>4320</v>
      </c>
      <c r="FI222" s="710">
        <v>1</v>
      </c>
      <c r="FJ222" s="710">
        <v>1</v>
      </c>
      <c r="FK222" s="710" t="s">
        <v>4337</v>
      </c>
      <c r="FL222" s="710" t="s">
        <v>4364</v>
      </c>
      <c r="FM222" s="974" t="s">
        <v>4390</v>
      </c>
      <c r="FN222" s="710" t="s">
        <v>4410</v>
      </c>
      <c r="FO222" s="710" t="s">
        <v>4419</v>
      </c>
      <c r="FP222" s="710" t="s">
        <v>4390</v>
      </c>
    </row>
    <row r="223" spans="2:172" ht="137" customHeight="1">
      <c r="B223" s="850" t="s">
        <v>5313</v>
      </c>
      <c r="C223" s="863"/>
      <c r="D223" s="850" t="s">
        <v>4934</v>
      </c>
      <c r="E223" s="850" t="s">
        <v>5314</v>
      </c>
      <c r="F223" s="863"/>
      <c r="H223" s="850" t="s">
        <v>4934</v>
      </c>
      <c r="I223" s="850" t="s">
        <v>5519</v>
      </c>
      <c r="J223" s="850" t="s">
        <v>5464</v>
      </c>
      <c r="K223" s="710" t="s">
        <v>270</v>
      </c>
      <c r="L223" s="710" t="s">
        <v>3941</v>
      </c>
      <c r="M223" s="710" t="s">
        <v>3964</v>
      </c>
      <c r="N223" s="710"/>
      <c r="O223" s="895">
        <v>2019</v>
      </c>
      <c r="P223" s="896">
        <v>43661</v>
      </c>
      <c r="Q223" s="896">
        <v>43818</v>
      </c>
      <c r="R223" s="712">
        <f t="shared" si="87"/>
        <v>157</v>
      </c>
      <c r="S223" s="896"/>
      <c r="T223" s="896"/>
      <c r="U223" s="896"/>
      <c r="V223" s="896"/>
      <c r="W223" s="896"/>
      <c r="X223" s="896"/>
      <c r="Y223" s="896"/>
      <c r="Z223" s="896"/>
      <c r="AA223" s="896"/>
      <c r="AB223" s="710" t="s">
        <v>3996</v>
      </c>
      <c r="AC223" s="974" t="s">
        <v>4024</v>
      </c>
      <c r="AD223" s="710" t="s">
        <v>4054</v>
      </c>
      <c r="AE223" s="710" t="s">
        <v>4054</v>
      </c>
      <c r="AF223" s="710"/>
      <c r="AG223" s="710" t="s">
        <v>4054</v>
      </c>
      <c r="AH223" s="898">
        <v>2.1829999999999998</v>
      </c>
      <c r="AI223" s="868">
        <f t="shared" si="68"/>
        <v>1.71</v>
      </c>
      <c r="AJ223" s="875">
        <f t="shared" si="69"/>
        <v>-0.47299999999999986</v>
      </c>
      <c r="AK223" s="898"/>
      <c r="AL223" s="898"/>
      <c r="AM223" s="898"/>
      <c r="AN223" s="869">
        <f t="shared" si="70"/>
        <v>0</v>
      </c>
      <c r="AO223" s="869">
        <f t="shared" si="71"/>
        <v>0</v>
      </c>
      <c r="AP223" s="898"/>
      <c r="AQ223" s="899"/>
      <c r="AR223" s="899">
        <v>1.7899999999999999E-2</v>
      </c>
      <c r="AS223" s="869">
        <f t="shared" si="72"/>
        <v>0</v>
      </c>
      <c r="AT223" s="869">
        <f t="shared" si="73"/>
        <v>0</v>
      </c>
      <c r="AU223" s="942">
        <v>0.97</v>
      </c>
      <c r="AV223" s="899">
        <v>0.4153</v>
      </c>
      <c r="AW223" s="869">
        <f t="shared" si="74"/>
        <v>0.44434264773247828</v>
      </c>
      <c r="AX223" s="869">
        <f t="shared" si="75"/>
        <v>-2.9042647732478277E-2</v>
      </c>
      <c r="AY223" s="898">
        <v>0</v>
      </c>
      <c r="AZ223" s="899">
        <v>0</v>
      </c>
      <c r="BA223" s="869">
        <f t="shared" si="76"/>
        <v>0</v>
      </c>
      <c r="BB223" s="869">
        <f t="shared" si="77"/>
        <v>0</v>
      </c>
      <c r="BC223" s="898">
        <v>0.74</v>
      </c>
      <c r="BD223" s="899">
        <v>0.33879999999999999</v>
      </c>
      <c r="BE223" s="869">
        <f t="shared" si="78"/>
        <v>0.33898305084745767</v>
      </c>
      <c r="BF223" s="869">
        <f t="shared" si="79"/>
        <v>-1.8305084745767752E-4</v>
      </c>
      <c r="BG223" s="899"/>
      <c r="BH223" s="899"/>
      <c r="BI223" s="899"/>
      <c r="BJ223" s="899"/>
      <c r="BK223" s="899"/>
      <c r="BL223" s="714">
        <f t="shared" si="80"/>
        <v>0</v>
      </c>
      <c r="BM223" s="869">
        <f t="shared" si="81"/>
        <v>0</v>
      </c>
      <c r="BN223" s="898"/>
      <c r="BO223" s="899"/>
      <c r="BP223" s="869">
        <f t="shared" si="82"/>
        <v>0</v>
      </c>
      <c r="BQ223" s="869">
        <f t="shared" si="83"/>
        <v>0</v>
      </c>
      <c r="BR223" s="899"/>
      <c r="BS223" s="899"/>
      <c r="BT223" s="898"/>
      <c r="BU223" s="899"/>
      <c r="BV223" s="901">
        <v>8</v>
      </c>
      <c r="BW223" s="901">
        <v>8</v>
      </c>
      <c r="BX223" s="901">
        <v>6</v>
      </c>
      <c r="BY223" s="901"/>
      <c r="BZ223" s="955"/>
      <c r="CA223" s="955"/>
      <c r="CB223" s="955"/>
      <c r="CC223" s="955"/>
      <c r="CD223" s="955"/>
      <c r="CE223" s="955"/>
      <c r="CF223" s="955"/>
      <c r="CG223" s="955">
        <v>1</v>
      </c>
      <c r="CH223" s="955"/>
      <c r="CI223" s="955">
        <v>2</v>
      </c>
      <c r="CJ223" s="955">
        <v>3</v>
      </c>
      <c r="CK223" s="955"/>
      <c r="CL223" s="955"/>
      <c r="CM223" s="955"/>
      <c r="CN223" s="955"/>
      <c r="CO223" s="955"/>
      <c r="CP223" s="955"/>
      <c r="CQ223" s="955"/>
      <c r="CR223" s="901"/>
      <c r="CS223" s="902">
        <f t="shared" si="88"/>
        <v>6</v>
      </c>
      <c r="CT223" s="871">
        <f t="shared" si="84"/>
        <v>6</v>
      </c>
      <c r="CU223" s="871">
        <f t="shared" si="85"/>
        <v>0</v>
      </c>
      <c r="CV223" s="942">
        <v>1.3109999999999999</v>
      </c>
      <c r="CW223" s="710" t="s">
        <v>4121</v>
      </c>
      <c r="CX223" s="710"/>
      <c r="CY223" s="710"/>
      <c r="CZ223" s="710"/>
      <c r="DA223" s="710">
        <v>30</v>
      </c>
      <c r="DB223" s="1011" t="s">
        <v>4137</v>
      </c>
      <c r="DC223" s="710" t="s">
        <v>279</v>
      </c>
      <c r="DD223" s="710"/>
      <c r="DE223" s="710"/>
      <c r="DF223" s="901"/>
      <c r="DG223" s="901"/>
      <c r="DH223" s="901">
        <v>2</v>
      </c>
      <c r="DI223" s="710" t="s">
        <v>279</v>
      </c>
      <c r="DJ223" s="710"/>
      <c r="DK223" s="901"/>
      <c r="DL223" s="710" t="s">
        <v>278</v>
      </c>
      <c r="DM223" s="710"/>
      <c r="DN223" s="901">
        <v>25</v>
      </c>
      <c r="DO223" s="710" t="s">
        <v>279</v>
      </c>
      <c r="DP223" s="710"/>
      <c r="DQ223" s="901"/>
      <c r="DR223" s="710" t="s">
        <v>279</v>
      </c>
      <c r="DS223" s="710"/>
      <c r="DT223" s="901"/>
      <c r="DU223" s="710" t="s">
        <v>279</v>
      </c>
      <c r="DV223" s="710"/>
      <c r="DW223" s="901"/>
      <c r="DX223" s="710" t="s">
        <v>278</v>
      </c>
      <c r="DY223" s="710" t="s">
        <v>4180</v>
      </c>
      <c r="DZ223" s="901">
        <v>8</v>
      </c>
      <c r="EA223" s="710" t="s">
        <v>279</v>
      </c>
      <c r="EB223" s="710"/>
      <c r="EC223" s="901"/>
      <c r="ED223" s="710" t="s">
        <v>279</v>
      </c>
      <c r="EE223" s="710"/>
      <c r="EF223" s="901"/>
      <c r="EG223" s="710" t="s">
        <v>279</v>
      </c>
      <c r="EH223" s="710"/>
      <c r="EI223" s="901"/>
      <c r="EJ223" s="710" t="s">
        <v>279</v>
      </c>
      <c r="EK223" s="710"/>
      <c r="EL223" s="901"/>
      <c r="EM223" s="710" t="s">
        <v>278</v>
      </c>
      <c r="EN223" s="974" t="s">
        <v>4024</v>
      </c>
      <c r="EO223" s="901">
        <v>5</v>
      </c>
      <c r="EP223" s="710" t="s">
        <v>279</v>
      </c>
      <c r="EQ223" s="710"/>
      <c r="ER223" s="901"/>
      <c r="ES223" s="710"/>
      <c r="ET223" s="710"/>
      <c r="EU223" s="901"/>
      <c r="EV223" s="901"/>
      <c r="EW223" s="901"/>
      <c r="EX223" s="901"/>
      <c r="EY223" s="710" t="s">
        <v>279</v>
      </c>
      <c r="EZ223" s="710"/>
      <c r="FA223" s="710" t="s">
        <v>278</v>
      </c>
      <c r="FB223" s="710" t="s">
        <v>4230</v>
      </c>
      <c r="FC223" s="974" t="s">
        <v>4251</v>
      </c>
      <c r="FD223" s="974" t="s">
        <v>4271</v>
      </c>
      <c r="FE223" s="710"/>
      <c r="FF223" s="710" t="s">
        <v>4295</v>
      </c>
      <c r="FG223" s="710"/>
      <c r="FH223" s="710" t="s">
        <v>4320</v>
      </c>
      <c r="FI223" s="710">
        <v>1</v>
      </c>
      <c r="FJ223" s="710">
        <v>3</v>
      </c>
      <c r="FK223" s="710" t="s">
        <v>4338</v>
      </c>
      <c r="FL223" s="710" t="s">
        <v>4365</v>
      </c>
      <c r="FM223" s="974" t="s">
        <v>4391</v>
      </c>
      <c r="FN223" s="710" t="s">
        <v>4411</v>
      </c>
      <c r="FO223" s="710" t="s">
        <v>4420</v>
      </c>
      <c r="FP223" s="710" t="s">
        <v>4391</v>
      </c>
    </row>
    <row r="224" spans="2:172" ht="129.5" customHeight="1">
      <c r="B224" s="850" t="s">
        <v>5313</v>
      </c>
      <c r="C224" s="863"/>
      <c r="D224" s="850" t="s">
        <v>4934</v>
      </c>
      <c r="E224" s="850" t="s">
        <v>5314</v>
      </c>
      <c r="F224" s="863"/>
      <c r="H224" s="850" t="s">
        <v>4934</v>
      </c>
      <c r="I224" s="850" t="s">
        <v>5519</v>
      </c>
      <c r="J224" s="850" t="s">
        <v>5464</v>
      </c>
      <c r="K224" s="710" t="s">
        <v>270</v>
      </c>
      <c r="L224" s="710" t="s">
        <v>3942</v>
      </c>
      <c r="M224" s="710" t="s">
        <v>626</v>
      </c>
      <c r="N224" s="710"/>
      <c r="O224" s="895">
        <v>2018</v>
      </c>
      <c r="P224" s="896">
        <v>43649</v>
      </c>
      <c r="Q224" s="896">
        <v>43824</v>
      </c>
      <c r="R224" s="712">
        <f t="shared" si="87"/>
        <v>175</v>
      </c>
      <c r="S224" s="896"/>
      <c r="T224" s="896"/>
      <c r="U224" s="896"/>
      <c r="V224" s="896"/>
      <c r="W224" s="896"/>
      <c r="X224" s="896"/>
      <c r="Y224" s="896"/>
      <c r="Z224" s="896"/>
      <c r="AA224" s="896"/>
      <c r="AB224" s="710" t="s">
        <v>3997</v>
      </c>
      <c r="AC224" s="974" t="s">
        <v>4025</v>
      </c>
      <c r="AD224" s="710" t="s">
        <v>4055</v>
      </c>
      <c r="AE224" s="710" t="s">
        <v>4055</v>
      </c>
      <c r="AF224" s="710"/>
      <c r="AG224" s="710" t="s">
        <v>4055</v>
      </c>
      <c r="AH224" s="898">
        <v>0.32600000000000001</v>
      </c>
      <c r="AI224" s="868">
        <f t="shared" si="68"/>
        <v>0.32500000000000001</v>
      </c>
      <c r="AJ224" s="875">
        <f t="shared" si="69"/>
        <v>-1.0000000000000009E-3</v>
      </c>
      <c r="AK224" s="898"/>
      <c r="AL224" s="898"/>
      <c r="AM224" s="898"/>
      <c r="AN224" s="869">
        <f t="shared" si="70"/>
        <v>0</v>
      </c>
      <c r="AO224" s="869">
        <f t="shared" si="71"/>
        <v>0</v>
      </c>
      <c r="AP224" s="898"/>
      <c r="AQ224" s="899"/>
      <c r="AR224" s="899">
        <v>7.1999999999999998E-3</v>
      </c>
      <c r="AS224" s="869">
        <f t="shared" si="72"/>
        <v>0</v>
      </c>
      <c r="AT224" s="869">
        <f t="shared" si="73"/>
        <v>0</v>
      </c>
      <c r="AU224" s="942">
        <v>0.12</v>
      </c>
      <c r="AV224" s="899">
        <v>0.36809815950920244</v>
      </c>
      <c r="AW224" s="869">
        <f t="shared" si="74"/>
        <v>0.36809815950920244</v>
      </c>
      <c r="AX224" s="869">
        <f t="shared" si="75"/>
        <v>0</v>
      </c>
      <c r="AY224" s="898">
        <v>3.6999999999999998E-2</v>
      </c>
      <c r="AZ224" s="899">
        <f>AY224/AH224</f>
        <v>0.11349693251533742</v>
      </c>
      <c r="BA224" s="869">
        <f t="shared" si="76"/>
        <v>0.11349693251533742</v>
      </c>
      <c r="BB224" s="869">
        <f t="shared" si="77"/>
        <v>0</v>
      </c>
      <c r="BC224" s="898">
        <v>0</v>
      </c>
      <c r="BD224" s="899">
        <v>0</v>
      </c>
      <c r="BE224" s="869">
        <f t="shared" si="78"/>
        <v>0</v>
      </c>
      <c r="BF224" s="869">
        <f t="shared" si="79"/>
        <v>0</v>
      </c>
      <c r="BG224" s="899"/>
      <c r="BH224" s="899"/>
      <c r="BI224" s="899"/>
      <c r="BJ224" s="899"/>
      <c r="BK224" s="899"/>
      <c r="BL224" s="714">
        <f t="shared" si="80"/>
        <v>0</v>
      </c>
      <c r="BM224" s="869">
        <f t="shared" si="81"/>
        <v>0</v>
      </c>
      <c r="BN224" s="898">
        <v>0.16800000000000001</v>
      </c>
      <c r="BO224" s="899">
        <f>BN224/AH224</f>
        <v>0.51533742331288346</v>
      </c>
      <c r="BP224" s="869">
        <f t="shared" si="82"/>
        <v>0.51533742331288346</v>
      </c>
      <c r="BQ224" s="869">
        <f t="shared" si="83"/>
        <v>0</v>
      </c>
      <c r="BR224" s="899"/>
      <c r="BS224" s="899"/>
      <c r="BT224" s="898"/>
      <c r="BU224" s="899"/>
      <c r="BV224" s="901">
        <v>9</v>
      </c>
      <c r="BW224" s="901">
        <v>9</v>
      </c>
      <c r="BX224" s="901">
        <v>9</v>
      </c>
      <c r="BY224" s="901"/>
      <c r="BZ224" s="955">
        <v>1</v>
      </c>
      <c r="CA224" s="955"/>
      <c r="CB224" s="955"/>
      <c r="CC224" s="955"/>
      <c r="CD224" s="955"/>
      <c r="CE224" s="955"/>
      <c r="CF224" s="955">
        <v>1</v>
      </c>
      <c r="CG224" s="955"/>
      <c r="CH224" s="955"/>
      <c r="CI224" s="955">
        <v>1</v>
      </c>
      <c r="CJ224" s="955">
        <v>6</v>
      </c>
      <c r="CK224" s="955"/>
      <c r="CL224" s="955"/>
      <c r="CM224" s="955"/>
      <c r="CN224" s="955"/>
      <c r="CO224" s="955"/>
      <c r="CP224" s="955"/>
      <c r="CQ224" s="955"/>
      <c r="CR224" s="901"/>
      <c r="CS224" s="902">
        <f t="shared" si="88"/>
        <v>9</v>
      </c>
      <c r="CT224" s="871">
        <f t="shared" si="84"/>
        <v>9</v>
      </c>
      <c r="CU224" s="871">
        <f t="shared" si="85"/>
        <v>0</v>
      </c>
      <c r="CV224" s="942">
        <v>0.498</v>
      </c>
      <c r="CW224" s="710" t="s">
        <v>4121</v>
      </c>
      <c r="CX224" s="710"/>
      <c r="CY224" s="710"/>
      <c r="CZ224" s="710"/>
      <c r="DA224" s="710">
        <v>33.76</v>
      </c>
      <c r="DB224" s="974" t="s">
        <v>4138</v>
      </c>
      <c r="DC224" s="710" t="s">
        <v>279</v>
      </c>
      <c r="DD224" s="710"/>
      <c r="DE224" s="710"/>
      <c r="DF224" s="901"/>
      <c r="DG224" s="901"/>
      <c r="DH224" s="901">
        <v>2</v>
      </c>
      <c r="DI224" s="710" t="s">
        <v>278</v>
      </c>
      <c r="DJ224" s="710" t="s">
        <v>4161</v>
      </c>
      <c r="DK224" s="901">
        <v>54</v>
      </c>
      <c r="DL224" s="710" t="s">
        <v>278</v>
      </c>
      <c r="DM224" s="710"/>
      <c r="DN224" s="901">
        <v>106</v>
      </c>
      <c r="DO224" s="710" t="s">
        <v>279</v>
      </c>
      <c r="DP224" s="710"/>
      <c r="DQ224" s="901"/>
      <c r="DR224" s="710" t="s">
        <v>279</v>
      </c>
      <c r="DS224" s="710"/>
      <c r="DT224" s="901"/>
      <c r="DU224" s="710" t="s">
        <v>279</v>
      </c>
      <c r="DV224" s="710"/>
      <c r="DW224" s="901"/>
      <c r="DX224" s="710" t="s">
        <v>278</v>
      </c>
      <c r="DY224" s="710" t="s">
        <v>4180</v>
      </c>
      <c r="DZ224" s="901">
        <v>9</v>
      </c>
      <c r="EA224" s="710" t="s">
        <v>279</v>
      </c>
      <c r="EB224" s="710"/>
      <c r="EC224" s="901"/>
      <c r="ED224" s="710" t="s">
        <v>278</v>
      </c>
      <c r="EE224" s="710"/>
      <c r="EF224" s="901">
        <v>106</v>
      </c>
      <c r="EG224" s="710" t="s">
        <v>279</v>
      </c>
      <c r="EH224" s="710"/>
      <c r="EI224" s="901"/>
      <c r="EJ224" s="710" t="s">
        <v>278</v>
      </c>
      <c r="EK224" s="710"/>
      <c r="EL224" s="901">
        <v>106</v>
      </c>
      <c r="EM224" s="710" t="s">
        <v>278</v>
      </c>
      <c r="EN224" s="974" t="s">
        <v>4197</v>
      </c>
      <c r="EO224" s="901">
        <v>7</v>
      </c>
      <c r="EP224" s="710" t="s">
        <v>279</v>
      </c>
      <c r="EQ224" s="710"/>
      <c r="ER224" s="901"/>
      <c r="ES224" s="710"/>
      <c r="ET224" s="710"/>
      <c r="EU224" s="901"/>
      <c r="EV224" s="901"/>
      <c r="EW224" s="901"/>
      <c r="EX224" s="901"/>
      <c r="EY224" s="710" t="s">
        <v>279</v>
      </c>
      <c r="EZ224" s="710"/>
      <c r="FA224" s="710" t="s">
        <v>279</v>
      </c>
      <c r="FB224" s="710" t="s">
        <v>4228</v>
      </c>
      <c r="FC224" s="974" t="s">
        <v>4252</v>
      </c>
      <c r="FD224" s="974" t="s">
        <v>4272</v>
      </c>
      <c r="FE224" s="710"/>
      <c r="FF224" s="710" t="s">
        <v>4296</v>
      </c>
      <c r="FG224" s="710"/>
      <c r="FH224" s="710" t="s">
        <v>4320</v>
      </c>
      <c r="FI224" s="710">
        <v>1</v>
      </c>
      <c r="FJ224" s="710">
        <v>2</v>
      </c>
      <c r="FK224" s="710" t="s">
        <v>4339</v>
      </c>
      <c r="FL224" s="710" t="s">
        <v>4366</v>
      </c>
      <c r="FM224" s="974" t="s">
        <v>4392</v>
      </c>
      <c r="FN224" s="710"/>
      <c r="FO224" s="710"/>
      <c r="FP224" s="710"/>
    </row>
    <row r="225" spans="2:172" ht="152" customHeight="1">
      <c r="B225" s="850" t="s">
        <v>5313</v>
      </c>
      <c r="C225" s="863"/>
      <c r="D225" s="850" t="s">
        <v>4934</v>
      </c>
      <c r="E225" s="850" t="s">
        <v>5314</v>
      </c>
      <c r="F225" s="863"/>
      <c r="H225" s="850" t="s">
        <v>4934</v>
      </c>
      <c r="I225" s="850" t="s">
        <v>5519</v>
      </c>
      <c r="J225" s="850" t="s">
        <v>5464</v>
      </c>
      <c r="K225" s="710" t="s">
        <v>270</v>
      </c>
      <c r="L225" s="710" t="s">
        <v>3943</v>
      </c>
      <c r="M225" s="710" t="s">
        <v>626</v>
      </c>
      <c r="N225" s="710"/>
      <c r="O225" s="895">
        <v>2019</v>
      </c>
      <c r="P225" s="896">
        <v>43713</v>
      </c>
      <c r="Q225" s="896">
        <v>43830</v>
      </c>
      <c r="R225" s="712">
        <f t="shared" si="87"/>
        <v>117</v>
      </c>
      <c r="S225" s="896"/>
      <c r="T225" s="896"/>
      <c r="U225" s="896"/>
      <c r="V225" s="896"/>
      <c r="W225" s="896"/>
      <c r="X225" s="896"/>
      <c r="Y225" s="896"/>
      <c r="Z225" s="896"/>
      <c r="AA225" s="896"/>
      <c r="AB225" s="710" t="s">
        <v>3998</v>
      </c>
      <c r="AC225" s="974" t="s">
        <v>4026</v>
      </c>
      <c r="AD225" s="710" t="s">
        <v>4056</v>
      </c>
      <c r="AE225" s="710" t="s">
        <v>4078</v>
      </c>
      <c r="AF225" s="710"/>
      <c r="AG225" s="710" t="s">
        <v>4056</v>
      </c>
      <c r="AH225" s="898">
        <v>1.4259999999999999</v>
      </c>
      <c r="AI225" s="868">
        <f t="shared" si="68"/>
        <v>1.4260000000000002</v>
      </c>
      <c r="AJ225" s="867">
        <f t="shared" si="69"/>
        <v>0</v>
      </c>
      <c r="AK225" s="898"/>
      <c r="AL225" s="898"/>
      <c r="AM225" s="898"/>
      <c r="AN225" s="869">
        <f t="shared" si="70"/>
        <v>0</v>
      </c>
      <c r="AO225" s="869">
        <f t="shared" si="71"/>
        <v>0</v>
      </c>
      <c r="AP225" s="898"/>
      <c r="AQ225" s="899"/>
      <c r="AR225" s="899">
        <v>1.9230000000000001E-2</v>
      </c>
      <c r="AS225" s="869">
        <f t="shared" si="72"/>
        <v>0</v>
      </c>
      <c r="AT225" s="869">
        <f t="shared" si="73"/>
        <v>0</v>
      </c>
      <c r="AU225" s="942">
        <v>1.298</v>
      </c>
      <c r="AV225" s="899">
        <v>0.91023842917251063</v>
      </c>
      <c r="AW225" s="869">
        <f t="shared" si="74"/>
        <v>0.91023842917251063</v>
      </c>
      <c r="AX225" s="869">
        <f t="shared" si="75"/>
        <v>0</v>
      </c>
      <c r="AY225" s="898">
        <v>0</v>
      </c>
      <c r="AZ225" s="899">
        <v>0</v>
      </c>
      <c r="BA225" s="869">
        <f t="shared" si="76"/>
        <v>0</v>
      </c>
      <c r="BB225" s="869">
        <f t="shared" si="77"/>
        <v>0</v>
      </c>
      <c r="BC225" s="898">
        <v>0.128</v>
      </c>
      <c r="BD225" s="899">
        <v>1.9599999999999999E-2</v>
      </c>
      <c r="BE225" s="869">
        <f t="shared" si="78"/>
        <v>8.9761570827489492E-2</v>
      </c>
      <c r="BF225" s="869">
        <f t="shared" si="79"/>
        <v>-7.01615708274895E-2</v>
      </c>
      <c r="BG225" s="899"/>
      <c r="BH225" s="899"/>
      <c r="BI225" s="899"/>
      <c r="BJ225" s="899"/>
      <c r="BK225" s="899"/>
      <c r="BL225" s="714">
        <f t="shared" si="80"/>
        <v>0</v>
      </c>
      <c r="BM225" s="869">
        <f t="shared" si="81"/>
        <v>0</v>
      </c>
      <c r="BN225" s="898"/>
      <c r="BO225" s="899"/>
      <c r="BP225" s="869">
        <f t="shared" si="82"/>
        <v>0</v>
      </c>
      <c r="BQ225" s="869">
        <f t="shared" si="83"/>
        <v>0</v>
      </c>
      <c r="BR225" s="899"/>
      <c r="BS225" s="899"/>
      <c r="BT225" s="898">
        <v>2.8000000000000001E-2</v>
      </c>
      <c r="BU225" s="899">
        <v>4.0000000000000002E-4</v>
      </c>
      <c r="BV225" s="901">
        <v>44</v>
      </c>
      <c r="BW225" s="901">
        <v>22</v>
      </c>
      <c r="BX225" s="901">
        <v>12</v>
      </c>
      <c r="BY225" s="901"/>
      <c r="BZ225" s="955">
        <v>2</v>
      </c>
      <c r="CA225" s="955"/>
      <c r="CB225" s="955"/>
      <c r="CC225" s="955"/>
      <c r="CD225" s="955"/>
      <c r="CE225" s="955"/>
      <c r="CF225" s="955"/>
      <c r="CG225" s="955">
        <v>2</v>
      </c>
      <c r="CH225" s="955"/>
      <c r="CI225" s="955">
        <v>3</v>
      </c>
      <c r="CJ225" s="955">
        <v>2</v>
      </c>
      <c r="CK225" s="955">
        <v>3</v>
      </c>
      <c r="CL225" s="955"/>
      <c r="CM225" s="955"/>
      <c r="CN225" s="955"/>
      <c r="CO225" s="955"/>
      <c r="CP225" s="955"/>
      <c r="CQ225" s="955"/>
      <c r="CR225" s="901"/>
      <c r="CS225" s="902">
        <f t="shared" si="88"/>
        <v>12</v>
      </c>
      <c r="CT225" s="871">
        <f t="shared" si="84"/>
        <v>12</v>
      </c>
      <c r="CU225" s="871">
        <f t="shared" si="85"/>
        <v>0</v>
      </c>
      <c r="CV225" s="942">
        <v>1.2130000000000001</v>
      </c>
      <c r="CW225" s="710" t="s">
        <v>4121</v>
      </c>
      <c r="CX225" s="710"/>
      <c r="CY225" s="710"/>
      <c r="CZ225" s="710"/>
      <c r="DA225" s="710">
        <v>50</v>
      </c>
      <c r="DB225" s="974" t="s">
        <v>4139</v>
      </c>
      <c r="DC225" s="710" t="s">
        <v>279</v>
      </c>
      <c r="DD225" s="710"/>
      <c r="DE225" s="710"/>
      <c r="DF225" s="901"/>
      <c r="DG225" s="901"/>
      <c r="DH225" s="901">
        <v>2</v>
      </c>
      <c r="DI225" s="710" t="s">
        <v>279</v>
      </c>
      <c r="DJ225" s="710"/>
      <c r="DK225" s="901"/>
      <c r="DL225" s="710" t="s">
        <v>278</v>
      </c>
      <c r="DM225" s="710" t="s">
        <v>4167</v>
      </c>
      <c r="DN225" s="710">
        <v>234</v>
      </c>
      <c r="DO225" s="710" t="s">
        <v>279</v>
      </c>
      <c r="DP225" s="710"/>
      <c r="DQ225" s="901"/>
      <c r="DR225" s="710" t="s">
        <v>279</v>
      </c>
      <c r="DS225" s="710"/>
      <c r="DT225" s="901"/>
      <c r="DU225" s="710" t="s">
        <v>279</v>
      </c>
      <c r="DV225" s="710"/>
      <c r="DW225" s="901"/>
      <c r="DX225" s="710" t="s">
        <v>278</v>
      </c>
      <c r="DY225" s="710" t="s">
        <v>4180</v>
      </c>
      <c r="DZ225" s="901">
        <v>44</v>
      </c>
      <c r="EA225" s="710" t="s">
        <v>279</v>
      </c>
      <c r="EB225" s="710"/>
      <c r="EC225" s="901"/>
      <c r="ED225" s="710" t="s">
        <v>279</v>
      </c>
      <c r="EE225" s="710"/>
      <c r="EF225" s="901"/>
      <c r="EG225" s="710" t="s">
        <v>279</v>
      </c>
      <c r="EH225" s="710"/>
      <c r="EI225" s="901"/>
      <c r="EJ225" s="710" t="s">
        <v>279</v>
      </c>
      <c r="EK225" s="710"/>
      <c r="EL225" s="901"/>
      <c r="EM225" s="710" t="s">
        <v>278</v>
      </c>
      <c r="EN225" s="1025" t="s">
        <v>4198</v>
      </c>
      <c r="EO225" s="901">
        <v>7</v>
      </c>
      <c r="EP225" s="710" t="s">
        <v>279</v>
      </c>
      <c r="EQ225" s="710"/>
      <c r="ER225" s="901"/>
      <c r="ES225" s="710" t="s">
        <v>279</v>
      </c>
      <c r="ET225" s="710"/>
      <c r="EU225" s="901"/>
      <c r="EV225" s="901"/>
      <c r="EW225" s="901"/>
      <c r="EX225" s="901"/>
      <c r="EY225" s="710" t="s">
        <v>279</v>
      </c>
      <c r="EZ225" s="710"/>
      <c r="FA225" s="710" t="s">
        <v>278</v>
      </c>
      <c r="FB225" s="710" t="s">
        <v>4231</v>
      </c>
      <c r="FC225" s="974" t="s">
        <v>4253</v>
      </c>
      <c r="FD225" s="974"/>
      <c r="FE225" s="710"/>
      <c r="FF225" s="710" t="s">
        <v>4297</v>
      </c>
      <c r="FG225" s="710"/>
      <c r="FH225" s="710" t="s">
        <v>4320</v>
      </c>
      <c r="FI225" s="710">
        <v>1</v>
      </c>
      <c r="FJ225" s="710">
        <v>3</v>
      </c>
      <c r="FK225" s="710" t="s">
        <v>4340</v>
      </c>
      <c r="FL225" s="710" t="s">
        <v>4367</v>
      </c>
      <c r="FM225" s="974" t="s">
        <v>4393</v>
      </c>
      <c r="FN225" s="710"/>
      <c r="FO225" s="710"/>
      <c r="FP225" s="710"/>
    </row>
    <row r="226" spans="2:172" ht="139.5" customHeight="1">
      <c r="B226" s="850" t="s">
        <v>5313</v>
      </c>
      <c r="C226" s="863"/>
      <c r="D226" s="850" t="s">
        <v>4934</v>
      </c>
      <c r="E226" s="850" t="s">
        <v>5314</v>
      </c>
      <c r="F226" s="863"/>
      <c r="H226" s="850" t="s">
        <v>4934</v>
      </c>
      <c r="I226" s="850" t="s">
        <v>5519</v>
      </c>
      <c r="J226" s="850" t="s">
        <v>5464</v>
      </c>
      <c r="K226" s="710" t="s">
        <v>270</v>
      </c>
      <c r="L226" s="710" t="s">
        <v>3944</v>
      </c>
      <c r="M226" s="710" t="s">
        <v>626</v>
      </c>
      <c r="N226" s="710"/>
      <c r="O226" s="895">
        <v>2019</v>
      </c>
      <c r="P226" s="896">
        <v>43775</v>
      </c>
      <c r="Q226" s="896">
        <v>43830</v>
      </c>
      <c r="R226" s="712">
        <f t="shared" si="87"/>
        <v>55</v>
      </c>
      <c r="S226" s="896"/>
      <c r="T226" s="896"/>
      <c r="U226" s="896"/>
      <c r="V226" s="896"/>
      <c r="W226" s="896"/>
      <c r="X226" s="896"/>
      <c r="Y226" s="896"/>
      <c r="Z226" s="896"/>
      <c r="AA226" s="896"/>
      <c r="AB226" s="710" t="s">
        <v>3999</v>
      </c>
      <c r="AC226" s="974" t="s">
        <v>4027</v>
      </c>
      <c r="AD226" s="710" t="s">
        <v>4057</v>
      </c>
      <c r="AE226" s="710" t="s">
        <v>4057</v>
      </c>
      <c r="AF226" s="710"/>
      <c r="AG226" s="710" t="s">
        <v>4057</v>
      </c>
      <c r="AH226" s="898">
        <v>0.25700000000000001</v>
      </c>
      <c r="AI226" s="868">
        <f t="shared" si="68"/>
        <v>0.25700000000000001</v>
      </c>
      <c r="AJ226" s="867">
        <f t="shared" si="69"/>
        <v>0</v>
      </c>
      <c r="AK226" s="898"/>
      <c r="AL226" s="898"/>
      <c r="AM226" s="898"/>
      <c r="AN226" s="869">
        <f t="shared" si="70"/>
        <v>0</v>
      </c>
      <c r="AO226" s="869">
        <f t="shared" si="71"/>
        <v>0</v>
      </c>
      <c r="AP226" s="898"/>
      <c r="AQ226" s="899"/>
      <c r="AR226" s="899">
        <v>3.8E-3</v>
      </c>
      <c r="AS226" s="869">
        <f t="shared" si="72"/>
        <v>0</v>
      </c>
      <c r="AT226" s="869">
        <f t="shared" si="73"/>
        <v>0</v>
      </c>
      <c r="AU226" s="942">
        <v>0.255</v>
      </c>
      <c r="AV226" s="899">
        <v>0.99219999999999997</v>
      </c>
      <c r="AW226" s="869">
        <f t="shared" si="74"/>
        <v>0.99221789883268485</v>
      </c>
      <c r="AX226" s="869">
        <f t="shared" si="75"/>
        <v>-1.7898832684881683E-5</v>
      </c>
      <c r="AY226" s="898">
        <v>0</v>
      </c>
      <c r="AZ226" s="899">
        <v>0</v>
      </c>
      <c r="BA226" s="869">
        <f t="shared" si="76"/>
        <v>0</v>
      </c>
      <c r="BB226" s="869">
        <f t="shared" si="77"/>
        <v>0</v>
      </c>
      <c r="BC226" s="898">
        <v>2E-3</v>
      </c>
      <c r="BD226" s="899">
        <v>9.7000000000000003E-3</v>
      </c>
      <c r="BE226" s="869">
        <f t="shared" si="78"/>
        <v>7.7821011673151752E-3</v>
      </c>
      <c r="BF226" s="869">
        <f t="shared" si="79"/>
        <v>1.9178988326848251E-3</v>
      </c>
      <c r="BG226" s="899"/>
      <c r="BH226" s="899"/>
      <c r="BI226" s="899"/>
      <c r="BJ226" s="899"/>
      <c r="BK226" s="899"/>
      <c r="BL226" s="714">
        <f t="shared" si="80"/>
        <v>0</v>
      </c>
      <c r="BM226" s="869">
        <f t="shared" si="81"/>
        <v>0</v>
      </c>
      <c r="BN226" s="898"/>
      <c r="BO226" s="899"/>
      <c r="BP226" s="869">
        <f t="shared" si="82"/>
        <v>0</v>
      </c>
      <c r="BQ226" s="869">
        <f t="shared" si="83"/>
        <v>0</v>
      </c>
      <c r="BR226" s="899"/>
      <c r="BS226" s="899"/>
      <c r="BT226" s="898"/>
      <c r="BU226" s="899"/>
      <c r="BV226" s="901">
        <v>2</v>
      </c>
      <c r="BW226" s="901">
        <v>2</v>
      </c>
      <c r="BX226" s="901">
        <v>1</v>
      </c>
      <c r="BY226" s="901"/>
      <c r="BZ226" s="901">
        <v>1</v>
      </c>
      <c r="CA226" s="901"/>
      <c r="CB226" s="901"/>
      <c r="CC226" s="901"/>
      <c r="CD226" s="901"/>
      <c r="CE226" s="901"/>
      <c r="CF226" s="901"/>
      <c r="CG226" s="901"/>
      <c r="CH226" s="901"/>
      <c r="CI226" s="901"/>
      <c r="CJ226" s="901">
        <v>1</v>
      </c>
      <c r="CK226" s="901"/>
      <c r="CL226" s="901"/>
      <c r="CM226" s="901"/>
      <c r="CN226" s="901"/>
      <c r="CO226" s="901"/>
      <c r="CP226" s="901"/>
      <c r="CQ226" s="901"/>
      <c r="CR226" s="901"/>
      <c r="CS226" s="902">
        <f t="shared" si="88"/>
        <v>2</v>
      </c>
      <c r="CT226" s="871">
        <f t="shared" si="84"/>
        <v>2</v>
      </c>
      <c r="CU226" s="871">
        <f t="shared" si="85"/>
        <v>0</v>
      </c>
      <c r="CV226" s="942">
        <v>1.53</v>
      </c>
      <c r="CW226" s="710" t="s">
        <v>4121</v>
      </c>
      <c r="CX226" s="710"/>
      <c r="CY226" s="710"/>
      <c r="CZ226" s="710"/>
      <c r="DA226" s="710">
        <v>30</v>
      </c>
      <c r="DB226" s="974" t="s">
        <v>4140</v>
      </c>
      <c r="DC226" s="710" t="s">
        <v>279</v>
      </c>
      <c r="DD226" s="710"/>
      <c r="DE226" s="710"/>
      <c r="DF226" s="901"/>
      <c r="DG226" s="901"/>
      <c r="DH226" s="901">
        <v>1</v>
      </c>
      <c r="DI226" s="710" t="s">
        <v>279</v>
      </c>
      <c r="DJ226" s="710"/>
      <c r="DK226" s="901"/>
      <c r="DL226" s="710" t="s">
        <v>278</v>
      </c>
      <c r="DM226" s="710"/>
      <c r="DN226" s="901">
        <v>25</v>
      </c>
      <c r="DO226" s="710" t="s">
        <v>279</v>
      </c>
      <c r="DP226" s="710"/>
      <c r="DQ226" s="901"/>
      <c r="DR226" s="710" t="s">
        <v>279</v>
      </c>
      <c r="DS226" s="710"/>
      <c r="DT226" s="901"/>
      <c r="DU226" s="710" t="s">
        <v>279</v>
      </c>
      <c r="DV226" s="710"/>
      <c r="DW226" s="901"/>
      <c r="DX226" s="710" t="s">
        <v>279</v>
      </c>
      <c r="DY226" s="710"/>
      <c r="DZ226" s="901">
        <v>2</v>
      </c>
      <c r="EA226" s="710" t="s">
        <v>279</v>
      </c>
      <c r="EB226" s="710"/>
      <c r="EC226" s="901"/>
      <c r="ED226" s="710" t="s">
        <v>279</v>
      </c>
      <c r="EE226" s="710"/>
      <c r="EF226" s="901"/>
      <c r="EG226" s="710" t="s">
        <v>279</v>
      </c>
      <c r="EH226" s="710"/>
      <c r="EI226" s="901"/>
      <c r="EJ226" s="710" t="s">
        <v>279</v>
      </c>
      <c r="EK226" s="710"/>
      <c r="EL226" s="901"/>
      <c r="EM226" s="710" t="s">
        <v>278</v>
      </c>
      <c r="EN226" s="1025" t="s">
        <v>4199</v>
      </c>
      <c r="EO226" s="901">
        <v>10</v>
      </c>
      <c r="EP226" s="710" t="s">
        <v>279</v>
      </c>
      <c r="EQ226" s="710"/>
      <c r="ER226" s="901"/>
      <c r="ES226" s="710" t="s">
        <v>279</v>
      </c>
      <c r="ET226" s="710"/>
      <c r="EU226" s="901"/>
      <c r="EV226" s="901"/>
      <c r="EW226" s="901"/>
      <c r="EX226" s="901"/>
      <c r="EY226" s="710" t="s">
        <v>279</v>
      </c>
      <c r="EZ226" s="710"/>
      <c r="FA226" s="710" t="s">
        <v>579</v>
      </c>
      <c r="FB226" s="710" t="s">
        <v>4232</v>
      </c>
      <c r="FC226" s="974" t="s">
        <v>4254</v>
      </c>
      <c r="FD226" s="974"/>
      <c r="FE226" s="710"/>
      <c r="FF226" s="710"/>
      <c r="FG226" s="710"/>
      <c r="FH226" s="710" t="s">
        <v>4320</v>
      </c>
      <c r="FI226" s="710">
        <v>1</v>
      </c>
      <c r="FJ226" s="710">
        <v>1</v>
      </c>
      <c r="FK226" s="710" t="s">
        <v>4341</v>
      </c>
      <c r="FL226" s="710">
        <v>89088960936</v>
      </c>
      <c r="FM226" s="974" t="s">
        <v>4394</v>
      </c>
      <c r="FN226" s="710" t="s">
        <v>4412</v>
      </c>
      <c r="FO226" s="710">
        <v>83467649206</v>
      </c>
      <c r="FP226" s="974" t="s">
        <v>4426</v>
      </c>
    </row>
    <row r="227" spans="2:172" ht="128.5" customHeight="1">
      <c r="B227" s="850" t="s">
        <v>5313</v>
      </c>
      <c r="C227" s="863"/>
      <c r="D227" s="850" t="s">
        <v>4934</v>
      </c>
      <c r="E227" s="850" t="s">
        <v>5314</v>
      </c>
      <c r="F227" s="863"/>
      <c r="H227" s="850" t="s">
        <v>4934</v>
      </c>
      <c r="I227" s="850" t="s">
        <v>5519</v>
      </c>
      <c r="J227" s="850" t="s">
        <v>5464</v>
      </c>
      <c r="K227" s="710" t="s">
        <v>270</v>
      </c>
      <c r="L227" s="710" t="s">
        <v>3945</v>
      </c>
      <c r="M227" s="710" t="s">
        <v>626</v>
      </c>
      <c r="N227" s="710"/>
      <c r="O227" s="895">
        <v>2019</v>
      </c>
      <c r="P227" s="896">
        <v>43622</v>
      </c>
      <c r="Q227" s="896">
        <v>43705</v>
      </c>
      <c r="R227" s="712">
        <f t="shared" si="87"/>
        <v>83</v>
      </c>
      <c r="S227" s="896"/>
      <c r="T227" s="896"/>
      <c r="U227" s="896"/>
      <c r="V227" s="896"/>
      <c r="W227" s="896"/>
      <c r="X227" s="896"/>
      <c r="Y227" s="896"/>
      <c r="Z227" s="896"/>
      <c r="AA227" s="896"/>
      <c r="AB227" s="710" t="s">
        <v>4000</v>
      </c>
      <c r="AC227" s="974" t="s">
        <v>4028</v>
      </c>
      <c r="AD227" s="710" t="s">
        <v>4058</v>
      </c>
      <c r="AE227" s="710" t="s">
        <v>4058</v>
      </c>
      <c r="AF227" s="710"/>
      <c r="AG227" s="710" t="s">
        <v>4058</v>
      </c>
      <c r="AH227" s="898">
        <v>0.373</v>
      </c>
      <c r="AI227" s="868">
        <f t="shared" si="68"/>
        <v>0.372</v>
      </c>
      <c r="AJ227" s="875">
        <f t="shared" si="69"/>
        <v>-1.0000000000000009E-3</v>
      </c>
      <c r="AK227" s="898"/>
      <c r="AL227" s="898"/>
      <c r="AM227" s="898"/>
      <c r="AN227" s="869">
        <f t="shared" si="70"/>
        <v>0</v>
      </c>
      <c r="AO227" s="869">
        <f t="shared" si="71"/>
        <v>0</v>
      </c>
      <c r="AP227" s="898"/>
      <c r="AQ227" s="899"/>
      <c r="AR227" s="899">
        <v>5.3E-3</v>
      </c>
      <c r="AS227" s="869">
        <f t="shared" si="72"/>
        <v>0</v>
      </c>
      <c r="AT227" s="869">
        <f t="shared" si="73"/>
        <v>0</v>
      </c>
      <c r="AU227" s="942">
        <v>0.36499999999999999</v>
      </c>
      <c r="AV227" s="899">
        <v>0.99960000000000004</v>
      </c>
      <c r="AW227" s="869">
        <f t="shared" si="74"/>
        <v>0.97855227882037532</v>
      </c>
      <c r="AX227" s="869">
        <f t="shared" si="75"/>
        <v>2.1047721179624723E-2</v>
      </c>
      <c r="AY227" s="898">
        <v>0</v>
      </c>
      <c r="AZ227" s="899">
        <v>0</v>
      </c>
      <c r="BA227" s="869">
        <f t="shared" si="76"/>
        <v>0</v>
      </c>
      <c r="BB227" s="869">
        <f t="shared" si="77"/>
        <v>0</v>
      </c>
      <c r="BC227" s="898">
        <v>7.0000000000000001E-3</v>
      </c>
      <c r="BD227" s="899">
        <v>2.0799999999999999E-4</v>
      </c>
      <c r="BE227" s="869">
        <f t="shared" si="78"/>
        <v>1.8766756032171584E-2</v>
      </c>
      <c r="BF227" s="869">
        <f t="shared" si="79"/>
        <v>-1.8558756032171584E-2</v>
      </c>
      <c r="BG227" s="899"/>
      <c r="BH227" s="899"/>
      <c r="BI227" s="899"/>
      <c r="BJ227" s="899"/>
      <c r="BK227" s="899"/>
      <c r="BL227" s="714">
        <f t="shared" si="80"/>
        <v>0</v>
      </c>
      <c r="BM227" s="869">
        <f t="shared" si="81"/>
        <v>0</v>
      </c>
      <c r="BN227" s="898"/>
      <c r="BO227" s="899"/>
      <c r="BP227" s="869">
        <f t="shared" si="82"/>
        <v>0</v>
      </c>
      <c r="BQ227" s="869">
        <f t="shared" si="83"/>
        <v>0</v>
      </c>
      <c r="BR227" s="899"/>
      <c r="BS227" s="899"/>
      <c r="BT227" s="898">
        <v>0</v>
      </c>
      <c r="BU227" s="899">
        <v>0</v>
      </c>
      <c r="BV227" s="901">
        <v>3</v>
      </c>
      <c r="BW227" s="901">
        <v>3</v>
      </c>
      <c r="BX227" s="901">
        <v>3</v>
      </c>
      <c r="BY227" s="901"/>
      <c r="BZ227" s="901"/>
      <c r="CA227" s="901"/>
      <c r="CB227" s="901"/>
      <c r="CC227" s="901"/>
      <c r="CD227" s="901"/>
      <c r="CE227" s="901"/>
      <c r="CF227" s="901"/>
      <c r="CG227" s="901"/>
      <c r="CH227" s="901"/>
      <c r="CI227" s="901">
        <v>1</v>
      </c>
      <c r="CJ227" s="901">
        <v>2</v>
      </c>
      <c r="CK227" s="901"/>
      <c r="CL227" s="901"/>
      <c r="CM227" s="901"/>
      <c r="CN227" s="901"/>
      <c r="CO227" s="901"/>
      <c r="CP227" s="901"/>
      <c r="CQ227" s="901"/>
      <c r="CR227" s="901"/>
      <c r="CS227" s="902">
        <f t="shared" si="88"/>
        <v>3</v>
      </c>
      <c r="CT227" s="871">
        <f t="shared" si="84"/>
        <v>3</v>
      </c>
      <c r="CU227" s="871">
        <f t="shared" si="85"/>
        <v>0</v>
      </c>
      <c r="CV227" s="942">
        <v>0.94</v>
      </c>
      <c r="CW227" s="710" t="s">
        <v>4121</v>
      </c>
      <c r="CX227" s="710"/>
      <c r="CY227" s="710"/>
      <c r="CZ227" s="710"/>
      <c r="DA227" s="710">
        <v>47.55</v>
      </c>
      <c r="DB227" s="974" t="s">
        <v>4141</v>
      </c>
      <c r="DC227" s="710" t="s">
        <v>279</v>
      </c>
      <c r="DD227" s="710"/>
      <c r="DE227" s="710"/>
      <c r="DF227" s="901"/>
      <c r="DG227" s="901"/>
      <c r="DH227" s="901">
        <v>3</v>
      </c>
      <c r="DI227" s="710" t="s">
        <v>279</v>
      </c>
      <c r="DJ227" s="710"/>
      <c r="DK227" s="901"/>
      <c r="DL227" s="710" t="s">
        <v>278</v>
      </c>
      <c r="DM227" s="710"/>
      <c r="DN227" s="901">
        <v>2</v>
      </c>
      <c r="DO227" s="710" t="s">
        <v>279</v>
      </c>
      <c r="DP227" s="710"/>
      <c r="DQ227" s="901"/>
      <c r="DR227" s="710" t="s">
        <v>279</v>
      </c>
      <c r="DS227" s="710"/>
      <c r="DT227" s="901"/>
      <c r="DU227" s="710" t="s">
        <v>279</v>
      </c>
      <c r="DV227" s="710"/>
      <c r="DW227" s="901"/>
      <c r="DX227" s="710" t="s">
        <v>279</v>
      </c>
      <c r="DY227" s="710"/>
      <c r="DZ227" s="901"/>
      <c r="EA227" s="710" t="s">
        <v>279</v>
      </c>
      <c r="EB227" s="710"/>
      <c r="EC227" s="901"/>
      <c r="ED227" s="710" t="s">
        <v>278</v>
      </c>
      <c r="EE227" s="710"/>
      <c r="EF227" s="901">
        <v>6</v>
      </c>
      <c r="EG227" s="710" t="s">
        <v>279</v>
      </c>
      <c r="EH227" s="710"/>
      <c r="EI227" s="901"/>
      <c r="EJ227" s="710" t="s">
        <v>279</v>
      </c>
      <c r="EK227" s="710"/>
      <c r="EL227" s="901"/>
      <c r="EM227" s="710" t="s">
        <v>278</v>
      </c>
      <c r="EN227" s="974" t="s">
        <v>4200</v>
      </c>
      <c r="EO227" s="901"/>
      <c r="EP227" s="710" t="s">
        <v>279</v>
      </c>
      <c r="EQ227" s="710"/>
      <c r="ER227" s="901"/>
      <c r="ES227" s="710" t="s">
        <v>279</v>
      </c>
      <c r="ET227" s="710"/>
      <c r="EU227" s="901"/>
      <c r="EV227" s="901"/>
      <c r="EW227" s="901"/>
      <c r="EX227" s="901"/>
      <c r="EY227" s="710" t="s">
        <v>279</v>
      </c>
      <c r="EZ227" s="710" t="s">
        <v>279</v>
      </c>
      <c r="FA227" s="710" t="s">
        <v>278</v>
      </c>
      <c r="FB227" s="710" t="s">
        <v>4233</v>
      </c>
      <c r="FC227" s="974" t="s">
        <v>4255</v>
      </c>
      <c r="FD227" s="974"/>
      <c r="FE227" s="710"/>
      <c r="FF227" s="710"/>
      <c r="FG227" s="710"/>
      <c r="FH227" s="710" t="s">
        <v>4320</v>
      </c>
      <c r="FI227" s="710">
        <v>1</v>
      </c>
      <c r="FJ227" s="710">
        <v>3</v>
      </c>
      <c r="FK227" s="710" t="s">
        <v>4342</v>
      </c>
      <c r="FL227" s="710" t="s">
        <v>4368</v>
      </c>
      <c r="FM227" s="974" t="s">
        <v>4395</v>
      </c>
      <c r="FN227" s="710" t="s">
        <v>4413</v>
      </c>
      <c r="FO227" s="710" t="s">
        <v>4421</v>
      </c>
      <c r="FP227" s="974" t="s">
        <v>4395</v>
      </c>
    </row>
    <row r="228" spans="2:172" ht="109" customHeight="1">
      <c r="B228" s="850" t="s">
        <v>5313</v>
      </c>
      <c r="C228" s="863"/>
      <c r="D228" s="850" t="s">
        <v>4934</v>
      </c>
      <c r="E228" s="850" t="s">
        <v>5314</v>
      </c>
      <c r="F228" s="863"/>
      <c r="H228" s="850" t="s">
        <v>4934</v>
      </c>
      <c r="I228" s="850" t="s">
        <v>5519</v>
      </c>
      <c r="J228" s="850" t="s">
        <v>5464</v>
      </c>
      <c r="K228" s="710" t="s">
        <v>270</v>
      </c>
      <c r="L228" s="710" t="s">
        <v>3946</v>
      </c>
      <c r="M228" s="710" t="s">
        <v>626</v>
      </c>
      <c r="N228" s="710"/>
      <c r="O228" s="895">
        <v>2019</v>
      </c>
      <c r="P228" s="896">
        <v>43652</v>
      </c>
      <c r="Q228" s="896">
        <v>43682</v>
      </c>
      <c r="R228" s="712">
        <f t="shared" si="87"/>
        <v>30</v>
      </c>
      <c r="S228" s="896"/>
      <c r="T228" s="896"/>
      <c r="U228" s="896"/>
      <c r="V228" s="896"/>
      <c r="W228" s="896"/>
      <c r="X228" s="896"/>
      <c r="Y228" s="896"/>
      <c r="Z228" s="896"/>
      <c r="AA228" s="896"/>
      <c r="AB228" s="710" t="s">
        <v>4001</v>
      </c>
      <c r="AC228" s="710" t="s">
        <v>4029</v>
      </c>
      <c r="AD228" s="710" t="s">
        <v>4059</v>
      </c>
      <c r="AE228" s="710" t="s">
        <v>4059</v>
      </c>
      <c r="AF228" s="710"/>
      <c r="AG228" s="710" t="s">
        <v>4059</v>
      </c>
      <c r="AH228" s="898">
        <v>7.5999999999999998E-2</v>
      </c>
      <c r="AI228" s="868">
        <f t="shared" si="68"/>
        <v>7.4999999999999997E-2</v>
      </c>
      <c r="AJ228" s="875">
        <f t="shared" si="69"/>
        <v>-1.0000000000000009E-3</v>
      </c>
      <c r="AK228" s="898"/>
      <c r="AL228" s="898"/>
      <c r="AM228" s="898"/>
      <c r="AN228" s="869">
        <f t="shared" si="70"/>
        <v>0</v>
      </c>
      <c r="AO228" s="869">
        <f t="shared" si="71"/>
        <v>0</v>
      </c>
      <c r="AP228" s="898"/>
      <c r="AQ228" s="899"/>
      <c r="AR228" s="899">
        <v>2.0999999999999999E-3</v>
      </c>
      <c r="AS228" s="869">
        <f t="shared" si="72"/>
        <v>0</v>
      </c>
      <c r="AT228" s="869">
        <f t="shared" si="73"/>
        <v>0</v>
      </c>
      <c r="AU228" s="942">
        <v>0.06</v>
      </c>
      <c r="AV228" s="899">
        <v>0.78947368421052633</v>
      </c>
      <c r="AW228" s="869">
        <f t="shared" si="74"/>
        <v>0.78947368421052633</v>
      </c>
      <c r="AX228" s="869">
        <f t="shared" si="75"/>
        <v>0</v>
      </c>
      <c r="AY228" s="898">
        <v>0</v>
      </c>
      <c r="AZ228" s="899">
        <v>0</v>
      </c>
      <c r="BA228" s="869">
        <f t="shared" si="76"/>
        <v>0</v>
      </c>
      <c r="BB228" s="869">
        <f t="shared" si="77"/>
        <v>0</v>
      </c>
      <c r="BC228" s="898">
        <v>1.4999999999999999E-2</v>
      </c>
      <c r="BD228" s="899">
        <v>0.20799999999999999</v>
      </c>
      <c r="BE228" s="869">
        <f t="shared" si="78"/>
        <v>0.19736842105263158</v>
      </c>
      <c r="BF228" s="869">
        <f t="shared" si="79"/>
        <v>1.0631578947368409E-2</v>
      </c>
      <c r="BG228" s="899"/>
      <c r="BH228" s="899"/>
      <c r="BI228" s="899"/>
      <c r="BJ228" s="899"/>
      <c r="BK228" s="899"/>
      <c r="BL228" s="714">
        <f t="shared" si="80"/>
        <v>0</v>
      </c>
      <c r="BM228" s="869">
        <f t="shared" si="81"/>
        <v>0</v>
      </c>
      <c r="BN228" s="898"/>
      <c r="BO228" s="899"/>
      <c r="BP228" s="869">
        <f t="shared" si="82"/>
        <v>0</v>
      </c>
      <c r="BQ228" s="869">
        <f t="shared" si="83"/>
        <v>0</v>
      </c>
      <c r="BR228" s="899"/>
      <c r="BS228" s="899"/>
      <c r="BT228" s="898"/>
      <c r="BU228" s="899"/>
      <c r="BV228" s="901">
        <v>2</v>
      </c>
      <c r="BW228" s="901">
        <v>2</v>
      </c>
      <c r="BX228" s="901">
        <v>2</v>
      </c>
      <c r="BY228" s="901"/>
      <c r="BZ228" s="901"/>
      <c r="CA228" s="901"/>
      <c r="CB228" s="901"/>
      <c r="CC228" s="901"/>
      <c r="CD228" s="901"/>
      <c r="CE228" s="901"/>
      <c r="CF228" s="901"/>
      <c r="CG228" s="901"/>
      <c r="CH228" s="901"/>
      <c r="CI228" s="901">
        <v>1</v>
      </c>
      <c r="CJ228" s="901">
        <v>1</v>
      </c>
      <c r="CK228" s="901"/>
      <c r="CL228" s="901"/>
      <c r="CM228" s="901"/>
      <c r="CN228" s="901"/>
      <c r="CO228" s="901"/>
      <c r="CP228" s="901"/>
      <c r="CQ228" s="901"/>
      <c r="CR228" s="901"/>
      <c r="CS228" s="902">
        <f t="shared" si="88"/>
        <v>2</v>
      </c>
      <c r="CT228" s="871">
        <f t="shared" si="84"/>
        <v>2</v>
      </c>
      <c r="CU228" s="871">
        <f t="shared" si="85"/>
        <v>0</v>
      </c>
      <c r="CV228" s="942">
        <v>0.20699999999999999</v>
      </c>
      <c r="CW228" s="710"/>
      <c r="CX228" s="710"/>
      <c r="CY228" s="710"/>
      <c r="CZ228" s="710"/>
      <c r="DA228" s="710">
        <v>35.6</v>
      </c>
      <c r="DB228" s="974" t="s">
        <v>4142</v>
      </c>
      <c r="DC228" s="710" t="s">
        <v>279</v>
      </c>
      <c r="DD228" s="710"/>
      <c r="DE228" s="710"/>
      <c r="DF228" s="901"/>
      <c r="DG228" s="901"/>
      <c r="DH228" s="901"/>
      <c r="DI228" s="710" t="s">
        <v>279</v>
      </c>
      <c r="DJ228" s="710"/>
      <c r="DK228" s="901"/>
      <c r="DL228" s="710" t="s">
        <v>278</v>
      </c>
      <c r="DM228" s="710"/>
      <c r="DN228" s="901">
        <v>10</v>
      </c>
      <c r="DO228" s="710" t="s">
        <v>279</v>
      </c>
      <c r="DP228" s="710"/>
      <c r="DQ228" s="901"/>
      <c r="DR228" s="710" t="s">
        <v>279</v>
      </c>
      <c r="DS228" s="710"/>
      <c r="DT228" s="901"/>
      <c r="DU228" s="710" t="s">
        <v>279</v>
      </c>
      <c r="DV228" s="710"/>
      <c r="DW228" s="901"/>
      <c r="DX228" s="710" t="s">
        <v>278</v>
      </c>
      <c r="DY228" s="710" t="s">
        <v>4180</v>
      </c>
      <c r="DZ228" s="901">
        <v>2</v>
      </c>
      <c r="EA228" s="710" t="s">
        <v>279</v>
      </c>
      <c r="EB228" s="710"/>
      <c r="EC228" s="901"/>
      <c r="ED228" s="710" t="s">
        <v>278</v>
      </c>
      <c r="EE228" s="710"/>
      <c r="EF228" s="901">
        <v>7</v>
      </c>
      <c r="EG228" s="710" t="s">
        <v>279</v>
      </c>
      <c r="EH228" s="710"/>
      <c r="EI228" s="901"/>
      <c r="EJ228" s="710" t="s">
        <v>279</v>
      </c>
      <c r="EK228" s="710"/>
      <c r="EL228" s="710"/>
      <c r="EM228" s="710" t="s">
        <v>278</v>
      </c>
      <c r="EN228" s="974" t="s">
        <v>4029</v>
      </c>
      <c r="EO228" s="901">
        <v>7</v>
      </c>
      <c r="EP228" s="710" t="s">
        <v>279</v>
      </c>
      <c r="EQ228" s="710"/>
      <c r="ER228" s="901"/>
      <c r="ES228" s="710"/>
      <c r="ET228" s="710"/>
      <c r="EU228" s="901"/>
      <c r="EV228" s="901"/>
      <c r="EW228" s="901"/>
      <c r="EX228" s="901"/>
      <c r="EY228" s="710" t="s">
        <v>279</v>
      </c>
      <c r="EZ228" s="710"/>
      <c r="FA228" s="710" t="s">
        <v>278</v>
      </c>
      <c r="FB228" s="710" t="s">
        <v>4234</v>
      </c>
      <c r="FC228" s="974" t="s">
        <v>4029</v>
      </c>
      <c r="FD228" s="974"/>
      <c r="FE228" s="710"/>
      <c r="FF228" s="710"/>
      <c r="FG228" s="710"/>
      <c r="FH228" s="710" t="s">
        <v>4320</v>
      </c>
      <c r="FI228" s="710">
        <v>1</v>
      </c>
      <c r="FJ228" s="710">
        <v>1</v>
      </c>
      <c r="FK228" s="710" t="s">
        <v>4343</v>
      </c>
      <c r="FL228" s="710" t="s">
        <v>4369</v>
      </c>
      <c r="FM228" s="974" t="s">
        <v>4396</v>
      </c>
      <c r="FN228" s="710"/>
      <c r="FO228" s="710"/>
      <c r="FP228" s="710"/>
    </row>
    <row r="229" spans="2:172" ht="133.5" customHeight="1">
      <c r="B229" s="850" t="s">
        <v>5313</v>
      </c>
      <c r="C229" s="863"/>
      <c r="D229" s="850" t="s">
        <v>4934</v>
      </c>
      <c r="E229" s="850" t="s">
        <v>5314</v>
      </c>
      <c r="F229" s="863"/>
      <c r="H229" s="850" t="s">
        <v>4934</v>
      </c>
      <c r="I229" s="850" t="s">
        <v>5519</v>
      </c>
      <c r="J229" s="850" t="s">
        <v>5464</v>
      </c>
      <c r="K229" s="710" t="s">
        <v>270</v>
      </c>
      <c r="L229" s="710" t="s">
        <v>3947</v>
      </c>
      <c r="M229" s="710" t="s">
        <v>626</v>
      </c>
      <c r="N229" s="710"/>
      <c r="O229" s="895">
        <v>2018</v>
      </c>
      <c r="P229" s="896">
        <v>43661</v>
      </c>
      <c r="Q229" s="896">
        <v>43824</v>
      </c>
      <c r="R229" s="712">
        <f t="shared" si="87"/>
        <v>163</v>
      </c>
      <c r="S229" s="896"/>
      <c r="T229" s="896"/>
      <c r="U229" s="896"/>
      <c r="V229" s="896"/>
      <c r="W229" s="896"/>
      <c r="X229" s="896"/>
      <c r="Y229" s="896"/>
      <c r="Z229" s="896"/>
      <c r="AA229" s="896"/>
      <c r="AB229" s="710" t="s">
        <v>4002</v>
      </c>
      <c r="AC229" s="974" t="s">
        <v>4030</v>
      </c>
      <c r="AD229" s="710" t="s">
        <v>4060</v>
      </c>
      <c r="AE229" s="710" t="s">
        <v>4060</v>
      </c>
      <c r="AF229" s="710"/>
      <c r="AG229" s="710" t="s">
        <v>4060</v>
      </c>
      <c r="AH229" s="898">
        <v>0.61799999999999999</v>
      </c>
      <c r="AI229" s="868">
        <f t="shared" si="68"/>
        <v>0.61799999999999999</v>
      </c>
      <c r="AJ229" s="867">
        <f t="shared" si="69"/>
        <v>0</v>
      </c>
      <c r="AK229" s="898"/>
      <c r="AL229" s="898"/>
      <c r="AM229" s="898"/>
      <c r="AN229" s="869">
        <f t="shared" si="70"/>
        <v>0</v>
      </c>
      <c r="AO229" s="869">
        <f t="shared" si="71"/>
        <v>0</v>
      </c>
      <c r="AP229" s="898"/>
      <c r="AQ229" s="899"/>
      <c r="AR229" s="899">
        <v>2.1000000000000001E-2</v>
      </c>
      <c r="AS229" s="869">
        <f t="shared" si="72"/>
        <v>0</v>
      </c>
      <c r="AT229" s="869">
        <f t="shared" si="73"/>
        <v>0</v>
      </c>
      <c r="AU229" s="942">
        <v>0.61799999999999999</v>
      </c>
      <c r="AV229" s="899">
        <v>1</v>
      </c>
      <c r="AW229" s="869">
        <f t="shared" si="74"/>
        <v>1</v>
      </c>
      <c r="AX229" s="869">
        <f t="shared" si="75"/>
        <v>0</v>
      </c>
      <c r="AY229" s="898">
        <v>0</v>
      </c>
      <c r="AZ229" s="899">
        <v>0</v>
      </c>
      <c r="BA229" s="869">
        <f t="shared" si="76"/>
        <v>0</v>
      </c>
      <c r="BB229" s="869">
        <f t="shared" si="77"/>
        <v>0</v>
      </c>
      <c r="BC229" s="898">
        <v>0</v>
      </c>
      <c r="BD229" s="899">
        <v>0</v>
      </c>
      <c r="BE229" s="869">
        <f t="shared" si="78"/>
        <v>0</v>
      </c>
      <c r="BF229" s="869">
        <f t="shared" si="79"/>
        <v>0</v>
      </c>
      <c r="BG229" s="899"/>
      <c r="BH229" s="899"/>
      <c r="BI229" s="899"/>
      <c r="BJ229" s="899"/>
      <c r="BK229" s="899"/>
      <c r="BL229" s="714">
        <f t="shared" si="80"/>
        <v>0</v>
      </c>
      <c r="BM229" s="869">
        <f t="shared" si="81"/>
        <v>0</v>
      </c>
      <c r="BN229" s="898"/>
      <c r="BO229" s="899"/>
      <c r="BP229" s="869">
        <f t="shared" si="82"/>
        <v>0</v>
      </c>
      <c r="BQ229" s="869">
        <f t="shared" si="83"/>
        <v>0</v>
      </c>
      <c r="BR229" s="899"/>
      <c r="BS229" s="899"/>
      <c r="BT229" s="898">
        <v>0.2</v>
      </c>
      <c r="BU229" s="899">
        <v>7.0000000000000001E-3</v>
      </c>
      <c r="BV229" s="901">
        <v>7</v>
      </c>
      <c r="BW229" s="901">
        <v>7</v>
      </c>
      <c r="BX229" s="901">
        <v>4</v>
      </c>
      <c r="BY229" s="901"/>
      <c r="BZ229" s="901"/>
      <c r="CA229" s="901"/>
      <c r="CB229" s="901"/>
      <c r="CC229" s="901"/>
      <c r="CD229" s="901"/>
      <c r="CE229" s="901"/>
      <c r="CF229" s="901"/>
      <c r="CG229" s="901"/>
      <c r="CH229" s="901"/>
      <c r="CI229" s="901">
        <v>1</v>
      </c>
      <c r="CJ229" s="901">
        <v>3</v>
      </c>
      <c r="CK229" s="901"/>
      <c r="CL229" s="901"/>
      <c r="CM229" s="901"/>
      <c r="CN229" s="901"/>
      <c r="CO229" s="901"/>
      <c r="CP229" s="901"/>
      <c r="CQ229" s="901"/>
      <c r="CR229" s="901"/>
      <c r="CS229" s="902">
        <f t="shared" si="88"/>
        <v>4</v>
      </c>
      <c r="CT229" s="871">
        <f t="shared" si="84"/>
        <v>4</v>
      </c>
      <c r="CU229" s="871">
        <f t="shared" si="85"/>
        <v>0</v>
      </c>
      <c r="CV229" s="942">
        <v>1.1000000000000001</v>
      </c>
      <c r="CW229" s="710" t="s">
        <v>4121</v>
      </c>
      <c r="CX229" s="710"/>
      <c r="CY229" s="710"/>
      <c r="CZ229" s="710"/>
      <c r="DA229" s="710">
        <v>93.46</v>
      </c>
      <c r="DB229" s="974" t="s">
        <v>4143</v>
      </c>
      <c r="DC229" s="710" t="s">
        <v>279</v>
      </c>
      <c r="DD229" s="710"/>
      <c r="DE229" s="710"/>
      <c r="DF229" s="901"/>
      <c r="DG229" s="901"/>
      <c r="DH229" s="901">
        <v>2</v>
      </c>
      <c r="DI229" s="710" t="s">
        <v>279</v>
      </c>
      <c r="DJ229" s="710"/>
      <c r="DK229" s="901"/>
      <c r="DL229" s="710" t="s">
        <v>278</v>
      </c>
      <c r="DM229" s="710"/>
      <c r="DN229" s="901">
        <v>114</v>
      </c>
      <c r="DO229" s="710" t="s">
        <v>279</v>
      </c>
      <c r="DP229" s="901"/>
      <c r="DQ229" s="710"/>
      <c r="DR229" s="710" t="s">
        <v>279</v>
      </c>
      <c r="DS229" s="901"/>
      <c r="DT229" s="710"/>
      <c r="DU229" s="710" t="s">
        <v>279</v>
      </c>
      <c r="DV229" s="901"/>
      <c r="DW229" s="710"/>
      <c r="DX229" s="710" t="s">
        <v>278</v>
      </c>
      <c r="DY229" s="710" t="s">
        <v>4180</v>
      </c>
      <c r="DZ229" s="901">
        <v>7</v>
      </c>
      <c r="EA229" s="710" t="s">
        <v>279</v>
      </c>
      <c r="EB229" s="710"/>
      <c r="EC229" s="901"/>
      <c r="ED229" s="710" t="s">
        <v>278</v>
      </c>
      <c r="EE229" s="710" t="s">
        <v>698</v>
      </c>
      <c r="EF229" s="901">
        <v>114</v>
      </c>
      <c r="EG229" s="710" t="s">
        <v>279</v>
      </c>
      <c r="EH229" s="710"/>
      <c r="EI229" s="901"/>
      <c r="EJ229" s="710" t="s">
        <v>279</v>
      </c>
      <c r="EK229" s="710"/>
      <c r="EL229" s="901"/>
      <c r="EM229" s="710" t="s">
        <v>278</v>
      </c>
      <c r="EN229" s="1025" t="s">
        <v>4201</v>
      </c>
      <c r="EO229" s="901">
        <v>5</v>
      </c>
      <c r="EP229" s="710" t="s">
        <v>279</v>
      </c>
      <c r="EQ229" s="710"/>
      <c r="ER229" s="901"/>
      <c r="ES229" s="710"/>
      <c r="ET229" s="710"/>
      <c r="EU229" s="901"/>
      <c r="EV229" s="901"/>
      <c r="EW229" s="901"/>
      <c r="EX229" s="901"/>
      <c r="EY229" s="710" t="s">
        <v>279</v>
      </c>
      <c r="EZ229" s="710"/>
      <c r="FA229" s="710" t="s">
        <v>278</v>
      </c>
      <c r="FB229" s="710" t="s">
        <v>4228</v>
      </c>
      <c r="FC229" s="974" t="s">
        <v>4256</v>
      </c>
      <c r="FD229" s="974"/>
      <c r="FE229" s="710"/>
      <c r="FF229" s="710" t="s">
        <v>4298</v>
      </c>
      <c r="FG229" s="710"/>
      <c r="FH229" s="710" t="s">
        <v>4320</v>
      </c>
      <c r="FI229" s="710">
        <v>1</v>
      </c>
      <c r="FJ229" s="710">
        <v>5</v>
      </c>
      <c r="FK229" s="710" t="s">
        <v>4344</v>
      </c>
      <c r="FL229" s="710" t="s">
        <v>4370</v>
      </c>
      <c r="FM229" s="974" t="s">
        <v>4397</v>
      </c>
      <c r="FN229" s="710"/>
      <c r="FO229" s="710"/>
      <c r="FP229" s="710"/>
    </row>
    <row r="230" spans="2:172" ht="137" customHeight="1">
      <c r="B230" s="850" t="s">
        <v>5313</v>
      </c>
      <c r="C230" s="863"/>
      <c r="D230" s="850" t="s">
        <v>4934</v>
      </c>
      <c r="E230" s="850" t="s">
        <v>5314</v>
      </c>
      <c r="F230" s="863"/>
      <c r="H230" s="850" t="s">
        <v>4934</v>
      </c>
      <c r="I230" s="850" t="s">
        <v>5519</v>
      </c>
      <c r="J230" s="850" t="s">
        <v>5464</v>
      </c>
      <c r="K230" s="710" t="s">
        <v>270</v>
      </c>
      <c r="L230" s="714" t="s">
        <v>3948</v>
      </c>
      <c r="M230" s="714" t="s">
        <v>3965</v>
      </c>
      <c r="N230" s="714" t="s">
        <v>3651</v>
      </c>
      <c r="O230" s="852">
        <v>2017</v>
      </c>
      <c r="P230" s="865">
        <v>43538</v>
      </c>
      <c r="Q230" s="865">
        <v>43815</v>
      </c>
      <c r="R230" s="712">
        <f t="shared" si="87"/>
        <v>277</v>
      </c>
      <c r="S230" s="865"/>
      <c r="T230" s="865"/>
      <c r="U230" s="865"/>
      <c r="V230" s="865"/>
      <c r="W230" s="865"/>
      <c r="X230" s="865"/>
      <c r="Y230" s="865"/>
      <c r="Z230" s="865"/>
      <c r="AA230" s="865"/>
      <c r="AB230" s="712" t="s">
        <v>4003</v>
      </c>
      <c r="AC230" s="855" t="s">
        <v>4031</v>
      </c>
      <c r="AD230" s="714" t="s">
        <v>4061</v>
      </c>
      <c r="AE230" s="714" t="s">
        <v>4079</v>
      </c>
      <c r="AF230" s="714" t="s">
        <v>4095</v>
      </c>
      <c r="AG230" s="714" t="s">
        <v>4103</v>
      </c>
      <c r="AH230" s="854">
        <v>36.799999999999997</v>
      </c>
      <c r="AI230" s="868">
        <f t="shared" si="68"/>
        <v>39.699999999999996</v>
      </c>
      <c r="AJ230" s="875">
        <f t="shared" si="69"/>
        <v>2.8999999999999986</v>
      </c>
      <c r="AK230" s="854"/>
      <c r="AL230" s="854"/>
      <c r="AM230" s="854"/>
      <c r="AN230" s="869">
        <f t="shared" si="70"/>
        <v>0</v>
      </c>
      <c r="AO230" s="869">
        <f t="shared" si="71"/>
        <v>0</v>
      </c>
      <c r="AP230" s="854"/>
      <c r="AQ230" s="934"/>
      <c r="AR230" s="869">
        <f>AH230/7102.7*100%</f>
        <v>5.1811283033212719E-3</v>
      </c>
      <c r="AS230" s="869">
        <f t="shared" si="72"/>
        <v>0</v>
      </c>
      <c r="AT230" s="869">
        <f t="shared" si="73"/>
        <v>0</v>
      </c>
      <c r="AU230" s="872">
        <v>27.9</v>
      </c>
      <c r="AV230" s="869">
        <v>0.75815217391304346</v>
      </c>
      <c r="AW230" s="869">
        <f t="shared" si="74"/>
        <v>0.75815217391304346</v>
      </c>
      <c r="AX230" s="869">
        <f t="shared" si="75"/>
        <v>0</v>
      </c>
      <c r="AY230" s="854">
        <v>1.4</v>
      </c>
      <c r="AZ230" s="934">
        <f>AY230/AH230*100%</f>
        <v>3.8043478260869568E-2</v>
      </c>
      <c r="BA230" s="869">
        <f t="shared" si="76"/>
        <v>3.8043478260869568E-2</v>
      </c>
      <c r="BB230" s="869">
        <f t="shared" si="77"/>
        <v>0</v>
      </c>
      <c r="BC230" s="854">
        <v>0.2</v>
      </c>
      <c r="BD230" s="934">
        <v>5.0000000000000001E-3</v>
      </c>
      <c r="BE230" s="869">
        <f t="shared" si="78"/>
        <v>5.4347826086956529E-3</v>
      </c>
      <c r="BF230" s="869">
        <f t="shared" si="79"/>
        <v>-4.3478260869565279E-4</v>
      </c>
      <c r="BG230" s="934"/>
      <c r="BH230" s="934"/>
      <c r="BI230" s="934"/>
      <c r="BJ230" s="934"/>
      <c r="BK230" s="934"/>
      <c r="BL230" s="714">
        <f t="shared" si="80"/>
        <v>0</v>
      </c>
      <c r="BM230" s="869">
        <f t="shared" si="81"/>
        <v>0</v>
      </c>
      <c r="BN230" s="854">
        <v>10.199999999999999</v>
      </c>
      <c r="BO230" s="934">
        <v>0.24299999999999999</v>
      </c>
      <c r="BP230" s="869">
        <f t="shared" si="82"/>
        <v>0.27717391304347827</v>
      </c>
      <c r="BQ230" s="869">
        <f t="shared" si="83"/>
        <v>-3.4173913043478277E-2</v>
      </c>
      <c r="BR230" s="934"/>
      <c r="BS230" s="934"/>
      <c r="BT230" s="854">
        <v>33</v>
      </c>
      <c r="BU230" s="934">
        <v>7.0000000000000001E-3</v>
      </c>
      <c r="BV230" s="870">
        <v>34</v>
      </c>
      <c r="BW230" s="870">
        <v>34</v>
      </c>
      <c r="BX230" s="870">
        <v>26</v>
      </c>
      <c r="BY230" s="870"/>
      <c r="BZ230" s="870">
        <v>1</v>
      </c>
      <c r="CA230" s="870" t="s">
        <v>410</v>
      </c>
      <c r="CB230" s="870" t="s">
        <v>410</v>
      </c>
      <c r="CC230" s="870" t="s">
        <v>410</v>
      </c>
      <c r="CD230" s="870">
        <v>1</v>
      </c>
      <c r="CE230" s="870" t="s">
        <v>410</v>
      </c>
      <c r="CF230" s="870">
        <v>1</v>
      </c>
      <c r="CG230" s="870">
        <v>1</v>
      </c>
      <c r="CH230" s="870" t="s">
        <v>410</v>
      </c>
      <c r="CI230" s="870">
        <v>1</v>
      </c>
      <c r="CJ230" s="870">
        <v>5</v>
      </c>
      <c r="CK230" s="870">
        <v>1</v>
      </c>
      <c r="CL230" s="870" t="s">
        <v>410</v>
      </c>
      <c r="CM230" s="870" t="s">
        <v>410</v>
      </c>
      <c r="CN230" s="870" t="s">
        <v>410</v>
      </c>
      <c r="CO230" s="870" t="s">
        <v>410</v>
      </c>
      <c r="CP230" s="870" t="s">
        <v>410</v>
      </c>
      <c r="CQ230" s="870" t="s">
        <v>410</v>
      </c>
      <c r="CR230" s="870">
        <v>15</v>
      </c>
      <c r="CS230" s="871">
        <f t="shared" ref="CS230:CS243" si="89">SUM(BY230:CR230)</f>
        <v>26</v>
      </c>
      <c r="CT230" s="871">
        <f t="shared" si="84"/>
        <v>26</v>
      </c>
      <c r="CU230" s="871">
        <f t="shared" si="85"/>
        <v>0</v>
      </c>
      <c r="CV230" s="872">
        <v>44.6</v>
      </c>
      <c r="CW230" s="712" t="s">
        <v>4122</v>
      </c>
      <c r="CX230" s="710"/>
      <c r="CY230" s="710"/>
      <c r="CZ230" s="710"/>
      <c r="DA230" s="714" t="s">
        <v>4130</v>
      </c>
      <c r="DB230" s="712" t="s">
        <v>4122</v>
      </c>
      <c r="DC230" s="714" t="s">
        <v>279</v>
      </c>
      <c r="DD230" s="714"/>
      <c r="DE230" s="714"/>
      <c r="DF230" s="870"/>
      <c r="DG230" s="870"/>
      <c r="DH230" s="901">
        <v>25</v>
      </c>
      <c r="DI230" s="712" t="s">
        <v>279</v>
      </c>
      <c r="DJ230" s="714" t="s">
        <v>410</v>
      </c>
      <c r="DK230" s="870" t="s">
        <v>410</v>
      </c>
      <c r="DL230" s="714" t="s">
        <v>278</v>
      </c>
      <c r="DM230" s="712" t="s">
        <v>4168</v>
      </c>
      <c r="DN230" s="870">
        <v>1337</v>
      </c>
      <c r="DO230" s="712" t="s">
        <v>279</v>
      </c>
      <c r="DP230" s="714" t="s">
        <v>410</v>
      </c>
      <c r="DQ230" s="870" t="s">
        <v>410</v>
      </c>
      <c r="DR230" s="712" t="s">
        <v>279</v>
      </c>
      <c r="DS230" s="714" t="s">
        <v>410</v>
      </c>
      <c r="DT230" s="870" t="s">
        <v>410</v>
      </c>
      <c r="DU230" s="712" t="s">
        <v>279</v>
      </c>
      <c r="DV230" s="714" t="s">
        <v>410</v>
      </c>
      <c r="DW230" s="870" t="s">
        <v>410</v>
      </c>
      <c r="DX230" s="712" t="s">
        <v>279</v>
      </c>
      <c r="DY230" s="714" t="s">
        <v>410</v>
      </c>
      <c r="DZ230" s="870" t="s">
        <v>410</v>
      </c>
      <c r="EA230" s="712" t="s">
        <v>279</v>
      </c>
      <c r="EB230" s="714" t="s">
        <v>410</v>
      </c>
      <c r="EC230" s="870" t="s">
        <v>410</v>
      </c>
      <c r="ED230" s="712" t="s">
        <v>279</v>
      </c>
      <c r="EE230" s="714" t="s">
        <v>410</v>
      </c>
      <c r="EF230" s="870" t="s">
        <v>410</v>
      </c>
      <c r="EG230" s="712" t="s">
        <v>279</v>
      </c>
      <c r="EH230" s="714" t="s">
        <v>410</v>
      </c>
      <c r="EI230" s="870" t="s">
        <v>410</v>
      </c>
      <c r="EJ230" s="712" t="s">
        <v>279</v>
      </c>
      <c r="EK230" s="714" t="s">
        <v>410</v>
      </c>
      <c r="EL230" s="870" t="s">
        <v>410</v>
      </c>
      <c r="EM230" s="712" t="s">
        <v>279</v>
      </c>
      <c r="EN230" s="714" t="s">
        <v>410</v>
      </c>
      <c r="EO230" s="870" t="s">
        <v>410</v>
      </c>
      <c r="EP230" s="712" t="s">
        <v>278</v>
      </c>
      <c r="EQ230" s="714" t="s">
        <v>410</v>
      </c>
      <c r="ER230" s="870" t="s">
        <v>410</v>
      </c>
      <c r="ES230" s="714" t="s">
        <v>410</v>
      </c>
      <c r="ET230" s="714" t="s">
        <v>410</v>
      </c>
      <c r="EU230" s="870" t="s">
        <v>410</v>
      </c>
      <c r="EV230" s="870"/>
      <c r="EW230" s="870"/>
      <c r="EX230" s="870"/>
      <c r="EY230" s="712" t="s">
        <v>279</v>
      </c>
      <c r="EZ230" s="870" t="s">
        <v>410</v>
      </c>
      <c r="FA230" s="714" t="s">
        <v>278</v>
      </c>
      <c r="FB230" s="712" t="s">
        <v>4235</v>
      </c>
      <c r="FC230" s="855" t="s">
        <v>4257</v>
      </c>
      <c r="FD230" s="714" t="s">
        <v>4273</v>
      </c>
      <c r="FE230" s="714" t="s">
        <v>4284</v>
      </c>
      <c r="FF230" s="710" t="s">
        <v>4299</v>
      </c>
      <c r="FG230" s="948" t="s">
        <v>4312</v>
      </c>
      <c r="FH230" s="714" t="s">
        <v>4321</v>
      </c>
      <c r="FI230" s="714">
        <v>1</v>
      </c>
      <c r="FJ230" s="714" t="s">
        <v>4330</v>
      </c>
      <c r="FK230" s="714" t="s">
        <v>4345</v>
      </c>
      <c r="FL230" s="714" t="s">
        <v>4371</v>
      </c>
      <c r="FM230" s="714" t="s">
        <v>4398</v>
      </c>
      <c r="FN230" s="714" t="s">
        <v>4345</v>
      </c>
      <c r="FO230" s="714" t="s">
        <v>4371</v>
      </c>
      <c r="FP230" s="714" t="s">
        <v>4398</v>
      </c>
    </row>
    <row r="231" spans="2:172" ht="127" customHeight="1">
      <c r="B231" s="850" t="s">
        <v>5313</v>
      </c>
      <c r="C231" s="863"/>
      <c r="D231" s="850" t="s">
        <v>4934</v>
      </c>
      <c r="E231" s="850" t="s">
        <v>5314</v>
      </c>
      <c r="F231" s="863"/>
      <c r="H231" s="850" t="s">
        <v>4934</v>
      </c>
      <c r="I231" s="850" t="s">
        <v>5519</v>
      </c>
      <c r="J231" s="850" t="s">
        <v>5464</v>
      </c>
      <c r="K231" s="710" t="s">
        <v>270</v>
      </c>
      <c r="L231" s="710" t="s">
        <v>3949</v>
      </c>
      <c r="M231" s="710" t="s">
        <v>3966</v>
      </c>
      <c r="N231" s="710" t="s">
        <v>3976</v>
      </c>
      <c r="O231" s="895">
        <v>2018</v>
      </c>
      <c r="P231" s="711" t="s">
        <v>3981</v>
      </c>
      <c r="Q231" s="709" t="s">
        <v>3984</v>
      </c>
      <c r="R231" s="712">
        <f t="shared" si="87"/>
        <v>443</v>
      </c>
      <c r="S231" s="709"/>
      <c r="T231" s="709"/>
      <c r="U231" s="709"/>
      <c r="V231" s="709"/>
      <c r="W231" s="709"/>
      <c r="X231" s="709"/>
      <c r="Y231" s="709"/>
      <c r="Z231" s="709"/>
      <c r="AA231" s="709"/>
      <c r="AB231" s="710" t="s">
        <v>4004</v>
      </c>
      <c r="AC231" s="940" t="s">
        <v>4032</v>
      </c>
      <c r="AD231" s="710" t="s">
        <v>4062</v>
      </c>
      <c r="AE231" s="710" t="s">
        <v>4080</v>
      </c>
      <c r="AF231" s="710" t="s">
        <v>4096</v>
      </c>
      <c r="AG231" s="710" t="s">
        <v>4104</v>
      </c>
      <c r="AH231" s="898">
        <v>3.5859999999999999</v>
      </c>
      <c r="AI231" s="868">
        <f t="shared" si="68"/>
        <v>3.5859999999999999</v>
      </c>
      <c r="AJ231" s="875">
        <f t="shared" si="69"/>
        <v>0</v>
      </c>
      <c r="AK231" s="898"/>
      <c r="AL231" s="898"/>
      <c r="AM231" s="898"/>
      <c r="AN231" s="869">
        <f t="shared" si="70"/>
        <v>0</v>
      </c>
      <c r="AO231" s="869">
        <f t="shared" si="71"/>
        <v>0</v>
      </c>
      <c r="AP231" s="898"/>
      <c r="AQ231" s="899"/>
      <c r="AR231" s="899">
        <f>3/4428.95</f>
        <v>6.7736145135980318E-4</v>
      </c>
      <c r="AS231" s="869">
        <f t="shared" si="72"/>
        <v>0</v>
      </c>
      <c r="AT231" s="869">
        <f t="shared" si="73"/>
        <v>0</v>
      </c>
      <c r="AU231" s="942">
        <v>3</v>
      </c>
      <c r="AV231" s="899">
        <v>0.83658672615727836</v>
      </c>
      <c r="AW231" s="869">
        <f t="shared" si="74"/>
        <v>0.83658672615727836</v>
      </c>
      <c r="AX231" s="869">
        <f t="shared" si="75"/>
        <v>0</v>
      </c>
      <c r="AY231" s="898">
        <v>0.3</v>
      </c>
      <c r="AZ231" s="899">
        <f>AY231/AH231</f>
        <v>8.3658672615727833E-2</v>
      </c>
      <c r="BA231" s="869">
        <f t="shared" si="76"/>
        <v>8.3658672615727833E-2</v>
      </c>
      <c r="BB231" s="869">
        <f t="shared" si="77"/>
        <v>0</v>
      </c>
      <c r="BC231" s="898">
        <v>0.28599999999999998</v>
      </c>
      <c r="BD231" s="899">
        <f>BC231/AH231</f>
        <v>7.9754601226993863E-2</v>
      </c>
      <c r="BE231" s="869">
        <f t="shared" si="78"/>
        <v>7.9754601226993863E-2</v>
      </c>
      <c r="BF231" s="869">
        <f t="shared" si="79"/>
        <v>0</v>
      </c>
      <c r="BG231" s="899"/>
      <c r="BH231" s="899"/>
      <c r="BI231" s="899"/>
      <c r="BJ231" s="899"/>
      <c r="BK231" s="899"/>
      <c r="BL231" s="714">
        <f t="shared" si="80"/>
        <v>0</v>
      </c>
      <c r="BM231" s="869">
        <f t="shared" si="81"/>
        <v>0</v>
      </c>
      <c r="BN231" s="898"/>
      <c r="BO231" s="899">
        <f>0.3/AH231</f>
        <v>8.3658672615727833E-2</v>
      </c>
      <c r="BP231" s="869">
        <f t="shared" si="82"/>
        <v>0</v>
      </c>
      <c r="BQ231" s="869">
        <f t="shared" si="83"/>
        <v>8.3658672615727833E-2</v>
      </c>
      <c r="BR231" s="899"/>
      <c r="BS231" s="899"/>
      <c r="BT231" s="898">
        <v>5</v>
      </c>
      <c r="BU231" s="899">
        <f>BT231/5033.191</f>
        <v>9.934055751112962E-4</v>
      </c>
      <c r="BV231" s="901">
        <v>12</v>
      </c>
      <c r="BW231" s="901">
        <v>8</v>
      </c>
      <c r="BX231" s="901">
        <v>7</v>
      </c>
      <c r="BY231" s="901"/>
      <c r="BZ231" s="901"/>
      <c r="CA231" s="901"/>
      <c r="CB231" s="901"/>
      <c r="CC231" s="901"/>
      <c r="CD231" s="901"/>
      <c r="CE231" s="901">
        <v>2</v>
      </c>
      <c r="CF231" s="901">
        <v>3</v>
      </c>
      <c r="CG231" s="901">
        <v>1</v>
      </c>
      <c r="CH231" s="901"/>
      <c r="CI231" s="901"/>
      <c r="CJ231" s="901"/>
      <c r="CK231" s="901"/>
      <c r="CL231" s="901"/>
      <c r="CM231" s="901"/>
      <c r="CN231" s="901"/>
      <c r="CO231" s="901"/>
      <c r="CP231" s="901"/>
      <c r="CQ231" s="901"/>
      <c r="CR231" s="901">
        <v>1</v>
      </c>
      <c r="CS231" s="902">
        <f t="shared" si="89"/>
        <v>7</v>
      </c>
      <c r="CT231" s="871">
        <f t="shared" si="84"/>
        <v>7</v>
      </c>
      <c r="CU231" s="871">
        <f t="shared" si="85"/>
        <v>0</v>
      </c>
      <c r="CV231" s="942">
        <v>25.901</v>
      </c>
      <c r="CW231" s="857" t="s">
        <v>4123</v>
      </c>
      <c r="CX231" s="710"/>
      <c r="CY231" s="710"/>
      <c r="CZ231" s="710"/>
      <c r="DA231" s="710">
        <f>CV231/66.864</f>
        <v>0.38736838956688202</v>
      </c>
      <c r="DB231" s="963" t="s">
        <v>4144</v>
      </c>
      <c r="DC231" s="710" t="s">
        <v>389</v>
      </c>
      <c r="DD231" s="710"/>
      <c r="DE231" s="710"/>
      <c r="DF231" s="901"/>
      <c r="DG231" s="901"/>
      <c r="DH231" s="901">
        <v>4</v>
      </c>
      <c r="DI231" s="710" t="s">
        <v>392</v>
      </c>
      <c r="DJ231" s="861" t="s">
        <v>4162</v>
      </c>
      <c r="DK231" s="901">
        <f>122+52</f>
        <v>174</v>
      </c>
      <c r="DL231" s="710" t="s">
        <v>392</v>
      </c>
      <c r="DM231" s="861" t="s">
        <v>4169</v>
      </c>
      <c r="DN231" s="901">
        <v>606</v>
      </c>
      <c r="DO231" s="710" t="s">
        <v>389</v>
      </c>
      <c r="DP231" s="710"/>
      <c r="DQ231" s="901"/>
      <c r="DR231" s="710" t="s">
        <v>389</v>
      </c>
      <c r="DS231" s="710"/>
      <c r="DT231" s="901"/>
      <c r="DU231" s="710" t="s">
        <v>389</v>
      </c>
      <c r="DV231" s="710"/>
      <c r="DW231" s="901"/>
      <c r="DX231" s="710" t="s">
        <v>389</v>
      </c>
      <c r="DY231" s="710"/>
      <c r="DZ231" s="901"/>
      <c r="EA231" s="710" t="s">
        <v>279</v>
      </c>
      <c r="EB231" s="710"/>
      <c r="EC231" s="901"/>
      <c r="ED231" s="710" t="s">
        <v>389</v>
      </c>
      <c r="EE231" s="710"/>
      <c r="EF231" s="901"/>
      <c r="EG231" s="710" t="s">
        <v>389</v>
      </c>
      <c r="EH231" s="710"/>
      <c r="EI231" s="901"/>
      <c r="EJ231" s="710" t="s">
        <v>389</v>
      </c>
      <c r="EK231" s="710"/>
      <c r="EL231" s="901"/>
      <c r="EM231" s="708" t="s">
        <v>389</v>
      </c>
      <c r="EN231" s="710"/>
      <c r="EO231" s="955"/>
      <c r="EP231" s="710" t="s">
        <v>389</v>
      </c>
      <c r="EQ231" s="710"/>
      <c r="ER231" s="901"/>
      <c r="ES231" s="710" t="s">
        <v>392</v>
      </c>
      <c r="ET231" s="953" t="s">
        <v>4211</v>
      </c>
      <c r="EU231" s="901">
        <v>19</v>
      </c>
      <c r="EV231" s="901"/>
      <c r="EW231" s="901"/>
      <c r="EX231" s="901"/>
      <c r="EY231" s="710" t="s">
        <v>389</v>
      </c>
      <c r="EZ231" s="710"/>
      <c r="FA231" s="710" t="s">
        <v>392</v>
      </c>
      <c r="FB231" s="710" t="s">
        <v>4236</v>
      </c>
      <c r="FC231" s="861" t="s">
        <v>4258</v>
      </c>
      <c r="FD231" s="710"/>
      <c r="FE231" s="710"/>
      <c r="FF231" s="710" t="s">
        <v>4300</v>
      </c>
      <c r="FG231" s="710"/>
      <c r="FH231" s="710" t="s">
        <v>4322</v>
      </c>
      <c r="FI231" s="710">
        <v>2</v>
      </c>
      <c r="FJ231" s="710">
        <v>4</v>
      </c>
      <c r="FK231" s="710" t="s">
        <v>4346</v>
      </c>
      <c r="FL231" s="710" t="s">
        <v>4372</v>
      </c>
      <c r="FM231" s="861" t="s">
        <v>4399</v>
      </c>
      <c r="FN231" s="710"/>
      <c r="FO231" s="710"/>
      <c r="FP231" s="710"/>
    </row>
    <row r="232" spans="2:172" ht="112" customHeight="1">
      <c r="B232" s="850" t="s">
        <v>5313</v>
      </c>
      <c r="C232" s="863"/>
      <c r="D232" s="850" t="s">
        <v>4934</v>
      </c>
      <c r="E232" s="850" t="s">
        <v>5314</v>
      </c>
      <c r="F232" s="863"/>
      <c r="H232" s="850" t="s">
        <v>4934</v>
      </c>
      <c r="I232" s="850" t="s">
        <v>5519</v>
      </c>
      <c r="J232" s="850" t="s">
        <v>5464</v>
      </c>
      <c r="K232" s="710" t="s">
        <v>270</v>
      </c>
      <c r="L232" s="710" t="s">
        <v>3950</v>
      </c>
      <c r="M232" s="710" t="s">
        <v>3967</v>
      </c>
      <c r="N232" s="710" t="s">
        <v>3977</v>
      </c>
      <c r="O232" s="895">
        <v>2019</v>
      </c>
      <c r="P232" s="896">
        <v>43713</v>
      </c>
      <c r="Q232" s="896">
        <v>43830</v>
      </c>
      <c r="R232" s="712">
        <f t="shared" si="87"/>
        <v>117</v>
      </c>
      <c r="S232" s="896"/>
      <c r="T232" s="896"/>
      <c r="U232" s="896"/>
      <c r="V232" s="896"/>
      <c r="W232" s="896"/>
      <c r="X232" s="896"/>
      <c r="Y232" s="896"/>
      <c r="Z232" s="896"/>
      <c r="AA232" s="896"/>
      <c r="AB232" s="710" t="s">
        <v>3967</v>
      </c>
      <c r="AC232" s="861" t="s">
        <v>4033</v>
      </c>
      <c r="AD232" s="710" t="s">
        <v>4063</v>
      </c>
      <c r="AE232" s="710" t="s">
        <v>4081</v>
      </c>
      <c r="AF232" s="710" t="s">
        <v>454</v>
      </c>
      <c r="AG232" s="710" t="s">
        <v>4105</v>
      </c>
      <c r="AH232" s="898">
        <v>2.1162000000000001</v>
      </c>
      <c r="AI232" s="868">
        <f t="shared" si="68"/>
        <v>2.1160000000000001</v>
      </c>
      <c r="AJ232" s="867">
        <f t="shared" si="69"/>
        <v>-1.9999999999997797E-4</v>
      </c>
      <c r="AK232" s="898"/>
      <c r="AL232" s="898"/>
      <c r="AM232" s="898"/>
      <c r="AN232" s="869">
        <f t="shared" si="70"/>
        <v>0</v>
      </c>
      <c r="AO232" s="869">
        <f t="shared" si="71"/>
        <v>0</v>
      </c>
      <c r="AP232" s="898"/>
      <c r="AQ232" s="899"/>
      <c r="AR232" s="899">
        <v>5.9999999999999995E-4</v>
      </c>
      <c r="AS232" s="869">
        <f t="shared" si="72"/>
        <v>0</v>
      </c>
      <c r="AT232" s="869">
        <f t="shared" si="73"/>
        <v>0</v>
      </c>
      <c r="AU232" s="942">
        <v>2</v>
      </c>
      <c r="AV232" s="899">
        <v>0.94499999999999995</v>
      </c>
      <c r="AW232" s="869">
        <f t="shared" si="74"/>
        <v>0.9450902561194594</v>
      </c>
      <c r="AX232" s="869">
        <f t="shared" si="75"/>
        <v>-9.025611945945311E-5</v>
      </c>
      <c r="AY232" s="898">
        <v>0.11600000000000001</v>
      </c>
      <c r="AZ232" s="899">
        <v>5.4899999999999997E-2</v>
      </c>
      <c r="BA232" s="869">
        <f t="shared" si="76"/>
        <v>5.4815234854928646E-2</v>
      </c>
      <c r="BB232" s="869">
        <f t="shared" si="77"/>
        <v>8.47651450713513E-5</v>
      </c>
      <c r="BC232" s="898">
        <v>0</v>
      </c>
      <c r="BD232" s="899">
        <v>0</v>
      </c>
      <c r="BE232" s="869">
        <f t="shared" si="78"/>
        <v>0</v>
      </c>
      <c r="BF232" s="869">
        <f t="shared" si="79"/>
        <v>0</v>
      </c>
      <c r="BG232" s="899"/>
      <c r="BH232" s="899"/>
      <c r="BI232" s="899"/>
      <c r="BJ232" s="899"/>
      <c r="BK232" s="899"/>
      <c r="BL232" s="714">
        <f t="shared" si="80"/>
        <v>0</v>
      </c>
      <c r="BM232" s="869">
        <f t="shared" si="81"/>
        <v>0</v>
      </c>
      <c r="BN232" s="898">
        <v>0</v>
      </c>
      <c r="BO232" s="899">
        <v>0</v>
      </c>
      <c r="BP232" s="869">
        <f t="shared" si="82"/>
        <v>0</v>
      </c>
      <c r="BQ232" s="869">
        <f t="shared" si="83"/>
        <v>0</v>
      </c>
      <c r="BR232" s="899"/>
      <c r="BS232" s="899"/>
      <c r="BT232" s="898">
        <v>3</v>
      </c>
      <c r="BU232" s="899">
        <v>8.9999999999999998E-4</v>
      </c>
      <c r="BV232" s="901">
        <v>8</v>
      </c>
      <c r="BW232" s="901">
        <v>7</v>
      </c>
      <c r="BX232" s="901">
        <v>7</v>
      </c>
      <c r="BY232" s="901"/>
      <c r="BZ232" s="901"/>
      <c r="CA232" s="901"/>
      <c r="CB232" s="901"/>
      <c r="CC232" s="901"/>
      <c r="CD232" s="901"/>
      <c r="CE232" s="901">
        <v>5</v>
      </c>
      <c r="CF232" s="901"/>
      <c r="CG232" s="901">
        <v>2</v>
      </c>
      <c r="CH232" s="901"/>
      <c r="CI232" s="901"/>
      <c r="CJ232" s="901"/>
      <c r="CK232" s="901"/>
      <c r="CL232" s="901"/>
      <c r="CM232" s="901"/>
      <c r="CN232" s="901"/>
      <c r="CO232" s="901"/>
      <c r="CP232" s="901"/>
      <c r="CQ232" s="901"/>
      <c r="CR232" s="901"/>
      <c r="CS232" s="901">
        <f t="shared" si="89"/>
        <v>7</v>
      </c>
      <c r="CT232" s="871">
        <f t="shared" si="84"/>
        <v>7</v>
      </c>
      <c r="CU232" s="871">
        <f t="shared" si="85"/>
        <v>0</v>
      </c>
      <c r="CV232" s="942">
        <v>5.6859999999999999</v>
      </c>
      <c r="CW232" s="710" t="s">
        <v>279</v>
      </c>
      <c r="CX232" s="710"/>
      <c r="CY232" s="710"/>
      <c r="CZ232" s="710"/>
      <c r="DA232" s="710">
        <v>12.8</v>
      </c>
      <c r="DB232" s="940" t="s">
        <v>4145</v>
      </c>
      <c r="DC232" s="710"/>
      <c r="DD232" s="710"/>
      <c r="DE232" s="710"/>
      <c r="DF232" s="901"/>
      <c r="DG232" s="901"/>
      <c r="DH232" s="901"/>
      <c r="DI232" s="710"/>
      <c r="DJ232" s="961"/>
      <c r="DK232" s="901"/>
      <c r="DL232" s="710" t="s">
        <v>279</v>
      </c>
      <c r="DM232" s="710"/>
      <c r="DN232" s="901"/>
      <c r="DO232" s="710" t="s">
        <v>279</v>
      </c>
      <c r="DP232" s="710"/>
      <c r="DQ232" s="901"/>
      <c r="DR232" s="710" t="s">
        <v>278</v>
      </c>
      <c r="DS232" s="710" t="s">
        <v>4176</v>
      </c>
      <c r="DT232" s="901"/>
      <c r="DU232" s="710"/>
      <c r="DV232" s="710"/>
      <c r="DW232" s="901"/>
      <c r="DX232" s="710" t="s">
        <v>278</v>
      </c>
      <c r="DY232" s="961" t="s">
        <v>4181</v>
      </c>
      <c r="DZ232" s="901" t="s">
        <v>4186</v>
      </c>
      <c r="EA232" s="710" t="s">
        <v>278</v>
      </c>
      <c r="EB232" s="940" t="s">
        <v>4187</v>
      </c>
      <c r="EC232" s="901">
        <v>33026</v>
      </c>
      <c r="ED232" s="710"/>
      <c r="EE232" s="710"/>
      <c r="EF232" s="901"/>
      <c r="EG232" s="710"/>
      <c r="EH232" s="710"/>
      <c r="EI232" s="901"/>
      <c r="EJ232" s="710"/>
      <c r="EK232" s="710"/>
      <c r="EL232" s="901"/>
      <c r="EM232" s="710" t="s">
        <v>278</v>
      </c>
      <c r="EN232" s="861" t="s">
        <v>4202</v>
      </c>
      <c r="EO232" s="901">
        <v>11</v>
      </c>
      <c r="EP232" s="710" t="s">
        <v>279</v>
      </c>
      <c r="EQ232" s="710"/>
      <c r="ER232" s="901"/>
      <c r="ES232" s="710" t="s">
        <v>278</v>
      </c>
      <c r="ET232" s="961" t="s">
        <v>4212</v>
      </c>
      <c r="EU232" s="901">
        <v>281</v>
      </c>
      <c r="EV232" s="901"/>
      <c r="EW232" s="901"/>
      <c r="EX232" s="901"/>
      <c r="EY232" s="710" t="s">
        <v>279</v>
      </c>
      <c r="EZ232" s="710"/>
      <c r="FA232" s="710" t="s">
        <v>278</v>
      </c>
      <c r="FB232" s="710" t="s">
        <v>4237</v>
      </c>
      <c r="FC232" s="940" t="s">
        <v>4259</v>
      </c>
      <c r="FD232" s="940" t="s">
        <v>4274</v>
      </c>
      <c r="FE232" s="710"/>
      <c r="FF232" s="710" t="s">
        <v>4301</v>
      </c>
      <c r="FG232" s="861" t="s">
        <v>4313</v>
      </c>
      <c r="FH232" s="710" t="s">
        <v>4323</v>
      </c>
      <c r="FI232" s="710">
        <v>2</v>
      </c>
      <c r="FJ232" s="710">
        <v>15</v>
      </c>
      <c r="FK232" s="710" t="s">
        <v>4347</v>
      </c>
      <c r="FL232" s="710" t="s">
        <v>4373</v>
      </c>
      <c r="FM232" s="710"/>
      <c r="FN232" s="710" t="s">
        <v>4414</v>
      </c>
      <c r="FO232" s="710" t="s">
        <v>4422</v>
      </c>
      <c r="FP232" s="861" t="s">
        <v>4427</v>
      </c>
    </row>
    <row r="233" spans="2:172" ht="114.5" customHeight="1">
      <c r="B233" s="850" t="s">
        <v>5313</v>
      </c>
      <c r="C233" s="863"/>
      <c r="D233" s="850" t="s">
        <v>4934</v>
      </c>
      <c r="E233" s="850" t="s">
        <v>5314</v>
      </c>
      <c r="F233" s="863"/>
      <c r="H233" s="850" t="s">
        <v>4934</v>
      </c>
      <c r="I233" s="850" t="s">
        <v>5519</v>
      </c>
      <c r="J233" s="850" t="s">
        <v>5464</v>
      </c>
      <c r="K233" s="710" t="s">
        <v>270</v>
      </c>
      <c r="L233" s="710" t="s">
        <v>3951</v>
      </c>
      <c r="M233" s="710" t="s">
        <v>3968</v>
      </c>
      <c r="N233" s="710" t="s">
        <v>526</v>
      </c>
      <c r="O233" s="710">
        <v>2019</v>
      </c>
      <c r="P233" s="939">
        <v>43665</v>
      </c>
      <c r="Q233" s="939">
        <v>43823</v>
      </c>
      <c r="R233" s="712">
        <f t="shared" si="87"/>
        <v>158</v>
      </c>
      <c r="S233" s="710"/>
      <c r="T233" s="710"/>
      <c r="U233" s="710"/>
      <c r="V233" s="710"/>
      <c r="W233" s="710"/>
      <c r="X233" s="710"/>
      <c r="Y233" s="710"/>
      <c r="Z233" s="710"/>
      <c r="AA233" s="710"/>
      <c r="AB233" s="710" t="s">
        <v>4005</v>
      </c>
      <c r="AC233" s="861" t="s">
        <v>4034</v>
      </c>
      <c r="AD233" s="710" t="s">
        <v>4064</v>
      </c>
      <c r="AE233" s="710" t="s">
        <v>4082</v>
      </c>
      <c r="AF233" s="710" t="s">
        <v>4097</v>
      </c>
      <c r="AG233" s="710" t="s">
        <v>4106</v>
      </c>
      <c r="AH233" s="898">
        <v>6.6420000000000003</v>
      </c>
      <c r="AI233" s="868">
        <f t="shared" si="68"/>
        <v>6.641</v>
      </c>
      <c r="AJ233" s="875">
        <f t="shared" si="69"/>
        <v>-1.000000000000334E-3</v>
      </c>
      <c r="AK233" s="898"/>
      <c r="AL233" s="898"/>
      <c r="AM233" s="898"/>
      <c r="AN233" s="869">
        <f t="shared" si="70"/>
        <v>0</v>
      </c>
      <c r="AO233" s="869">
        <f t="shared" si="71"/>
        <v>0</v>
      </c>
      <c r="AP233" s="898"/>
      <c r="AQ233" s="927"/>
      <c r="AR233" s="899">
        <v>1E-3</v>
      </c>
      <c r="AS233" s="869">
        <f t="shared" si="72"/>
        <v>0</v>
      </c>
      <c r="AT233" s="869">
        <f t="shared" si="73"/>
        <v>0</v>
      </c>
      <c r="AU233" s="942">
        <v>5.7409999999999997</v>
      </c>
      <c r="AV233" s="899">
        <v>0.86399999999999999</v>
      </c>
      <c r="AW233" s="869">
        <f t="shared" si="74"/>
        <v>0.86434808792532358</v>
      </c>
      <c r="AX233" s="869">
        <f t="shared" si="75"/>
        <v>-3.4808792532359245E-4</v>
      </c>
      <c r="AY233" s="710"/>
      <c r="AZ233" s="710"/>
      <c r="BA233" s="869">
        <f t="shared" si="76"/>
        <v>0</v>
      </c>
      <c r="BB233" s="869">
        <f t="shared" si="77"/>
        <v>0</v>
      </c>
      <c r="BC233" s="898">
        <v>0.9</v>
      </c>
      <c r="BD233" s="899">
        <v>0.13600000000000001</v>
      </c>
      <c r="BE233" s="869">
        <f t="shared" si="78"/>
        <v>0.13550135501355012</v>
      </c>
      <c r="BF233" s="869">
        <f t="shared" si="79"/>
        <v>4.9864498644988653E-4</v>
      </c>
      <c r="BG233" s="899"/>
      <c r="BH233" s="899"/>
      <c r="BI233" s="899"/>
      <c r="BJ233" s="899"/>
      <c r="BK233" s="899"/>
      <c r="BL233" s="714">
        <f t="shared" si="80"/>
        <v>0</v>
      </c>
      <c r="BM233" s="869">
        <f t="shared" si="81"/>
        <v>0</v>
      </c>
      <c r="BN233" s="898"/>
      <c r="BO233" s="899"/>
      <c r="BP233" s="869">
        <f t="shared" si="82"/>
        <v>0</v>
      </c>
      <c r="BQ233" s="869">
        <f t="shared" si="83"/>
        <v>0</v>
      </c>
      <c r="BR233" s="899"/>
      <c r="BS233" s="899"/>
      <c r="BT233" s="898">
        <v>3</v>
      </c>
      <c r="BU233" s="899">
        <v>6.9999999999999999E-4</v>
      </c>
      <c r="BV233" s="901">
        <v>3</v>
      </c>
      <c r="BW233" s="901">
        <v>3</v>
      </c>
      <c r="BX233" s="901">
        <v>3</v>
      </c>
      <c r="BY233" s="901"/>
      <c r="BZ233" s="901">
        <v>1</v>
      </c>
      <c r="CA233" s="901"/>
      <c r="CB233" s="901"/>
      <c r="CC233" s="901"/>
      <c r="CD233" s="901"/>
      <c r="CE233" s="901"/>
      <c r="CF233" s="901"/>
      <c r="CG233" s="901"/>
      <c r="CH233" s="901"/>
      <c r="CI233" s="901"/>
      <c r="CJ233" s="901">
        <v>1</v>
      </c>
      <c r="CK233" s="901"/>
      <c r="CL233" s="901"/>
      <c r="CM233" s="901"/>
      <c r="CN233" s="901"/>
      <c r="CO233" s="901"/>
      <c r="CP233" s="901"/>
      <c r="CQ233" s="901"/>
      <c r="CR233" s="901">
        <v>1</v>
      </c>
      <c r="CS233" s="902">
        <f t="shared" si="89"/>
        <v>3</v>
      </c>
      <c r="CT233" s="871">
        <f t="shared" si="84"/>
        <v>3</v>
      </c>
      <c r="CU233" s="871">
        <f t="shared" si="85"/>
        <v>0</v>
      </c>
      <c r="CV233" s="942">
        <v>56.463999999999999</v>
      </c>
      <c r="CW233" s="710" t="s">
        <v>4124</v>
      </c>
      <c r="CX233" s="710"/>
      <c r="CY233" s="710"/>
      <c r="CZ233" s="710"/>
      <c r="DA233" s="710" t="s">
        <v>4131</v>
      </c>
      <c r="DB233" s="899"/>
      <c r="DC233" s="710" t="s">
        <v>278</v>
      </c>
      <c r="DD233" s="710" t="s">
        <v>4155</v>
      </c>
      <c r="DE233" s="710" t="s">
        <v>4157</v>
      </c>
      <c r="DF233" s="901">
        <v>10</v>
      </c>
      <c r="DG233" s="901"/>
      <c r="DH233" s="901"/>
      <c r="DI233" s="710"/>
      <c r="DJ233" s="710" t="s">
        <v>279</v>
      </c>
      <c r="DK233" s="901"/>
      <c r="DL233" s="710" t="s">
        <v>278</v>
      </c>
      <c r="DM233" s="710" t="s">
        <v>4170</v>
      </c>
      <c r="DN233" s="710">
        <v>455</v>
      </c>
      <c r="DO233" s="710" t="s">
        <v>279</v>
      </c>
      <c r="DP233" s="710"/>
      <c r="DQ233" s="901"/>
      <c r="DR233" s="710" t="s">
        <v>279</v>
      </c>
      <c r="DS233" s="710"/>
      <c r="DT233" s="901"/>
      <c r="DU233" s="710" t="s">
        <v>279</v>
      </c>
      <c r="DV233" s="710"/>
      <c r="DW233" s="901"/>
      <c r="DX233" s="710" t="s">
        <v>278</v>
      </c>
      <c r="DY233" s="710" t="s">
        <v>4182</v>
      </c>
      <c r="DZ233" s="901">
        <v>39</v>
      </c>
      <c r="EA233" s="710" t="s">
        <v>279</v>
      </c>
      <c r="EB233" s="710"/>
      <c r="EC233" s="901"/>
      <c r="ED233" s="710" t="s">
        <v>279</v>
      </c>
      <c r="EE233" s="710"/>
      <c r="EF233" s="901"/>
      <c r="EG233" s="710" t="s">
        <v>279</v>
      </c>
      <c r="EH233" s="710"/>
      <c r="EI233" s="901"/>
      <c r="EJ233" s="710" t="s">
        <v>279</v>
      </c>
      <c r="EK233" s="710"/>
      <c r="EL233" s="901"/>
      <c r="EM233" s="710" t="s">
        <v>279</v>
      </c>
      <c r="EN233" s="710"/>
      <c r="EO233" s="901"/>
      <c r="EP233" s="710" t="s">
        <v>279</v>
      </c>
      <c r="EQ233" s="710"/>
      <c r="ER233" s="901"/>
      <c r="ES233" s="710" t="s">
        <v>278</v>
      </c>
      <c r="ET233" s="710" t="s">
        <v>4213</v>
      </c>
      <c r="EU233" s="901">
        <v>18</v>
      </c>
      <c r="EV233" s="901"/>
      <c r="EW233" s="901"/>
      <c r="EX233" s="901"/>
      <c r="EY233" s="710" t="s">
        <v>279</v>
      </c>
      <c r="EZ233" s="710"/>
      <c r="FA233" s="710" t="s">
        <v>278</v>
      </c>
      <c r="FB233" s="710" t="s">
        <v>4238</v>
      </c>
      <c r="FC233" s="861" t="s">
        <v>4260</v>
      </c>
      <c r="FD233" s="710" t="s">
        <v>4275</v>
      </c>
      <c r="FE233" s="710"/>
      <c r="FF233" s="710" t="s">
        <v>4302</v>
      </c>
      <c r="FG233" s="710" t="s">
        <v>4314</v>
      </c>
      <c r="FH233" s="710" t="s">
        <v>4324</v>
      </c>
      <c r="FI233" s="710"/>
      <c r="FJ233" s="710"/>
      <c r="FK233" s="710" t="s">
        <v>4348</v>
      </c>
      <c r="FL233" s="710" t="s">
        <v>4374</v>
      </c>
      <c r="FM233" s="710"/>
      <c r="FN233" s="710" t="s">
        <v>4415</v>
      </c>
      <c r="FO233" s="710" t="s">
        <v>4423</v>
      </c>
      <c r="FP233" s="861" t="s">
        <v>4428</v>
      </c>
    </row>
    <row r="234" spans="2:172" ht="104.5" customHeight="1">
      <c r="B234" s="850" t="s">
        <v>5313</v>
      </c>
      <c r="C234" s="863"/>
      <c r="D234" s="850" t="s">
        <v>4934</v>
      </c>
      <c r="E234" s="850" t="s">
        <v>5314</v>
      </c>
      <c r="F234" s="863"/>
      <c r="H234" s="850" t="s">
        <v>4934</v>
      </c>
      <c r="I234" s="850" t="s">
        <v>5519</v>
      </c>
      <c r="J234" s="850" t="s">
        <v>5464</v>
      </c>
      <c r="K234" s="710" t="s">
        <v>270</v>
      </c>
      <c r="L234" s="710" t="s">
        <v>3952</v>
      </c>
      <c r="M234" s="710" t="s">
        <v>526</v>
      </c>
      <c r="N234" s="710" t="s">
        <v>526</v>
      </c>
      <c r="O234" s="895">
        <v>2018</v>
      </c>
      <c r="P234" s="1026">
        <v>43306</v>
      </c>
      <c r="Q234" s="1026">
        <v>43769</v>
      </c>
      <c r="R234" s="712">
        <f t="shared" si="87"/>
        <v>463</v>
      </c>
      <c r="S234" s="1026"/>
      <c r="T234" s="1026"/>
      <c r="U234" s="1026"/>
      <c r="V234" s="1026"/>
      <c r="W234" s="1026"/>
      <c r="X234" s="1026"/>
      <c r="Y234" s="1026"/>
      <c r="Z234" s="1026"/>
      <c r="AA234" s="1026"/>
      <c r="AB234" s="710" t="s">
        <v>4006</v>
      </c>
      <c r="AC234" s="710" t="s">
        <v>4035</v>
      </c>
      <c r="AD234" s="710" t="s">
        <v>4065</v>
      </c>
      <c r="AE234" s="710" t="s">
        <v>4083</v>
      </c>
      <c r="AF234" s="710" t="s">
        <v>3516</v>
      </c>
      <c r="AG234" s="710" t="s">
        <v>4107</v>
      </c>
      <c r="AH234" s="898">
        <v>1.34</v>
      </c>
      <c r="AI234" s="868">
        <f t="shared" si="68"/>
        <v>1.3405</v>
      </c>
      <c r="AJ234" s="867">
        <f t="shared" si="69"/>
        <v>4.9999999999994493E-4</v>
      </c>
      <c r="AK234" s="898"/>
      <c r="AL234" s="898"/>
      <c r="AM234" s="898"/>
      <c r="AN234" s="869">
        <f t="shared" si="70"/>
        <v>0</v>
      </c>
      <c r="AO234" s="869">
        <f t="shared" si="71"/>
        <v>0</v>
      </c>
      <c r="AP234" s="898"/>
      <c r="AQ234" s="711"/>
      <c r="AR234" s="899">
        <v>1E-4</v>
      </c>
      <c r="AS234" s="869">
        <f t="shared" si="72"/>
        <v>0</v>
      </c>
      <c r="AT234" s="869">
        <f t="shared" si="73"/>
        <v>0</v>
      </c>
      <c r="AU234" s="942">
        <v>1.34</v>
      </c>
      <c r="AV234" s="899" t="s">
        <v>4114</v>
      </c>
      <c r="AW234" s="869">
        <f t="shared" si="74"/>
        <v>1</v>
      </c>
      <c r="AX234" s="869">
        <f t="shared" si="75"/>
        <v>-3.9999999999995595E-4</v>
      </c>
      <c r="AY234" s="1008">
        <v>5.0000000000000001E-4</v>
      </c>
      <c r="AZ234" s="711" t="s">
        <v>4115</v>
      </c>
      <c r="BA234" s="869">
        <f t="shared" si="76"/>
        <v>3.7313432835820896E-4</v>
      </c>
      <c r="BB234" s="869">
        <f t="shared" si="77"/>
        <v>2.686567164179106E-5</v>
      </c>
      <c r="BC234" s="898">
        <v>0</v>
      </c>
      <c r="BD234" s="899">
        <v>0</v>
      </c>
      <c r="BE234" s="869">
        <f t="shared" si="78"/>
        <v>0</v>
      </c>
      <c r="BF234" s="869">
        <f t="shared" si="79"/>
        <v>0</v>
      </c>
      <c r="BG234" s="899"/>
      <c r="BH234" s="899"/>
      <c r="BI234" s="899"/>
      <c r="BJ234" s="899"/>
      <c r="BK234" s="899"/>
      <c r="BL234" s="714">
        <f t="shared" si="80"/>
        <v>0</v>
      </c>
      <c r="BM234" s="869">
        <f t="shared" si="81"/>
        <v>0</v>
      </c>
      <c r="BN234" s="898"/>
      <c r="BO234" s="899">
        <v>0</v>
      </c>
      <c r="BP234" s="869">
        <f t="shared" si="82"/>
        <v>0</v>
      </c>
      <c r="BQ234" s="869">
        <f t="shared" si="83"/>
        <v>0</v>
      </c>
      <c r="BR234" s="899"/>
      <c r="BS234" s="899"/>
      <c r="BT234" s="898">
        <v>7</v>
      </c>
      <c r="BU234" s="899">
        <v>6.9999999999999999E-4</v>
      </c>
      <c r="BV234" s="901">
        <v>3</v>
      </c>
      <c r="BW234" s="901">
        <v>3</v>
      </c>
      <c r="BX234" s="901">
        <v>2</v>
      </c>
      <c r="BY234" s="901"/>
      <c r="BZ234" s="901">
        <v>1</v>
      </c>
      <c r="CA234" s="901"/>
      <c r="CB234" s="901"/>
      <c r="CC234" s="901"/>
      <c r="CD234" s="901"/>
      <c r="CE234" s="901"/>
      <c r="CF234" s="901"/>
      <c r="CG234" s="901"/>
      <c r="CH234" s="901"/>
      <c r="CI234" s="901"/>
      <c r="CJ234" s="901"/>
      <c r="CK234" s="901"/>
      <c r="CL234" s="901"/>
      <c r="CM234" s="901"/>
      <c r="CN234" s="901"/>
      <c r="CO234" s="901"/>
      <c r="CP234" s="901"/>
      <c r="CQ234" s="901"/>
      <c r="CR234" s="901"/>
      <c r="CS234" s="902">
        <f t="shared" si="89"/>
        <v>1</v>
      </c>
      <c r="CT234" s="871">
        <f t="shared" si="84"/>
        <v>1</v>
      </c>
      <c r="CU234" s="871">
        <f t="shared" si="85"/>
        <v>0</v>
      </c>
      <c r="CV234" s="942">
        <v>6</v>
      </c>
      <c r="CW234" s="710"/>
      <c r="CX234" s="710"/>
      <c r="CY234" s="710"/>
      <c r="CZ234" s="710"/>
      <c r="DA234" s="899">
        <v>4.5999999999999999E-2</v>
      </c>
      <c r="DB234" s="963" t="s">
        <v>4146</v>
      </c>
      <c r="DC234" s="710" t="s">
        <v>279</v>
      </c>
      <c r="DD234" s="710"/>
      <c r="DE234" s="710"/>
      <c r="DF234" s="901"/>
      <c r="DG234" s="901"/>
      <c r="DH234" s="901">
        <v>1</v>
      </c>
      <c r="DI234" s="710" t="s">
        <v>4158</v>
      </c>
      <c r="DJ234" s="710"/>
      <c r="DK234" s="901"/>
      <c r="DL234" s="710" t="s">
        <v>4158</v>
      </c>
      <c r="DM234" s="710"/>
      <c r="DN234" s="901"/>
      <c r="DO234" s="710" t="s">
        <v>4158</v>
      </c>
      <c r="DP234" s="710"/>
      <c r="DQ234" s="901"/>
      <c r="DR234" s="710" t="s">
        <v>4158</v>
      </c>
      <c r="DS234" s="710"/>
      <c r="DT234" s="901"/>
      <c r="DU234" s="710" t="s">
        <v>4158</v>
      </c>
      <c r="DV234" s="710"/>
      <c r="DW234" s="901"/>
      <c r="DX234" s="710" t="s">
        <v>4178</v>
      </c>
      <c r="DY234" s="710"/>
      <c r="DZ234" s="901"/>
      <c r="EA234" s="710" t="s">
        <v>278</v>
      </c>
      <c r="EB234" s="710" t="s">
        <v>4188</v>
      </c>
      <c r="EC234" s="901">
        <v>1169</v>
      </c>
      <c r="ED234" s="710" t="s">
        <v>278</v>
      </c>
      <c r="EE234" s="710" t="s">
        <v>3005</v>
      </c>
      <c r="EF234" s="901">
        <v>152</v>
      </c>
      <c r="EG234" s="710" t="s">
        <v>279</v>
      </c>
      <c r="EH234" s="710"/>
      <c r="EI234" s="901"/>
      <c r="EJ234" s="710" t="s">
        <v>279</v>
      </c>
      <c r="EK234" s="710"/>
      <c r="EL234" s="901"/>
      <c r="EM234" s="710" t="s">
        <v>278</v>
      </c>
      <c r="EN234" s="710" t="s">
        <v>4203</v>
      </c>
      <c r="EO234" s="901">
        <v>9</v>
      </c>
      <c r="EP234" s="710" t="s">
        <v>279</v>
      </c>
      <c r="EQ234" s="710"/>
      <c r="ER234" s="901"/>
      <c r="ES234" s="710" t="s">
        <v>279</v>
      </c>
      <c r="ET234" s="710"/>
      <c r="EU234" s="901"/>
      <c r="EV234" s="901"/>
      <c r="EW234" s="901"/>
      <c r="EX234" s="901"/>
      <c r="EY234" s="710" t="s">
        <v>278</v>
      </c>
      <c r="EZ234" s="710" t="s">
        <v>4217</v>
      </c>
      <c r="FA234" s="710" t="s">
        <v>278</v>
      </c>
      <c r="FB234" s="710" t="s">
        <v>4239</v>
      </c>
      <c r="FC234" s="861" t="s">
        <v>4261</v>
      </c>
      <c r="FD234" s="710" t="s">
        <v>4276</v>
      </c>
      <c r="FE234" s="710" t="s">
        <v>2392</v>
      </c>
      <c r="FF234" s="710" t="s">
        <v>4303</v>
      </c>
      <c r="FG234" s="710" t="s">
        <v>2392</v>
      </c>
      <c r="FH234" s="710" t="s">
        <v>4325</v>
      </c>
      <c r="FI234" s="710">
        <v>3</v>
      </c>
      <c r="FJ234" s="710">
        <v>41</v>
      </c>
      <c r="FK234" s="710" t="s">
        <v>4349</v>
      </c>
      <c r="FL234" s="710" t="s">
        <v>4375</v>
      </c>
      <c r="FM234" s="861" t="s">
        <v>4400</v>
      </c>
      <c r="FN234" s="710"/>
      <c r="FO234" s="710"/>
      <c r="FP234" s="710"/>
    </row>
    <row r="235" spans="2:172" ht="137" customHeight="1">
      <c r="B235" s="850" t="s">
        <v>5313</v>
      </c>
      <c r="C235" s="863"/>
      <c r="D235" s="850" t="s">
        <v>4934</v>
      </c>
      <c r="E235" s="850" t="s">
        <v>5314</v>
      </c>
      <c r="F235" s="863"/>
      <c r="H235" s="850" t="s">
        <v>4934</v>
      </c>
      <c r="I235" s="850" t="s">
        <v>5519</v>
      </c>
      <c r="J235" s="850" t="s">
        <v>5464</v>
      </c>
      <c r="K235" s="710" t="s">
        <v>270</v>
      </c>
      <c r="L235" s="710" t="s">
        <v>3953</v>
      </c>
      <c r="M235" s="710" t="s">
        <v>3969</v>
      </c>
      <c r="N235" s="710" t="s">
        <v>3978</v>
      </c>
      <c r="O235" s="895">
        <v>2018</v>
      </c>
      <c r="P235" s="896">
        <v>43466</v>
      </c>
      <c r="Q235" s="896">
        <v>43830</v>
      </c>
      <c r="R235" s="712">
        <f t="shared" si="87"/>
        <v>364</v>
      </c>
      <c r="S235" s="896"/>
      <c r="T235" s="896"/>
      <c r="U235" s="896"/>
      <c r="V235" s="896"/>
      <c r="W235" s="896"/>
      <c r="X235" s="896"/>
      <c r="Y235" s="896"/>
      <c r="Z235" s="896"/>
      <c r="AA235" s="896"/>
      <c r="AB235" s="710" t="s">
        <v>4007</v>
      </c>
      <c r="AC235" s="861" t="s">
        <v>4036</v>
      </c>
      <c r="AD235" s="710" t="s">
        <v>4066</v>
      </c>
      <c r="AE235" s="710" t="s">
        <v>4084</v>
      </c>
      <c r="AF235" s="710" t="s">
        <v>454</v>
      </c>
      <c r="AG235" s="710" t="s">
        <v>4108</v>
      </c>
      <c r="AH235" s="898">
        <v>27.417000000000002</v>
      </c>
      <c r="AI235" s="868">
        <f t="shared" si="68"/>
        <v>27.416999999999998</v>
      </c>
      <c r="AJ235" s="867">
        <f t="shared" si="69"/>
        <v>0</v>
      </c>
      <c r="AK235" s="898"/>
      <c r="AL235" s="898"/>
      <c r="AM235" s="898"/>
      <c r="AN235" s="869">
        <f t="shared" si="70"/>
        <v>0</v>
      </c>
      <c r="AO235" s="869">
        <f t="shared" si="71"/>
        <v>0</v>
      </c>
      <c r="AP235" s="898"/>
      <c r="AQ235" s="899"/>
      <c r="AR235" s="899">
        <v>1.4E-3</v>
      </c>
      <c r="AS235" s="869">
        <f t="shared" si="72"/>
        <v>0</v>
      </c>
      <c r="AT235" s="869">
        <f t="shared" si="73"/>
        <v>0</v>
      </c>
      <c r="AU235" s="942">
        <v>24.31</v>
      </c>
      <c r="AV235" s="899">
        <v>0.88670000000000004</v>
      </c>
      <c r="AW235" s="869">
        <f t="shared" si="74"/>
        <v>0.88667614983404452</v>
      </c>
      <c r="AX235" s="869">
        <f t="shared" si="75"/>
        <v>2.3850165955519032E-5</v>
      </c>
      <c r="AY235" s="898">
        <v>3.1070000000000002</v>
      </c>
      <c r="AZ235" s="899">
        <v>0.1133</v>
      </c>
      <c r="BA235" s="869">
        <f t="shared" si="76"/>
        <v>0.11332385016595543</v>
      </c>
      <c r="BB235" s="869">
        <f t="shared" si="77"/>
        <v>-2.3850165955435765E-5</v>
      </c>
      <c r="BC235" s="898"/>
      <c r="BD235" s="899"/>
      <c r="BE235" s="869">
        <f t="shared" si="78"/>
        <v>0</v>
      </c>
      <c r="BF235" s="869">
        <f t="shared" si="79"/>
        <v>0</v>
      </c>
      <c r="BG235" s="899"/>
      <c r="BH235" s="899"/>
      <c r="BI235" s="899"/>
      <c r="BJ235" s="899"/>
      <c r="BK235" s="899"/>
      <c r="BL235" s="714">
        <f t="shared" si="80"/>
        <v>0</v>
      </c>
      <c r="BM235" s="869">
        <f t="shared" si="81"/>
        <v>0</v>
      </c>
      <c r="BN235" s="898"/>
      <c r="BO235" s="899"/>
      <c r="BP235" s="869">
        <f t="shared" si="82"/>
        <v>0</v>
      </c>
      <c r="BQ235" s="869">
        <f t="shared" si="83"/>
        <v>0</v>
      </c>
      <c r="BR235" s="899"/>
      <c r="BS235" s="899"/>
      <c r="BT235" s="898">
        <v>30</v>
      </c>
      <c r="BU235" s="899">
        <v>1.5E-3</v>
      </c>
      <c r="BV235" s="901">
        <v>101</v>
      </c>
      <c r="BW235" s="901">
        <v>78</v>
      </c>
      <c r="BX235" s="901">
        <v>10</v>
      </c>
      <c r="BY235" s="901"/>
      <c r="BZ235" s="901">
        <v>1</v>
      </c>
      <c r="CA235" s="901"/>
      <c r="CB235" s="901"/>
      <c r="CC235" s="901"/>
      <c r="CD235" s="901"/>
      <c r="CE235" s="901">
        <v>8</v>
      </c>
      <c r="CF235" s="901" t="s">
        <v>410</v>
      </c>
      <c r="CG235" s="901">
        <v>1</v>
      </c>
      <c r="CH235" s="901" t="s">
        <v>410</v>
      </c>
      <c r="CI235" s="901" t="s">
        <v>410</v>
      </c>
      <c r="CJ235" s="901" t="s">
        <v>410</v>
      </c>
      <c r="CK235" s="901" t="s">
        <v>410</v>
      </c>
      <c r="CL235" s="901" t="s">
        <v>410</v>
      </c>
      <c r="CM235" s="901" t="s">
        <v>410</v>
      </c>
      <c r="CN235" s="901" t="s">
        <v>410</v>
      </c>
      <c r="CO235" s="901" t="s">
        <v>410</v>
      </c>
      <c r="CP235" s="901" t="s">
        <v>410</v>
      </c>
      <c r="CQ235" s="901" t="s">
        <v>410</v>
      </c>
      <c r="CR235" s="901" t="s">
        <v>410</v>
      </c>
      <c r="CS235" s="902">
        <f t="shared" si="89"/>
        <v>10</v>
      </c>
      <c r="CT235" s="871">
        <f t="shared" si="84"/>
        <v>10</v>
      </c>
      <c r="CU235" s="871">
        <f t="shared" si="85"/>
        <v>0</v>
      </c>
      <c r="CV235" s="942">
        <v>55</v>
      </c>
      <c r="CW235" s="710" t="s">
        <v>410</v>
      </c>
      <c r="CX235" s="710" t="s">
        <v>410</v>
      </c>
      <c r="CY235" s="710"/>
      <c r="CZ235" s="710"/>
      <c r="DA235" s="710" t="s">
        <v>4132</v>
      </c>
      <c r="DB235" s="963" t="s">
        <v>4147</v>
      </c>
      <c r="DC235" s="710" t="s">
        <v>410</v>
      </c>
      <c r="DD235" s="710" t="s">
        <v>410</v>
      </c>
      <c r="DE235" s="710" t="s">
        <v>410</v>
      </c>
      <c r="DF235" s="901" t="s">
        <v>410</v>
      </c>
      <c r="DG235" s="901" t="s">
        <v>410</v>
      </c>
      <c r="DH235" s="901">
        <v>2</v>
      </c>
      <c r="DI235" s="710" t="s">
        <v>410</v>
      </c>
      <c r="DJ235" s="710" t="s">
        <v>410</v>
      </c>
      <c r="DK235" s="901" t="s">
        <v>410</v>
      </c>
      <c r="DL235" s="710" t="s">
        <v>410</v>
      </c>
      <c r="DM235" s="710" t="s">
        <v>410</v>
      </c>
      <c r="DN235" s="901" t="s">
        <v>410</v>
      </c>
      <c r="DO235" s="710" t="s">
        <v>410</v>
      </c>
      <c r="DP235" s="710" t="s">
        <v>410</v>
      </c>
      <c r="DQ235" s="901" t="s">
        <v>410</v>
      </c>
      <c r="DR235" s="710" t="s">
        <v>410</v>
      </c>
      <c r="DS235" s="710" t="s">
        <v>410</v>
      </c>
      <c r="DT235" s="901" t="s">
        <v>410</v>
      </c>
      <c r="DU235" s="710" t="s">
        <v>410</v>
      </c>
      <c r="DV235" s="710" t="s">
        <v>410</v>
      </c>
      <c r="DW235" s="901" t="s">
        <v>410</v>
      </c>
      <c r="DX235" s="710" t="s">
        <v>278</v>
      </c>
      <c r="DY235" s="710" t="s">
        <v>4183</v>
      </c>
      <c r="DZ235" s="901">
        <v>101</v>
      </c>
      <c r="EA235" s="710" t="s">
        <v>278</v>
      </c>
      <c r="EB235" s="861" t="s">
        <v>4926</v>
      </c>
      <c r="EC235" s="901">
        <v>25933</v>
      </c>
      <c r="ED235" s="710" t="s">
        <v>410</v>
      </c>
      <c r="EE235" s="710" t="s">
        <v>410</v>
      </c>
      <c r="EF235" s="901" t="s">
        <v>410</v>
      </c>
      <c r="EG235" s="710" t="s">
        <v>410</v>
      </c>
      <c r="EH235" s="710" t="s">
        <v>410</v>
      </c>
      <c r="EI235" s="901" t="s">
        <v>410</v>
      </c>
      <c r="EJ235" s="710" t="s">
        <v>410</v>
      </c>
      <c r="EK235" s="710" t="s">
        <v>410</v>
      </c>
      <c r="EL235" s="901" t="s">
        <v>410</v>
      </c>
      <c r="EM235" s="710" t="s">
        <v>278</v>
      </c>
      <c r="EN235" s="710" t="s">
        <v>4204</v>
      </c>
      <c r="EO235" s="901">
        <v>13</v>
      </c>
      <c r="EP235" s="710" t="s">
        <v>410</v>
      </c>
      <c r="EQ235" s="710" t="s">
        <v>410</v>
      </c>
      <c r="ER235" s="901" t="s">
        <v>410</v>
      </c>
      <c r="ES235" s="710" t="s">
        <v>410</v>
      </c>
      <c r="ET235" s="710" t="s">
        <v>410</v>
      </c>
      <c r="EU235" s="901" t="s">
        <v>410</v>
      </c>
      <c r="EV235" s="901"/>
      <c r="EW235" s="901"/>
      <c r="EX235" s="901"/>
      <c r="EY235" s="710" t="s">
        <v>278</v>
      </c>
      <c r="EZ235" s="710" t="s">
        <v>4218</v>
      </c>
      <c r="FA235" s="710" t="s">
        <v>279</v>
      </c>
      <c r="FB235" s="710" t="s">
        <v>410</v>
      </c>
      <c r="FC235" s="861" t="s">
        <v>4036</v>
      </c>
      <c r="FD235" s="710" t="s">
        <v>4277</v>
      </c>
      <c r="FE235" s="861" t="s">
        <v>4036</v>
      </c>
      <c r="FF235" s="710" t="s">
        <v>4304</v>
      </c>
      <c r="FG235" s="710" t="s">
        <v>4315</v>
      </c>
      <c r="FH235" s="710" t="s">
        <v>4326</v>
      </c>
      <c r="FI235" s="710">
        <v>1</v>
      </c>
      <c r="FJ235" s="710">
        <v>29</v>
      </c>
      <c r="FK235" s="710" t="s">
        <v>4350</v>
      </c>
      <c r="FL235" s="710" t="s">
        <v>4376</v>
      </c>
      <c r="FM235" s="710" t="s">
        <v>4401</v>
      </c>
      <c r="FN235" s="710"/>
      <c r="FO235" s="710"/>
      <c r="FP235" s="710"/>
    </row>
    <row r="236" spans="2:172" ht="99.5" customHeight="1">
      <c r="B236" s="850" t="s">
        <v>5313</v>
      </c>
      <c r="C236" s="863"/>
      <c r="D236" s="850" t="s">
        <v>4934</v>
      </c>
      <c r="E236" s="850" t="s">
        <v>5314</v>
      </c>
      <c r="F236" s="863"/>
      <c r="H236" s="850" t="s">
        <v>4934</v>
      </c>
      <c r="I236" s="850" t="s">
        <v>5519</v>
      </c>
      <c r="J236" s="850" t="s">
        <v>5464</v>
      </c>
      <c r="K236" s="710" t="s">
        <v>270</v>
      </c>
      <c r="L236" s="710" t="s">
        <v>3954</v>
      </c>
      <c r="M236" s="710" t="s">
        <v>3970</v>
      </c>
      <c r="N236" s="710" t="s">
        <v>3970</v>
      </c>
      <c r="O236" s="895">
        <v>2017</v>
      </c>
      <c r="P236" s="896">
        <v>43298</v>
      </c>
      <c r="Q236" s="896">
        <v>43830</v>
      </c>
      <c r="R236" s="712">
        <f t="shared" si="87"/>
        <v>532</v>
      </c>
      <c r="S236" s="896"/>
      <c r="T236" s="896"/>
      <c r="U236" s="896"/>
      <c r="V236" s="896"/>
      <c r="W236" s="896"/>
      <c r="X236" s="896"/>
      <c r="Y236" s="896"/>
      <c r="Z236" s="896"/>
      <c r="AA236" s="896"/>
      <c r="AB236" s="710" t="s">
        <v>4008</v>
      </c>
      <c r="AC236" s="710" t="s">
        <v>4037</v>
      </c>
      <c r="AD236" s="710" t="s">
        <v>4067</v>
      </c>
      <c r="AE236" s="710" t="s">
        <v>4085</v>
      </c>
      <c r="AF236" s="710" t="s">
        <v>766</v>
      </c>
      <c r="AG236" s="710" t="s">
        <v>4109</v>
      </c>
      <c r="AH236" s="898">
        <v>28.024999999999999</v>
      </c>
      <c r="AI236" s="868">
        <f t="shared" si="68"/>
        <v>28.0244</v>
      </c>
      <c r="AJ236" s="875">
        <f t="shared" si="69"/>
        <v>-5.9999999999860165E-4</v>
      </c>
      <c r="AK236" s="898"/>
      <c r="AL236" s="898"/>
      <c r="AM236" s="898"/>
      <c r="AN236" s="869">
        <f t="shared" si="70"/>
        <v>0</v>
      </c>
      <c r="AO236" s="869">
        <f t="shared" si="71"/>
        <v>0</v>
      </c>
      <c r="AP236" s="898"/>
      <c r="AQ236" s="899"/>
      <c r="AR236" s="899">
        <v>5.0000000000000001E-3</v>
      </c>
      <c r="AS236" s="869">
        <f t="shared" si="72"/>
        <v>0</v>
      </c>
      <c r="AT236" s="869">
        <f t="shared" si="73"/>
        <v>0</v>
      </c>
      <c r="AU236" s="942">
        <v>28.018000000000001</v>
      </c>
      <c r="AV236" s="899">
        <v>0.99</v>
      </c>
      <c r="AW236" s="869">
        <f t="shared" si="74"/>
        <v>0.99975022301516514</v>
      </c>
      <c r="AX236" s="869">
        <f t="shared" si="75"/>
        <v>-9.7502230151651492E-3</v>
      </c>
      <c r="AY236" s="898">
        <v>6.4000000000000003E-3</v>
      </c>
      <c r="AZ236" s="899">
        <v>2.0000000000000001E-4</v>
      </c>
      <c r="BA236" s="869">
        <f t="shared" si="76"/>
        <v>2.2836752899197147E-4</v>
      </c>
      <c r="BB236" s="869">
        <f t="shared" si="77"/>
        <v>-2.8367528991971464E-5</v>
      </c>
      <c r="BC236" s="898"/>
      <c r="BD236" s="899"/>
      <c r="BE236" s="869">
        <f t="shared" si="78"/>
        <v>0</v>
      </c>
      <c r="BF236" s="869">
        <f t="shared" si="79"/>
        <v>0</v>
      </c>
      <c r="BG236" s="899"/>
      <c r="BH236" s="899"/>
      <c r="BI236" s="899"/>
      <c r="BJ236" s="899"/>
      <c r="BK236" s="899"/>
      <c r="BL236" s="714">
        <f t="shared" si="80"/>
        <v>0</v>
      </c>
      <c r="BM236" s="869">
        <f t="shared" si="81"/>
        <v>0</v>
      </c>
      <c r="BN236" s="898"/>
      <c r="BO236" s="899"/>
      <c r="BP236" s="869">
        <f t="shared" si="82"/>
        <v>0</v>
      </c>
      <c r="BQ236" s="869">
        <f t="shared" si="83"/>
        <v>0</v>
      </c>
      <c r="BR236" s="899"/>
      <c r="BS236" s="899"/>
      <c r="BT236" s="898">
        <v>31.68</v>
      </c>
      <c r="BU236" s="899">
        <v>5.1000000000000004E-3</v>
      </c>
      <c r="BV236" s="901">
        <v>39</v>
      </c>
      <c r="BW236" s="901">
        <v>34</v>
      </c>
      <c r="BX236" s="901">
        <v>34</v>
      </c>
      <c r="BY236" s="901"/>
      <c r="BZ236" s="901"/>
      <c r="CA236" s="901">
        <v>2</v>
      </c>
      <c r="CB236" s="901"/>
      <c r="CC236" s="901"/>
      <c r="CD236" s="901"/>
      <c r="CE236" s="901"/>
      <c r="CF236" s="901"/>
      <c r="CG236" s="901"/>
      <c r="CH236" s="901">
        <v>21</v>
      </c>
      <c r="CI236" s="901">
        <v>6</v>
      </c>
      <c r="CJ236" s="901"/>
      <c r="CK236" s="901"/>
      <c r="CL236" s="901">
        <v>1</v>
      </c>
      <c r="CM236" s="901"/>
      <c r="CN236" s="901"/>
      <c r="CO236" s="901"/>
      <c r="CP236" s="901"/>
      <c r="CQ236" s="901"/>
      <c r="CR236" s="901">
        <v>4</v>
      </c>
      <c r="CS236" s="902">
        <f t="shared" si="89"/>
        <v>34</v>
      </c>
      <c r="CT236" s="871">
        <f t="shared" si="84"/>
        <v>34</v>
      </c>
      <c r="CU236" s="871">
        <f t="shared" si="85"/>
        <v>0</v>
      </c>
      <c r="CV236" s="942">
        <v>35.993000000000002</v>
      </c>
      <c r="CW236" s="710"/>
      <c r="CX236" s="710"/>
      <c r="CY236" s="710"/>
      <c r="CZ236" s="710"/>
      <c r="DA236" s="710">
        <v>100</v>
      </c>
      <c r="DB236" s="899"/>
      <c r="DC236" s="710" t="s">
        <v>279</v>
      </c>
      <c r="DD236" s="710"/>
      <c r="DE236" s="710"/>
      <c r="DF236" s="901"/>
      <c r="DG236" s="901"/>
      <c r="DH236" s="901"/>
      <c r="DI236" s="710" t="s">
        <v>278</v>
      </c>
      <c r="DJ236" s="710" t="s">
        <v>4163</v>
      </c>
      <c r="DK236" s="901">
        <v>1467</v>
      </c>
      <c r="DL236" s="710" t="s">
        <v>278</v>
      </c>
      <c r="DM236" s="710" t="s">
        <v>4171</v>
      </c>
      <c r="DN236" s="901">
        <v>1081</v>
      </c>
      <c r="DO236" s="710" t="s">
        <v>278</v>
      </c>
      <c r="DP236" s="710"/>
      <c r="DQ236" s="901">
        <v>0</v>
      </c>
      <c r="DR236" s="710" t="s">
        <v>279</v>
      </c>
      <c r="DS236" s="710"/>
      <c r="DT236" s="901"/>
      <c r="DU236" s="710" t="s">
        <v>279</v>
      </c>
      <c r="DV236" s="710"/>
      <c r="DW236" s="901"/>
      <c r="DX236" s="710"/>
      <c r="DY236" s="710"/>
      <c r="DZ236" s="901"/>
      <c r="EA236" s="710" t="s">
        <v>278</v>
      </c>
      <c r="EB236" s="710" t="s">
        <v>4163</v>
      </c>
      <c r="EC236" s="901">
        <v>1467</v>
      </c>
      <c r="ED236" s="710" t="s">
        <v>278</v>
      </c>
      <c r="EE236" s="710" t="s">
        <v>4171</v>
      </c>
      <c r="EF236" s="901">
        <v>1081</v>
      </c>
      <c r="EG236" s="710" t="s">
        <v>279</v>
      </c>
      <c r="EH236" s="710"/>
      <c r="EI236" s="901"/>
      <c r="EJ236" s="710" t="s">
        <v>278</v>
      </c>
      <c r="EK236" s="710" t="s">
        <v>4192</v>
      </c>
      <c r="EL236" s="901">
        <v>539</v>
      </c>
      <c r="EM236" s="710" t="s">
        <v>278</v>
      </c>
      <c r="EN236" s="710" t="s">
        <v>4205</v>
      </c>
      <c r="EO236" s="901">
        <v>6</v>
      </c>
      <c r="EP236" s="710" t="s">
        <v>279</v>
      </c>
      <c r="EQ236" s="710"/>
      <c r="ER236" s="901"/>
      <c r="ES236" s="710" t="s">
        <v>279</v>
      </c>
      <c r="ET236" s="710"/>
      <c r="EU236" s="901"/>
      <c r="EV236" s="901"/>
      <c r="EW236" s="901"/>
      <c r="EX236" s="901"/>
      <c r="EY236" s="710" t="s">
        <v>579</v>
      </c>
      <c r="EZ236" s="710" t="s">
        <v>4219</v>
      </c>
      <c r="FA236" s="710" t="s">
        <v>278</v>
      </c>
      <c r="FB236" s="710" t="s">
        <v>4240</v>
      </c>
      <c r="FC236" s="710" t="s">
        <v>4262</v>
      </c>
      <c r="FD236" s="710" t="s">
        <v>4278</v>
      </c>
      <c r="FE236" s="710" t="s">
        <v>4285</v>
      </c>
      <c r="FF236" s="710" t="s">
        <v>4305</v>
      </c>
      <c r="FG236" s="710" t="s">
        <v>4316</v>
      </c>
      <c r="FH236" s="710" t="s">
        <v>4327</v>
      </c>
      <c r="FI236" s="710">
        <v>8</v>
      </c>
      <c r="FJ236" s="710">
        <v>367</v>
      </c>
      <c r="FK236" s="710" t="s">
        <v>4351</v>
      </c>
      <c r="FL236" s="710">
        <v>83466498648</v>
      </c>
      <c r="FM236" s="861" t="s">
        <v>4402</v>
      </c>
      <c r="FN236" s="710" t="s">
        <v>4416</v>
      </c>
      <c r="FO236" s="710">
        <v>83466498652</v>
      </c>
      <c r="FP236" s="861" t="s">
        <v>4429</v>
      </c>
    </row>
    <row r="237" spans="2:172" ht="107" customHeight="1">
      <c r="B237" s="850" t="s">
        <v>5313</v>
      </c>
      <c r="C237" s="863"/>
      <c r="D237" s="850" t="s">
        <v>4934</v>
      </c>
      <c r="E237" s="850" t="s">
        <v>5314</v>
      </c>
      <c r="F237" s="863"/>
      <c r="H237" s="850" t="s">
        <v>4934</v>
      </c>
      <c r="I237" s="850" t="s">
        <v>5519</v>
      </c>
      <c r="J237" s="850" t="s">
        <v>5464</v>
      </c>
      <c r="K237" s="710" t="s">
        <v>270</v>
      </c>
      <c r="L237" s="710" t="s">
        <v>3955</v>
      </c>
      <c r="M237" s="710" t="s">
        <v>3963</v>
      </c>
      <c r="N237" s="710" t="s">
        <v>3963</v>
      </c>
      <c r="O237" s="895">
        <v>2018</v>
      </c>
      <c r="P237" s="896">
        <v>43573</v>
      </c>
      <c r="Q237" s="896">
        <v>43761</v>
      </c>
      <c r="R237" s="712">
        <f t="shared" si="87"/>
        <v>188</v>
      </c>
      <c r="S237" s="896"/>
      <c r="T237" s="896"/>
      <c r="U237" s="896"/>
      <c r="V237" s="896"/>
      <c r="W237" s="896"/>
      <c r="X237" s="896"/>
      <c r="Y237" s="896"/>
      <c r="Z237" s="896"/>
      <c r="AA237" s="896"/>
      <c r="AB237" s="710" t="s">
        <v>4009</v>
      </c>
      <c r="AC237" s="861" t="s">
        <v>4038</v>
      </c>
      <c r="AD237" s="710" t="s">
        <v>4068</v>
      </c>
      <c r="AE237" s="710" t="s">
        <v>4086</v>
      </c>
      <c r="AF237" s="710" t="s">
        <v>766</v>
      </c>
      <c r="AG237" s="710" t="s">
        <v>4110</v>
      </c>
      <c r="AH237" s="898">
        <v>6.6870000000000003</v>
      </c>
      <c r="AI237" s="868">
        <f t="shared" si="68"/>
        <v>6.6870000000000003</v>
      </c>
      <c r="AJ237" s="875">
        <f t="shared" si="69"/>
        <v>0</v>
      </c>
      <c r="AK237" s="898"/>
      <c r="AL237" s="898"/>
      <c r="AM237" s="898"/>
      <c r="AN237" s="869">
        <f t="shared" si="70"/>
        <v>0</v>
      </c>
      <c r="AO237" s="869">
        <f t="shared" si="71"/>
        <v>0</v>
      </c>
      <c r="AP237" s="898"/>
      <c r="AQ237" s="899"/>
      <c r="AR237" s="899">
        <v>0</v>
      </c>
      <c r="AS237" s="869">
        <f t="shared" si="72"/>
        <v>0</v>
      </c>
      <c r="AT237" s="869">
        <f t="shared" si="73"/>
        <v>0</v>
      </c>
      <c r="AU237" s="942">
        <v>6.3</v>
      </c>
      <c r="AV237" s="899">
        <v>0.97199999999999998</v>
      </c>
      <c r="AW237" s="869">
        <f t="shared" si="74"/>
        <v>0.94212651413189763</v>
      </c>
      <c r="AX237" s="869">
        <f t="shared" si="75"/>
        <v>2.9873485868102345E-2</v>
      </c>
      <c r="AY237" s="898">
        <v>0.26100000000000001</v>
      </c>
      <c r="AZ237" s="899">
        <v>1.4500000000000001E-2</v>
      </c>
      <c r="BA237" s="869">
        <f t="shared" si="76"/>
        <v>3.9030955585464336E-2</v>
      </c>
      <c r="BB237" s="869">
        <f t="shared" si="77"/>
        <v>-2.4530955585464337E-2</v>
      </c>
      <c r="BC237" s="898">
        <v>0.126</v>
      </c>
      <c r="BD237" s="899">
        <v>1.34E-2</v>
      </c>
      <c r="BE237" s="869">
        <f t="shared" si="78"/>
        <v>1.8842530282637954E-2</v>
      </c>
      <c r="BF237" s="869">
        <f t="shared" si="79"/>
        <v>-5.442530282637954E-3</v>
      </c>
      <c r="BG237" s="899"/>
      <c r="BH237" s="899"/>
      <c r="BI237" s="899"/>
      <c r="BJ237" s="899"/>
      <c r="BK237" s="899"/>
      <c r="BL237" s="714">
        <f t="shared" si="80"/>
        <v>0</v>
      </c>
      <c r="BM237" s="869">
        <f t="shared" si="81"/>
        <v>0</v>
      </c>
      <c r="BN237" s="898"/>
      <c r="BO237" s="899"/>
      <c r="BP237" s="869">
        <f t="shared" si="82"/>
        <v>0</v>
      </c>
      <c r="BQ237" s="869">
        <f t="shared" si="83"/>
        <v>0</v>
      </c>
      <c r="BR237" s="899"/>
      <c r="BS237" s="899"/>
      <c r="BT237" s="898">
        <v>16</v>
      </c>
      <c r="BU237" s="899">
        <v>4.3E-3</v>
      </c>
      <c r="BV237" s="901">
        <v>14</v>
      </c>
      <c r="BW237" s="901">
        <v>10</v>
      </c>
      <c r="BX237" s="901">
        <v>4</v>
      </c>
      <c r="BY237" s="901"/>
      <c r="BZ237" s="901"/>
      <c r="CA237" s="901"/>
      <c r="CB237" s="901"/>
      <c r="CC237" s="901"/>
      <c r="CD237" s="901"/>
      <c r="CE237" s="901"/>
      <c r="CF237" s="901"/>
      <c r="CG237" s="901">
        <v>1</v>
      </c>
      <c r="CH237" s="901"/>
      <c r="CI237" s="901">
        <v>1</v>
      </c>
      <c r="CJ237" s="901">
        <v>2</v>
      </c>
      <c r="CK237" s="901"/>
      <c r="CL237" s="901"/>
      <c r="CM237" s="901"/>
      <c r="CN237" s="901"/>
      <c r="CO237" s="901"/>
      <c r="CP237" s="901"/>
      <c r="CQ237" s="901"/>
      <c r="CR237" s="901"/>
      <c r="CS237" s="902">
        <f t="shared" si="89"/>
        <v>4</v>
      </c>
      <c r="CT237" s="871">
        <f t="shared" si="84"/>
        <v>4</v>
      </c>
      <c r="CU237" s="871">
        <f t="shared" si="85"/>
        <v>0</v>
      </c>
      <c r="CV237" s="942">
        <v>7.4630000000000001</v>
      </c>
      <c r="CW237" s="710" t="s">
        <v>4125</v>
      </c>
      <c r="CX237" s="710"/>
      <c r="CY237" s="710"/>
      <c r="CZ237" s="710"/>
      <c r="DA237" s="710">
        <v>3.6999999999999998E-2</v>
      </c>
      <c r="DB237" s="940" t="s">
        <v>4148</v>
      </c>
      <c r="DC237" s="710" t="s">
        <v>279</v>
      </c>
      <c r="DD237" s="710" t="s">
        <v>410</v>
      </c>
      <c r="DE237" s="710" t="s">
        <v>410</v>
      </c>
      <c r="DF237" s="901" t="s">
        <v>410</v>
      </c>
      <c r="DG237" s="901" t="s">
        <v>410</v>
      </c>
      <c r="DH237" s="901">
        <v>3</v>
      </c>
      <c r="DI237" s="710"/>
      <c r="DJ237" s="710"/>
      <c r="DK237" s="901"/>
      <c r="DL237" s="710" t="s">
        <v>278</v>
      </c>
      <c r="DM237" s="710" t="s">
        <v>4172</v>
      </c>
      <c r="DN237" s="901">
        <v>205</v>
      </c>
      <c r="DO237" s="710"/>
      <c r="DP237" s="710"/>
      <c r="DQ237" s="901"/>
      <c r="DR237" s="710"/>
      <c r="DS237" s="710"/>
      <c r="DT237" s="901"/>
      <c r="DU237" s="710"/>
      <c r="DV237" s="710"/>
      <c r="DW237" s="901"/>
      <c r="DX237" s="710"/>
      <c r="DY237" s="710"/>
      <c r="DZ237" s="901"/>
      <c r="EA237" s="710"/>
      <c r="EB237" s="710"/>
      <c r="EC237" s="901"/>
      <c r="ED237" s="710" t="s">
        <v>278</v>
      </c>
      <c r="EE237" s="710" t="s">
        <v>4172</v>
      </c>
      <c r="EF237" s="901">
        <v>193</v>
      </c>
      <c r="EG237" s="710"/>
      <c r="EH237" s="710"/>
      <c r="EI237" s="901"/>
      <c r="EJ237" s="710"/>
      <c r="EK237" s="710"/>
      <c r="EL237" s="901"/>
      <c r="EM237" s="710"/>
      <c r="EN237" s="710"/>
      <c r="EO237" s="901"/>
      <c r="EP237" s="710"/>
      <c r="EQ237" s="710"/>
      <c r="ER237" s="901"/>
      <c r="ES237" s="710"/>
      <c r="ET237" s="710"/>
      <c r="EU237" s="901"/>
      <c r="EV237" s="901"/>
      <c r="EW237" s="901"/>
      <c r="EX237" s="901"/>
      <c r="EY237" s="710" t="s">
        <v>410</v>
      </c>
      <c r="EZ237" s="710" t="s">
        <v>410</v>
      </c>
      <c r="FA237" s="710" t="s">
        <v>278</v>
      </c>
      <c r="FB237" s="710" t="s">
        <v>4241</v>
      </c>
      <c r="FC237" s="710"/>
      <c r="FD237" s="710"/>
      <c r="FE237" s="710"/>
      <c r="FF237" s="710"/>
      <c r="FG237" s="710"/>
      <c r="FH237" s="710" t="s">
        <v>410</v>
      </c>
      <c r="FI237" s="710" t="s">
        <v>410</v>
      </c>
      <c r="FJ237" s="710" t="s">
        <v>410</v>
      </c>
      <c r="FK237" s="710" t="s">
        <v>4352</v>
      </c>
      <c r="FL237" s="710" t="s">
        <v>4377</v>
      </c>
      <c r="FM237" s="861" t="s">
        <v>4403</v>
      </c>
      <c r="FN237" s="710" t="s">
        <v>4352</v>
      </c>
      <c r="FO237" s="710" t="s">
        <v>4377</v>
      </c>
      <c r="FP237" s="861" t="s">
        <v>4403</v>
      </c>
    </row>
    <row r="238" spans="2:172" ht="107" customHeight="1">
      <c r="B238" s="850" t="s">
        <v>5313</v>
      </c>
      <c r="C238" s="863"/>
      <c r="D238" s="850" t="s">
        <v>4934</v>
      </c>
      <c r="E238" s="850" t="s">
        <v>5314</v>
      </c>
      <c r="F238" s="863"/>
      <c r="H238" s="850" t="s">
        <v>4934</v>
      </c>
      <c r="I238" s="850" t="s">
        <v>5519</v>
      </c>
      <c r="J238" s="850" t="s">
        <v>5464</v>
      </c>
      <c r="K238" s="710" t="s">
        <v>270</v>
      </c>
      <c r="L238" s="710" t="s">
        <v>3956</v>
      </c>
      <c r="M238" s="710" t="s">
        <v>3971</v>
      </c>
      <c r="N238" s="710" t="s">
        <v>3979</v>
      </c>
      <c r="O238" s="895">
        <v>2019</v>
      </c>
      <c r="P238" s="896">
        <v>43497</v>
      </c>
      <c r="Q238" s="896">
        <v>43830</v>
      </c>
      <c r="R238" s="712">
        <f t="shared" si="87"/>
        <v>333</v>
      </c>
      <c r="S238" s="896"/>
      <c r="T238" s="896"/>
      <c r="U238" s="896"/>
      <c r="V238" s="896"/>
      <c r="W238" s="896"/>
      <c r="X238" s="896"/>
      <c r="Y238" s="896"/>
      <c r="Z238" s="896"/>
      <c r="AA238" s="896"/>
      <c r="AB238" s="710" t="s">
        <v>4010</v>
      </c>
      <c r="AC238" s="861" t="s">
        <v>4039</v>
      </c>
      <c r="AD238" s="710" t="s">
        <v>4069</v>
      </c>
      <c r="AE238" s="710" t="s">
        <v>4087</v>
      </c>
      <c r="AF238" s="710" t="s">
        <v>454</v>
      </c>
      <c r="AG238" s="710" t="s">
        <v>4069</v>
      </c>
      <c r="AH238" s="898">
        <v>3.2040000000000002</v>
      </c>
      <c r="AI238" s="868">
        <f t="shared" si="68"/>
        <v>3.2039999999999997</v>
      </c>
      <c r="AJ238" s="875">
        <f t="shared" si="69"/>
        <v>0</v>
      </c>
      <c r="AK238" s="898"/>
      <c r="AL238" s="898"/>
      <c r="AM238" s="898"/>
      <c r="AN238" s="869">
        <f t="shared" si="70"/>
        <v>0</v>
      </c>
      <c r="AO238" s="869">
        <f t="shared" si="71"/>
        <v>0</v>
      </c>
      <c r="AP238" s="898"/>
      <c r="AQ238" s="899"/>
      <c r="AR238" s="899">
        <v>8.0000000000000004E-4</v>
      </c>
      <c r="AS238" s="869">
        <f t="shared" si="72"/>
        <v>0</v>
      </c>
      <c r="AT238" s="869">
        <f t="shared" si="73"/>
        <v>0</v>
      </c>
      <c r="AU238" s="942">
        <v>3.1539999999999999</v>
      </c>
      <c r="AV238" s="899">
        <v>0.98439450686641705</v>
      </c>
      <c r="AW238" s="869">
        <f t="shared" si="74"/>
        <v>0.98439450686641694</v>
      </c>
      <c r="AX238" s="869">
        <f t="shared" si="75"/>
        <v>0</v>
      </c>
      <c r="AY238" s="898"/>
      <c r="AZ238" s="899"/>
      <c r="BA238" s="869">
        <f t="shared" si="76"/>
        <v>0</v>
      </c>
      <c r="BB238" s="869">
        <f t="shared" si="77"/>
        <v>0</v>
      </c>
      <c r="BC238" s="898">
        <v>0.05</v>
      </c>
      <c r="BD238" s="899">
        <f>BC238/AH238</f>
        <v>1.5605493133583021E-2</v>
      </c>
      <c r="BE238" s="869">
        <f t="shared" si="78"/>
        <v>1.5605493133583021E-2</v>
      </c>
      <c r="BF238" s="869">
        <f t="shared" si="79"/>
        <v>0</v>
      </c>
      <c r="BG238" s="899"/>
      <c r="BH238" s="899"/>
      <c r="BI238" s="899"/>
      <c r="BJ238" s="899"/>
      <c r="BK238" s="899"/>
      <c r="BL238" s="714">
        <f t="shared" si="80"/>
        <v>0</v>
      </c>
      <c r="BM238" s="869">
        <f t="shared" si="81"/>
        <v>0</v>
      </c>
      <c r="BN238" s="898"/>
      <c r="BO238" s="899"/>
      <c r="BP238" s="869">
        <f t="shared" si="82"/>
        <v>0</v>
      </c>
      <c r="BQ238" s="869">
        <f t="shared" si="83"/>
        <v>0</v>
      </c>
      <c r="BR238" s="899"/>
      <c r="BS238" s="899"/>
      <c r="BT238" s="898">
        <v>5</v>
      </c>
      <c r="BU238" s="899">
        <v>1.4E-3</v>
      </c>
      <c r="BV238" s="901">
        <v>1</v>
      </c>
      <c r="BW238" s="901">
        <v>1</v>
      </c>
      <c r="BX238" s="901">
        <v>1</v>
      </c>
      <c r="BY238" s="901"/>
      <c r="BZ238" s="901"/>
      <c r="CA238" s="901"/>
      <c r="CB238" s="901"/>
      <c r="CC238" s="901"/>
      <c r="CD238" s="901"/>
      <c r="CE238" s="901"/>
      <c r="CF238" s="901"/>
      <c r="CG238" s="901"/>
      <c r="CH238" s="901">
        <v>1</v>
      </c>
      <c r="CI238" s="901"/>
      <c r="CJ238" s="901"/>
      <c r="CK238" s="901"/>
      <c r="CL238" s="901"/>
      <c r="CM238" s="901"/>
      <c r="CN238" s="901"/>
      <c r="CO238" s="901"/>
      <c r="CP238" s="901"/>
      <c r="CQ238" s="901"/>
      <c r="CR238" s="901"/>
      <c r="CS238" s="902">
        <f t="shared" si="89"/>
        <v>1</v>
      </c>
      <c r="CT238" s="871">
        <f t="shared" si="84"/>
        <v>1</v>
      </c>
      <c r="CU238" s="871">
        <f t="shared" si="85"/>
        <v>0</v>
      </c>
      <c r="CV238" s="942">
        <v>1.0369999999999999</v>
      </c>
      <c r="CW238" s="710" t="s">
        <v>4126</v>
      </c>
      <c r="CX238" s="710"/>
      <c r="CY238" s="710"/>
      <c r="CZ238" s="710"/>
      <c r="DA238" s="899">
        <f>CV238/39.828</f>
        <v>2.603695892337049E-2</v>
      </c>
      <c r="DB238" s="963" t="s">
        <v>4149</v>
      </c>
      <c r="DC238" s="710" t="s">
        <v>279</v>
      </c>
      <c r="DD238" s="710"/>
      <c r="DE238" s="710"/>
      <c r="DF238" s="901"/>
      <c r="DG238" s="901"/>
      <c r="DH238" s="901">
        <v>12</v>
      </c>
      <c r="DI238" s="710"/>
      <c r="DJ238" s="710"/>
      <c r="DK238" s="901"/>
      <c r="DL238" s="710" t="s">
        <v>278</v>
      </c>
      <c r="DM238" s="710" t="s">
        <v>4173</v>
      </c>
      <c r="DN238" s="901">
        <v>120</v>
      </c>
      <c r="DO238" s="710"/>
      <c r="DP238" s="710"/>
      <c r="DQ238" s="901"/>
      <c r="DR238" s="710"/>
      <c r="DS238" s="710"/>
      <c r="DT238" s="901"/>
      <c r="DU238" s="710"/>
      <c r="DV238" s="710"/>
      <c r="DW238" s="901"/>
      <c r="DX238" s="710"/>
      <c r="DY238" s="710"/>
      <c r="DZ238" s="901"/>
      <c r="EA238" s="710"/>
      <c r="EB238" s="710"/>
      <c r="EC238" s="901"/>
      <c r="ED238" s="710"/>
      <c r="EE238" s="710"/>
      <c r="EF238" s="901"/>
      <c r="EG238" s="710"/>
      <c r="EH238" s="710"/>
      <c r="EI238" s="901"/>
      <c r="EJ238" s="710"/>
      <c r="EK238" s="710"/>
      <c r="EL238" s="901"/>
      <c r="EM238" s="710" t="s">
        <v>278</v>
      </c>
      <c r="EN238" s="710" t="s">
        <v>4206</v>
      </c>
      <c r="EO238" s="901">
        <v>11</v>
      </c>
      <c r="EP238" s="710"/>
      <c r="EQ238" s="710"/>
      <c r="ER238" s="901"/>
      <c r="ES238" s="710"/>
      <c r="ET238" s="710"/>
      <c r="EU238" s="901"/>
      <c r="EV238" s="901"/>
      <c r="EW238" s="901"/>
      <c r="EX238" s="901"/>
      <c r="EY238" s="710" t="s">
        <v>279</v>
      </c>
      <c r="EZ238" s="710" t="s">
        <v>4220</v>
      </c>
      <c r="FA238" s="710" t="s">
        <v>278</v>
      </c>
      <c r="FB238" s="710" t="s">
        <v>700</v>
      </c>
      <c r="FC238" s="861" t="s">
        <v>4263</v>
      </c>
      <c r="FD238" s="861" t="s">
        <v>4279</v>
      </c>
      <c r="FE238" s="861" t="s">
        <v>4286</v>
      </c>
      <c r="FF238" s="710" t="s">
        <v>4306</v>
      </c>
      <c r="FG238" s="710" t="s">
        <v>4317</v>
      </c>
      <c r="FH238" s="710" t="s">
        <v>4328</v>
      </c>
      <c r="FI238" s="710"/>
      <c r="FJ238" s="710"/>
      <c r="FK238" s="710" t="s">
        <v>4353</v>
      </c>
      <c r="FL238" s="710" t="s">
        <v>4378</v>
      </c>
      <c r="FM238" s="710" t="s">
        <v>4404</v>
      </c>
      <c r="FN238" s="710"/>
      <c r="FO238" s="710"/>
      <c r="FP238" s="710"/>
    </row>
    <row r="239" spans="2:172" ht="129.5" customHeight="1">
      <c r="B239" s="850" t="s">
        <v>5313</v>
      </c>
      <c r="C239" s="863"/>
      <c r="D239" s="850" t="s">
        <v>4934</v>
      </c>
      <c r="E239" s="850" t="s">
        <v>5314</v>
      </c>
      <c r="F239" s="863"/>
      <c r="H239" s="850" t="s">
        <v>4934</v>
      </c>
      <c r="I239" s="850" t="s">
        <v>5519</v>
      </c>
      <c r="J239" s="850" t="s">
        <v>5464</v>
      </c>
      <c r="K239" s="710" t="s">
        <v>270</v>
      </c>
      <c r="L239" s="710" t="s">
        <v>3957</v>
      </c>
      <c r="M239" s="708" t="s">
        <v>3963</v>
      </c>
      <c r="N239" s="708" t="s">
        <v>3963</v>
      </c>
      <c r="O239" s="895">
        <v>2019</v>
      </c>
      <c r="P239" s="896">
        <v>43490</v>
      </c>
      <c r="Q239" s="896">
        <v>43776</v>
      </c>
      <c r="R239" s="712">
        <f t="shared" si="87"/>
        <v>286</v>
      </c>
      <c r="S239" s="896"/>
      <c r="T239" s="896"/>
      <c r="U239" s="896"/>
      <c r="V239" s="896"/>
      <c r="W239" s="896"/>
      <c r="X239" s="896"/>
      <c r="Y239" s="896"/>
      <c r="Z239" s="896"/>
      <c r="AA239" s="896"/>
      <c r="AB239" s="710" t="s">
        <v>4011</v>
      </c>
      <c r="AC239" s="710" t="s">
        <v>4040</v>
      </c>
      <c r="AD239" s="710" t="s">
        <v>4070</v>
      </c>
      <c r="AE239" s="710" t="s">
        <v>4070</v>
      </c>
      <c r="AF239" s="710" t="s">
        <v>4098</v>
      </c>
      <c r="AG239" s="710" t="s">
        <v>4070</v>
      </c>
      <c r="AH239" s="898">
        <v>5.3890000000000002</v>
      </c>
      <c r="AI239" s="868">
        <f t="shared" si="68"/>
        <v>5.3889999999999993</v>
      </c>
      <c r="AJ239" s="867">
        <f t="shared" si="69"/>
        <v>0</v>
      </c>
      <c r="AK239" s="898"/>
      <c r="AL239" s="898"/>
      <c r="AM239" s="898"/>
      <c r="AN239" s="869">
        <f t="shared" si="70"/>
        <v>0</v>
      </c>
      <c r="AO239" s="869">
        <f t="shared" si="71"/>
        <v>0</v>
      </c>
      <c r="AP239" s="898"/>
      <c r="AQ239" s="899"/>
      <c r="AR239" s="899">
        <v>5.0999999999999997E-2</v>
      </c>
      <c r="AS239" s="869">
        <f t="shared" si="72"/>
        <v>0</v>
      </c>
      <c r="AT239" s="869">
        <f t="shared" si="73"/>
        <v>0</v>
      </c>
      <c r="AU239" s="942">
        <v>5.2969999999999997</v>
      </c>
      <c r="AV239" s="899">
        <v>0.98299999999999998</v>
      </c>
      <c r="AW239" s="869">
        <f t="shared" si="74"/>
        <v>0.98292818704768969</v>
      </c>
      <c r="AX239" s="869">
        <f t="shared" si="75"/>
        <v>7.1812952310290612E-5</v>
      </c>
      <c r="AY239" s="898">
        <v>9.1999999999999998E-2</v>
      </c>
      <c r="AZ239" s="899">
        <v>1.6E-2</v>
      </c>
      <c r="BA239" s="869">
        <f t="shared" si="76"/>
        <v>1.7071812952310261E-2</v>
      </c>
      <c r="BB239" s="869">
        <f t="shared" si="77"/>
        <v>-1.0718129523102603E-3</v>
      </c>
      <c r="BC239" s="898">
        <v>0</v>
      </c>
      <c r="BD239" s="899">
        <v>0</v>
      </c>
      <c r="BE239" s="869">
        <f t="shared" si="78"/>
        <v>0</v>
      </c>
      <c r="BF239" s="869">
        <f t="shared" si="79"/>
        <v>0</v>
      </c>
      <c r="BG239" s="899"/>
      <c r="BH239" s="899"/>
      <c r="BI239" s="899"/>
      <c r="BJ239" s="899"/>
      <c r="BK239" s="899"/>
      <c r="BL239" s="714">
        <f t="shared" si="80"/>
        <v>0</v>
      </c>
      <c r="BM239" s="869">
        <f t="shared" si="81"/>
        <v>0</v>
      </c>
      <c r="BN239" s="898"/>
      <c r="BO239" s="899"/>
      <c r="BP239" s="869">
        <f t="shared" si="82"/>
        <v>0</v>
      </c>
      <c r="BQ239" s="869">
        <f t="shared" si="83"/>
        <v>0</v>
      </c>
      <c r="BR239" s="899"/>
      <c r="BS239" s="899"/>
      <c r="BT239" s="898" t="s">
        <v>279</v>
      </c>
      <c r="BU239" s="899"/>
      <c r="BV239" s="901">
        <v>1</v>
      </c>
      <c r="BW239" s="901">
        <v>1</v>
      </c>
      <c r="BX239" s="901">
        <v>1</v>
      </c>
      <c r="BY239" s="901"/>
      <c r="BZ239" s="901"/>
      <c r="CA239" s="901"/>
      <c r="CB239" s="901"/>
      <c r="CC239" s="901"/>
      <c r="CD239" s="901"/>
      <c r="CE239" s="901"/>
      <c r="CF239" s="901"/>
      <c r="CG239" s="901">
        <v>1</v>
      </c>
      <c r="CH239" s="901"/>
      <c r="CI239" s="901"/>
      <c r="CJ239" s="901"/>
      <c r="CK239" s="901"/>
      <c r="CL239" s="901"/>
      <c r="CM239" s="901"/>
      <c r="CN239" s="901"/>
      <c r="CO239" s="901"/>
      <c r="CP239" s="901"/>
      <c r="CQ239" s="901"/>
      <c r="CR239" s="901"/>
      <c r="CS239" s="902">
        <f t="shared" si="89"/>
        <v>1</v>
      </c>
      <c r="CT239" s="871">
        <f t="shared" si="84"/>
        <v>1</v>
      </c>
      <c r="CU239" s="871">
        <f t="shared" si="85"/>
        <v>0</v>
      </c>
      <c r="CV239" s="942">
        <v>1400</v>
      </c>
      <c r="CW239" s="710"/>
      <c r="CX239" s="710"/>
      <c r="CY239" s="710"/>
      <c r="CZ239" s="710"/>
      <c r="DA239" s="710"/>
      <c r="DB239" s="899"/>
      <c r="DC239" s="710" t="s">
        <v>279</v>
      </c>
      <c r="DD239" s="710"/>
      <c r="DE239" s="710"/>
      <c r="DF239" s="901"/>
      <c r="DG239" s="901">
        <v>25</v>
      </c>
      <c r="DH239" s="901">
        <v>4</v>
      </c>
      <c r="DI239" s="710"/>
      <c r="DJ239" s="710" t="s">
        <v>4164</v>
      </c>
      <c r="DK239" s="901">
        <v>624</v>
      </c>
      <c r="DL239" s="710" t="s">
        <v>278</v>
      </c>
      <c r="DM239" s="710" t="s">
        <v>4174</v>
      </c>
      <c r="DN239" s="901">
        <v>240</v>
      </c>
      <c r="DO239" s="710" t="s">
        <v>279</v>
      </c>
      <c r="DP239" s="710"/>
      <c r="DQ239" s="901"/>
      <c r="DR239" s="710"/>
      <c r="DS239" s="710"/>
      <c r="DT239" s="901"/>
      <c r="DU239" s="710" t="s">
        <v>279</v>
      </c>
      <c r="DV239" s="710"/>
      <c r="DW239" s="901"/>
      <c r="DX239" s="710"/>
      <c r="DY239" s="710"/>
      <c r="DZ239" s="901"/>
      <c r="EA239" s="710" t="s">
        <v>279</v>
      </c>
      <c r="EB239" s="710"/>
      <c r="EC239" s="901"/>
      <c r="ED239" s="710"/>
      <c r="EE239" s="710" t="s">
        <v>2363</v>
      </c>
      <c r="EF239" s="901"/>
      <c r="EG239" s="710" t="s">
        <v>279</v>
      </c>
      <c r="EH239" s="710"/>
      <c r="EI239" s="901"/>
      <c r="EJ239" s="710" t="s">
        <v>279</v>
      </c>
      <c r="EK239" s="710"/>
      <c r="EL239" s="901"/>
      <c r="EM239" s="710" t="s">
        <v>278</v>
      </c>
      <c r="EN239" s="710" t="s">
        <v>4207</v>
      </c>
      <c r="EO239" s="901">
        <v>9</v>
      </c>
      <c r="EP239" s="710"/>
      <c r="EQ239" s="710"/>
      <c r="ER239" s="901"/>
      <c r="ES239" s="710"/>
      <c r="ET239" s="710"/>
      <c r="EU239" s="901"/>
      <c r="EV239" s="901"/>
      <c r="EW239" s="901"/>
      <c r="EX239" s="901"/>
      <c r="EY239" s="710" t="s">
        <v>279</v>
      </c>
      <c r="EZ239" s="710"/>
      <c r="FA239" s="710"/>
      <c r="FB239" s="710" t="s">
        <v>4242</v>
      </c>
      <c r="FC239" s="861" t="s">
        <v>4040</v>
      </c>
      <c r="FD239" s="861" t="s">
        <v>4280</v>
      </c>
      <c r="FE239" s="710"/>
      <c r="FF239" s="861" t="s">
        <v>4280</v>
      </c>
      <c r="FG239" s="710"/>
      <c r="FH239" s="710" t="s">
        <v>279</v>
      </c>
      <c r="FI239" s="710" t="s">
        <v>279</v>
      </c>
      <c r="FJ239" s="710" t="s">
        <v>279</v>
      </c>
      <c r="FK239" s="710" t="s">
        <v>4354</v>
      </c>
      <c r="FL239" s="710" t="s">
        <v>4379</v>
      </c>
      <c r="FM239" s="710" t="s">
        <v>4405</v>
      </c>
      <c r="FN239" s="710" t="s">
        <v>4417</v>
      </c>
      <c r="FO239" s="710" t="s">
        <v>4424</v>
      </c>
      <c r="FP239" s="861" t="s">
        <v>4430</v>
      </c>
    </row>
    <row r="240" spans="2:172" ht="77" customHeight="1">
      <c r="B240" s="850" t="s">
        <v>5315</v>
      </c>
      <c r="C240" s="850" t="s">
        <v>5855</v>
      </c>
      <c r="D240" s="850" t="s">
        <v>4934</v>
      </c>
      <c r="E240" s="850" t="s">
        <v>5323</v>
      </c>
      <c r="F240" s="863"/>
      <c r="H240" s="850" t="s">
        <v>4934</v>
      </c>
      <c r="I240" s="850" t="s">
        <v>5519</v>
      </c>
      <c r="J240" s="850" t="s">
        <v>5464</v>
      </c>
      <c r="K240" s="710" t="s">
        <v>270</v>
      </c>
      <c r="L240" s="710" t="s">
        <v>3958</v>
      </c>
      <c r="M240" s="710" t="s">
        <v>3972</v>
      </c>
      <c r="N240" s="710" t="s">
        <v>279</v>
      </c>
      <c r="O240" s="895">
        <v>2019</v>
      </c>
      <c r="P240" s="896">
        <v>43516</v>
      </c>
      <c r="Q240" s="896">
        <v>43725</v>
      </c>
      <c r="R240" s="712">
        <f t="shared" si="87"/>
        <v>209</v>
      </c>
      <c r="S240" s="896"/>
      <c r="T240" s="896"/>
      <c r="U240" s="896"/>
      <c r="V240" s="896"/>
      <c r="W240" s="896"/>
      <c r="X240" s="896"/>
      <c r="Y240" s="896"/>
      <c r="Z240" s="896"/>
      <c r="AA240" s="896"/>
      <c r="AB240" s="710" t="s">
        <v>4012</v>
      </c>
      <c r="AC240" s="861" t="s">
        <v>4041</v>
      </c>
      <c r="AD240" s="710" t="s">
        <v>4071</v>
      </c>
      <c r="AE240" s="710" t="s">
        <v>4088</v>
      </c>
      <c r="AF240" s="710" t="s">
        <v>2900</v>
      </c>
      <c r="AG240" s="710" t="s">
        <v>4111</v>
      </c>
      <c r="AH240" s="898">
        <v>5.4</v>
      </c>
      <c r="AI240" s="868">
        <f t="shared" si="68"/>
        <v>5.3999999999999995</v>
      </c>
      <c r="AJ240" s="867">
        <f t="shared" si="69"/>
        <v>0</v>
      </c>
      <c r="AK240" s="898"/>
      <c r="AL240" s="898"/>
      <c r="AM240" s="898"/>
      <c r="AN240" s="869">
        <f t="shared" si="70"/>
        <v>0</v>
      </c>
      <c r="AO240" s="869">
        <f t="shared" si="71"/>
        <v>0</v>
      </c>
      <c r="AP240" s="898"/>
      <c r="AQ240" s="899"/>
      <c r="AR240" s="899">
        <v>1.4E-3</v>
      </c>
      <c r="AS240" s="869">
        <f t="shared" si="72"/>
        <v>0</v>
      </c>
      <c r="AT240" s="869">
        <f t="shared" si="73"/>
        <v>0</v>
      </c>
      <c r="AU240" s="942">
        <v>4.5</v>
      </c>
      <c r="AV240" s="899">
        <v>0.83</v>
      </c>
      <c r="AW240" s="869">
        <f t="shared" si="74"/>
        <v>0.83333333333333326</v>
      </c>
      <c r="AX240" s="869">
        <f t="shared" si="75"/>
        <v>-3.3333333333332993E-3</v>
      </c>
      <c r="AY240" s="898">
        <v>0.6</v>
      </c>
      <c r="AZ240" s="899">
        <v>0.107</v>
      </c>
      <c r="BA240" s="869">
        <f t="shared" si="76"/>
        <v>0.1111111111111111</v>
      </c>
      <c r="BB240" s="869">
        <f t="shared" si="77"/>
        <v>-4.1111111111111071E-3</v>
      </c>
      <c r="BC240" s="898">
        <v>0.3</v>
      </c>
      <c r="BD240" s="899">
        <v>6.3E-2</v>
      </c>
      <c r="BE240" s="869">
        <f t="shared" si="78"/>
        <v>5.5555555555555552E-2</v>
      </c>
      <c r="BF240" s="869">
        <f t="shared" si="79"/>
        <v>7.444444444444448E-3</v>
      </c>
      <c r="BG240" s="899"/>
      <c r="BH240" s="899"/>
      <c r="BI240" s="899"/>
      <c r="BJ240" s="899"/>
      <c r="BK240" s="899"/>
      <c r="BL240" s="714">
        <f t="shared" si="80"/>
        <v>0</v>
      </c>
      <c r="BM240" s="869">
        <f t="shared" si="81"/>
        <v>0</v>
      </c>
      <c r="BN240" s="898">
        <v>0</v>
      </c>
      <c r="BO240" s="899">
        <v>0</v>
      </c>
      <c r="BP240" s="869">
        <f t="shared" si="82"/>
        <v>0</v>
      </c>
      <c r="BQ240" s="869">
        <f t="shared" si="83"/>
        <v>0</v>
      </c>
      <c r="BR240" s="899"/>
      <c r="BS240" s="899"/>
      <c r="BT240" s="898">
        <v>5</v>
      </c>
      <c r="BU240" s="899">
        <v>1.6000000000000001E-3</v>
      </c>
      <c r="BV240" s="901">
        <v>9</v>
      </c>
      <c r="BW240" s="901">
        <v>9</v>
      </c>
      <c r="BX240" s="901">
        <v>6</v>
      </c>
      <c r="BY240" s="901"/>
      <c r="BZ240" s="901"/>
      <c r="CA240" s="901"/>
      <c r="CB240" s="901"/>
      <c r="CC240" s="901"/>
      <c r="CD240" s="901"/>
      <c r="CE240" s="901">
        <v>4</v>
      </c>
      <c r="CF240" s="901"/>
      <c r="CG240" s="901"/>
      <c r="CH240" s="901"/>
      <c r="CI240" s="901"/>
      <c r="CJ240" s="901"/>
      <c r="CK240" s="901"/>
      <c r="CL240" s="901"/>
      <c r="CM240" s="901"/>
      <c r="CN240" s="901"/>
      <c r="CO240" s="901"/>
      <c r="CP240" s="901"/>
      <c r="CQ240" s="901"/>
      <c r="CR240" s="901"/>
      <c r="CS240" s="902">
        <f t="shared" si="89"/>
        <v>4</v>
      </c>
      <c r="CT240" s="871">
        <f t="shared" si="84"/>
        <v>4</v>
      </c>
      <c r="CU240" s="871">
        <f t="shared" si="85"/>
        <v>0</v>
      </c>
      <c r="CV240" s="942">
        <v>3.1</v>
      </c>
      <c r="CW240" s="710"/>
      <c r="CX240" s="710"/>
      <c r="CY240" s="710"/>
      <c r="CZ240" s="710"/>
      <c r="DA240" s="710">
        <v>7.0000000000000007E-2</v>
      </c>
      <c r="DB240" s="899"/>
      <c r="DC240" s="710" t="s">
        <v>279</v>
      </c>
      <c r="DD240" s="710"/>
      <c r="DE240" s="710"/>
      <c r="DF240" s="901"/>
      <c r="DG240" s="901"/>
      <c r="DH240" s="901"/>
      <c r="DI240" s="710"/>
      <c r="DJ240" s="710"/>
      <c r="DK240" s="901"/>
      <c r="DL240" s="710"/>
      <c r="DM240" s="710"/>
      <c r="DN240" s="901"/>
      <c r="DO240" s="710"/>
      <c r="DP240" s="710"/>
      <c r="DQ240" s="901"/>
      <c r="DR240" s="710"/>
      <c r="DS240" s="710"/>
      <c r="DT240" s="901"/>
      <c r="DU240" s="710"/>
      <c r="DV240" s="710"/>
      <c r="DW240" s="901"/>
      <c r="DX240" s="710" t="s">
        <v>278</v>
      </c>
      <c r="DY240" s="710" t="s">
        <v>4184</v>
      </c>
      <c r="DZ240" s="901"/>
      <c r="EA240" s="710" t="s">
        <v>279</v>
      </c>
      <c r="EB240" s="710"/>
      <c r="EC240" s="901"/>
      <c r="ED240" s="710" t="s">
        <v>278</v>
      </c>
      <c r="EE240" s="710" t="s">
        <v>3780</v>
      </c>
      <c r="EF240" s="901">
        <v>1.6</v>
      </c>
      <c r="EG240" s="710" t="s">
        <v>279</v>
      </c>
      <c r="EH240" s="710"/>
      <c r="EI240" s="901"/>
      <c r="EJ240" s="710" t="s">
        <v>279</v>
      </c>
      <c r="EK240" s="710"/>
      <c r="EL240" s="901"/>
      <c r="EM240" s="710" t="s">
        <v>278</v>
      </c>
      <c r="EN240" s="710" t="s">
        <v>3780</v>
      </c>
      <c r="EO240" s="901">
        <v>14</v>
      </c>
      <c r="EP240" s="710" t="s">
        <v>279</v>
      </c>
      <c r="EQ240" s="710"/>
      <c r="ER240" s="901"/>
      <c r="ES240" s="710"/>
      <c r="ET240" s="710"/>
      <c r="EU240" s="901"/>
      <c r="EV240" s="901"/>
      <c r="EW240" s="901"/>
      <c r="EX240" s="901"/>
      <c r="EY240" s="710" t="s">
        <v>279</v>
      </c>
      <c r="EZ240" s="710"/>
      <c r="FA240" s="710" t="s">
        <v>579</v>
      </c>
      <c r="FB240" s="710" t="s">
        <v>1990</v>
      </c>
      <c r="FC240" s="861" t="s">
        <v>4264</v>
      </c>
      <c r="FD240" s="710"/>
      <c r="FE240" s="710"/>
      <c r="FF240" s="710"/>
      <c r="FG240" s="710"/>
      <c r="FH240" s="710"/>
      <c r="FI240" s="710"/>
      <c r="FJ240" s="710"/>
      <c r="FK240" s="710" t="s">
        <v>4355</v>
      </c>
      <c r="FL240" s="710" t="s">
        <v>4380</v>
      </c>
      <c r="FM240" s="861" t="s">
        <v>4406</v>
      </c>
      <c r="FN240" s="710" t="s">
        <v>4418</v>
      </c>
      <c r="FO240" s="710" t="s">
        <v>4425</v>
      </c>
      <c r="FP240" s="1027" t="s">
        <v>4431</v>
      </c>
    </row>
    <row r="241" spans="2:172" ht="112" customHeight="1">
      <c r="B241" s="850" t="s">
        <v>5313</v>
      </c>
      <c r="C241" s="863"/>
      <c r="D241" s="850" t="s">
        <v>4934</v>
      </c>
      <c r="E241" s="850" t="s">
        <v>5314</v>
      </c>
      <c r="F241" s="863"/>
      <c r="H241" s="850" t="s">
        <v>4934</v>
      </c>
      <c r="I241" s="850" t="s">
        <v>5519</v>
      </c>
      <c r="J241" s="850" t="s">
        <v>5464</v>
      </c>
      <c r="K241" s="710" t="s">
        <v>270</v>
      </c>
      <c r="L241" s="710" t="s">
        <v>3959</v>
      </c>
      <c r="M241" s="710" t="s">
        <v>3973</v>
      </c>
      <c r="N241" s="710" t="s">
        <v>3980</v>
      </c>
      <c r="O241" s="950">
        <v>2017</v>
      </c>
      <c r="P241" s="711" t="s">
        <v>3982</v>
      </c>
      <c r="Q241" s="711" t="s">
        <v>3985</v>
      </c>
      <c r="R241" s="712">
        <f t="shared" si="87"/>
        <v>507</v>
      </c>
      <c r="S241" s="711"/>
      <c r="T241" s="711"/>
      <c r="U241" s="711"/>
      <c r="V241" s="711"/>
      <c r="W241" s="711"/>
      <c r="X241" s="711"/>
      <c r="Y241" s="711"/>
      <c r="Z241" s="711"/>
      <c r="AA241" s="711"/>
      <c r="AB241" s="857" t="s">
        <v>4013</v>
      </c>
      <c r="AC241" s="857" t="s">
        <v>4042</v>
      </c>
      <c r="AD241" s="710" t="s">
        <v>4072</v>
      </c>
      <c r="AE241" s="708" t="s">
        <v>4089</v>
      </c>
      <c r="AF241" s="710" t="s">
        <v>4099</v>
      </c>
      <c r="AG241" s="708" t="s">
        <v>4112</v>
      </c>
      <c r="AH241" s="898">
        <v>13.038</v>
      </c>
      <c r="AI241" s="868">
        <f t="shared" si="68"/>
        <v>13.038</v>
      </c>
      <c r="AJ241" s="867">
        <f t="shared" si="69"/>
        <v>0</v>
      </c>
      <c r="AK241" s="898"/>
      <c r="AL241" s="898"/>
      <c r="AM241" s="898"/>
      <c r="AN241" s="869">
        <f t="shared" si="70"/>
        <v>0</v>
      </c>
      <c r="AO241" s="869">
        <f t="shared" si="71"/>
        <v>0</v>
      </c>
      <c r="AP241" s="898"/>
      <c r="AQ241" s="899"/>
      <c r="AR241" s="899">
        <v>4.0000000000000002E-4</v>
      </c>
      <c r="AS241" s="869">
        <f t="shared" si="72"/>
        <v>0</v>
      </c>
      <c r="AT241" s="869">
        <f t="shared" si="73"/>
        <v>0</v>
      </c>
      <c r="AU241" s="942">
        <v>11.568</v>
      </c>
      <c r="AV241" s="899">
        <v>0.88700000000000001</v>
      </c>
      <c r="AW241" s="869">
        <f t="shared" si="74"/>
        <v>0.88725264611136667</v>
      </c>
      <c r="AX241" s="869">
        <f t="shared" si="75"/>
        <v>-2.5264611136666115E-4</v>
      </c>
      <c r="AY241" s="898"/>
      <c r="AZ241" s="899"/>
      <c r="BA241" s="869">
        <f t="shared" si="76"/>
        <v>0</v>
      </c>
      <c r="BB241" s="869">
        <f t="shared" si="77"/>
        <v>0</v>
      </c>
      <c r="BC241" s="898">
        <v>1.47</v>
      </c>
      <c r="BD241" s="899">
        <v>0.113</v>
      </c>
      <c r="BE241" s="869">
        <f t="shared" si="78"/>
        <v>0.11274735388863322</v>
      </c>
      <c r="BF241" s="869">
        <f t="shared" si="79"/>
        <v>2.5264611136678605E-4</v>
      </c>
      <c r="BG241" s="899"/>
      <c r="BH241" s="899"/>
      <c r="BI241" s="899"/>
      <c r="BJ241" s="899"/>
      <c r="BK241" s="899"/>
      <c r="BL241" s="714">
        <f t="shared" si="80"/>
        <v>0</v>
      </c>
      <c r="BM241" s="869">
        <f t="shared" si="81"/>
        <v>0</v>
      </c>
      <c r="BN241" s="898"/>
      <c r="BO241" s="899"/>
      <c r="BP241" s="869">
        <f t="shared" si="82"/>
        <v>0</v>
      </c>
      <c r="BQ241" s="869">
        <f t="shared" si="83"/>
        <v>0</v>
      </c>
      <c r="BR241" s="899"/>
      <c r="BS241" s="899"/>
      <c r="BT241" s="898">
        <v>25</v>
      </c>
      <c r="BU241" s="899">
        <v>8.9999999999999998E-4</v>
      </c>
      <c r="BV241" s="901">
        <v>44</v>
      </c>
      <c r="BW241" s="901">
        <v>30</v>
      </c>
      <c r="BX241" s="901">
        <v>10</v>
      </c>
      <c r="BY241" s="901"/>
      <c r="BZ241" s="901"/>
      <c r="CA241" s="901"/>
      <c r="CB241" s="901"/>
      <c r="CC241" s="901"/>
      <c r="CD241" s="901"/>
      <c r="CE241" s="901"/>
      <c r="CF241" s="955">
        <v>1</v>
      </c>
      <c r="CG241" s="955">
        <v>1</v>
      </c>
      <c r="CH241" s="955"/>
      <c r="CI241" s="955"/>
      <c r="CJ241" s="955">
        <v>3</v>
      </c>
      <c r="CK241" s="901">
        <v>1</v>
      </c>
      <c r="CL241" s="901"/>
      <c r="CM241" s="901">
        <v>1</v>
      </c>
      <c r="CN241" s="901"/>
      <c r="CO241" s="901"/>
      <c r="CP241" s="901"/>
      <c r="CQ241" s="901"/>
      <c r="CR241" s="901"/>
      <c r="CS241" s="902">
        <f t="shared" si="89"/>
        <v>7</v>
      </c>
      <c r="CT241" s="871">
        <f t="shared" si="84"/>
        <v>7</v>
      </c>
      <c r="CU241" s="871">
        <f t="shared" si="85"/>
        <v>0</v>
      </c>
      <c r="CV241" s="942">
        <v>373.9</v>
      </c>
      <c r="CW241" s="857" t="s">
        <v>4127</v>
      </c>
      <c r="CX241" s="710" t="s">
        <v>410</v>
      </c>
      <c r="CY241" s="710"/>
      <c r="CZ241" s="710"/>
      <c r="DA241" s="710">
        <v>100</v>
      </c>
      <c r="DB241" s="710" t="s">
        <v>4150</v>
      </c>
      <c r="DC241" s="710" t="s">
        <v>279</v>
      </c>
      <c r="DD241" s="710" t="s">
        <v>410</v>
      </c>
      <c r="DE241" s="710" t="s">
        <v>410</v>
      </c>
      <c r="DF241" s="901" t="s">
        <v>410</v>
      </c>
      <c r="DG241" s="901">
        <v>18</v>
      </c>
      <c r="DH241" s="901">
        <v>6</v>
      </c>
      <c r="DI241" s="710" t="s">
        <v>279</v>
      </c>
      <c r="DJ241" s="710" t="s">
        <v>279</v>
      </c>
      <c r="DK241" s="901"/>
      <c r="DL241" s="710" t="s">
        <v>279</v>
      </c>
      <c r="DM241" s="710"/>
      <c r="DN241" s="901"/>
      <c r="DO241" s="710" t="s">
        <v>279</v>
      </c>
      <c r="DP241" s="710"/>
      <c r="DQ241" s="901"/>
      <c r="DR241" s="710" t="s">
        <v>278</v>
      </c>
      <c r="DS241" s="857" t="s">
        <v>4177</v>
      </c>
      <c r="DT241" s="901">
        <v>21</v>
      </c>
      <c r="DU241" s="710" t="s">
        <v>279</v>
      </c>
      <c r="DV241" s="710"/>
      <c r="DW241" s="901"/>
      <c r="DX241" s="710" t="s">
        <v>278</v>
      </c>
      <c r="DY241" s="710" t="s">
        <v>4185</v>
      </c>
      <c r="DZ241" s="901">
        <v>23</v>
      </c>
      <c r="EA241" s="710" t="s">
        <v>278</v>
      </c>
      <c r="EB241" s="857" t="s">
        <v>4189</v>
      </c>
      <c r="EC241" s="955">
        <v>19372</v>
      </c>
      <c r="ED241" s="710" t="s">
        <v>279</v>
      </c>
      <c r="EE241" s="710"/>
      <c r="EF241" s="901"/>
      <c r="EG241" s="710" t="s">
        <v>279</v>
      </c>
      <c r="EH241" s="710"/>
      <c r="EI241" s="901"/>
      <c r="EJ241" s="710" t="s">
        <v>278</v>
      </c>
      <c r="EK241" s="857" t="s">
        <v>4193</v>
      </c>
      <c r="EL241" s="901">
        <v>16</v>
      </c>
      <c r="EM241" s="710" t="s">
        <v>279</v>
      </c>
      <c r="EN241" s="710"/>
      <c r="EO241" s="901"/>
      <c r="EP241" s="710" t="s">
        <v>278</v>
      </c>
      <c r="EQ241" s="710" t="s">
        <v>4209</v>
      </c>
      <c r="ER241" s="901">
        <v>15</v>
      </c>
      <c r="ES241" s="710" t="s">
        <v>278</v>
      </c>
      <c r="ET241" s="710" t="s">
        <v>4214</v>
      </c>
      <c r="EU241" s="901">
        <v>19372</v>
      </c>
      <c r="EV241" s="901"/>
      <c r="EW241" s="901"/>
      <c r="EX241" s="901"/>
      <c r="EY241" s="710" t="s">
        <v>278</v>
      </c>
      <c r="EZ241" s="996" t="s">
        <v>4221</v>
      </c>
      <c r="FA241" s="710" t="s">
        <v>278</v>
      </c>
      <c r="FB241" s="710" t="s">
        <v>4243</v>
      </c>
      <c r="FC241" s="710" t="s">
        <v>4265</v>
      </c>
      <c r="FD241" s="710" t="s">
        <v>4281</v>
      </c>
      <c r="FE241" s="710" t="s">
        <v>4287</v>
      </c>
      <c r="FF241" s="710" t="s">
        <v>4307</v>
      </c>
      <c r="FG241" s="710" t="s">
        <v>4318</v>
      </c>
      <c r="FH241" s="710" t="s">
        <v>4329</v>
      </c>
      <c r="FI241" s="710">
        <v>5</v>
      </c>
      <c r="FJ241" s="710">
        <v>30</v>
      </c>
      <c r="FK241" s="708" t="s">
        <v>4356</v>
      </c>
      <c r="FL241" s="708" t="s">
        <v>4381</v>
      </c>
      <c r="FM241" s="1028" t="s">
        <v>4407</v>
      </c>
      <c r="FN241" s="710"/>
      <c r="FO241" s="710"/>
      <c r="FP241" s="710"/>
    </row>
    <row r="242" spans="2:172" ht="122" customHeight="1">
      <c r="B242" s="850" t="s">
        <v>5315</v>
      </c>
      <c r="C242" s="850" t="s">
        <v>5359</v>
      </c>
      <c r="D242" s="850" t="s">
        <v>4934</v>
      </c>
      <c r="E242" s="850" t="s">
        <v>5323</v>
      </c>
      <c r="F242" s="863"/>
      <c r="H242" s="850" t="s">
        <v>4934</v>
      </c>
      <c r="I242" s="850" t="s">
        <v>5519</v>
      </c>
      <c r="J242" s="850" t="s">
        <v>5464</v>
      </c>
      <c r="K242" s="710" t="s">
        <v>270</v>
      </c>
      <c r="L242" s="710" t="s">
        <v>3960</v>
      </c>
      <c r="M242" s="710" t="s">
        <v>3974</v>
      </c>
      <c r="N242" s="710" t="s">
        <v>279</v>
      </c>
      <c r="O242" s="895">
        <v>2019</v>
      </c>
      <c r="P242" s="896">
        <v>43703</v>
      </c>
      <c r="Q242" s="896">
        <v>43824</v>
      </c>
      <c r="R242" s="712">
        <f t="shared" si="87"/>
        <v>121</v>
      </c>
      <c r="S242" s="896"/>
      <c r="T242" s="896"/>
      <c r="U242" s="896"/>
      <c r="V242" s="896"/>
      <c r="W242" s="896"/>
      <c r="X242" s="896"/>
      <c r="Y242" s="896"/>
      <c r="Z242" s="896"/>
      <c r="AA242" s="896"/>
      <c r="AB242" s="710" t="s">
        <v>4014</v>
      </c>
      <c r="AC242" s="861" t="s">
        <v>4043</v>
      </c>
      <c r="AD242" s="710" t="s">
        <v>4073</v>
      </c>
      <c r="AE242" s="710" t="s">
        <v>4090</v>
      </c>
      <c r="AF242" s="710" t="s">
        <v>4096</v>
      </c>
      <c r="AG242" s="710" t="s">
        <v>4113</v>
      </c>
      <c r="AH242" s="898">
        <v>0.499</v>
      </c>
      <c r="AI242" s="868">
        <f t="shared" si="68"/>
        <v>0.499</v>
      </c>
      <c r="AJ242" s="867">
        <f t="shared" si="69"/>
        <v>0</v>
      </c>
      <c r="AK242" s="898"/>
      <c r="AL242" s="898"/>
      <c r="AM242" s="898"/>
      <c r="AN242" s="869">
        <f t="shared" si="70"/>
        <v>0</v>
      </c>
      <c r="AO242" s="869">
        <f t="shared" si="71"/>
        <v>0</v>
      </c>
      <c r="AP242" s="898"/>
      <c r="AQ242" s="899"/>
      <c r="AR242" s="900">
        <v>4.0000000000000003E-5</v>
      </c>
      <c r="AS242" s="869">
        <f t="shared" si="72"/>
        <v>0</v>
      </c>
      <c r="AT242" s="869">
        <f t="shared" si="73"/>
        <v>0</v>
      </c>
      <c r="AU242" s="942">
        <v>0.499</v>
      </c>
      <c r="AV242" s="900">
        <v>1</v>
      </c>
      <c r="AW242" s="869">
        <f t="shared" si="74"/>
        <v>1</v>
      </c>
      <c r="AX242" s="869">
        <f t="shared" si="75"/>
        <v>0</v>
      </c>
      <c r="AY242" s="898">
        <v>0</v>
      </c>
      <c r="AZ242" s="899">
        <v>0</v>
      </c>
      <c r="BA242" s="869">
        <f t="shared" si="76"/>
        <v>0</v>
      </c>
      <c r="BB242" s="869">
        <f t="shared" si="77"/>
        <v>0</v>
      </c>
      <c r="BC242" s="898">
        <v>0</v>
      </c>
      <c r="BD242" s="899">
        <v>0</v>
      </c>
      <c r="BE242" s="869">
        <f t="shared" si="78"/>
        <v>0</v>
      </c>
      <c r="BF242" s="869">
        <f t="shared" si="79"/>
        <v>0</v>
      </c>
      <c r="BG242" s="899"/>
      <c r="BH242" s="899"/>
      <c r="BI242" s="899"/>
      <c r="BJ242" s="899"/>
      <c r="BK242" s="899"/>
      <c r="BL242" s="714">
        <f t="shared" si="80"/>
        <v>0</v>
      </c>
      <c r="BM242" s="869">
        <f t="shared" si="81"/>
        <v>0</v>
      </c>
      <c r="BN242" s="898">
        <v>0</v>
      </c>
      <c r="BO242" s="899">
        <v>0</v>
      </c>
      <c r="BP242" s="869">
        <f t="shared" si="82"/>
        <v>0</v>
      </c>
      <c r="BQ242" s="869">
        <f t="shared" si="83"/>
        <v>0</v>
      </c>
      <c r="BR242" s="899"/>
      <c r="BS242" s="899"/>
      <c r="BT242" s="898">
        <v>5</v>
      </c>
      <c r="BU242" s="900">
        <v>4.0000000000000003E-5</v>
      </c>
      <c r="BV242" s="901">
        <v>2</v>
      </c>
      <c r="BW242" s="901">
        <v>2</v>
      </c>
      <c r="BX242" s="901">
        <v>2</v>
      </c>
      <c r="BY242" s="901">
        <v>0</v>
      </c>
      <c r="BZ242" s="901">
        <v>0</v>
      </c>
      <c r="CA242" s="901">
        <v>0</v>
      </c>
      <c r="CB242" s="901">
        <v>0</v>
      </c>
      <c r="CC242" s="901">
        <v>0</v>
      </c>
      <c r="CD242" s="901">
        <v>0</v>
      </c>
      <c r="CE242" s="901">
        <v>0</v>
      </c>
      <c r="CF242" s="901">
        <v>0</v>
      </c>
      <c r="CG242" s="901">
        <v>0</v>
      </c>
      <c r="CH242" s="901">
        <v>0</v>
      </c>
      <c r="CI242" s="901">
        <v>0</v>
      </c>
      <c r="CJ242" s="901">
        <v>0</v>
      </c>
      <c r="CK242" s="901">
        <v>0</v>
      </c>
      <c r="CL242" s="901">
        <v>0</v>
      </c>
      <c r="CM242" s="901">
        <v>0</v>
      </c>
      <c r="CN242" s="901">
        <v>0</v>
      </c>
      <c r="CO242" s="901">
        <v>0</v>
      </c>
      <c r="CP242" s="901">
        <v>0</v>
      </c>
      <c r="CQ242" s="901">
        <v>0</v>
      </c>
      <c r="CR242" s="901">
        <v>2</v>
      </c>
      <c r="CS242" s="902">
        <f t="shared" si="89"/>
        <v>2</v>
      </c>
      <c r="CT242" s="871">
        <f t="shared" si="84"/>
        <v>2</v>
      </c>
      <c r="CU242" s="871">
        <f t="shared" si="85"/>
        <v>0</v>
      </c>
      <c r="CV242" s="942">
        <v>3.5</v>
      </c>
      <c r="CW242" s="710" t="s">
        <v>4128</v>
      </c>
      <c r="CX242" s="710" t="s">
        <v>279</v>
      </c>
      <c r="CY242" s="710"/>
      <c r="CZ242" s="710"/>
      <c r="DA242" s="899">
        <v>2.8000000000000001E-2</v>
      </c>
      <c r="DB242" s="963" t="s">
        <v>4151</v>
      </c>
      <c r="DC242" s="710" t="s">
        <v>279</v>
      </c>
      <c r="DD242" s="710"/>
      <c r="DE242" s="710"/>
      <c r="DF242" s="901"/>
      <c r="DG242" s="901"/>
      <c r="DH242" s="901">
        <v>7</v>
      </c>
      <c r="DI242" s="710" t="s">
        <v>279</v>
      </c>
      <c r="DJ242" s="710"/>
      <c r="DK242" s="901"/>
      <c r="DL242" s="710" t="s">
        <v>278</v>
      </c>
      <c r="DM242" s="710" t="s">
        <v>1031</v>
      </c>
      <c r="DN242" s="901" t="s">
        <v>1012</v>
      </c>
      <c r="DO242" s="710" t="s">
        <v>279</v>
      </c>
      <c r="DP242" s="710"/>
      <c r="DQ242" s="901"/>
      <c r="DR242" s="710" t="s">
        <v>279</v>
      </c>
      <c r="DS242" s="710"/>
      <c r="DT242" s="901"/>
      <c r="DU242" s="710"/>
      <c r="DV242" s="710"/>
      <c r="DW242" s="901"/>
      <c r="DX242" s="710" t="s">
        <v>279</v>
      </c>
      <c r="DY242" s="710"/>
      <c r="DZ242" s="901"/>
      <c r="EA242" s="710" t="s">
        <v>278</v>
      </c>
      <c r="EB242" s="861" t="s">
        <v>4190</v>
      </c>
      <c r="EC242" s="901">
        <v>203</v>
      </c>
      <c r="ED242" s="710" t="s">
        <v>279</v>
      </c>
      <c r="EE242" s="710" t="s">
        <v>813</v>
      </c>
      <c r="EF242" s="901" t="s">
        <v>813</v>
      </c>
      <c r="EG242" s="710" t="s">
        <v>279</v>
      </c>
      <c r="EH242" s="710"/>
      <c r="EI242" s="901"/>
      <c r="EJ242" s="710" t="s">
        <v>279</v>
      </c>
      <c r="EK242" s="710"/>
      <c r="EL242" s="901"/>
      <c r="EM242" s="710" t="s">
        <v>279</v>
      </c>
      <c r="EN242" s="710"/>
      <c r="EO242" s="901"/>
      <c r="EP242" s="710" t="s">
        <v>279</v>
      </c>
      <c r="EQ242" s="710"/>
      <c r="ER242" s="901"/>
      <c r="ES242" s="710" t="s">
        <v>278</v>
      </c>
      <c r="ET242" s="710" t="s">
        <v>4215</v>
      </c>
      <c r="EU242" s="901">
        <v>12</v>
      </c>
      <c r="EV242" s="901"/>
      <c r="EW242" s="901"/>
      <c r="EX242" s="901"/>
      <c r="EY242" s="710" t="s">
        <v>278</v>
      </c>
      <c r="EZ242" s="710" t="s">
        <v>4222</v>
      </c>
      <c r="FA242" s="710" t="s">
        <v>278</v>
      </c>
      <c r="FB242" s="710" t="s">
        <v>4244</v>
      </c>
      <c r="FC242" s="861" t="s">
        <v>4266</v>
      </c>
      <c r="FD242" s="861" t="s">
        <v>4927</v>
      </c>
      <c r="FE242" s="710" t="s">
        <v>279</v>
      </c>
      <c r="FF242" s="710" t="s">
        <v>4308</v>
      </c>
      <c r="FG242" s="986" t="s">
        <v>4319</v>
      </c>
      <c r="FH242" s="710" t="s">
        <v>279</v>
      </c>
      <c r="FI242" s="710"/>
      <c r="FJ242" s="710"/>
      <c r="FK242" s="710" t="s">
        <v>4357</v>
      </c>
      <c r="FL242" s="710" t="s">
        <v>4382</v>
      </c>
      <c r="FM242" s="861" t="s">
        <v>4408</v>
      </c>
      <c r="FN242" s="710"/>
      <c r="FO242" s="710"/>
      <c r="FP242" s="710"/>
    </row>
    <row r="243" spans="2:172" ht="119.5" customHeight="1">
      <c r="B243" s="850" t="s">
        <v>5315</v>
      </c>
      <c r="C243" s="850" t="s">
        <v>5360</v>
      </c>
      <c r="D243" s="850" t="s">
        <v>4934</v>
      </c>
      <c r="E243" s="850" t="s">
        <v>5323</v>
      </c>
      <c r="F243" s="863"/>
      <c r="H243" s="850" t="s">
        <v>4934</v>
      </c>
      <c r="I243" s="850" t="s">
        <v>5519</v>
      </c>
      <c r="J243" s="850" t="s">
        <v>5464</v>
      </c>
      <c r="K243" s="710" t="s">
        <v>270</v>
      </c>
      <c r="L243" s="710" t="s">
        <v>3961</v>
      </c>
      <c r="M243" s="710" t="s">
        <v>526</v>
      </c>
      <c r="N243" s="710" t="s">
        <v>279</v>
      </c>
      <c r="O243" s="895">
        <v>2019</v>
      </c>
      <c r="P243" s="711" t="s">
        <v>3983</v>
      </c>
      <c r="Q243" s="711" t="s">
        <v>3986</v>
      </c>
      <c r="R243" s="712">
        <f t="shared" si="87"/>
        <v>170</v>
      </c>
      <c r="S243" s="711"/>
      <c r="T243" s="711"/>
      <c r="U243" s="711"/>
      <c r="V243" s="711"/>
      <c r="W243" s="711"/>
      <c r="X243" s="711"/>
      <c r="Y243" s="711"/>
      <c r="Z243" s="711"/>
      <c r="AA243" s="711"/>
      <c r="AB243" s="710" t="s">
        <v>4015</v>
      </c>
      <c r="AC243" s="861" t="s">
        <v>4044</v>
      </c>
      <c r="AD243" s="710" t="s">
        <v>4074</v>
      </c>
      <c r="AE243" s="710" t="s">
        <v>4091</v>
      </c>
      <c r="AF243" s="710" t="s">
        <v>2743</v>
      </c>
      <c r="AG243" s="710" t="s">
        <v>4091</v>
      </c>
      <c r="AH243" s="898">
        <v>0.2</v>
      </c>
      <c r="AI243" s="868">
        <f t="shared" si="68"/>
        <v>0.2</v>
      </c>
      <c r="AJ243" s="867">
        <f t="shared" si="69"/>
        <v>0</v>
      </c>
      <c r="AK243" s="898"/>
      <c r="AL243" s="898"/>
      <c r="AM243" s="898"/>
      <c r="AN243" s="869">
        <f t="shared" si="70"/>
        <v>0</v>
      </c>
      <c r="AO243" s="869">
        <f t="shared" si="71"/>
        <v>0</v>
      </c>
      <c r="AP243" s="898"/>
      <c r="AQ243" s="899"/>
      <c r="AR243" s="900">
        <v>3.0000000000000001E-5</v>
      </c>
      <c r="AS243" s="869">
        <f t="shared" si="72"/>
        <v>0</v>
      </c>
      <c r="AT243" s="869">
        <f t="shared" si="73"/>
        <v>0</v>
      </c>
      <c r="AU243" s="942">
        <v>0.1</v>
      </c>
      <c r="AV243" s="900">
        <v>0.5</v>
      </c>
      <c r="AW243" s="869">
        <f t="shared" si="74"/>
        <v>0.5</v>
      </c>
      <c r="AX243" s="869">
        <f t="shared" si="75"/>
        <v>0</v>
      </c>
      <c r="AY243" s="898">
        <v>0.1</v>
      </c>
      <c r="AZ243" s="899">
        <v>0.5</v>
      </c>
      <c r="BA243" s="869">
        <f t="shared" si="76"/>
        <v>0.5</v>
      </c>
      <c r="BB243" s="869">
        <f t="shared" si="77"/>
        <v>0</v>
      </c>
      <c r="BC243" s="898"/>
      <c r="BD243" s="899"/>
      <c r="BE243" s="869">
        <f t="shared" si="78"/>
        <v>0</v>
      </c>
      <c r="BF243" s="869">
        <f t="shared" si="79"/>
        <v>0</v>
      </c>
      <c r="BG243" s="899"/>
      <c r="BH243" s="899"/>
      <c r="BI243" s="899"/>
      <c r="BJ243" s="899"/>
      <c r="BK243" s="899"/>
      <c r="BL243" s="714">
        <f t="shared" si="80"/>
        <v>0</v>
      </c>
      <c r="BM243" s="869">
        <f t="shared" si="81"/>
        <v>0</v>
      </c>
      <c r="BN243" s="898"/>
      <c r="BO243" s="899"/>
      <c r="BP243" s="869">
        <f t="shared" si="82"/>
        <v>0</v>
      </c>
      <c r="BQ243" s="869">
        <f t="shared" si="83"/>
        <v>0</v>
      </c>
      <c r="BR243" s="899"/>
      <c r="BS243" s="899"/>
      <c r="BT243" s="898"/>
      <c r="BU243" s="899"/>
      <c r="BV243" s="901">
        <v>1</v>
      </c>
      <c r="BW243" s="901">
        <v>1</v>
      </c>
      <c r="BX243" s="901">
        <v>1</v>
      </c>
      <c r="BY243" s="901"/>
      <c r="BZ243" s="901"/>
      <c r="CA243" s="901"/>
      <c r="CB243" s="901"/>
      <c r="CC243" s="901"/>
      <c r="CD243" s="901"/>
      <c r="CE243" s="901"/>
      <c r="CF243" s="901"/>
      <c r="CG243" s="901"/>
      <c r="CH243" s="901"/>
      <c r="CI243" s="901"/>
      <c r="CJ243" s="901"/>
      <c r="CK243" s="901"/>
      <c r="CL243" s="901"/>
      <c r="CM243" s="901"/>
      <c r="CN243" s="901"/>
      <c r="CO243" s="901"/>
      <c r="CP243" s="901"/>
      <c r="CQ243" s="901"/>
      <c r="CR243" s="901">
        <v>1</v>
      </c>
      <c r="CS243" s="902">
        <f t="shared" si="89"/>
        <v>1</v>
      </c>
      <c r="CT243" s="871">
        <f t="shared" si="84"/>
        <v>1</v>
      </c>
      <c r="CU243" s="871">
        <f t="shared" si="85"/>
        <v>0</v>
      </c>
      <c r="CV243" s="942">
        <v>0.21299999999999999</v>
      </c>
      <c r="CW243" s="710" t="s">
        <v>4129</v>
      </c>
      <c r="CX243" s="710"/>
      <c r="CY243" s="710"/>
      <c r="CZ243" s="710"/>
      <c r="DA243" s="710"/>
      <c r="DB243" s="899"/>
      <c r="DC243" s="710"/>
      <c r="DD243" s="710"/>
      <c r="DE243" s="710"/>
      <c r="DF243" s="901"/>
      <c r="DG243" s="901"/>
      <c r="DH243" s="901"/>
      <c r="DI243" s="710"/>
      <c r="DJ243" s="710"/>
      <c r="DK243" s="901"/>
      <c r="DL243" s="710" t="s">
        <v>278</v>
      </c>
      <c r="DM243" s="710" t="s">
        <v>4175</v>
      </c>
      <c r="DN243" s="901">
        <v>81</v>
      </c>
      <c r="DO243" s="710"/>
      <c r="DP243" s="710"/>
      <c r="DQ243" s="901"/>
      <c r="DR243" s="710"/>
      <c r="DS243" s="710"/>
      <c r="DT243" s="901"/>
      <c r="DU243" s="710"/>
      <c r="DV243" s="710"/>
      <c r="DW243" s="901"/>
      <c r="DX243" s="710"/>
      <c r="DY243" s="710"/>
      <c r="DZ243" s="901"/>
      <c r="EA243" s="710"/>
      <c r="EB243" s="710"/>
      <c r="EC243" s="901"/>
      <c r="ED243" s="710"/>
      <c r="EE243" s="710"/>
      <c r="EF243" s="901"/>
      <c r="EG243" s="710"/>
      <c r="EH243" s="710"/>
      <c r="EI243" s="901"/>
      <c r="EJ243" s="710"/>
      <c r="EK243" s="710"/>
      <c r="EL243" s="901"/>
      <c r="EM243" s="710"/>
      <c r="EN243" s="710"/>
      <c r="EO243" s="901"/>
      <c r="EP243" s="710"/>
      <c r="EQ243" s="710"/>
      <c r="ER243" s="901"/>
      <c r="ES243" s="710" t="s">
        <v>4210</v>
      </c>
      <c r="ET243" s="710"/>
      <c r="EU243" s="901"/>
      <c r="EV243" s="901"/>
      <c r="EW243" s="901"/>
      <c r="EX243" s="901"/>
      <c r="EY243" s="710"/>
      <c r="EZ243" s="710"/>
      <c r="FA243" s="710"/>
      <c r="FB243" s="710"/>
      <c r="FC243" s="710"/>
      <c r="FD243" s="710"/>
      <c r="FE243" s="710"/>
      <c r="FF243" s="861" t="s">
        <v>4309</v>
      </c>
      <c r="FG243" s="710"/>
      <c r="FH243" s="710"/>
      <c r="FI243" s="710"/>
      <c r="FJ243" s="710"/>
      <c r="FK243" s="710" t="s">
        <v>4358</v>
      </c>
      <c r="FL243" s="710" t="s">
        <v>4383</v>
      </c>
      <c r="FM243" s="710" t="s">
        <v>4409</v>
      </c>
      <c r="FN243" s="710"/>
      <c r="FO243" s="710"/>
      <c r="FP243" s="861"/>
    </row>
    <row r="244" spans="2:172" ht="89" customHeight="1">
      <c r="B244" s="863"/>
      <c r="C244" s="863"/>
      <c r="D244" s="863"/>
      <c r="E244" s="863"/>
      <c r="F244" s="863"/>
      <c r="I244" s="850" t="s">
        <v>5519</v>
      </c>
      <c r="J244" s="850" t="s">
        <v>5465</v>
      </c>
      <c r="K244" s="710" t="s">
        <v>271</v>
      </c>
      <c r="L244" s="710"/>
      <c r="M244" s="710"/>
      <c r="N244" s="710"/>
      <c r="O244" s="895"/>
      <c r="P244" s="896"/>
      <c r="Q244" s="896"/>
      <c r="R244" s="712">
        <f t="shared" si="87"/>
        <v>0</v>
      </c>
      <c r="S244" s="710"/>
      <c r="T244" s="710"/>
      <c r="U244" s="710"/>
      <c r="V244" s="710"/>
      <c r="W244" s="710"/>
      <c r="X244" s="710"/>
      <c r="Y244" s="710"/>
      <c r="Z244" s="710"/>
      <c r="AA244" s="710"/>
      <c r="AB244" s="710"/>
      <c r="AC244" s="710"/>
      <c r="AD244" s="710"/>
      <c r="AE244" s="710"/>
      <c r="AF244" s="710"/>
      <c r="AG244" s="710"/>
      <c r="AH244" s="898"/>
      <c r="AI244" s="868">
        <f t="shared" si="68"/>
        <v>0</v>
      </c>
      <c r="AJ244" s="867">
        <f t="shared" si="69"/>
        <v>0</v>
      </c>
      <c r="AK244" s="898"/>
      <c r="AL244" s="899"/>
      <c r="AM244" s="899"/>
      <c r="AN244" s="869" t="e">
        <f t="shared" si="70"/>
        <v>#DIV/0!</v>
      </c>
      <c r="AO244" s="869" t="e">
        <f t="shared" si="71"/>
        <v>#DIV/0!</v>
      </c>
      <c r="AP244" s="899"/>
      <c r="AQ244" s="899"/>
      <c r="AR244" s="899"/>
      <c r="AS244" s="869" t="e">
        <f t="shared" si="72"/>
        <v>#DIV/0!</v>
      </c>
      <c r="AT244" s="869" t="e">
        <f t="shared" si="73"/>
        <v>#DIV/0!</v>
      </c>
      <c r="AU244" s="898"/>
      <c r="AV244" s="899"/>
      <c r="AW244" s="869" t="e">
        <f t="shared" si="74"/>
        <v>#DIV/0!</v>
      </c>
      <c r="AX244" s="869" t="e">
        <f t="shared" si="75"/>
        <v>#DIV/0!</v>
      </c>
      <c r="AY244" s="898"/>
      <c r="AZ244" s="899"/>
      <c r="BA244" s="869" t="e">
        <f t="shared" si="76"/>
        <v>#DIV/0!</v>
      </c>
      <c r="BB244" s="869" t="e">
        <f t="shared" si="77"/>
        <v>#DIV/0!</v>
      </c>
      <c r="BC244" s="898"/>
      <c r="BD244" s="899"/>
      <c r="BE244" s="869" t="e">
        <f t="shared" si="78"/>
        <v>#DIV/0!</v>
      </c>
      <c r="BF244" s="869" t="e">
        <f t="shared" si="79"/>
        <v>#DIV/0!</v>
      </c>
      <c r="BG244" s="898"/>
      <c r="BH244" s="899"/>
      <c r="BI244" s="710"/>
      <c r="BJ244" s="710"/>
      <c r="BK244" s="710"/>
      <c r="BL244" s="714" t="e">
        <f t="shared" si="80"/>
        <v>#DIV/0!</v>
      </c>
      <c r="BM244" s="869" t="e">
        <f t="shared" si="81"/>
        <v>#DIV/0!</v>
      </c>
      <c r="BN244" s="898"/>
      <c r="BO244" s="899"/>
      <c r="BP244" s="869" t="e">
        <f t="shared" si="82"/>
        <v>#DIV/0!</v>
      </c>
      <c r="BQ244" s="869" t="e">
        <f t="shared" si="83"/>
        <v>#DIV/0!</v>
      </c>
      <c r="BR244" s="898"/>
      <c r="BS244" s="899"/>
      <c r="BT244" s="899"/>
      <c r="BU244" s="899"/>
      <c r="BV244" s="901"/>
      <c r="BW244" s="901"/>
      <c r="BX244" s="901"/>
      <c r="BY244" s="901"/>
      <c r="BZ244" s="901"/>
      <c r="CA244" s="901"/>
      <c r="CB244" s="901"/>
      <c r="CC244" s="901"/>
      <c r="CD244" s="901"/>
      <c r="CE244" s="901"/>
      <c r="CF244" s="901"/>
      <c r="CG244" s="901"/>
      <c r="CH244" s="901"/>
      <c r="CI244" s="901"/>
      <c r="CJ244" s="901"/>
      <c r="CK244" s="901"/>
      <c r="CL244" s="901"/>
      <c r="CM244" s="901"/>
      <c r="CN244" s="901"/>
      <c r="CO244" s="901"/>
      <c r="CP244" s="901"/>
      <c r="CQ244" s="901"/>
      <c r="CR244" s="901"/>
      <c r="CS244" s="902"/>
      <c r="CT244" s="871">
        <f t="shared" si="84"/>
        <v>0</v>
      </c>
      <c r="CU244" s="871">
        <f t="shared" si="85"/>
        <v>0</v>
      </c>
      <c r="CV244" s="942"/>
      <c r="CW244" s="710"/>
      <c r="CX244" s="710"/>
      <c r="CY244" s="899"/>
      <c r="CZ244" s="710"/>
      <c r="DA244" s="710"/>
      <c r="DB244" s="710"/>
      <c r="DC244" s="710"/>
      <c r="DD244" s="710"/>
      <c r="DE244" s="901"/>
      <c r="DF244" s="901"/>
      <c r="DG244" s="710"/>
      <c r="DH244" s="710"/>
      <c r="DI244" s="901"/>
      <c r="DJ244" s="710"/>
      <c r="DK244" s="710"/>
      <c r="DL244" s="901"/>
      <c r="DM244" s="710"/>
      <c r="DN244" s="710"/>
      <c r="DO244" s="901"/>
      <c r="DP244" s="710"/>
      <c r="DQ244" s="710"/>
      <c r="DR244" s="901"/>
      <c r="DS244" s="710"/>
      <c r="DT244" s="710"/>
      <c r="DU244" s="901"/>
      <c r="DV244" s="710"/>
      <c r="DW244" s="710"/>
      <c r="DX244" s="901"/>
      <c r="DY244" s="710"/>
      <c r="DZ244" s="710"/>
      <c r="EA244" s="901"/>
      <c r="EB244" s="710"/>
      <c r="EC244" s="710"/>
      <c r="ED244" s="901"/>
      <c r="EE244" s="710"/>
      <c r="EF244" s="710"/>
      <c r="EG244" s="901"/>
      <c r="EH244" s="710"/>
      <c r="EI244" s="710"/>
      <c r="EJ244" s="901"/>
      <c r="EK244" s="710"/>
      <c r="EL244" s="710"/>
      <c r="EM244" s="901"/>
      <c r="EN244" s="710"/>
      <c r="EO244" s="710"/>
      <c r="EP244" s="901"/>
      <c r="EQ244" s="710"/>
      <c r="ER244" s="710"/>
      <c r="ES244" s="901"/>
      <c r="ET244" s="710"/>
      <c r="EU244" s="710"/>
      <c r="EV244" s="860"/>
      <c r="EW244" s="710"/>
      <c r="EX244" s="710"/>
      <c r="EY244" s="710"/>
      <c r="EZ244" s="710"/>
      <c r="FA244" s="710"/>
      <c r="FB244" s="710"/>
      <c r="FC244" s="710"/>
      <c r="FD244" s="710"/>
      <c r="FE244" s="710"/>
      <c r="FF244" s="710"/>
      <c r="FG244" s="710"/>
      <c r="FH244" s="710"/>
      <c r="FI244" s="710"/>
      <c r="FJ244" s="949"/>
      <c r="FK244" s="949"/>
      <c r="FL244" s="949"/>
      <c r="FM244" s="949"/>
      <c r="FN244" s="949"/>
      <c r="FO244" s="949"/>
      <c r="FP244" s="949"/>
    </row>
    <row r="245" spans="2:172" ht="89" customHeight="1">
      <c r="B245" s="850" t="s">
        <v>5313</v>
      </c>
      <c r="C245" s="863"/>
      <c r="D245" s="850" t="s">
        <v>4934</v>
      </c>
      <c r="E245" s="850" t="s">
        <v>5314</v>
      </c>
      <c r="F245" s="863"/>
      <c r="H245" s="850" t="s">
        <v>4934</v>
      </c>
      <c r="I245" s="850" t="s">
        <v>5519</v>
      </c>
      <c r="J245" s="850" t="s">
        <v>5465</v>
      </c>
      <c r="K245" s="710" t="s">
        <v>271</v>
      </c>
      <c r="L245" s="710" t="s">
        <v>4432</v>
      </c>
      <c r="M245" s="710" t="s">
        <v>4433</v>
      </c>
      <c r="N245" s="710" t="s">
        <v>4435</v>
      </c>
      <c r="O245" s="895">
        <v>2018</v>
      </c>
      <c r="P245" s="896">
        <v>43235</v>
      </c>
      <c r="Q245" s="896">
        <v>43830</v>
      </c>
      <c r="R245" s="712">
        <f t="shared" si="87"/>
        <v>595</v>
      </c>
      <c r="S245" s="896"/>
      <c r="T245" s="896"/>
      <c r="U245" s="896"/>
      <c r="V245" s="896"/>
      <c r="W245" s="896"/>
      <c r="X245" s="896"/>
      <c r="Y245" s="896"/>
      <c r="Z245" s="896"/>
      <c r="AA245" s="896"/>
      <c r="AB245" s="710" t="s">
        <v>4437</v>
      </c>
      <c r="AC245" s="710" t="s">
        <v>4439</v>
      </c>
      <c r="AD245" s="710" t="s">
        <v>4441</v>
      </c>
      <c r="AE245" s="710" t="s">
        <v>4443</v>
      </c>
      <c r="AF245" s="710" t="s">
        <v>454</v>
      </c>
      <c r="AG245" s="710" t="s">
        <v>4444</v>
      </c>
      <c r="AH245" s="898">
        <v>1.8</v>
      </c>
      <c r="AI245" s="868">
        <f t="shared" si="68"/>
        <v>1.8</v>
      </c>
      <c r="AJ245" s="867">
        <f t="shared" si="69"/>
        <v>0</v>
      </c>
      <c r="AK245" s="898"/>
      <c r="AL245" s="898"/>
      <c r="AM245" s="898"/>
      <c r="AN245" s="869">
        <f t="shared" si="70"/>
        <v>0</v>
      </c>
      <c r="AO245" s="869">
        <f t="shared" si="71"/>
        <v>0</v>
      </c>
      <c r="AP245" s="898"/>
      <c r="AQ245" s="967"/>
      <c r="AR245" s="899">
        <v>1.1000000000000001E-7</v>
      </c>
      <c r="AS245" s="869">
        <f t="shared" si="72"/>
        <v>0</v>
      </c>
      <c r="AT245" s="869">
        <f t="shared" si="73"/>
        <v>0</v>
      </c>
      <c r="AU245" s="898">
        <v>1.8</v>
      </c>
      <c r="AV245" s="967">
        <v>100</v>
      </c>
      <c r="AW245" s="869">
        <f t="shared" si="74"/>
        <v>1</v>
      </c>
      <c r="AX245" s="869">
        <f t="shared" si="75"/>
        <v>99</v>
      </c>
      <c r="AY245" s="898">
        <v>0</v>
      </c>
      <c r="AZ245" s="899">
        <v>0</v>
      </c>
      <c r="BA245" s="869">
        <f t="shared" si="76"/>
        <v>0</v>
      </c>
      <c r="BB245" s="869">
        <f t="shared" si="77"/>
        <v>0</v>
      </c>
      <c r="BC245" s="898">
        <v>0</v>
      </c>
      <c r="BD245" s="899">
        <v>0</v>
      </c>
      <c r="BE245" s="869">
        <f t="shared" si="78"/>
        <v>0</v>
      </c>
      <c r="BF245" s="869">
        <f t="shared" si="79"/>
        <v>0</v>
      </c>
      <c r="BG245" s="899"/>
      <c r="BH245" s="899"/>
      <c r="BI245" s="899"/>
      <c r="BJ245" s="899"/>
      <c r="BK245" s="899"/>
      <c r="BL245" s="714">
        <f t="shared" si="80"/>
        <v>0</v>
      </c>
      <c r="BM245" s="869">
        <f t="shared" si="81"/>
        <v>0</v>
      </c>
      <c r="BN245" s="898">
        <v>0</v>
      </c>
      <c r="BO245" s="899">
        <v>0</v>
      </c>
      <c r="BP245" s="869">
        <f t="shared" si="82"/>
        <v>0</v>
      </c>
      <c r="BQ245" s="869">
        <f t="shared" si="83"/>
        <v>0</v>
      </c>
      <c r="BR245" s="899"/>
      <c r="BS245" s="899"/>
      <c r="BT245" s="898">
        <v>1.8</v>
      </c>
      <c r="BU245" s="899">
        <v>1.1000000000000001E-7</v>
      </c>
      <c r="BV245" s="901">
        <v>38</v>
      </c>
      <c r="BW245" s="901">
        <v>6</v>
      </c>
      <c r="BX245" s="901">
        <v>1</v>
      </c>
      <c r="BY245" s="901"/>
      <c r="BZ245" s="901"/>
      <c r="CA245" s="901"/>
      <c r="CB245" s="901"/>
      <c r="CC245" s="901"/>
      <c r="CD245" s="901"/>
      <c r="CE245" s="901"/>
      <c r="CF245" s="901">
        <v>1</v>
      </c>
      <c r="CG245" s="901"/>
      <c r="CH245" s="901"/>
      <c r="CI245" s="901"/>
      <c r="CJ245" s="901"/>
      <c r="CK245" s="901"/>
      <c r="CL245" s="901"/>
      <c r="CM245" s="901"/>
      <c r="CN245" s="901"/>
      <c r="CO245" s="901"/>
      <c r="CP245" s="901"/>
      <c r="CQ245" s="901"/>
      <c r="CR245" s="901"/>
      <c r="CS245" s="902">
        <f>SUM(BY245:CR245)</f>
        <v>1</v>
      </c>
      <c r="CT245" s="871">
        <f t="shared" si="84"/>
        <v>1</v>
      </c>
      <c r="CU245" s="871">
        <f t="shared" si="85"/>
        <v>0</v>
      </c>
      <c r="CV245" s="942">
        <v>18.149999999999999</v>
      </c>
      <c r="CW245" s="710" t="s">
        <v>4446</v>
      </c>
      <c r="CX245" s="710"/>
      <c r="CY245" s="710"/>
      <c r="CZ245" s="710"/>
      <c r="DA245" s="710">
        <v>4.4000000000000004</v>
      </c>
      <c r="DB245" s="899" t="s">
        <v>4448</v>
      </c>
      <c r="DC245" s="710" t="s">
        <v>279</v>
      </c>
      <c r="DD245" s="710"/>
      <c r="DE245" s="710"/>
      <c r="DF245" s="901"/>
      <c r="DG245" s="901"/>
      <c r="DH245" s="901">
        <v>1</v>
      </c>
      <c r="DI245" s="710" t="s">
        <v>279</v>
      </c>
      <c r="DJ245" s="710"/>
      <c r="DK245" s="901"/>
      <c r="DL245" s="710" t="s">
        <v>279</v>
      </c>
      <c r="DM245" s="710"/>
      <c r="DN245" s="901"/>
      <c r="DO245" s="710" t="s">
        <v>279</v>
      </c>
      <c r="DP245" s="710"/>
      <c r="DQ245" s="901"/>
      <c r="DR245" s="710" t="s">
        <v>278</v>
      </c>
      <c r="DS245" s="710" t="s">
        <v>4449</v>
      </c>
      <c r="DT245" s="901">
        <v>52</v>
      </c>
      <c r="DU245" s="710" t="s">
        <v>279</v>
      </c>
      <c r="DV245" s="710"/>
      <c r="DW245" s="901"/>
      <c r="DX245" s="710" t="s">
        <v>279</v>
      </c>
      <c r="DY245" s="710" t="s">
        <v>4450</v>
      </c>
      <c r="DZ245" s="901"/>
      <c r="EA245" s="710" t="s">
        <v>279</v>
      </c>
      <c r="EB245" s="710"/>
      <c r="EC245" s="901"/>
      <c r="ED245" s="710" t="s">
        <v>278</v>
      </c>
      <c r="EE245" s="710" t="s">
        <v>4452</v>
      </c>
      <c r="EF245" s="901">
        <v>19</v>
      </c>
      <c r="EG245" s="710" t="s">
        <v>279</v>
      </c>
      <c r="EH245" s="710"/>
      <c r="EI245" s="901"/>
      <c r="EJ245" s="710" t="s">
        <v>279</v>
      </c>
      <c r="EK245" s="710"/>
      <c r="EL245" s="901"/>
      <c r="EM245" s="710" t="s">
        <v>278</v>
      </c>
      <c r="EN245" s="710" t="s">
        <v>4453</v>
      </c>
      <c r="EO245" s="901">
        <v>6</v>
      </c>
      <c r="EP245" s="710" t="s">
        <v>279</v>
      </c>
      <c r="EQ245" s="710"/>
      <c r="ER245" s="901"/>
      <c r="ES245" s="710" t="s">
        <v>279</v>
      </c>
      <c r="ET245" s="710"/>
      <c r="EU245" s="901"/>
      <c r="EV245" s="901"/>
      <c r="EW245" s="901"/>
      <c r="EX245" s="901"/>
      <c r="EY245" s="710" t="s">
        <v>279</v>
      </c>
      <c r="EZ245" s="710"/>
      <c r="FA245" s="710" t="s">
        <v>279</v>
      </c>
      <c r="FB245" s="710"/>
      <c r="FC245" s="710" t="s">
        <v>4454</v>
      </c>
      <c r="FD245" s="861" t="s">
        <v>4456</v>
      </c>
      <c r="FE245" s="710" t="s">
        <v>279</v>
      </c>
      <c r="FF245" s="710" t="s">
        <v>4457</v>
      </c>
      <c r="FG245" s="710"/>
      <c r="FH245" s="710" t="s">
        <v>2471</v>
      </c>
      <c r="FI245" s="710">
        <v>0</v>
      </c>
      <c r="FJ245" s="710">
        <v>0</v>
      </c>
      <c r="FK245" s="710" t="s">
        <v>4458</v>
      </c>
      <c r="FL245" s="710" t="s">
        <v>4459</v>
      </c>
      <c r="FM245" s="710" t="s">
        <v>4460</v>
      </c>
      <c r="FN245" s="710" t="s">
        <v>4461</v>
      </c>
      <c r="FO245" s="710" t="s">
        <v>4459</v>
      </c>
      <c r="FP245" s="710" t="s">
        <v>4460</v>
      </c>
    </row>
    <row r="246" spans="2:172" ht="154.5" customHeight="1">
      <c r="B246" s="850" t="s">
        <v>5315</v>
      </c>
      <c r="C246" s="850" t="s">
        <v>5325</v>
      </c>
      <c r="D246" s="850" t="s">
        <v>4934</v>
      </c>
      <c r="E246" s="850" t="s">
        <v>5314</v>
      </c>
      <c r="F246" s="863"/>
      <c r="H246" s="850" t="s">
        <v>4934</v>
      </c>
      <c r="I246" s="850" t="s">
        <v>5519</v>
      </c>
      <c r="J246" s="850" t="s">
        <v>5465</v>
      </c>
      <c r="K246" s="710" t="s">
        <v>271</v>
      </c>
      <c r="L246" s="710" t="s">
        <v>4432</v>
      </c>
      <c r="M246" s="710" t="s">
        <v>4434</v>
      </c>
      <c r="N246" s="710" t="s">
        <v>4436</v>
      </c>
      <c r="O246" s="895">
        <v>2018</v>
      </c>
      <c r="P246" s="896">
        <v>43342</v>
      </c>
      <c r="Q246" s="896">
        <v>43830</v>
      </c>
      <c r="R246" s="712">
        <f t="shared" si="87"/>
        <v>488</v>
      </c>
      <c r="S246" s="896"/>
      <c r="T246" s="896"/>
      <c r="U246" s="896"/>
      <c r="V246" s="896"/>
      <c r="W246" s="896"/>
      <c r="X246" s="896"/>
      <c r="Y246" s="896"/>
      <c r="Z246" s="896"/>
      <c r="AA246" s="896"/>
      <c r="AB246" s="710" t="s">
        <v>4438</v>
      </c>
      <c r="AC246" s="710" t="s">
        <v>4440</v>
      </c>
      <c r="AD246" s="710" t="s">
        <v>4442</v>
      </c>
      <c r="AE246" s="710" t="s">
        <v>4443</v>
      </c>
      <c r="AF246" s="710" t="s">
        <v>454</v>
      </c>
      <c r="AG246" s="710" t="s">
        <v>4445</v>
      </c>
      <c r="AH246" s="898">
        <v>16</v>
      </c>
      <c r="AI246" s="868">
        <f t="shared" si="68"/>
        <v>16</v>
      </c>
      <c r="AJ246" s="867">
        <f t="shared" si="69"/>
        <v>0</v>
      </c>
      <c r="AK246" s="898"/>
      <c r="AL246" s="898"/>
      <c r="AM246" s="898"/>
      <c r="AN246" s="869">
        <f t="shared" si="70"/>
        <v>0</v>
      </c>
      <c r="AO246" s="869">
        <f t="shared" si="71"/>
        <v>0</v>
      </c>
      <c r="AP246" s="898"/>
      <c r="AQ246" s="967"/>
      <c r="AR246" s="899">
        <v>1E-3</v>
      </c>
      <c r="AS246" s="869">
        <f t="shared" si="72"/>
        <v>0</v>
      </c>
      <c r="AT246" s="869">
        <f t="shared" si="73"/>
        <v>0</v>
      </c>
      <c r="AU246" s="898">
        <v>16</v>
      </c>
      <c r="AV246" s="967">
        <v>100</v>
      </c>
      <c r="AW246" s="869">
        <f t="shared" si="74"/>
        <v>1</v>
      </c>
      <c r="AX246" s="869">
        <f t="shared" si="75"/>
        <v>99</v>
      </c>
      <c r="AY246" s="898">
        <v>0</v>
      </c>
      <c r="AZ246" s="899">
        <v>0</v>
      </c>
      <c r="BA246" s="869">
        <f t="shared" si="76"/>
        <v>0</v>
      </c>
      <c r="BB246" s="869">
        <f t="shared" si="77"/>
        <v>0</v>
      </c>
      <c r="BC246" s="898">
        <v>0</v>
      </c>
      <c r="BD246" s="899">
        <v>0</v>
      </c>
      <c r="BE246" s="869">
        <f t="shared" si="78"/>
        <v>0</v>
      </c>
      <c r="BF246" s="869">
        <f t="shared" si="79"/>
        <v>0</v>
      </c>
      <c r="BG246" s="899"/>
      <c r="BH246" s="899"/>
      <c r="BI246" s="899"/>
      <c r="BJ246" s="899"/>
      <c r="BK246" s="899"/>
      <c r="BL246" s="714">
        <f t="shared" si="80"/>
        <v>0</v>
      </c>
      <c r="BM246" s="869">
        <f t="shared" si="81"/>
        <v>0</v>
      </c>
      <c r="BN246" s="898">
        <v>0</v>
      </c>
      <c r="BO246" s="899">
        <v>0</v>
      </c>
      <c r="BP246" s="869">
        <f t="shared" si="82"/>
        <v>0</v>
      </c>
      <c r="BQ246" s="869">
        <f t="shared" si="83"/>
        <v>0</v>
      </c>
      <c r="BR246" s="899"/>
      <c r="BS246" s="899"/>
      <c r="BT246" s="898">
        <v>16</v>
      </c>
      <c r="BU246" s="899">
        <v>1E-3</v>
      </c>
      <c r="BV246" s="901">
        <v>161</v>
      </c>
      <c r="BW246" s="901">
        <v>161</v>
      </c>
      <c r="BX246" s="901">
        <v>161</v>
      </c>
      <c r="BY246" s="901"/>
      <c r="BZ246" s="901"/>
      <c r="CA246" s="901"/>
      <c r="CB246" s="901"/>
      <c r="CC246" s="901"/>
      <c r="CD246" s="901"/>
      <c r="CE246" s="901">
        <v>95</v>
      </c>
      <c r="CF246" s="901">
        <v>9</v>
      </c>
      <c r="CG246" s="901">
        <v>3</v>
      </c>
      <c r="CH246" s="901">
        <v>15</v>
      </c>
      <c r="CI246" s="901">
        <v>10</v>
      </c>
      <c r="CJ246" s="901"/>
      <c r="CK246" s="901"/>
      <c r="CL246" s="901"/>
      <c r="CM246" s="901"/>
      <c r="CN246" s="901">
        <v>10</v>
      </c>
      <c r="CO246" s="901"/>
      <c r="CP246" s="901"/>
      <c r="CQ246" s="901"/>
      <c r="CR246" s="901">
        <v>19</v>
      </c>
      <c r="CS246" s="902">
        <f>SUM(BY246:CR246)</f>
        <v>161</v>
      </c>
      <c r="CT246" s="871">
        <f t="shared" si="84"/>
        <v>161</v>
      </c>
      <c r="CU246" s="871">
        <f t="shared" si="85"/>
        <v>0</v>
      </c>
      <c r="CV246" s="942">
        <v>0.161</v>
      </c>
      <c r="CW246" s="710" t="s">
        <v>4447</v>
      </c>
      <c r="CX246" s="710"/>
      <c r="CY246" s="710"/>
      <c r="CZ246" s="710"/>
      <c r="DA246" s="710">
        <v>0.04</v>
      </c>
      <c r="DB246" s="899" t="s">
        <v>4448</v>
      </c>
      <c r="DC246" s="710" t="s">
        <v>279</v>
      </c>
      <c r="DD246" s="710"/>
      <c r="DE246" s="710"/>
      <c r="DF246" s="901"/>
      <c r="DG246" s="901"/>
      <c r="DH246" s="901">
        <v>6</v>
      </c>
      <c r="DI246" s="710" t="s">
        <v>279</v>
      </c>
      <c r="DJ246" s="710"/>
      <c r="DK246" s="901"/>
      <c r="DL246" s="710" t="s">
        <v>279</v>
      </c>
      <c r="DM246" s="710"/>
      <c r="DN246" s="901"/>
      <c r="DO246" s="710" t="s">
        <v>279</v>
      </c>
      <c r="DP246" s="710"/>
      <c r="DQ246" s="901"/>
      <c r="DR246" s="710" t="s">
        <v>279</v>
      </c>
      <c r="DS246" s="710"/>
      <c r="DT246" s="901"/>
      <c r="DU246" s="710" t="s">
        <v>279</v>
      </c>
      <c r="DV246" s="710"/>
      <c r="DW246" s="901"/>
      <c r="DX246" s="710" t="s">
        <v>278</v>
      </c>
      <c r="DY246" s="710" t="s">
        <v>4451</v>
      </c>
      <c r="DZ246" s="901">
        <v>161</v>
      </c>
      <c r="EA246" s="710" t="s">
        <v>279</v>
      </c>
      <c r="EB246" s="710"/>
      <c r="EC246" s="901"/>
      <c r="ED246" s="710" t="s">
        <v>279</v>
      </c>
      <c r="EE246" s="710"/>
      <c r="EF246" s="901"/>
      <c r="EG246" s="710" t="s">
        <v>279</v>
      </c>
      <c r="EH246" s="710"/>
      <c r="EI246" s="901"/>
      <c r="EJ246" s="710" t="s">
        <v>279</v>
      </c>
      <c r="EK246" s="710"/>
      <c r="EL246" s="901"/>
      <c r="EM246" s="710" t="s">
        <v>279</v>
      </c>
      <c r="EN246" s="710"/>
      <c r="EO246" s="901"/>
      <c r="EP246" s="710" t="s">
        <v>279</v>
      </c>
      <c r="EQ246" s="710"/>
      <c r="ER246" s="901"/>
      <c r="ES246" s="710"/>
      <c r="ET246" s="710"/>
      <c r="EU246" s="901"/>
      <c r="EV246" s="901"/>
      <c r="EW246" s="901"/>
      <c r="EX246" s="901"/>
      <c r="EY246" s="710" t="s">
        <v>279</v>
      </c>
      <c r="EZ246" s="710"/>
      <c r="FA246" s="710" t="s">
        <v>279</v>
      </c>
      <c r="FB246" s="710"/>
      <c r="FC246" s="710" t="s">
        <v>4455</v>
      </c>
      <c r="FD246" s="861"/>
      <c r="FE246" s="710" t="s">
        <v>279</v>
      </c>
      <c r="FF246" s="710"/>
      <c r="FG246" s="710"/>
      <c r="FH246" s="710" t="s">
        <v>2471</v>
      </c>
      <c r="FI246" s="710">
        <v>0</v>
      </c>
      <c r="FJ246" s="710">
        <v>0</v>
      </c>
      <c r="FK246" s="710" t="s">
        <v>4458</v>
      </c>
      <c r="FL246" s="710" t="s">
        <v>4459</v>
      </c>
      <c r="FM246" s="710" t="s">
        <v>4460</v>
      </c>
      <c r="FN246" s="710" t="s">
        <v>4461</v>
      </c>
      <c r="FO246" s="710" t="s">
        <v>4459</v>
      </c>
      <c r="FP246" s="710" t="s">
        <v>4460</v>
      </c>
    </row>
    <row r="247" spans="2:172" ht="86.5" customHeight="1">
      <c r="B247" s="863"/>
      <c r="C247" s="863"/>
      <c r="D247" s="863"/>
      <c r="E247" s="863"/>
      <c r="F247" s="863"/>
      <c r="I247" s="850" t="s">
        <v>5521</v>
      </c>
      <c r="J247" s="850" t="s">
        <v>5466</v>
      </c>
      <c r="K247" s="710" t="s">
        <v>272</v>
      </c>
      <c r="L247" s="710"/>
      <c r="M247" s="710"/>
      <c r="N247" s="710"/>
      <c r="O247" s="895"/>
      <c r="P247" s="896"/>
      <c r="Q247" s="896"/>
      <c r="R247" s="712">
        <f t="shared" si="87"/>
        <v>0</v>
      </c>
      <c r="S247" s="710"/>
      <c r="T247" s="710"/>
      <c r="U247" s="710"/>
      <c r="V247" s="710"/>
      <c r="W247" s="710"/>
      <c r="X247" s="710"/>
      <c r="Y247" s="710"/>
      <c r="Z247" s="710"/>
      <c r="AA247" s="710"/>
      <c r="AB247" s="710"/>
      <c r="AC247" s="710"/>
      <c r="AD247" s="710"/>
      <c r="AE247" s="710"/>
      <c r="AF247" s="710"/>
      <c r="AG247" s="710"/>
      <c r="AH247" s="898"/>
      <c r="AI247" s="868">
        <f t="shared" si="68"/>
        <v>0</v>
      </c>
      <c r="AJ247" s="867">
        <f t="shared" si="69"/>
        <v>0</v>
      </c>
      <c r="AK247" s="898"/>
      <c r="AL247" s="899"/>
      <c r="AM247" s="899"/>
      <c r="AN247" s="869" t="e">
        <f t="shared" si="70"/>
        <v>#DIV/0!</v>
      </c>
      <c r="AO247" s="869" t="e">
        <f t="shared" si="71"/>
        <v>#DIV/0!</v>
      </c>
      <c r="AP247" s="899"/>
      <c r="AQ247" s="899"/>
      <c r="AR247" s="899"/>
      <c r="AS247" s="869" t="e">
        <f t="shared" si="72"/>
        <v>#DIV/0!</v>
      </c>
      <c r="AT247" s="869" t="e">
        <f t="shared" si="73"/>
        <v>#DIV/0!</v>
      </c>
      <c r="AU247" s="898"/>
      <c r="AV247" s="899"/>
      <c r="AW247" s="869" t="e">
        <f t="shared" si="74"/>
        <v>#DIV/0!</v>
      </c>
      <c r="AX247" s="869" t="e">
        <f t="shared" si="75"/>
        <v>#DIV/0!</v>
      </c>
      <c r="AY247" s="898"/>
      <c r="AZ247" s="899"/>
      <c r="BA247" s="869" t="e">
        <f t="shared" si="76"/>
        <v>#DIV/0!</v>
      </c>
      <c r="BB247" s="869" t="e">
        <f t="shared" si="77"/>
        <v>#DIV/0!</v>
      </c>
      <c r="BC247" s="898"/>
      <c r="BD247" s="899"/>
      <c r="BE247" s="869" t="e">
        <f t="shared" si="78"/>
        <v>#DIV/0!</v>
      </c>
      <c r="BF247" s="869" t="e">
        <f t="shared" si="79"/>
        <v>#DIV/0!</v>
      </c>
      <c r="BG247" s="898"/>
      <c r="BH247" s="899"/>
      <c r="BI247" s="710"/>
      <c r="BJ247" s="710"/>
      <c r="BK247" s="710"/>
      <c r="BL247" s="714" t="e">
        <f t="shared" si="80"/>
        <v>#DIV/0!</v>
      </c>
      <c r="BM247" s="869" t="e">
        <f t="shared" si="81"/>
        <v>#DIV/0!</v>
      </c>
      <c r="BN247" s="898"/>
      <c r="BO247" s="899"/>
      <c r="BP247" s="869" t="e">
        <f t="shared" si="82"/>
        <v>#DIV/0!</v>
      </c>
      <c r="BQ247" s="869" t="e">
        <f t="shared" si="83"/>
        <v>#DIV/0!</v>
      </c>
      <c r="BR247" s="898"/>
      <c r="BS247" s="899"/>
      <c r="BT247" s="899"/>
      <c r="BU247" s="899"/>
      <c r="BV247" s="901"/>
      <c r="BW247" s="901"/>
      <c r="BX247" s="901"/>
      <c r="BY247" s="901"/>
      <c r="BZ247" s="901"/>
      <c r="CA247" s="901"/>
      <c r="CB247" s="901"/>
      <c r="CC247" s="901"/>
      <c r="CD247" s="901"/>
      <c r="CE247" s="901"/>
      <c r="CF247" s="901"/>
      <c r="CG247" s="901"/>
      <c r="CH247" s="901"/>
      <c r="CI247" s="901"/>
      <c r="CJ247" s="901"/>
      <c r="CK247" s="901"/>
      <c r="CL247" s="901"/>
      <c r="CM247" s="901"/>
      <c r="CN247" s="901"/>
      <c r="CO247" s="901"/>
      <c r="CP247" s="901"/>
      <c r="CQ247" s="901"/>
      <c r="CR247" s="901"/>
      <c r="CS247" s="902"/>
      <c r="CT247" s="871">
        <f t="shared" si="84"/>
        <v>0</v>
      </c>
      <c r="CU247" s="871">
        <f t="shared" si="85"/>
        <v>0</v>
      </c>
      <c r="CV247" s="942"/>
      <c r="CW247" s="710"/>
      <c r="CX247" s="710"/>
      <c r="CY247" s="899"/>
      <c r="CZ247" s="710"/>
      <c r="DA247" s="710"/>
      <c r="DB247" s="710"/>
      <c r="DC247" s="710"/>
      <c r="DD247" s="710"/>
      <c r="DE247" s="901"/>
      <c r="DF247" s="901"/>
      <c r="DG247" s="710"/>
      <c r="DH247" s="710"/>
      <c r="DI247" s="901"/>
      <c r="DJ247" s="710"/>
      <c r="DK247" s="710"/>
      <c r="DL247" s="901"/>
      <c r="DM247" s="710"/>
      <c r="DN247" s="710"/>
      <c r="DO247" s="901"/>
      <c r="DP247" s="710"/>
      <c r="DQ247" s="710"/>
      <c r="DR247" s="901"/>
      <c r="DS247" s="710"/>
      <c r="DT247" s="710"/>
      <c r="DU247" s="901"/>
      <c r="DV247" s="710"/>
      <c r="DW247" s="710"/>
      <c r="DX247" s="901"/>
      <c r="DY247" s="710"/>
      <c r="DZ247" s="710"/>
      <c r="EA247" s="901"/>
      <c r="EB247" s="710"/>
      <c r="EC247" s="710"/>
      <c r="ED247" s="901"/>
      <c r="EE247" s="710"/>
      <c r="EF247" s="710"/>
      <c r="EG247" s="901"/>
      <c r="EH247" s="710"/>
      <c r="EI247" s="710"/>
      <c r="EJ247" s="901"/>
      <c r="EK247" s="710"/>
      <c r="EL247" s="710"/>
      <c r="EM247" s="901"/>
      <c r="EN247" s="710"/>
      <c r="EO247" s="710"/>
      <c r="EP247" s="901"/>
      <c r="EQ247" s="710"/>
      <c r="ER247" s="710"/>
      <c r="ES247" s="901"/>
      <c r="ET247" s="710"/>
      <c r="EU247" s="710"/>
      <c r="EV247" s="860"/>
      <c r="EW247" s="710"/>
      <c r="EX247" s="710"/>
      <c r="EY247" s="710"/>
      <c r="EZ247" s="710"/>
      <c r="FA247" s="710"/>
      <c r="FB247" s="710"/>
      <c r="FC247" s="710"/>
      <c r="FD247" s="710"/>
      <c r="FE247" s="710"/>
      <c r="FF247" s="710"/>
      <c r="FG247" s="710"/>
      <c r="FH247" s="710"/>
      <c r="FI247" s="710"/>
      <c r="FJ247" s="949"/>
      <c r="FK247" s="949"/>
      <c r="FL247" s="949"/>
      <c r="FM247" s="949"/>
      <c r="FN247" s="949"/>
      <c r="FO247" s="949"/>
      <c r="FP247" s="949"/>
    </row>
    <row r="248" spans="2:172" ht="109.5" customHeight="1">
      <c r="B248" s="850" t="s">
        <v>5313</v>
      </c>
      <c r="C248" s="863"/>
      <c r="D248" s="850" t="s">
        <v>4933</v>
      </c>
      <c r="E248" s="850" t="s">
        <v>5314</v>
      </c>
      <c r="F248" s="879">
        <v>1</v>
      </c>
      <c r="G248" s="850" t="s">
        <v>4933</v>
      </c>
      <c r="I248" s="850" t="s">
        <v>5520</v>
      </c>
      <c r="J248" s="850" t="s">
        <v>5467</v>
      </c>
      <c r="K248" s="710" t="s">
        <v>273</v>
      </c>
      <c r="L248" s="710"/>
      <c r="M248" s="710" t="s">
        <v>2133</v>
      </c>
      <c r="N248" s="710" t="s">
        <v>526</v>
      </c>
      <c r="O248" s="895">
        <v>2017</v>
      </c>
      <c r="P248" s="1003">
        <v>43466</v>
      </c>
      <c r="Q248" s="1003">
        <v>43830</v>
      </c>
      <c r="R248" s="712">
        <f t="shared" si="87"/>
        <v>364</v>
      </c>
      <c r="S248" s="710" t="s">
        <v>2229</v>
      </c>
      <c r="T248" s="710" t="s">
        <v>2230</v>
      </c>
      <c r="U248" s="861" t="s">
        <v>2231</v>
      </c>
      <c r="V248" s="710" t="s">
        <v>2232</v>
      </c>
      <c r="W248" s="710" t="s">
        <v>2233</v>
      </c>
      <c r="X248" s="710" t="s">
        <v>2234</v>
      </c>
      <c r="Y248" s="861" t="s">
        <v>2235</v>
      </c>
      <c r="Z248" s="710" t="s">
        <v>2236</v>
      </c>
      <c r="AA248" s="861" t="s">
        <v>2237</v>
      </c>
      <c r="AB248" s="861"/>
      <c r="AC248" s="861"/>
      <c r="AD248" s="710" t="s">
        <v>2238</v>
      </c>
      <c r="AE248" s="710" t="s">
        <v>2239</v>
      </c>
      <c r="AF248" s="710" t="s">
        <v>2240</v>
      </c>
      <c r="AG248" s="710" t="s">
        <v>2241</v>
      </c>
      <c r="AH248" s="898">
        <f>AK248+AU248+AY248+BC248</f>
        <v>436.21199999999999</v>
      </c>
      <c r="AI248" s="868">
        <f t="shared" si="68"/>
        <v>436.21199999999999</v>
      </c>
      <c r="AJ248" s="867">
        <f t="shared" si="69"/>
        <v>0</v>
      </c>
      <c r="AK248" s="898">
        <v>263.51900000000001</v>
      </c>
      <c r="AL248" s="899">
        <f>AK248/AH248</f>
        <v>0.60410763573675186</v>
      </c>
      <c r="AM248" s="899">
        <f>264.03/ 57596.333</f>
        <v>4.5841460080453386E-3</v>
      </c>
      <c r="AN248" s="869">
        <f t="shared" si="70"/>
        <v>0.60410763573675186</v>
      </c>
      <c r="AO248" s="869">
        <f t="shared" si="71"/>
        <v>0</v>
      </c>
      <c r="AP248" s="899"/>
      <c r="AQ248" s="899"/>
      <c r="AR248" s="899"/>
      <c r="AS248" s="869">
        <f t="shared" si="72"/>
        <v>0</v>
      </c>
      <c r="AT248" s="869">
        <f t="shared" si="73"/>
        <v>0</v>
      </c>
      <c r="AU248" s="898">
        <v>111.95</v>
      </c>
      <c r="AV248" s="899">
        <f>AU248/AH248</f>
        <v>0.25664126617332855</v>
      </c>
      <c r="AW248" s="869">
        <f t="shared" si="74"/>
        <v>0.25664126617332855</v>
      </c>
      <c r="AX248" s="869">
        <f t="shared" si="75"/>
        <v>0</v>
      </c>
      <c r="AY248" s="898">
        <v>46.77</v>
      </c>
      <c r="AZ248" s="899">
        <f>AY248/AH248</f>
        <v>0.10721850843168002</v>
      </c>
      <c r="BA248" s="869">
        <f t="shared" si="76"/>
        <v>0.10721850843168002</v>
      </c>
      <c r="BB248" s="869">
        <f t="shared" si="77"/>
        <v>0</v>
      </c>
      <c r="BC248" s="898">
        <v>13.973000000000001</v>
      </c>
      <c r="BD248" s="899">
        <f>BC248/AH248</f>
        <v>3.2032589658239574E-2</v>
      </c>
      <c r="BE248" s="869">
        <f t="shared" si="78"/>
        <v>3.2032589658239574E-2</v>
      </c>
      <c r="BF248" s="869">
        <f t="shared" si="79"/>
        <v>0</v>
      </c>
      <c r="BG248" s="898"/>
      <c r="BH248" s="899"/>
      <c r="BI248" s="710" t="s">
        <v>410</v>
      </c>
      <c r="BJ248" s="710" t="s">
        <v>410</v>
      </c>
      <c r="BK248" s="710" t="s">
        <v>410</v>
      </c>
      <c r="BL248" s="714">
        <f t="shared" si="80"/>
        <v>0</v>
      </c>
      <c r="BM248" s="869">
        <f t="shared" si="81"/>
        <v>0</v>
      </c>
      <c r="BN248" s="898"/>
      <c r="BO248" s="899"/>
      <c r="BP248" s="869">
        <f t="shared" si="82"/>
        <v>0</v>
      </c>
      <c r="BQ248" s="869">
        <f t="shared" si="83"/>
        <v>0</v>
      </c>
      <c r="BR248" s="898">
        <v>463.76499999999999</v>
      </c>
      <c r="BS248" s="899">
        <f>BR248/62945.738</f>
        <v>7.367695013759311E-3</v>
      </c>
      <c r="BT248" s="899"/>
      <c r="BU248" s="899"/>
      <c r="BV248" s="901">
        <v>657</v>
      </c>
      <c r="BW248" s="901">
        <v>649</v>
      </c>
      <c r="BX248" s="901">
        <v>649</v>
      </c>
      <c r="BY248" s="901">
        <v>40</v>
      </c>
      <c r="BZ248" s="901">
        <v>164</v>
      </c>
      <c r="CA248" s="901">
        <v>22</v>
      </c>
      <c r="CB248" s="901">
        <v>1</v>
      </c>
      <c r="CC248" s="901">
        <v>0</v>
      </c>
      <c r="CD248" s="901">
        <v>0</v>
      </c>
      <c r="CE248" s="901">
        <v>27</v>
      </c>
      <c r="CF248" s="901">
        <v>13</v>
      </c>
      <c r="CG248" s="901">
        <v>0</v>
      </c>
      <c r="CH248" s="901">
        <v>0</v>
      </c>
      <c r="CI248" s="901">
        <f>38+3</f>
        <v>41</v>
      </c>
      <c r="CJ248" s="901">
        <f>42+2</f>
        <v>44</v>
      </c>
      <c r="CK248" s="901">
        <v>54</v>
      </c>
      <c r="CL248" s="901">
        <v>228</v>
      </c>
      <c r="CM248" s="901">
        <v>0</v>
      </c>
      <c r="CN248" s="901">
        <v>0</v>
      </c>
      <c r="CO248" s="901">
        <v>0</v>
      </c>
      <c r="CP248" s="901">
        <v>2</v>
      </c>
      <c r="CQ248" s="901"/>
      <c r="CR248" s="901">
        <v>7</v>
      </c>
      <c r="CS248" s="902">
        <f>SUM(BY248:CR248)</f>
        <v>643</v>
      </c>
      <c r="CT248" s="871">
        <f t="shared" si="84"/>
        <v>643</v>
      </c>
      <c r="CU248" s="871">
        <f t="shared" si="85"/>
        <v>0</v>
      </c>
      <c r="CV248" s="942">
        <v>560.60400000000004</v>
      </c>
      <c r="CW248" s="710" t="s">
        <v>2242</v>
      </c>
      <c r="CX248" s="710" t="s">
        <v>410</v>
      </c>
      <c r="CY248" s="710">
        <v>45.8</v>
      </c>
      <c r="CZ248" s="710" t="s">
        <v>2243</v>
      </c>
      <c r="DA248" s="710"/>
      <c r="DB248" s="710"/>
      <c r="DD248" s="710" t="s">
        <v>2244</v>
      </c>
      <c r="DE248" s="710" t="s">
        <v>410</v>
      </c>
      <c r="DF248" s="901" t="s">
        <v>410</v>
      </c>
      <c r="DG248" s="901" t="s">
        <v>410</v>
      </c>
      <c r="DH248" s="901">
        <v>30</v>
      </c>
      <c r="DI248" s="710" t="s">
        <v>279</v>
      </c>
      <c r="DJ248" s="710" t="s">
        <v>410</v>
      </c>
      <c r="DK248" s="901" t="s">
        <v>410</v>
      </c>
      <c r="DL248" s="710" t="s">
        <v>278</v>
      </c>
      <c r="DM248" s="710" t="s">
        <v>2245</v>
      </c>
      <c r="DN248" s="901">
        <f>165312+580</f>
        <v>165892</v>
      </c>
      <c r="DO248" s="710" t="s">
        <v>279</v>
      </c>
      <c r="DP248" s="710" t="s">
        <v>410</v>
      </c>
      <c r="DQ248" s="901" t="s">
        <v>410</v>
      </c>
      <c r="DR248" s="710" t="s">
        <v>279</v>
      </c>
      <c r="DS248" s="710" t="s">
        <v>410</v>
      </c>
      <c r="DT248" s="901" t="s">
        <v>410</v>
      </c>
      <c r="DU248" s="710" t="s">
        <v>279</v>
      </c>
      <c r="DV248" s="710" t="s">
        <v>410</v>
      </c>
      <c r="DW248" s="901" t="s">
        <v>410</v>
      </c>
      <c r="DX248" s="710" t="s">
        <v>279</v>
      </c>
      <c r="DY248" s="710" t="s">
        <v>410</v>
      </c>
      <c r="DZ248" s="901" t="s">
        <v>410</v>
      </c>
      <c r="EA248" s="710" t="s">
        <v>279</v>
      </c>
      <c r="EB248" s="710" t="s">
        <v>410</v>
      </c>
      <c r="EC248" s="901" t="s">
        <v>410</v>
      </c>
      <c r="ED248" s="710" t="s">
        <v>2246</v>
      </c>
      <c r="EE248" s="710" t="s">
        <v>410</v>
      </c>
      <c r="EF248" s="901" t="s">
        <v>410</v>
      </c>
      <c r="EG248" s="710" t="s">
        <v>279</v>
      </c>
      <c r="EH248" s="710" t="s">
        <v>410</v>
      </c>
      <c r="EI248" s="901"/>
      <c r="EJ248" s="710" t="s">
        <v>279</v>
      </c>
      <c r="EK248" s="710" t="s">
        <v>410</v>
      </c>
      <c r="EL248" s="901" t="s">
        <v>410</v>
      </c>
      <c r="EM248" s="710" t="s">
        <v>278</v>
      </c>
      <c r="EN248" s="710" t="s">
        <v>2247</v>
      </c>
      <c r="EO248" s="901">
        <f>15+9</f>
        <v>24</v>
      </c>
      <c r="EP248" s="710" t="s">
        <v>278</v>
      </c>
      <c r="EQ248" s="710" t="s">
        <v>2248</v>
      </c>
      <c r="ER248" s="901">
        <v>24</v>
      </c>
      <c r="ES248" s="710" t="s">
        <v>279</v>
      </c>
      <c r="ET248" s="710" t="s">
        <v>410</v>
      </c>
      <c r="EU248" s="901"/>
      <c r="EV248" s="904">
        <v>1</v>
      </c>
      <c r="EW248" s="710" t="s">
        <v>410</v>
      </c>
      <c r="EX248" s="860">
        <v>281</v>
      </c>
      <c r="EY248" s="710" t="s">
        <v>279</v>
      </c>
      <c r="EZ248" s="710"/>
      <c r="FA248" s="710" t="s">
        <v>279</v>
      </c>
      <c r="FB248" s="710"/>
      <c r="FC248" s="861" t="s">
        <v>2256</v>
      </c>
      <c r="FD248" s="710" t="s">
        <v>410</v>
      </c>
      <c r="FE248" s="710" t="s">
        <v>410</v>
      </c>
      <c r="FF248" s="710" t="s">
        <v>2249</v>
      </c>
      <c r="FG248" s="710" t="s">
        <v>410</v>
      </c>
      <c r="FH248" s="710" t="s">
        <v>4928</v>
      </c>
      <c r="FI248" s="710">
        <v>76</v>
      </c>
      <c r="FJ248" s="710">
        <v>2870</v>
      </c>
      <c r="FK248" s="710" t="s">
        <v>2250</v>
      </c>
      <c r="FL248" s="710" t="s">
        <v>2251</v>
      </c>
      <c r="FM248" s="861" t="s">
        <v>2252</v>
      </c>
      <c r="FN248" s="710" t="s">
        <v>2253</v>
      </c>
      <c r="FO248" s="710" t="s">
        <v>2254</v>
      </c>
      <c r="FP248" s="861" t="s">
        <v>2255</v>
      </c>
    </row>
    <row r="249" spans="2:172" ht="95" customHeight="1">
      <c r="B249" s="850" t="s">
        <v>5315</v>
      </c>
      <c r="C249" s="850" t="s">
        <v>5348</v>
      </c>
      <c r="D249" s="850" t="s">
        <v>4934</v>
      </c>
      <c r="E249" s="850" t="s">
        <v>5314</v>
      </c>
      <c r="F249" s="863"/>
      <c r="H249" s="850" t="s">
        <v>4934</v>
      </c>
      <c r="I249" s="850" t="s">
        <v>5520</v>
      </c>
      <c r="J249" s="850" t="s">
        <v>5467</v>
      </c>
      <c r="K249" s="710" t="s">
        <v>273</v>
      </c>
      <c r="L249" s="710" t="s">
        <v>4462</v>
      </c>
      <c r="M249" s="710" t="s">
        <v>4463</v>
      </c>
      <c r="N249" s="710" t="s">
        <v>4463</v>
      </c>
      <c r="O249" s="895">
        <v>2018</v>
      </c>
      <c r="P249" s="1003">
        <v>43649</v>
      </c>
      <c r="Q249" s="1003">
        <v>43830</v>
      </c>
      <c r="R249" s="712">
        <f t="shared" si="87"/>
        <v>181</v>
      </c>
      <c r="S249" s="1003"/>
      <c r="T249" s="1003"/>
      <c r="U249" s="1003"/>
      <c r="V249" s="1003"/>
      <c r="W249" s="1003"/>
      <c r="X249" s="1003"/>
      <c r="Y249" s="1003"/>
      <c r="Z249" s="1003"/>
      <c r="AA249" s="1003"/>
      <c r="AB249" s="710" t="s">
        <v>4464</v>
      </c>
      <c r="AC249" s="861" t="s">
        <v>4465</v>
      </c>
      <c r="AD249" s="710" t="s">
        <v>4466</v>
      </c>
      <c r="AE249" s="710" t="s">
        <v>4467</v>
      </c>
      <c r="AF249" s="710" t="s">
        <v>4096</v>
      </c>
      <c r="AG249" s="710" t="s">
        <v>4468</v>
      </c>
      <c r="AH249" s="898">
        <v>10.525</v>
      </c>
      <c r="AI249" s="868">
        <f t="shared" si="68"/>
        <v>10.524999999999999</v>
      </c>
      <c r="AJ249" s="867">
        <f t="shared" si="69"/>
        <v>0</v>
      </c>
      <c r="AK249" s="898"/>
      <c r="AL249" s="898"/>
      <c r="AM249" s="898"/>
      <c r="AN249" s="869">
        <f t="shared" si="70"/>
        <v>0</v>
      </c>
      <c r="AO249" s="869">
        <f t="shared" si="71"/>
        <v>0</v>
      </c>
      <c r="AP249" s="898"/>
      <c r="AQ249" s="899"/>
      <c r="AR249" s="899">
        <v>6.9999999999999999E-4</v>
      </c>
      <c r="AS249" s="869">
        <f t="shared" si="72"/>
        <v>0</v>
      </c>
      <c r="AT249" s="869">
        <f t="shared" si="73"/>
        <v>0</v>
      </c>
      <c r="AU249" s="942">
        <v>8.6229999999999993</v>
      </c>
      <c r="AV249" s="899">
        <v>0.81930000000000003</v>
      </c>
      <c r="AW249" s="869">
        <f t="shared" si="74"/>
        <v>0.8192874109263657</v>
      </c>
      <c r="AX249" s="869">
        <f t="shared" si="75"/>
        <v>1.2589073634328152E-5</v>
      </c>
      <c r="AY249" s="898">
        <v>1.9019999999999999</v>
      </c>
      <c r="AZ249" s="899">
        <v>0.1807</v>
      </c>
      <c r="BA249" s="869">
        <f t="shared" si="76"/>
        <v>0.18071258907363419</v>
      </c>
      <c r="BB249" s="869">
        <f t="shared" si="77"/>
        <v>-1.2589073634189374E-5</v>
      </c>
      <c r="BC249" s="898">
        <v>0</v>
      </c>
      <c r="BD249" s="899">
        <v>0</v>
      </c>
      <c r="BE249" s="869">
        <f t="shared" si="78"/>
        <v>0</v>
      </c>
      <c r="BF249" s="869">
        <f t="shared" si="79"/>
        <v>0</v>
      </c>
      <c r="BG249" s="899"/>
      <c r="BH249" s="899"/>
      <c r="BI249" s="899"/>
      <c r="BJ249" s="899"/>
      <c r="BK249" s="899"/>
      <c r="BL249" s="714">
        <f t="shared" si="80"/>
        <v>0</v>
      </c>
      <c r="BM249" s="869">
        <f t="shared" si="81"/>
        <v>0</v>
      </c>
      <c r="BN249" s="898">
        <v>0</v>
      </c>
      <c r="BO249" s="899">
        <v>0</v>
      </c>
      <c r="BP249" s="869">
        <f t="shared" si="82"/>
        <v>0</v>
      </c>
      <c r="BQ249" s="869">
        <f t="shared" si="83"/>
        <v>0</v>
      </c>
      <c r="BR249" s="899"/>
      <c r="BS249" s="899"/>
      <c r="BT249" s="898">
        <v>5.7</v>
      </c>
      <c r="BU249" s="899">
        <v>4.0000000000000002E-4</v>
      </c>
      <c r="BV249" s="901">
        <v>19</v>
      </c>
      <c r="BW249" s="901">
        <v>19</v>
      </c>
      <c r="BX249" s="901">
        <v>19</v>
      </c>
      <c r="BY249" s="901"/>
      <c r="BZ249" s="901">
        <v>18</v>
      </c>
      <c r="CA249" s="901"/>
      <c r="CB249" s="901"/>
      <c r="CC249" s="901"/>
      <c r="CD249" s="901"/>
      <c r="CE249" s="901"/>
      <c r="CF249" s="901"/>
      <c r="CG249" s="901"/>
      <c r="CH249" s="901"/>
      <c r="CI249" s="901"/>
      <c r="CJ249" s="901"/>
      <c r="CK249" s="901"/>
      <c r="CL249" s="901"/>
      <c r="CM249" s="901"/>
      <c r="CN249" s="901">
        <v>1</v>
      </c>
      <c r="CO249" s="901"/>
      <c r="CP249" s="901"/>
      <c r="CQ249" s="901"/>
      <c r="CR249" s="901"/>
      <c r="CS249" s="902">
        <f>SUM(BY249:CR249)</f>
        <v>19</v>
      </c>
      <c r="CT249" s="871">
        <f t="shared" si="84"/>
        <v>19</v>
      </c>
      <c r="CU249" s="871">
        <f t="shared" si="85"/>
        <v>0</v>
      </c>
      <c r="CV249" s="942">
        <v>3.47</v>
      </c>
      <c r="CW249" s="710"/>
      <c r="CX249" s="710"/>
      <c r="CY249" s="710"/>
      <c r="CZ249" s="710"/>
      <c r="DA249" s="710">
        <v>0.68</v>
      </c>
      <c r="DB249" s="963" t="s">
        <v>4469</v>
      </c>
      <c r="DC249" s="710" t="s">
        <v>279</v>
      </c>
      <c r="DD249" s="710"/>
      <c r="DE249" s="710"/>
      <c r="DF249" s="901"/>
      <c r="DG249" s="901"/>
      <c r="DH249" s="901"/>
      <c r="DI249" s="710" t="s">
        <v>279</v>
      </c>
      <c r="DJ249" s="710"/>
      <c r="DK249" s="901"/>
      <c r="DL249" s="710" t="s">
        <v>579</v>
      </c>
      <c r="DM249" s="710" t="s">
        <v>4470</v>
      </c>
      <c r="DN249" s="901">
        <v>95</v>
      </c>
      <c r="DO249" s="710" t="s">
        <v>279</v>
      </c>
      <c r="DP249" s="710"/>
      <c r="DQ249" s="901"/>
      <c r="DR249" s="710" t="s">
        <v>279</v>
      </c>
      <c r="DS249" s="710"/>
      <c r="DT249" s="901"/>
      <c r="DU249" s="710" t="s">
        <v>279</v>
      </c>
      <c r="DV249" s="710"/>
      <c r="DW249" s="901"/>
      <c r="DX249" s="710" t="s">
        <v>279</v>
      </c>
      <c r="DY249" s="710"/>
      <c r="DZ249" s="901"/>
      <c r="EA249" s="710" t="s">
        <v>279</v>
      </c>
      <c r="EB249" s="710"/>
      <c r="EC249" s="901"/>
      <c r="ED249" s="710" t="s">
        <v>579</v>
      </c>
      <c r="EE249" s="710" t="s">
        <v>4470</v>
      </c>
      <c r="EF249" s="901">
        <v>95</v>
      </c>
      <c r="EG249" s="710" t="s">
        <v>279</v>
      </c>
      <c r="EH249" s="710"/>
      <c r="EI249" s="901"/>
      <c r="EJ249" s="710" t="s">
        <v>279</v>
      </c>
      <c r="EK249" s="710"/>
      <c r="EL249" s="901"/>
      <c r="EM249" s="710" t="s">
        <v>579</v>
      </c>
      <c r="EN249" s="710" t="s">
        <v>4470</v>
      </c>
      <c r="EO249" s="901">
        <v>15</v>
      </c>
      <c r="EP249" s="710" t="s">
        <v>279</v>
      </c>
      <c r="EQ249" s="710" t="s">
        <v>4471</v>
      </c>
      <c r="ER249" s="901"/>
      <c r="ES249" s="710" t="s">
        <v>579</v>
      </c>
      <c r="ET249" s="710" t="s">
        <v>4472</v>
      </c>
      <c r="EU249" s="901">
        <v>15</v>
      </c>
      <c r="EV249" s="901"/>
      <c r="EW249" s="901"/>
      <c r="EX249" s="901"/>
      <c r="EY249" s="710" t="s">
        <v>279</v>
      </c>
      <c r="EZ249" s="710"/>
      <c r="FA249" s="710" t="s">
        <v>279</v>
      </c>
      <c r="FB249" s="710"/>
      <c r="FC249" s="940" t="s">
        <v>4473</v>
      </c>
      <c r="FD249" s="710" t="s">
        <v>279</v>
      </c>
      <c r="FE249" s="710" t="s">
        <v>279</v>
      </c>
      <c r="FF249" s="710" t="s">
        <v>4474</v>
      </c>
      <c r="FG249" s="710" t="s">
        <v>279</v>
      </c>
      <c r="FH249" s="710" t="s">
        <v>2471</v>
      </c>
      <c r="FI249" s="710">
        <v>0</v>
      </c>
      <c r="FJ249" s="710">
        <v>0</v>
      </c>
      <c r="FK249" s="710" t="s">
        <v>4475</v>
      </c>
      <c r="FL249" s="710" t="s">
        <v>4476</v>
      </c>
      <c r="FM249" s="861" t="s">
        <v>4477</v>
      </c>
      <c r="FN249" s="710" t="s">
        <v>4478</v>
      </c>
      <c r="FO249" s="710" t="s">
        <v>4479</v>
      </c>
      <c r="FP249" s="861" t="s">
        <v>4480</v>
      </c>
    </row>
    <row r="250" spans="2:172" ht="139.5" customHeight="1">
      <c r="B250" s="850" t="s">
        <v>5313</v>
      </c>
      <c r="C250" s="863"/>
      <c r="D250" s="850" t="s">
        <v>4933</v>
      </c>
      <c r="E250" s="850" t="s">
        <v>5314</v>
      </c>
      <c r="F250" s="879">
        <v>1</v>
      </c>
      <c r="G250" s="850" t="s">
        <v>4933</v>
      </c>
      <c r="I250" s="850" t="s">
        <v>5522</v>
      </c>
      <c r="J250" s="850" t="s">
        <v>5468</v>
      </c>
      <c r="K250" s="710" t="s">
        <v>274</v>
      </c>
      <c r="L250" s="710"/>
      <c r="M250" s="708" t="s">
        <v>1027</v>
      </c>
      <c r="N250" s="708" t="s">
        <v>1027</v>
      </c>
      <c r="O250" s="950">
        <v>2019</v>
      </c>
      <c r="P250" s="1029">
        <v>43474</v>
      </c>
      <c r="Q250" s="1029">
        <v>43830</v>
      </c>
      <c r="R250" s="712">
        <f t="shared" si="87"/>
        <v>356</v>
      </c>
      <c r="S250" s="708" t="s">
        <v>1028</v>
      </c>
      <c r="T250" s="708" t="s">
        <v>1029</v>
      </c>
      <c r="U250" s="708" t="s">
        <v>1030</v>
      </c>
      <c r="V250" s="708" t="s">
        <v>1031</v>
      </c>
      <c r="W250" s="708" t="s">
        <v>1031</v>
      </c>
      <c r="X250" s="708" t="s">
        <v>1032</v>
      </c>
      <c r="Y250" s="708" t="s">
        <v>1030</v>
      </c>
      <c r="Z250" s="708" t="s">
        <v>1033</v>
      </c>
      <c r="AA250" s="708" t="s">
        <v>1034</v>
      </c>
      <c r="AB250" s="708"/>
      <c r="AC250" s="708"/>
      <c r="AD250" s="708" t="s">
        <v>1035</v>
      </c>
      <c r="AE250" s="708" t="s">
        <v>1035</v>
      </c>
      <c r="AF250" s="708" t="s">
        <v>1036</v>
      </c>
      <c r="AG250" s="708" t="s">
        <v>1037</v>
      </c>
      <c r="AH250" s="941">
        <v>26.66</v>
      </c>
      <c r="AI250" s="868">
        <f t="shared" si="68"/>
        <v>26.659705070000001</v>
      </c>
      <c r="AJ250" s="875">
        <f t="shared" si="69"/>
        <v>-2.9492999999902736E-4</v>
      </c>
      <c r="AK250" s="941">
        <v>21.331186070000001</v>
      </c>
      <c r="AL250" s="954">
        <v>0.8014</v>
      </c>
      <c r="AM250" s="954">
        <v>4.0000000000000002E-4</v>
      </c>
      <c r="AN250" s="869">
        <f t="shared" si="70"/>
        <v>0.80011950750187555</v>
      </c>
      <c r="AO250" s="869">
        <f t="shared" si="71"/>
        <v>1.2804924981244525E-3</v>
      </c>
      <c r="AP250" s="954"/>
      <c r="AQ250" s="954"/>
      <c r="AR250" s="954"/>
      <c r="AS250" s="869">
        <f t="shared" si="72"/>
        <v>0</v>
      </c>
      <c r="AT250" s="869">
        <f t="shared" si="73"/>
        <v>0</v>
      </c>
      <c r="AU250" s="941">
        <v>5.285177</v>
      </c>
      <c r="AV250" s="954">
        <v>0.19850000000000001</v>
      </c>
      <c r="AW250" s="869">
        <f t="shared" si="74"/>
        <v>0.19824369842460615</v>
      </c>
      <c r="AX250" s="869">
        <f t="shared" si="75"/>
        <v>2.5630157539385801E-4</v>
      </c>
      <c r="AY250" s="941">
        <v>4.3341999999999999E-2</v>
      </c>
      <c r="AZ250" s="954">
        <v>1.6283941313903017E-4</v>
      </c>
      <c r="BA250" s="869">
        <f t="shared" si="76"/>
        <v>1.6257314328582144E-3</v>
      </c>
      <c r="BB250" s="869">
        <f t="shared" si="77"/>
        <v>-1.4628920197191841E-3</v>
      </c>
      <c r="BC250" s="941"/>
      <c r="BD250" s="954"/>
      <c r="BE250" s="869">
        <f t="shared" si="78"/>
        <v>0</v>
      </c>
      <c r="BF250" s="869">
        <f t="shared" si="79"/>
        <v>0</v>
      </c>
      <c r="BG250" s="941"/>
      <c r="BH250" s="954"/>
      <c r="BI250" s="708" t="s">
        <v>410</v>
      </c>
      <c r="BJ250" s="708" t="s">
        <v>410</v>
      </c>
      <c r="BK250" s="708" t="s">
        <v>410</v>
      </c>
      <c r="BL250" s="714">
        <f t="shared" si="80"/>
        <v>0</v>
      </c>
      <c r="BM250" s="869">
        <f t="shared" si="81"/>
        <v>0</v>
      </c>
      <c r="BN250" s="941"/>
      <c r="BO250" s="954"/>
      <c r="BP250" s="869">
        <f t="shared" si="82"/>
        <v>0</v>
      </c>
      <c r="BQ250" s="869">
        <f t="shared" si="83"/>
        <v>0</v>
      </c>
      <c r="BR250" s="941">
        <v>50</v>
      </c>
      <c r="BS250" s="954">
        <v>0.12419427165447222</v>
      </c>
      <c r="BT250" s="954"/>
      <c r="BU250" s="954"/>
      <c r="BV250" s="955">
        <v>19</v>
      </c>
      <c r="BW250" s="955">
        <v>19</v>
      </c>
      <c r="BX250" s="955">
        <v>18</v>
      </c>
      <c r="BY250" s="955"/>
      <c r="BZ250" s="955">
        <v>3</v>
      </c>
      <c r="CA250" s="955" t="s">
        <v>410</v>
      </c>
      <c r="CB250" s="955" t="s">
        <v>410</v>
      </c>
      <c r="CC250" s="955" t="s">
        <v>410</v>
      </c>
      <c r="CD250" s="955" t="s">
        <v>410</v>
      </c>
      <c r="CE250" s="955" t="s">
        <v>410</v>
      </c>
      <c r="CF250" s="955">
        <v>1</v>
      </c>
      <c r="CG250" s="955">
        <v>1</v>
      </c>
      <c r="CH250" s="955" t="s">
        <v>410</v>
      </c>
      <c r="CI250" s="955">
        <v>2</v>
      </c>
      <c r="CJ250" s="955">
        <v>3</v>
      </c>
      <c r="CK250" s="955" t="s">
        <v>410</v>
      </c>
      <c r="CL250" s="955" t="s">
        <v>410</v>
      </c>
      <c r="CM250" s="955" t="s">
        <v>410</v>
      </c>
      <c r="CN250" s="955" t="s">
        <v>410</v>
      </c>
      <c r="CO250" s="955" t="s">
        <v>410</v>
      </c>
      <c r="CP250" s="955" t="s">
        <v>410</v>
      </c>
      <c r="CQ250" s="955" t="s">
        <v>410</v>
      </c>
      <c r="CR250" s="955"/>
      <c r="CS250" s="938">
        <f>SUM(BY250:CR250)</f>
        <v>10</v>
      </c>
      <c r="CT250" s="871">
        <f t="shared" si="84"/>
        <v>10</v>
      </c>
      <c r="CU250" s="871">
        <f t="shared" si="85"/>
        <v>0</v>
      </c>
      <c r="CV250" s="956">
        <v>15.824999999999999</v>
      </c>
      <c r="CW250" s="708" t="s">
        <v>1038</v>
      </c>
      <c r="CX250" s="708" t="s">
        <v>410</v>
      </c>
      <c r="CY250" s="954">
        <v>0.312</v>
      </c>
      <c r="CZ250" s="954" t="s">
        <v>1039</v>
      </c>
      <c r="DA250" s="954"/>
      <c r="DB250" s="954"/>
      <c r="DC250" s="708" t="s">
        <v>279</v>
      </c>
      <c r="DD250" s="708" t="s">
        <v>410</v>
      </c>
      <c r="DE250" s="708" t="s">
        <v>410</v>
      </c>
      <c r="DF250" s="955" t="s">
        <v>410</v>
      </c>
      <c r="DG250" s="955" t="s">
        <v>410</v>
      </c>
      <c r="DH250" s="955">
        <v>1</v>
      </c>
      <c r="DI250" s="708" t="s">
        <v>579</v>
      </c>
      <c r="DJ250" s="708" t="s">
        <v>1040</v>
      </c>
      <c r="DK250" s="955">
        <v>286</v>
      </c>
      <c r="DL250" s="708" t="s">
        <v>278</v>
      </c>
      <c r="DM250" s="708" t="s">
        <v>1041</v>
      </c>
      <c r="DN250" s="955">
        <v>670</v>
      </c>
      <c r="DO250" s="708" t="s">
        <v>279</v>
      </c>
      <c r="DP250" s="708"/>
      <c r="DQ250" s="955"/>
      <c r="DR250" s="708" t="s">
        <v>279</v>
      </c>
      <c r="DS250" s="708"/>
      <c r="DT250" s="955"/>
      <c r="DU250" s="708" t="s">
        <v>279</v>
      </c>
      <c r="DV250" s="708"/>
      <c r="DW250" s="955"/>
      <c r="DX250" s="708" t="s">
        <v>279</v>
      </c>
      <c r="DY250" s="708"/>
      <c r="DZ250" s="955"/>
      <c r="EA250" s="708" t="s">
        <v>278</v>
      </c>
      <c r="EB250" s="708" t="s">
        <v>1042</v>
      </c>
      <c r="EC250" s="955">
        <v>53</v>
      </c>
      <c r="ED250" s="708" t="s">
        <v>279</v>
      </c>
      <c r="EE250" s="708"/>
      <c r="EF250" s="955"/>
      <c r="EG250" s="708" t="s">
        <v>279</v>
      </c>
      <c r="EH250" s="708"/>
      <c r="EI250" s="955"/>
      <c r="EJ250" s="708" t="s">
        <v>279</v>
      </c>
      <c r="EK250" s="708"/>
      <c r="EL250" s="955"/>
      <c r="EM250" s="708" t="s">
        <v>278</v>
      </c>
      <c r="EN250" s="708" t="s">
        <v>1043</v>
      </c>
      <c r="EO250" s="955">
        <v>86</v>
      </c>
      <c r="EP250" s="708" t="s">
        <v>279</v>
      </c>
      <c r="EQ250" s="708"/>
      <c r="ER250" s="955"/>
      <c r="ES250" s="708" t="s">
        <v>279</v>
      </c>
      <c r="ET250" s="708"/>
      <c r="EU250" s="955"/>
      <c r="EV250" s="958">
        <v>1</v>
      </c>
      <c r="EW250" s="708" t="s">
        <v>410</v>
      </c>
      <c r="EX250" s="959">
        <v>13</v>
      </c>
      <c r="EY250" s="708" t="s">
        <v>279</v>
      </c>
      <c r="EZ250" s="708" t="s">
        <v>410</v>
      </c>
      <c r="FA250" s="708" t="s">
        <v>392</v>
      </c>
      <c r="FB250" s="708" t="s">
        <v>1044</v>
      </c>
      <c r="FC250" s="708" t="s">
        <v>1034</v>
      </c>
      <c r="FD250" s="708" t="s">
        <v>1034</v>
      </c>
      <c r="FE250" s="708" t="s">
        <v>1034</v>
      </c>
      <c r="FF250" s="708" t="s">
        <v>1045</v>
      </c>
      <c r="FG250" s="708" t="s">
        <v>410</v>
      </c>
      <c r="FH250" s="708" t="s">
        <v>1046</v>
      </c>
      <c r="FI250" s="708" t="s">
        <v>410</v>
      </c>
      <c r="FJ250" s="708" t="s">
        <v>410</v>
      </c>
      <c r="FK250" s="708" t="s">
        <v>1047</v>
      </c>
      <c r="FL250" s="708" t="s">
        <v>1048</v>
      </c>
      <c r="FM250" s="708" t="s">
        <v>1049</v>
      </c>
      <c r="FN250" s="708" t="s">
        <v>1047</v>
      </c>
      <c r="FO250" s="708" t="s">
        <v>1048</v>
      </c>
      <c r="FP250" s="708" t="s">
        <v>1049</v>
      </c>
    </row>
    <row r="251" spans="2:172" ht="95" customHeight="1">
      <c r="B251" s="863"/>
      <c r="C251" s="863"/>
      <c r="D251" s="863"/>
      <c r="E251" s="863"/>
      <c r="F251" s="863"/>
      <c r="I251" s="850" t="s">
        <v>5519</v>
      </c>
      <c r="J251" s="850" t="s">
        <v>5469</v>
      </c>
      <c r="K251" s="710" t="s">
        <v>275</v>
      </c>
      <c r="L251" s="710"/>
      <c r="M251" s="710"/>
      <c r="N251" s="710"/>
      <c r="O251" s="895"/>
      <c r="P251" s="896"/>
      <c r="Q251" s="896"/>
      <c r="R251" s="712">
        <f t="shared" si="87"/>
        <v>0</v>
      </c>
      <c r="S251" s="710"/>
      <c r="T251" s="710"/>
      <c r="U251" s="945"/>
      <c r="V251" s="710"/>
      <c r="W251" s="710"/>
      <c r="X251" s="710"/>
      <c r="Y251" s="710"/>
      <c r="Z251" s="710"/>
      <c r="AA251" s="710"/>
      <c r="AB251" s="710"/>
      <c r="AC251" s="710"/>
      <c r="AD251" s="710"/>
      <c r="AE251" s="710"/>
      <c r="AF251" s="710"/>
      <c r="AG251" s="710"/>
      <c r="AH251" s="898"/>
      <c r="AI251" s="868"/>
      <c r="AJ251" s="867"/>
      <c r="AK251" s="898"/>
      <c r="AL251" s="899"/>
      <c r="AM251" s="900"/>
      <c r="AN251" s="869"/>
      <c r="AO251" s="869"/>
      <c r="AP251" s="900"/>
      <c r="AQ251" s="900"/>
      <c r="AR251" s="900"/>
      <c r="AS251" s="869"/>
      <c r="AT251" s="869"/>
      <c r="AU251" s="898"/>
      <c r="AV251" s="899"/>
      <c r="AW251" s="869"/>
      <c r="AX251" s="869"/>
      <c r="AY251" s="898"/>
      <c r="AZ251" s="899"/>
      <c r="BA251" s="869"/>
      <c r="BB251" s="869"/>
      <c r="BC251" s="898"/>
      <c r="BD251" s="899"/>
      <c r="BE251" s="869"/>
      <c r="BF251" s="869"/>
      <c r="BG251" s="898"/>
      <c r="BH251" s="899"/>
      <c r="BI251" s="710"/>
      <c r="BJ251" s="710"/>
      <c r="BK251" s="710"/>
      <c r="BL251" s="714"/>
      <c r="BM251" s="869"/>
      <c r="BN251" s="898"/>
      <c r="BO251" s="899"/>
      <c r="BP251" s="869"/>
      <c r="BQ251" s="869"/>
      <c r="BR251" s="898"/>
      <c r="BS251" s="899"/>
      <c r="BT251" s="899"/>
      <c r="BU251" s="899"/>
      <c r="BV251" s="901"/>
      <c r="BW251" s="901"/>
      <c r="BX251" s="901"/>
      <c r="BY251" s="901"/>
      <c r="BZ251" s="901"/>
      <c r="CA251" s="901"/>
      <c r="CB251" s="901"/>
      <c r="CC251" s="901"/>
      <c r="CD251" s="901"/>
      <c r="CE251" s="901"/>
      <c r="CF251" s="901"/>
      <c r="CG251" s="901"/>
      <c r="CH251" s="901"/>
      <c r="CI251" s="901"/>
      <c r="CJ251" s="901"/>
      <c r="CK251" s="901"/>
      <c r="CL251" s="901"/>
      <c r="CM251" s="901"/>
      <c r="CN251" s="901"/>
      <c r="CO251" s="901"/>
      <c r="CP251" s="901"/>
      <c r="CQ251" s="901"/>
      <c r="CR251" s="901"/>
      <c r="CS251" s="902"/>
      <c r="CT251" s="871"/>
      <c r="CU251" s="871"/>
      <c r="CV251" s="942"/>
      <c r="CW251" s="710"/>
      <c r="CX251" s="710"/>
      <c r="CY251" s="710"/>
      <c r="CZ251" s="899"/>
      <c r="DA251" s="899"/>
      <c r="DB251" s="899"/>
      <c r="DC251" s="710"/>
      <c r="DD251" s="710"/>
      <c r="DE251" s="710"/>
      <c r="DF251" s="901"/>
      <c r="DG251" s="901"/>
      <c r="DH251" s="901"/>
      <c r="DI251" s="710"/>
      <c r="DJ251" s="710"/>
      <c r="DK251" s="901"/>
      <c r="DL251" s="710"/>
      <c r="DM251" s="710"/>
      <c r="DN251" s="901"/>
      <c r="DO251" s="710"/>
      <c r="DP251" s="710"/>
      <c r="DQ251" s="901"/>
      <c r="DR251" s="710"/>
      <c r="DS251" s="710"/>
      <c r="DT251" s="901"/>
      <c r="DU251" s="710"/>
      <c r="DV251" s="710"/>
      <c r="DW251" s="901"/>
      <c r="DX251" s="710"/>
      <c r="DY251" s="710"/>
      <c r="DZ251" s="901"/>
      <c r="EA251" s="710"/>
      <c r="EB251" s="710"/>
      <c r="EC251" s="901"/>
      <c r="ED251" s="710"/>
      <c r="EE251" s="710"/>
      <c r="EF251" s="901"/>
      <c r="EG251" s="710"/>
      <c r="EH251" s="710"/>
      <c r="EI251" s="901"/>
      <c r="EJ251" s="710"/>
      <c r="EK251" s="710"/>
      <c r="EL251" s="901"/>
      <c r="EM251" s="710"/>
      <c r="EN251" s="710"/>
      <c r="EO251" s="901"/>
      <c r="EP251" s="710"/>
      <c r="EQ251" s="710"/>
      <c r="ER251" s="901"/>
      <c r="ES251" s="710"/>
      <c r="ET251" s="710"/>
      <c r="EU251" s="901"/>
      <c r="EV251" s="904"/>
      <c r="EW251" s="710"/>
      <c r="EX251" s="860"/>
      <c r="EY251" s="710"/>
      <c r="EZ251" s="710"/>
      <c r="FA251" s="710"/>
      <c r="FB251" s="710"/>
      <c r="FC251" s="710"/>
      <c r="FD251" s="945"/>
      <c r="FE251" s="710"/>
      <c r="FF251" s="710"/>
      <c r="FG251" s="710"/>
      <c r="FH251" s="710"/>
      <c r="FI251" s="710"/>
      <c r="FJ251" s="710"/>
      <c r="FK251" s="710"/>
      <c r="FL251" s="710"/>
      <c r="FM251" s="710"/>
      <c r="FN251" s="710"/>
      <c r="FO251" s="710"/>
      <c r="FP251" s="710"/>
    </row>
    <row r="252" spans="2:172" ht="157" customHeight="1">
      <c r="B252" s="850" t="s">
        <v>5313</v>
      </c>
      <c r="C252" s="863"/>
      <c r="D252" s="850" t="s">
        <v>4934</v>
      </c>
      <c r="E252" s="850" t="s">
        <v>5314</v>
      </c>
      <c r="F252" s="863"/>
      <c r="H252" s="850" t="s">
        <v>4934</v>
      </c>
      <c r="I252" s="850" t="s">
        <v>5519</v>
      </c>
      <c r="J252" s="850" t="s">
        <v>5469</v>
      </c>
      <c r="K252" s="710" t="s">
        <v>275</v>
      </c>
      <c r="L252" s="710" t="s">
        <v>4481</v>
      </c>
      <c r="M252" s="710" t="s">
        <v>4506</v>
      </c>
      <c r="N252" s="710" t="s">
        <v>4512</v>
      </c>
      <c r="O252" s="895">
        <v>2018</v>
      </c>
      <c r="P252" s="896">
        <v>43511</v>
      </c>
      <c r="Q252" s="896">
        <v>43830</v>
      </c>
      <c r="R252" s="712">
        <f t="shared" si="87"/>
        <v>319</v>
      </c>
      <c r="S252" s="896"/>
      <c r="T252" s="896"/>
      <c r="U252" s="896"/>
      <c r="V252" s="896"/>
      <c r="W252" s="896"/>
      <c r="X252" s="896"/>
      <c r="Y252" s="896"/>
      <c r="Z252" s="896"/>
      <c r="AA252" s="896"/>
      <c r="AB252" s="710" t="s">
        <v>4518</v>
      </c>
      <c r="AC252" s="710" t="s">
        <v>4542</v>
      </c>
      <c r="AD252" s="710" t="s">
        <v>4566</v>
      </c>
      <c r="AE252" s="710" t="s">
        <v>4591</v>
      </c>
      <c r="AF252" s="710" t="s">
        <v>4602</v>
      </c>
      <c r="AG252" s="710" t="s">
        <v>4623</v>
      </c>
      <c r="AH252" s="898">
        <v>3.4529999999999998</v>
      </c>
      <c r="AI252" s="868">
        <f t="shared" si="68"/>
        <v>3.4529999999999998</v>
      </c>
      <c r="AJ252" s="867">
        <f t="shared" si="69"/>
        <v>0</v>
      </c>
      <c r="AK252" s="898"/>
      <c r="AL252" s="898"/>
      <c r="AM252" s="898"/>
      <c r="AN252" s="869">
        <f t="shared" si="70"/>
        <v>0</v>
      </c>
      <c r="AO252" s="869">
        <f t="shared" si="71"/>
        <v>0</v>
      </c>
      <c r="AP252" s="898"/>
      <c r="AQ252" s="904"/>
      <c r="AR252" s="899">
        <v>4.0000000000000002E-4</v>
      </c>
      <c r="AS252" s="869">
        <f t="shared" si="72"/>
        <v>0</v>
      </c>
      <c r="AT252" s="869">
        <f t="shared" si="73"/>
        <v>0</v>
      </c>
      <c r="AU252" s="942">
        <v>3.4529999999999998</v>
      </c>
      <c r="AV252" s="899">
        <v>1</v>
      </c>
      <c r="AW252" s="869">
        <f t="shared" si="74"/>
        <v>1</v>
      </c>
      <c r="AX252" s="869">
        <f t="shared" si="75"/>
        <v>0</v>
      </c>
      <c r="AY252" s="898">
        <v>0</v>
      </c>
      <c r="AZ252" s="904">
        <v>0</v>
      </c>
      <c r="BA252" s="869">
        <f t="shared" si="76"/>
        <v>0</v>
      </c>
      <c r="BB252" s="869">
        <f t="shared" si="77"/>
        <v>0</v>
      </c>
      <c r="BC252" s="898">
        <v>0</v>
      </c>
      <c r="BD252" s="904">
        <v>0</v>
      </c>
      <c r="BE252" s="869">
        <f t="shared" si="78"/>
        <v>0</v>
      </c>
      <c r="BF252" s="869">
        <f t="shared" si="79"/>
        <v>0</v>
      </c>
      <c r="BG252" s="904"/>
      <c r="BH252" s="904"/>
      <c r="BI252" s="904"/>
      <c r="BJ252" s="904"/>
      <c r="BK252" s="904"/>
      <c r="BL252" s="714">
        <f t="shared" si="80"/>
        <v>0</v>
      </c>
      <c r="BM252" s="869">
        <f t="shared" si="81"/>
        <v>0</v>
      </c>
      <c r="BN252" s="898"/>
      <c r="BO252" s="899"/>
      <c r="BP252" s="869">
        <f t="shared" si="82"/>
        <v>0</v>
      </c>
      <c r="BQ252" s="869">
        <f t="shared" si="83"/>
        <v>0</v>
      </c>
      <c r="BR252" s="899"/>
      <c r="BS252" s="899"/>
      <c r="BT252" s="898">
        <v>11.153</v>
      </c>
      <c r="BU252" s="899">
        <v>1.1000000000000001E-3</v>
      </c>
      <c r="BV252" s="901">
        <v>9</v>
      </c>
      <c r="BW252" s="901">
        <v>4</v>
      </c>
      <c r="BX252" s="901">
        <v>4</v>
      </c>
      <c r="BY252" s="901"/>
      <c r="BZ252" s="901"/>
      <c r="CA252" s="901"/>
      <c r="CB252" s="901"/>
      <c r="CC252" s="901"/>
      <c r="CD252" s="901"/>
      <c r="CE252" s="901">
        <v>1</v>
      </c>
      <c r="CF252" s="901"/>
      <c r="CG252" s="901">
        <v>1</v>
      </c>
      <c r="CH252" s="901"/>
      <c r="CI252" s="901"/>
      <c r="CJ252" s="901">
        <v>1</v>
      </c>
      <c r="CK252" s="901"/>
      <c r="CL252" s="901"/>
      <c r="CM252" s="901"/>
      <c r="CN252" s="901"/>
      <c r="CO252" s="901"/>
      <c r="CP252" s="901"/>
      <c r="CQ252" s="901">
        <v>1</v>
      </c>
      <c r="CR252" s="901"/>
      <c r="CS252" s="902">
        <f t="shared" ref="CS252:CS268" si="90">SUM(BY252:CR252)</f>
        <v>4</v>
      </c>
      <c r="CT252" s="871">
        <f t="shared" ref="CT252:CT277" si="91">SUM(BY252:CR252)</f>
        <v>4</v>
      </c>
      <c r="CU252" s="871">
        <f t="shared" si="85"/>
        <v>0</v>
      </c>
      <c r="CV252" s="942">
        <v>50.86</v>
      </c>
      <c r="CW252" s="941" t="s">
        <v>4641</v>
      </c>
      <c r="CX252" s="708" t="s">
        <v>410</v>
      </c>
      <c r="CY252" s="708"/>
      <c r="CZ252" s="708"/>
      <c r="DA252" s="708">
        <v>100</v>
      </c>
      <c r="DB252" s="1030" t="s">
        <v>4655</v>
      </c>
      <c r="DC252" s="710" t="s">
        <v>278</v>
      </c>
      <c r="DD252" s="710" t="s">
        <v>4669</v>
      </c>
      <c r="DE252" s="710" t="s">
        <v>4674</v>
      </c>
      <c r="DF252" s="901">
        <v>20</v>
      </c>
      <c r="DG252" s="901">
        <v>30</v>
      </c>
      <c r="DH252" s="901"/>
      <c r="DI252" s="710" t="s">
        <v>279</v>
      </c>
      <c r="DJ252" s="710"/>
      <c r="DK252" s="901"/>
      <c r="DL252" s="710" t="s">
        <v>278</v>
      </c>
      <c r="DM252" s="945" t="s">
        <v>4684</v>
      </c>
      <c r="DN252" s="901">
        <v>50</v>
      </c>
      <c r="DO252" s="710" t="s">
        <v>279</v>
      </c>
      <c r="DP252" s="710"/>
      <c r="DQ252" s="901"/>
      <c r="DR252" s="710" t="s">
        <v>279</v>
      </c>
      <c r="DS252" s="945"/>
      <c r="DT252" s="901"/>
      <c r="DU252" s="710" t="s">
        <v>279</v>
      </c>
      <c r="DV252" s="710"/>
      <c r="DW252" s="901"/>
      <c r="DX252" s="710" t="s">
        <v>278</v>
      </c>
      <c r="DY252" s="984" t="s">
        <v>4710</v>
      </c>
      <c r="DZ252" s="901">
        <v>4</v>
      </c>
      <c r="EA252" s="710" t="s">
        <v>278</v>
      </c>
      <c r="EB252" s="945" t="s">
        <v>4716</v>
      </c>
      <c r="EC252" s="901">
        <v>1899</v>
      </c>
      <c r="ED252" s="710" t="s">
        <v>278</v>
      </c>
      <c r="EE252" s="710" t="s">
        <v>4725</v>
      </c>
      <c r="EF252" s="901">
        <v>6191</v>
      </c>
      <c r="EG252" s="710" t="s">
        <v>279</v>
      </c>
      <c r="EH252" s="710"/>
      <c r="EI252" s="901"/>
      <c r="EJ252" s="710" t="s">
        <v>279</v>
      </c>
      <c r="EK252" s="710"/>
      <c r="EL252" s="901"/>
      <c r="EM252" s="710" t="s">
        <v>278</v>
      </c>
      <c r="EN252" s="945" t="s">
        <v>4737</v>
      </c>
      <c r="EO252" s="901">
        <v>19</v>
      </c>
      <c r="EP252" s="710" t="s">
        <v>279</v>
      </c>
      <c r="EQ252" s="710"/>
      <c r="ER252" s="901"/>
      <c r="ES252" s="710"/>
      <c r="ET252" s="710"/>
      <c r="EU252" s="901"/>
      <c r="EV252" s="901"/>
      <c r="EW252" s="901"/>
      <c r="EX252" s="901"/>
      <c r="EY252" s="710" t="s">
        <v>278</v>
      </c>
      <c r="EZ252" s="710" t="s">
        <v>4756</v>
      </c>
      <c r="FA252" s="710" t="s">
        <v>278</v>
      </c>
      <c r="FB252" s="710" t="s">
        <v>4763</v>
      </c>
      <c r="FC252" s="945" t="s">
        <v>4779</v>
      </c>
      <c r="FD252" s="710" t="s">
        <v>4799</v>
      </c>
      <c r="FE252" s="710" t="s">
        <v>4813</v>
      </c>
      <c r="FF252" s="710" t="s">
        <v>4819</v>
      </c>
      <c r="FG252" s="710" t="s">
        <v>4842</v>
      </c>
      <c r="FH252" s="710" t="s">
        <v>4849</v>
      </c>
      <c r="FI252" s="710"/>
      <c r="FJ252" s="710"/>
      <c r="FK252" s="710" t="s">
        <v>4859</v>
      </c>
      <c r="FL252" s="710" t="s">
        <v>4878</v>
      </c>
      <c r="FM252" s="1031" t="s">
        <v>4895</v>
      </c>
      <c r="FN252" s="710" t="s">
        <v>1874</v>
      </c>
      <c r="FO252" s="710" t="s">
        <v>1875</v>
      </c>
      <c r="FP252" s="1031" t="s">
        <v>1876</v>
      </c>
    </row>
    <row r="253" spans="2:172" ht="134.5" customHeight="1">
      <c r="B253" s="850" t="s">
        <v>5313</v>
      </c>
      <c r="C253" s="863"/>
      <c r="D253" s="850" t="s">
        <v>4934</v>
      </c>
      <c r="E253" s="850" t="s">
        <v>5314</v>
      </c>
      <c r="F253" s="863"/>
      <c r="H253" s="850" t="s">
        <v>4934</v>
      </c>
      <c r="I253" s="850" t="s">
        <v>5519</v>
      </c>
      <c r="J253" s="850" t="s">
        <v>5469</v>
      </c>
      <c r="K253" s="710" t="s">
        <v>275</v>
      </c>
      <c r="L253" s="1032" t="s">
        <v>4482</v>
      </c>
      <c r="M253" s="1032" t="s">
        <v>526</v>
      </c>
      <c r="N253" s="1032" t="s">
        <v>4513</v>
      </c>
      <c r="O253" s="1033">
        <v>2018</v>
      </c>
      <c r="P253" s="1034">
        <v>43230</v>
      </c>
      <c r="Q253" s="1034">
        <v>43714</v>
      </c>
      <c r="R253" s="712">
        <f t="shared" si="87"/>
        <v>484</v>
      </c>
      <c r="S253" s="1034"/>
      <c r="T253" s="1034"/>
      <c r="U253" s="1034"/>
      <c r="V253" s="1034"/>
      <c r="W253" s="1034"/>
      <c r="X253" s="1034"/>
      <c r="Y253" s="1034"/>
      <c r="Z253" s="1034"/>
      <c r="AA253" s="1034"/>
      <c r="AB253" s="1032" t="s">
        <v>4519</v>
      </c>
      <c r="AC253" s="1032" t="s">
        <v>4543</v>
      </c>
      <c r="AD253" s="1032" t="s">
        <v>4567</v>
      </c>
      <c r="AE253" s="1032" t="s">
        <v>4592</v>
      </c>
      <c r="AF253" s="1032" t="s">
        <v>4603</v>
      </c>
      <c r="AG253" s="1032" t="s">
        <v>4624</v>
      </c>
      <c r="AH253" s="1035">
        <v>8.8640000000000008</v>
      </c>
      <c r="AI253" s="868">
        <f t="shared" si="68"/>
        <v>8.863999999999999</v>
      </c>
      <c r="AJ253" s="875">
        <f t="shared" si="69"/>
        <v>0</v>
      </c>
      <c r="AK253" s="1035"/>
      <c r="AL253" s="1035"/>
      <c r="AM253" s="1035"/>
      <c r="AN253" s="869">
        <f t="shared" si="70"/>
        <v>0</v>
      </c>
      <c r="AO253" s="869">
        <f t="shared" si="71"/>
        <v>0</v>
      </c>
      <c r="AP253" s="1035"/>
      <c r="AQ253" s="1036"/>
      <c r="AR253" s="1036">
        <v>1.4E-3</v>
      </c>
      <c r="AS253" s="869">
        <f t="shared" si="72"/>
        <v>0</v>
      </c>
      <c r="AT253" s="869">
        <f t="shared" si="73"/>
        <v>0</v>
      </c>
      <c r="AU253" s="1037">
        <v>8.5139999999999993</v>
      </c>
      <c r="AV253" s="1036">
        <v>0.96050000000000002</v>
      </c>
      <c r="AW253" s="869">
        <f t="shared" si="74"/>
        <v>0.96051444043321288</v>
      </c>
      <c r="AX253" s="869">
        <f t="shared" si="75"/>
        <v>-1.4440433212858927E-5</v>
      </c>
      <c r="AY253" s="1035">
        <v>0.35</v>
      </c>
      <c r="AZ253" s="1036">
        <v>3.95E-2</v>
      </c>
      <c r="BA253" s="869">
        <f t="shared" si="76"/>
        <v>3.9485559566786996E-2</v>
      </c>
      <c r="BB253" s="869">
        <f t="shared" si="77"/>
        <v>1.4440433213004644E-5</v>
      </c>
      <c r="BC253" s="1035">
        <v>0</v>
      </c>
      <c r="BD253" s="1038">
        <v>0</v>
      </c>
      <c r="BE253" s="869">
        <f t="shared" si="78"/>
        <v>0</v>
      </c>
      <c r="BF253" s="869">
        <f t="shared" si="79"/>
        <v>0</v>
      </c>
      <c r="BG253" s="1038"/>
      <c r="BH253" s="1038"/>
      <c r="BI253" s="1038"/>
      <c r="BJ253" s="1038"/>
      <c r="BK253" s="1038"/>
      <c r="BL253" s="714">
        <f t="shared" si="80"/>
        <v>0</v>
      </c>
      <c r="BM253" s="869">
        <f t="shared" si="81"/>
        <v>0</v>
      </c>
      <c r="BN253" s="1035">
        <v>0</v>
      </c>
      <c r="BO253" s="1038">
        <v>0</v>
      </c>
      <c r="BP253" s="869">
        <f t="shared" si="82"/>
        <v>0</v>
      </c>
      <c r="BQ253" s="869">
        <f t="shared" si="83"/>
        <v>0</v>
      </c>
      <c r="BR253" s="1038"/>
      <c r="BS253" s="1038"/>
      <c r="BT253" s="1035">
        <v>12.401</v>
      </c>
      <c r="BU253" s="1036">
        <v>1.72E-3</v>
      </c>
      <c r="BV253" s="1039">
        <v>41</v>
      </c>
      <c r="BW253" s="1039">
        <v>10</v>
      </c>
      <c r="BX253" s="1039">
        <v>10</v>
      </c>
      <c r="BY253" s="1039">
        <v>0</v>
      </c>
      <c r="BZ253" s="1039">
        <v>0</v>
      </c>
      <c r="CA253" s="1039">
        <v>0</v>
      </c>
      <c r="CB253" s="1039">
        <v>0</v>
      </c>
      <c r="CC253" s="1039">
        <v>0</v>
      </c>
      <c r="CD253" s="1039">
        <v>0</v>
      </c>
      <c r="CE253" s="1039">
        <v>0</v>
      </c>
      <c r="CF253" s="1039">
        <v>2</v>
      </c>
      <c r="CG253" s="1039">
        <v>2</v>
      </c>
      <c r="CH253" s="1039">
        <v>1</v>
      </c>
      <c r="CI253" s="1039">
        <v>2</v>
      </c>
      <c r="CJ253" s="1039">
        <v>0</v>
      </c>
      <c r="CK253" s="1039">
        <v>0</v>
      </c>
      <c r="CL253" s="1039">
        <v>1</v>
      </c>
      <c r="CM253" s="1039">
        <v>0</v>
      </c>
      <c r="CN253" s="1039">
        <v>0</v>
      </c>
      <c r="CO253" s="1039">
        <v>0</v>
      </c>
      <c r="CP253" s="1039">
        <v>1</v>
      </c>
      <c r="CQ253" s="1039">
        <v>1</v>
      </c>
      <c r="CR253" s="1039">
        <v>0</v>
      </c>
      <c r="CS253" s="1040">
        <f t="shared" si="90"/>
        <v>10</v>
      </c>
      <c r="CT253" s="871">
        <f t="shared" si="91"/>
        <v>10</v>
      </c>
      <c r="CU253" s="871">
        <f t="shared" si="85"/>
        <v>0</v>
      </c>
      <c r="CV253" s="1037">
        <v>26.210999999999999</v>
      </c>
      <c r="CW253" s="1035" t="s">
        <v>4642</v>
      </c>
      <c r="CX253" s="1041" t="s">
        <v>410</v>
      </c>
      <c r="CY253" s="1041"/>
      <c r="CZ253" s="1041"/>
      <c r="DA253" s="1035" t="s">
        <v>4654</v>
      </c>
      <c r="DB253" s="1041"/>
      <c r="DC253" s="1032" t="s">
        <v>278</v>
      </c>
      <c r="DD253" s="1032" t="s">
        <v>4670</v>
      </c>
      <c r="DE253" s="1032" t="s">
        <v>4156</v>
      </c>
      <c r="DF253" s="1032">
        <v>10</v>
      </c>
      <c r="DG253" s="1032">
        <v>60</v>
      </c>
      <c r="DH253" s="1039"/>
      <c r="DI253" s="1042" t="s">
        <v>278</v>
      </c>
      <c r="DJ253" s="1042" t="s">
        <v>4678</v>
      </c>
      <c r="DK253" s="1042" t="s">
        <v>4683</v>
      </c>
      <c r="DL253" s="1032" t="s">
        <v>278</v>
      </c>
      <c r="DM253" s="1042" t="s">
        <v>4685</v>
      </c>
      <c r="DN253" s="1032">
        <v>468</v>
      </c>
      <c r="DO253" s="1042" t="s">
        <v>278</v>
      </c>
      <c r="DP253" s="1042" t="s">
        <v>1685</v>
      </c>
      <c r="DQ253" s="1032">
        <v>1022</v>
      </c>
      <c r="DR253" s="1042" t="s">
        <v>278</v>
      </c>
      <c r="DS253" s="1042" t="s">
        <v>4698</v>
      </c>
      <c r="DT253" s="1032">
        <v>269</v>
      </c>
      <c r="DU253" s="1042" t="s">
        <v>278</v>
      </c>
      <c r="DV253" s="1042" t="s">
        <v>4704</v>
      </c>
      <c r="DW253" s="1032">
        <v>67</v>
      </c>
      <c r="DX253" s="1042" t="s">
        <v>278</v>
      </c>
      <c r="DY253" s="1042" t="s">
        <v>4711</v>
      </c>
      <c r="DZ253" s="1032">
        <v>129</v>
      </c>
      <c r="EA253" s="1042" t="s">
        <v>278</v>
      </c>
      <c r="EB253" s="1043" t="s">
        <v>4717</v>
      </c>
      <c r="EC253" s="1032">
        <v>522</v>
      </c>
      <c r="ED253" s="1042" t="s">
        <v>278</v>
      </c>
      <c r="EE253" s="1042" t="s">
        <v>1685</v>
      </c>
      <c r="EF253" s="1032">
        <v>3972</v>
      </c>
      <c r="EG253" s="1042" t="s">
        <v>279</v>
      </c>
      <c r="EH253" s="1042"/>
      <c r="EI253" s="1042"/>
      <c r="EJ253" s="1042" t="s">
        <v>278</v>
      </c>
      <c r="EK253" s="1032" t="s">
        <v>4735</v>
      </c>
      <c r="EL253" s="1032">
        <v>15</v>
      </c>
      <c r="EM253" s="1042" t="s">
        <v>279</v>
      </c>
      <c r="EN253" s="1042"/>
      <c r="EO253" s="1042"/>
      <c r="EP253" s="1042" t="s">
        <v>278</v>
      </c>
      <c r="EQ253" s="1042" t="s">
        <v>4749</v>
      </c>
      <c r="ER253" s="1032">
        <v>15</v>
      </c>
      <c r="ES253" s="1042" t="s">
        <v>279</v>
      </c>
      <c r="ET253" s="1042"/>
      <c r="EU253" s="1042"/>
      <c r="EV253" s="1032"/>
      <c r="EW253" s="1032"/>
      <c r="EX253" s="1032"/>
      <c r="EY253" s="1032" t="s">
        <v>278</v>
      </c>
      <c r="EZ253" s="1032" t="s">
        <v>4757</v>
      </c>
      <c r="FA253" s="1032" t="s">
        <v>278</v>
      </c>
      <c r="FB253" s="1032" t="s">
        <v>4764</v>
      </c>
      <c r="FC253" s="1032" t="s">
        <v>4780</v>
      </c>
      <c r="FD253" s="1032" t="s">
        <v>4800</v>
      </c>
      <c r="FE253" s="1032" t="s">
        <v>4814</v>
      </c>
      <c r="FF253" s="1032" t="s">
        <v>4820</v>
      </c>
      <c r="FG253" s="1043" t="s">
        <v>4843</v>
      </c>
      <c r="FH253" s="1032" t="s">
        <v>4850</v>
      </c>
      <c r="FI253" s="1032">
        <v>7</v>
      </c>
      <c r="FJ253" s="1032">
        <v>327</v>
      </c>
      <c r="FK253" s="1032" t="s">
        <v>4860</v>
      </c>
      <c r="FL253" s="1032" t="s">
        <v>4879</v>
      </c>
      <c r="FM253" s="1032" t="s">
        <v>4896</v>
      </c>
      <c r="FN253" s="1044" t="s">
        <v>1874</v>
      </c>
      <c r="FO253" s="1044" t="s">
        <v>1875</v>
      </c>
      <c r="FP253" s="1045" t="s">
        <v>1876</v>
      </c>
    </row>
    <row r="254" spans="2:172" ht="134.5" customHeight="1">
      <c r="B254" s="850" t="s">
        <v>5313</v>
      </c>
      <c r="C254" s="863"/>
      <c r="D254" s="850" t="s">
        <v>4934</v>
      </c>
      <c r="E254" s="850" t="s">
        <v>5314</v>
      </c>
      <c r="F254" s="863"/>
      <c r="H254" s="850" t="s">
        <v>4934</v>
      </c>
      <c r="I254" s="850" t="s">
        <v>5519</v>
      </c>
      <c r="J254" s="850" t="s">
        <v>5469</v>
      </c>
      <c r="K254" s="710" t="s">
        <v>275</v>
      </c>
      <c r="L254" s="710" t="s">
        <v>4483</v>
      </c>
      <c r="M254" s="710" t="s">
        <v>4507</v>
      </c>
      <c r="N254" s="710" t="s">
        <v>4514</v>
      </c>
      <c r="O254" s="895">
        <v>2019</v>
      </c>
      <c r="P254" s="896">
        <v>43445</v>
      </c>
      <c r="Q254" s="896">
        <v>43771</v>
      </c>
      <c r="R254" s="712">
        <f t="shared" si="87"/>
        <v>326</v>
      </c>
      <c r="S254" s="896"/>
      <c r="T254" s="896"/>
      <c r="U254" s="896"/>
      <c r="V254" s="896"/>
      <c r="W254" s="896"/>
      <c r="X254" s="896"/>
      <c r="Y254" s="896"/>
      <c r="Z254" s="896"/>
      <c r="AA254" s="896"/>
      <c r="AB254" s="710" t="s">
        <v>4520</v>
      </c>
      <c r="AC254" s="945" t="s">
        <v>4544</v>
      </c>
      <c r="AD254" s="710" t="s">
        <v>4568</v>
      </c>
      <c r="AE254" s="710" t="s">
        <v>4593</v>
      </c>
      <c r="AF254" s="710" t="s">
        <v>4604</v>
      </c>
      <c r="AG254" s="710" t="s">
        <v>4625</v>
      </c>
      <c r="AH254" s="898">
        <v>3.137</v>
      </c>
      <c r="AI254" s="868">
        <f t="shared" si="68"/>
        <v>3.137</v>
      </c>
      <c r="AJ254" s="867">
        <f t="shared" si="69"/>
        <v>0</v>
      </c>
      <c r="AK254" s="898"/>
      <c r="AL254" s="898"/>
      <c r="AM254" s="898"/>
      <c r="AN254" s="869">
        <f t="shared" si="70"/>
        <v>0</v>
      </c>
      <c r="AO254" s="869">
        <f t="shared" si="71"/>
        <v>0</v>
      </c>
      <c r="AP254" s="898"/>
      <c r="AQ254" s="904"/>
      <c r="AR254" s="954">
        <v>2.9999999999999997E-4</v>
      </c>
      <c r="AS254" s="869">
        <f t="shared" si="72"/>
        <v>0</v>
      </c>
      <c r="AT254" s="869">
        <f t="shared" si="73"/>
        <v>0</v>
      </c>
      <c r="AU254" s="956">
        <v>3.1019999999999999</v>
      </c>
      <c r="AV254" s="954">
        <v>0.99</v>
      </c>
      <c r="AW254" s="869">
        <f t="shared" si="74"/>
        <v>0.9888428434810328</v>
      </c>
      <c r="AX254" s="869">
        <f t="shared" si="75"/>
        <v>1.1571565189671951E-3</v>
      </c>
      <c r="AY254" s="898">
        <v>0</v>
      </c>
      <c r="AZ254" s="904">
        <v>0</v>
      </c>
      <c r="BA254" s="869">
        <f t="shared" si="76"/>
        <v>0</v>
      </c>
      <c r="BB254" s="869">
        <f t="shared" si="77"/>
        <v>0</v>
      </c>
      <c r="BC254" s="898">
        <v>0</v>
      </c>
      <c r="BD254" s="904">
        <v>0</v>
      </c>
      <c r="BE254" s="869">
        <f t="shared" si="78"/>
        <v>0</v>
      </c>
      <c r="BF254" s="869">
        <f t="shared" si="79"/>
        <v>0</v>
      </c>
      <c r="BG254" s="904"/>
      <c r="BH254" s="904"/>
      <c r="BI254" s="904"/>
      <c r="BJ254" s="904"/>
      <c r="BK254" s="904"/>
      <c r="BL254" s="714">
        <f t="shared" si="80"/>
        <v>0</v>
      </c>
      <c r="BM254" s="869">
        <f t="shared" si="81"/>
        <v>0</v>
      </c>
      <c r="BN254" s="898">
        <v>3.5000000000000003E-2</v>
      </c>
      <c r="BO254" s="904">
        <v>0.01</v>
      </c>
      <c r="BP254" s="869">
        <f t="shared" si="82"/>
        <v>1.1157156518967168E-2</v>
      </c>
      <c r="BQ254" s="869">
        <f t="shared" si="83"/>
        <v>-1.1571565189671673E-3</v>
      </c>
      <c r="BR254" s="904"/>
      <c r="BS254" s="904"/>
      <c r="BT254" s="898">
        <v>44.2</v>
      </c>
      <c r="BU254" s="954">
        <v>5.0000000000000001E-3</v>
      </c>
      <c r="BV254" s="901">
        <v>2</v>
      </c>
      <c r="BW254" s="901">
        <v>1</v>
      </c>
      <c r="BX254" s="901">
        <v>1</v>
      </c>
      <c r="BY254" s="901"/>
      <c r="BZ254" s="901"/>
      <c r="CA254" s="901"/>
      <c r="CB254" s="901"/>
      <c r="CC254" s="901"/>
      <c r="CD254" s="901"/>
      <c r="CE254" s="901"/>
      <c r="CF254" s="901"/>
      <c r="CG254" s="901"/>
      <c r="CH254" s="901"/>
      <c r="CI254" s="901"/>
      <c r="CJ254" s="901"/>
      <c r="CK254" s="901"/>
      <c r="CL254" s="901"/>
      <c r="CM254" s="901"/>
      <c r="CN254" s="901"/>
      <c r="CO254" s="901"/>
      <c r="CP254" s="901"/>
      <c r="CQ254" s="901"/>
      <c r="CR254" s="901">
        <v>1</v>
      </c>
      <c r="CS254" s="902">
        <f t="shared" si="90"/>
        <v>1</v>
      </c>
      <c r="CT254" s="871">
        <f t="shared" si="91"/>
        <v>1</v>
      </c>
      <c r="CU254" s="871">
        <f t="shared" si="85"/>
        <v>0</v>
      </c>
      <c r="CV254" s="942">
        <v>21.428000000000001</v>
      </c>
      <c r="CW254" s="710" t="s">
        <v>4643</v>
      </c>
      <c r="CX254" s="710"/>
      <c r="CY254" s="710"/>
      <c r="CZ254" s="710"/>
      <c r="DA254" s="710">
        <v>19</v>
      </c>
      <c r="DB254" s="943" t="s">
        <v>4656</v>
      </c>
      <c r="DC254" s="710" t="s">
        <v>278</v>
      </c>
      <c r="DD254" s="710" t="s">
        <v>4671</v>
      </c>
      <c r="DE254" s="710" t="s">
        <v>4675</v>
      </c>
      <c r="DF254" s="901">
        <v>2</v>
      </c>
      <c r="DG254" s="901">
        <v>42</v>
      </c>
      <c r="DH254" s="901"/>
      <c r="DI254" s="710" t="s">
        <v>278</v>
      </c>
      <c r="DJ254" s="710" t="s">
        <v>4679</v>
      </c>
      <c r="DK254" s="901">
        <v>107</v>
      </c>
      <c r="DL254" s="710" t="s">
        <v>278</v>
      </c>
      <c r="DM254" s="710" t="s">
        <v>4686</v>
      </c>
      <c r="DN254" s="901">
        <v>107</v>
      </c>
      <c r="DO254" s="710" t="s">
        <v>279</v>
      </c>
      <c r="DP254" s="710"/>
      <c r="DQ254" s="901"/>
      <c r="DR254" s="710"/>
      <c r="DS254" s="945"/>
      <c r="DT254" s="901"/>
      <c r="DU254" s="710"/>
      <c r="DV254" s="945"/>
      <c r="DW254" s="901"/>
      <c r="DX254" s="710"/>
      <c r="DY254" s="710"/>
      <c r="DZ254" s="901"/>
      <c r="EA254" s="710"/>
      <c r="EB254" s="710"/>
      <c r="EC254" s="901"/>
      <c r="ED254" s="710" t="s">
        <v>278</v>
      </c>
      <c r="EE254" s="710" t="s">
        <v>4726</v>
      </c>
      <c r="EF254" s="901">
        <v>107</v>
      </c>
      <c r="EG254" s="710" t="s">
        <v>279</v>
      </c>
      <c r="EH254" s="710"/>
      <c r="EI254" s="901"/>
      <c r="EJ254" s="710" t="s">
        <v>279</v>
      </c>
      <c r="EK254" s="710"/>
      <c r="EL254" s="901"/>
      <c r="EM254" s="710" t="s">
        <v>278</v>
      </c>
      <c r="EN254" s="710" t="s">
        <v>1685</v>
      </c>
      <c r="EO254" s="901">
        <v>7</v>
      </c>
      <c r="EP254" s="710" t="s">
        <v>279</v>
      </c>
      <c r="EQ254" s="710"/>
      <c r="ER254" s="901"/>
      <c r="ES254" s="710"/>
      <c r="ET254" s="945"/>
      <c r="EU254" s="901" t="s">
        <v>4754</v>
      </c>
      <c r="EV254" s="901"/>
      <c r="EW254" s="901"/>
      <c r="EX254" s="901"/>
      <c r="EY254" s="710" t="s">
        <v>278</v>
      </c>
      <c r="EZ254" s="710" t="s">
        <v>4758</v>
      </c>
      <c r="FA254" s="710" t="s">
        <v>278</v>
      </c>
      <c r="FB254" s="710" t="s">
        <v>4765</v>
      </c>
      <c r="FC254" s="945" t="s">
        <v>4544</v>
      </c>
      <c r="FD254" s="710" t="s">
        <v>4801</v>
      </c>
      <c r="FE254" s="710" t="s">
        <v>4815</v>
      </c>
      <c r="FF254" s="710" t="s">
        <v>4821</v>
      </c>
      <c r="FG254" s="710" t="s">
        <v>4844</v>
      </c>
      <c r="FH254" s="710" t="s">
        <v>4851</v>
      </c>
      <c r="FI254" s="710">
        <v>4</v>
      </c>
      <c r="FJ254" s="710">
        <v>45</v>
      </c>
      <c r="FK254" s="710" t="s">
        <v>4861</v>
      </c>
      <c r="FL254" s="710" t="s">
        <v>4880</v>
      </c>
      <c r="FM254" s="945" t="s">
        <v>4897</v>
      </c>
      <c r="FN254" s="710" t="s">
        <v>1874</v>
      </c>
      <c r="FO254" s="710" t="s">
        <v>1875</v>
      </c>
      <c r="FP254" s="1031" t="s">
        <v>1876</v>
      </c>
    </row>
    <row r="255" spans="2:172" ht="142" customHeight="1">
      <c r="B255" s="850" t="s">
        <v>5313</v>
      </c>
      <c r="C255" s="863"/>
      <c r="D255" s="850" t="s">
        <v>4934</v>
      </c>
      <c r="E255" s="850" t="s">
        <v>5314</v>
      </c>
      <c r="F255" s="863"/>
      <c r="H255" s="850" t="s">
        <v>4934</v>
      </c>
      <c r="I255" s="850" t="s">
        <v>5519</v>
      </c>
      <c r="J255" s="850" t="s">
        <v>5469</v>
      </c>
      <c r="K255" s="710" t="s">
        <v>275</v>
      </c>
      <c r="L255" s="710" t="s">
        <v>4484</v>
      </c>
      <c r="M255" s="710" t="s">
        <v>1872</v>
      </c>
      <c r="N255" s="710"/>
      <c r="O255" s="895">
        <v>2018</v>
      </c>
      <c r="P255" s="896">
        <v>43463</v>
      </c>
      <c r="Q255" s="896">
        <v>43830</v>
      </c>
      <c r="R255" s="712">
        <f t="shared" si="87"/>
        <v>367</v>
      </c>
      <c r="S255" s="896"/>
      <c r="T255" s="896"/>
      <c r="U255" s="896"/>
      <c r="V255" s="896"/>
      <c r="W255" s="896"/>
      <c r="X255" s="896"/>
      <c r="Y255" s="896"/>
      <c r="Z255" s="896"/>
      <c r="AA255" s="896"/>
      <c r="AB255" s="710" t="s">
        <v>4929</v>
      </c>
      <c r="AC255" s="1046" t="s">
        <v>4930</v>
      </c>
      <c r="AD255" s="710" t="s">
        <v>4569</v>
      </c>
      <c r="AE255" s="710" t="s">
        <v>4594</v>
      </c>
      <c r="AF255" s="710" t="s">
        <v>4605</v>
      </c>
      <c r="AG255" s="710" t="s">
        <v>4626</v>
      </c>
      <c r="AH255" s="898">
        <v>16.664999999999999</v>
      </c>
      <c r="AI255" s="868">
        <f t="shared" si="68"/>
        <v>16.665000000000003</v>
      </c>
      <c r="AJ255" s="875">
        <f t="shared" si="69"/>
        <v>0</v>
      </c>
      <c r="AK255" s="898"/>
      <c r="AL255" s="898"/>
      <c r="AM255" s="898"/>
      <c r="AN255" s="869">
        <f t="shared" si="70"/>
        <v>0</v>
      </c>
      <c r="AO255" s="869">
        <f t="shared" si="71"/>
        <v>0</v>
      </c>
      <c r="AP255" s="898"/>
      <c r="AQ255" s="899"/>
      <c r="AR255" s="899">
        <f>AP255/6205.63</f>
        <v>0</v>
      </c>
      <c r="AS255" s="869">
        <f t="shared" si="72"/>
        <v>0</v>
      </c>
      <c r="AT255" s="869">
        <f t="shared" si="73"/>
        <v>0</v>
      </c>
      <c r="AU255" s="942">
        <v>10.765000000000001</v>
      </c>
      <c r="AV255" s="899">
        <v>0.6462360427422259</v>
      </c>
      <c r="AW255" s="869">
        <f t="shared" si="74"/>
        <v>0.64596459645964599</v>
      </c>
      <c r="AX255" s="869">
        <f t="shared" si="75"/>
        <v>2.7144628257991243E-4</v>
      </c>
      <c r="AY255" s="898">
        <v>1.173</v>
      </c>
      <c r="AZ255" s="899">
        <f>AY255/AH255</f>
        <v>7.0387038703870392E-2</v>
      </c>
      <c r="BA255" s="869">
        <f t="shared" si="76"/>
        <v>7.0387038703870392E-2</v>
      </c>
      <c r="BB255" s="869">
        <f t="shared" si="77"/>
        <v>0</v>
      </c>
      <c r="BC255" s="898">
        <v>4.72</v>
      </c>
      <c r="BD255" s="899">
        <f>BC255/AH255</f>
        <v>0.28322832283228322</v>
      </c>
      <c r="BE255" s="869">
        <f t="shared" si="78"/>
        <v>0.28322832283228322</v>
      </c>
      <c r="BF255" s="869">
        <f t="shared" si="79"/>
        <v>0</v>
      </c>
      <c r="BG255" s="899"/>
      <c r="BH255" s="899"/>
      <c r="BI255" s="899"/>
      <c r="BJ255" s="899"/>
      <c r="BK255" s="899"/>
      <c r="BL255" s="714">
        <f t="shared" si="80"/>
        <v>0</v>
      </c>
      <c r="BM255" s="869">
        <f t="shared" si="81"/>
        <v>0</v>
      </c>
      <c r="BN255" s="898">
        <v>7.0000000000000001E-3</v>
      </c>
      <c r="BO255" s="899">
        <f>BN255/AH255</f>
        <v>4.200420042004201E-4</v>
      </c>
      <c r="BP255" s="869">
        <f t="shared" si="82"/>
        <v>4.200420042004201E-4</v>
      </c>
      <c r="BQ255" s="869">
        <f t="shared" si="83"/>
        <v>0</v>
      </c>
      <c r="BR255" s="899"/>
      <c r="BS255" s="899"/>
      <c r="BT255" s="898">
        <v>12.5</v>
      </c>
      <c r="BU255" s="899">
        <f>BT255/6077.761</f>
        <v>2.0566784379971504E-3</v>
      </c>
      <c r="BV255" s="901">
        <v>57</v>
      </c>
      <c r="BW255" s="901">
        <v>43</v>
      </c>
      <c r="BX255" s="901">
        <v>18</v>
      </c>
      <c r="BY255" s="901"/>
      <c r="BZ255" s="901"/>
      <c r="CA255" s="901"/>
      <c r="CB255" s="901"/>
      <c r="CC255" s="901"/>
      <c r="CD255" s="901"/>
      <c r="CE255" s="901"/>
      <c r="CF255" s="901">
        <v>3</v>
      </c>
      <c r="CG255" s="901">
        <v>2</v>
      </c>
      <c r="CH255" s="901"/>
      <c r="CI255" s="901"/>
      <c r="CJ255" s="901">
        <v>1</v>
      </c>
      <c r="CK255" s="901"/>
      <c r="CL255" s="901"/>
      <c r="CM255" s="901">
        <v>2</v>
      </c>
      <c r="CN255" s="901"/>
      <c r="CO255" s="901"/>
      <c r="CP255" s="901"/>
      <c r="CQ255" s="901">
        <v>1</v>
      </c>
      <c r="CR255" s="901"/>
      <c r="CS255" s="902">
        <f t="shared" si="90"/>
        <v>9</v>
      </c>
      <c r="CT255" s="871">
        <f t="shared" si="91"/>
        <v>9</v>
      </c>
      <c r="CU255" s="871">
        <f t="shared" si="85"/>
        <v>0</v>
      </c>
      <c r="CV255" s="942">
        <v>31.7</v>
      </c>
      <c r="CW255" s="710" t="s">
        <v>4644</v>
      </c>
      <c r="CX255" s="710"/>
      <c r="CY255" s="710"/>
      <c r="CZ255" s="710"/>
      <c r="DA255" s="710">
        <v>100</v>
      </c>
      <c r="DB255" s="899" t="s">
        <v>4657</v>
      </c>
      <c r="DC255" s="710" t="s">
        <v>278</v>
      </c>
      <c r="DD255" s="710" t="s">
        <v>4672</v>
      </c>
      <c r="DE255" s="710" t="s">
        <v>4676</v>
      </c>
      <c r="DF255" s="901">
        <v>17</v>
      </c>
      <c r="DG255" s="901" t="s">
        <v>4677</v>
      </c>
      <c r="DH255" s="901"/>
      <c r="DI255" s="710" t="s">
        <v>278</v>
      </c>
      <c r="DJ255" s="710" t="s">
        <v>4680</v>
      </c>
      <c r="DK255" s="901">
        <v>2853</v>
      </c>
      <c r="DL255" s="710"/>
      <c r="DM255" s="710" t="s">
        <v>4687</v>
      </c>
      <c r="DN255" s="901">
        <v>381</v>
      </c>
      <c r="DO255" s="710" t="s">
        <v>950</v>
      </c>
      <c r="DP255" s="710"/>
      <c r="DQ255" s="901"/>
      <c r="DR255" s="710" t="s">
        <v>278</v>
      </c>
      <c r="DS255" s="710" t="s">
        <v>4699</v>
      </c>
      <c r="DT255" s="901">
        <v>29</v>
      </c>
      <c r="DU255" s="710" t="s">
        <v>278</v>
      </c>
      <c r="DV255" s="710" t="s">
        <v>4705</v>
      </c>
      <c r="DW255" s="901">
        <v>2</v>
      </c>
      <c r="DX255" s="710" t="s">
        <v>278</v>
      </c>
      <c r="DY255" s="710" t="s">
        <v>4712</v>
      </c>
      <c r="DZ255" s="901">
        <v>27</v>
      </c>
      <c r="EA255" s="710" t="s">
        <v>278</v>
      </c>
      <c r="EB255" s="710" t="s">
        <v>4718</v>
      </c>
      <c r="EC255" s="901">
        <v>852</v>
      </c>
      <c r="ED255" s="710" t="s">
        <v>4724</v>
      </c>
      <c r="EE255" s="710"/>
      <c r="EF255" s="901"/>
      <c r="EG255" s="710" t="s">
        <v>4733</v>
      </c>
      <c r="EH255" s="710"/>
      <c r="EI255" s="901"/>
      <c r="EJ255" s="710" t="s">
        <v>4734</v>
      </c>
      <c r="EK255" s="710" t="s">
        <v>4736</v>
      </c>
      <c r="EL255" s="901">
        <v>4</v>
      </c>
      <c r="EM255" s="710" t="s">
        <v>4734</v>
      </c>
      <c r="EN255" s="710" t="s">
        <v>4736</v>
      </c>
      <c r="EO255" s="710">
        <v>19</v>
      </c>
      <c r="EP255" s="710" t="s">
        <v>389</v>
      </c>
      <c r="EQ255" s="710" t="s">
        <v>410</v>
      </c>
      <c r="ER255" s="710" t="s">
        <v>410</v>
      </c>
      <c r="ES255" s="710"/>
      <c r="ET255" s="710"/>
      <c r="EU255" s="901"/>
      <c r="EV255" s="901"/>
      <c r="EW255" s="901"/>
      <c r="EX255" s="901"/>
      <c r="EY255" s="710" t="s">
        <v>4755</v>
      </c>
      <c r="EZ255" s="710" t="s">
        <v>4759</v>
      </c>
      <c r="FA255" s="710" t="s">
        <v>278</v>
      </c>
      <c r="FB255" s="710" t="s">
        <v>4766</v>
      </c>
      <c r="FC255" s="945" t="s">
        <v>4781</v>
      </c>
      <c r="FD255" s="945" t="s">
        <v>4802</v>
      </c>
      <c r="FE255" s="945" t="s">
        <v>4931</v>
      </c>
      <c r="FF255" s="710" t="s">
        <v>4822</v>
      </c>
      <c r="FG255" s="710" t="s">
        <v>4845</v>
      </c>
      <c r="FH255" s="710" t="s">
        <v>4852</v>
      </c>
      <c r="FI255" s="710">
        <v>6</v>
      </c>
      <c r="FJ255" s="710">
        <v>51</v>
      </c>
      <c r="FK255" s="710" t="s">
        <v>4862</v>
      </c>
      <c r="FL255" s="710" t="s">
        <v>4881</v>
      </c>
      <c r="FM255" s="710"/>
      <c r="FN255" s="710" t="s">
        <v>1874</v>
      </c>
      <c r="FO255" s="710" t="s">
        <v>1875</v>
      </c>
      <c r="FP255" s="710" t="s">
        <v>1876</v>
      </c>
    </row>
    <row r="256" spans="2:172" ht="117" customHeight="1">
      <c r="B256" s="850" t="s">
        <v>5313</v>
      </c>
      <c r="C256" s="863"/>
      <c r="D256" s="850" t="s">
        <v>4934</v>
      </c>
      <c r="E256" s="850" t="s">
        <v>5314</v>
      </c>
      <c r="F256" s="863"/>
      <c r="H256" s="850" t="s">
        <v>4934</v>
      </c>
      <c r="I256" s="850" t="s">
        <v>5519</v>
      </c>
      <c r="J256" s="850" t="s">
        <v>5469</v>
      </c>
      <c r="K256" s="710" t="s">
        <v>275</v>
      </c>
      <c r="L256" s="710" t="s">
        <v>4485</v>
      </c>
      <c r="M256" s="710" t="s">
        <v>4506</v>
      </c>
      <c r="N256" s="710" t="s">
        <v>4512</v>
      </c>
      <c r="O256" s="895">
        <v>2019</v>
      </c>
      <c r="P256" s="896">
        <v>43661</v>
      </c>
      <c r="Q256" s="896">
        <v>43800</v>
      </c>
      <c r="R256" s="712">
        <f t="shared" si="87"/>
        <v>139</v>
      </c>
      <c r="S256" s="896"/>
      <c r="T256" s="896"/>
      <c r="U256" s="896"/>
      <c r="V256" s="896"/>
      <c r="W256" s="896"/>
      <c r="X256" s="896"/>
      <c r="Y256" s="896"/>
      <c r="Z256" s="896"/>
      <c r="AA256" s="896"/>
      <c r="AB256" s="710" t="s">
        <v>4521</v>
      </c>
      <c r="AC256" s="945" t="s">
        <v>4545</v>
      </c>
      <c r="AD256" s="710" t="s">
        <v>4570</v>
      </c>
      <c r="AE256" s="710" t="s">
        <v>4595</v>
      </c>
      <c r="AF256" s="710" t="s">
        <v>4606</v>
      </c>
      <c r="AG256" s="710" t="s">
        <v>4627</v>
      </c>
      <c r="AH256" s="898">
        <v>19.016999999999999</v>
      </c>
      <c r="AI256" s="868">
        <f t="shared" si="68"/>
        <v>19.017000000000003</v>
      </c>
      <c r="AJ256" s="875">
        <f t="shared" si="69"/>
        <v>0</v>
      </c>
      <c r="AK256" s="898"/>
      <c r="AL256" s="898"/>
      <c r="AM256" s="898"/>
      <c r="AN256" s="869">
        <f t="shared" si="70"/>
        <v>0</v>
      </c>
      <c r="AO256" s="869">
        <f t="shared" si="71"/>
        <v>0</v>
      </c>
      <c r="AP256" s="898"/>
      <c r="AQ256" s="899"/>
      <c r="AR256" s="899">
        <v>3.3999999999999998E-3</v>
      </c>
      <c r="AS256" s="869">
        <f t="shared" si="72"/>
        <v>0</v>
      </c>
      <c r="AT256" s="869">
        <f t="shared" si="73"/>
        <v>0</v>
      </c>
      <c r="AU256" s="946">
        <v>18.917000000000002</v>
      </c>
      <c r="AV256" s="899">
        <v>0.99470000000000003</v>
      </c>
      <c r="AW256" s="869">
        <f t="shared" si="74"/>
        <v>0.99474154703686191</v>
      </c>
      <c r="AX256" s="869">
        <f t="shared" si="75"/>
        <v>-4.1547036861877551E-5</v>
      </c>
      <c r="AY256" s="898">
        <v>0.1</v>
      </c>
      <c r="AZ256" s="899">
        <v>5.3E-3</v>
      </c>
      <c r="BA256" s="869">
        <f t="shared" si="76"/>
        <v>5.2584529631382448E-3</v>
      </c>
      <c r="BB256" s="869">
        <f t="shared" si="77"/>
        <v>4.1547036861755253E-5</v>
      </c>
      <c r="BC256" s="898">
        <v>0</v>
      </c>
      <c r="BD256" s="904">
        <v>0</v>
      </c>
      <c r="BE256" s="869">
        <f t="shared" si="78"/>
        <v>0</v>
      </c>
      <c r="BF256" s="869">
        <f t="shared" si="79"/>
        <v>0</v>
      </c>
      <c r="BG256" s="904"/>
      <c r="BH256" s="904"/>
      <c r="BI256" s="904"/>
      <c r="BJ256" s="904"/>
      <c r="BK256" s="904"/>
      <c r="BL256" s="714">
        <f t="shared" si="80"/>
        <v>0</v>
      </c>
      <c r="BM256" s="869">
        <f t="shared" si="81"/>
        <v>0</v>
      </c>
      <c r="BN256" s="898">
        <v>0</v>
      </c>
      <c r="BO256" s="904">
        <v>0</v>
      </c>
      <c r="BP256" s="869">
        <f t="shared" si="82"/>
        <v>0</v>
      </c>
      <c r="BQ256" s="869">
        <f t="shared" si="83"/>
        <v>0</v>
      </c>
      <c r="BR256" s="904"/>
      <c r="BS256" s="904"/>
      <c r="BT256" s="898">
        <v>109.57299999999999</v>
      </c>
      <c r="BU256" s="899">
        <v>1.7000000000000001E-2</v>
      </c>
      <c r="BV256" s="901">
        <v>21</v>
      </c>
      <c r="BW256" s="901">
        <v>16</v>
      </c>
      <c r="BX256" s="901">
        <v>16</v>
      </c>
      <c r="BY256" s="901">
        <v>0</v>
      </c>
      <c r="BZ256" s="901">
        <v>7</v>
      </c>
      <c r="CA256" s="901"/>
      <c r="CB256" s="901"/>
      <c r="CC256" s="901"/>
      <c r="CD256" s="901"/>
      <c r="CE256" s="901"/>
      <c r="CF256" s="901"/>
      <c r="CG256" s="901">
        <v>1</v>
      </c>
      <c r="CH256" s="901"/>
      <c r="CI256" s="901">
        <v>1</v>
      </c>
      <c r="CJ256" s="901">
        <v>3</v>
      </c>
      <c r="CK256" s="901"/>
      <c r="CL256" s="901">
        <v>1</v>
      </c>
      <c r="CM256" s="901">
        <v>1</v>
      </c>
      <c r="CN256" s="901"/>
      <c r="CO256" s="901"/>
      <c r="CP256" s="901"/>
      <c r="CQ256" s="901"/>
      <c r="CR256" s="901">
        <v>2</v>
      </c>
      <c r="CS256" s="902">
        <f t="shared" si="90"/>
        <v>16</v>
      </c>
      <c r="CT256" s="871">
        <f t="shared" si="91"/>
        <v>16</v>
      </c>
      <c r="CU256" s="871">
        <f t="shared" si="85"/>
        <v>0</v>
      </c>
      <c r="CV256" s="942">
        <v>4.45</v>
      </c>
      <c r="CW256" s="710" t="s">
        <v>4645</v>
      </c>
      <c r="CX256" s="710"/>
      <c r="CY256" s="710"/>
      <c r="CZ256" s="710"/>
      <c r="DA256" s="710">
        <v>15</v>
      </c>
      <c r="DB256" s="943" t="s">
        <v>4658</v>
      </c>
      <c r="DC256" s="710" t="s">
        <v>278</v>
      </c>
      <c r="DD256" s="710" t="s">
        <v>4673</v>
      </c>
      <c r="DE256" s="710" t="s">
        <v>4674</v>
      </c>
      <c r="DF256" s="901">
        <v>41</v>
      </c>
      <c r="DG256" s="901">
        <v>34</v>
      </c>
      <c r="DH256" s="901"/>
      <c r="DI256" s="710" t="s">
        <v>279</v>
      </c>
      <c r="DJ256" s="710"/>
      <c r="DK256" s="901"/>
      <c r="DL256" s="710" t="s">
        <v>279</v>
      </c>
      <c r="DM256" s="710"/>
      <c r="DN256" s="901"/>
      <c r="DO256" s="710" t="s">
        <v>279</v>
      </c>
      <c r="DP256" s="710"/>
      <c r="DQ256" s="901"/>
      <c r="DR256" s="710" t="s">
        <v>279</v>
      </c>
      <c r="DS256" s="710"/>
      <c r="DT256" s="901"/>
      <c r="DU256" s="710" t="s">
        <v>278</v>
      </c>
      <c r="DV256" s="710" t="s">
        <v>4706</v>
      </c>
      <c r="DW256" s="901">
        <v>21</v>
      </c>
      <c r="DX256" s="710"/>
      <c r="DY256" s="710"/>
      <c r="DZ256" s="901"/>
      <c r="EA256" s="710" t="s">
        <v>278</v>
      </c>
      <c r="EB256" s="945" t="s">
        <v>4719</v>
      </c>
      <c r="EC256" s="901">
        <v>600</v>
      </c>
      <c r="ED256" s="710" t="s">
        <v>278</v>
      </c>
      <c r="EE256" s="710" t="s">
        <v>4727</v>
      </c>
      <c r="EF256" s="901">
        <v>3836</v>
      </c>
      <c r="EG256" s="710" t="s">
        <v>279</v>
      </c>
      <c r="EH256" s="710"/>
      <c r="EI256" s="901"/>
      <c r="EJ256" s="710" t="s">
        <v>279</v>
      </c>
      <c r="EK256" s="710"/>
      <c r="EL256" s="901"/>
      <c r="EM256" s="710" t="s">
        <v>278</v>
      </c>
      <c r="EN256" s="710" t="s">
        <v>4738</v>
      </c>
      <c r="EO256" s="901">
        <v>10</v>
      </c>
      <c r="EP256" s="710" t="s">
        <v>279</v>
      </c>
      <c r="EQ256" s="710"/>
      <c r="ER256" s="901"/>
      <c r="ES256" s="710" t="s">
        <v>278</v>
      </c>
      <c r="ET256" s="710" t="s">
        <v>4750</v>
      </c>
      <c r="EU256" s="901">
        <v>10</v>
      </c>
      <c r="EV256" s="901"/>
      <c r="EW256" s="901"/>
      <c r="EX256" s="901"/>
      <c r="EY256" s="710" t="s">
        <v>279</v>
      </c>
      <c r="EZ256" s="710"/>
      <c r="FA256" s="710" t="s">
        <v>278</v>
      </c>
      <c r="FB256" s="710" t="s">
        <v>4767</v>
      </c>
      <c r="FC256" s="945" t="s">
        <v>4782</v>
      </c>
      <c r="FD256" s="710" t="s">
        <v>4803</v>
      </c>
      <c r="FE256" s="710" t="s">
        <v>4804</v>
      </c>
      <c r="FF256" s="710" t="s">
        <v>4823</v>
      </c>
      <c r="FG256" s="710" t="s">
        <v>4846</v>
      </c>
      <c r="FH256" s="710" t="s">
        <v>4853</v>
      </c>
      <c r="FI256" s="710">
        <v>2</v>
      </c>
      <c r="FJ256" s="710">
        <v>49</v>
      </c>
      <c r="FK256" s="710" t="s">
        <v>4863</v>
      </c>
      <c r="FL256" s="710" t="s">
        <v>4882</v>
      </c>
      <c r="FM256" s="945" t="s">
        <v>4898</v>
      </c>
      <c r="FN256" s="710" t="s">
        <v>1874</v>
      </c>
      <c r="FO256" s="710" t="s">
        <v>1875</v>
      </c>
      <c r="FP256" s="1031" t="s">
        <v>1876</v>
      </c>
    </row>
    <row r="257" spans="2:172" ht="164.5" customHeight="1">
      <c r="B257" s="850" t="s">
        <v>5313</v>
      </c>
      <c r="C257" s="863"/>
      <c r="D257" s="850" t="s">
        <v>4934</v>
      </c>
      <c r="E257" s="850" t="s">
        <v>5314</v>
      </c>
      <c r="F257" s="863"/>
      <c r="H257" s="850" t="s">
        <v>4934</v>
      </c>
      <c r="I257" s="850" t="s">
        <v>5519</v>
      </c>
      <c r="J257" s="850" t="s">
        <v>5469</v>
      </c>
      <c r="K257" s="710" t="s">
        <v>275</v>
      </c>
      <c r="L257" s="710" t="s">
        <v>4486</v>
      </c>
      <c r="M257" s="710" t="s">
        <v>1872</v>
      </c>
      <c r="N257" s="710" t="s">
        <v>1873</v>
      </c>
      <c r="O257" s="895">
        <v>2018</v>
      </c>
      <c r="P257" s="896">
        <v>43640</v>
      </c>
      <c r="Q257" s="896">
        <v>43738</v>
      </c>
      <c r="R257" s="712">
        <f t="shared" si="87"/>
        <v>98</v>
      </c>
      <c r="S257" s="896"/>
      <c r="T257" s="896"/>
      <c r="U257" s="896"/>
      <c r="V257" s="896"/>
      <c r="W257" s="896"/>
      <c r="X257" s="896"/>
      <c r="Y257" s="896"/>
      <c r="Z257" s="896"/>
      <c r="AA257" s="896"/>
      <c r="AB257" s="710" t="s">
        <v>4522</v>
      </c>
      <c r="AC257" s="945" t="s">
        <v>4546</v>
      </c>
      <c r="AD257" s="710" t="s">
        <v>4571</v>
      </c>
      <c r="AE257" s="708" t="s">
        <v>4596</v>
      </c>
      <c r="AF257" s="710" t="s">
        <v>4607</v>
      </c>
      <c r="AG257" s="710" t="s">
        <v>4628</v>
      </c>
      <c r="AH257" s="898">
        <v>0</v>
      </c>
      <c r="AI257" s="868">
        <f t="shared" si="68"/>
        <v>0</v>
      </c>
      <c r="AJ257" s="867">
        <f t="shared" si="69"/>
        <v>0</v>
      </c>
      <c r="AK257" s="898"/>
      <c r="AL257" s="898"/>
      <c r="AM257" s="898"/>
      <c r="AN257" s="869" t="e">
        <f t="shared" si="70"/>
        <v>#DIV/0!</v>
      </c>
      <c r="AO257" s="869" t="e">
        <f t="shared" si="71"/>
        <v>#DIV/0!</v>
      </c>
      <c r="AP257" s="898"/>
      <c r="AQ257" s="899"/>
      <c r="AR257" s="904">
        <v>0</v>
      </c>
      <c r="AS257" s="869" t="e">
        <f t="shared" si="72"/>
        <v>#DIV/0!</v>
      </c>
      <c r="AT257" s="869" t="e">
        <f t="shared" si="73"/>
        <v>#DIV/0!</v>
      </c>
      <c r="AU257" s="942">
        <v>0</v>
      </c>
      <c r="AV257" s="904">
        <v>0</v>
      </c>
      <c r="AW257" s="869" t="e">
        <f t="shared" si="74"/>
        <v>#DIV/0!</v>
      </c>
      <c r="AX257" s="869" t="e">
        <f t="shared" si="75"/>
        <v>#DIV/0!</v>
      </c>
      <c r="AY257" s="898">
        <v>0</v>
      </c>
      <c r="AZ257" s="904">
        <v>0</v>
      </c>
      <c r="BA257" s="869" t="e">
        <f t="shared" si="76"/>
        <v>#DIV/0!</v>
      </c>
      <c r="BB257" s="869" t="e">
        <f t="shared" si="77"/>
        <v>#DIV/0!</v>
      </c>
      <c r="BC257" s="898">
        <v>0</v>
      </c>
      <c r="BD257" s="904">
        <v>0</v>
      </c>
      <c r="BE257" s="869" t="e">
        <f t="shared" si="78"/>
        <v>#DIV/0!</v>
      </c>
      <c r="BF257" s="869" t="e">
        <f t="shared" si="79"/>
        <v>#DIV/0!</v>
      </c>
      <c r="BG257" s="904"/>
      <c r="BH257" s="904"/>
      <c r="BI257" s="904"/>
      <c r="BJ257" s="904"/>
      <c r="BK257" s="904"/>
      <c r="BL257" s="714" t="e">
        <f t="shared" si="80"/>
        <v>#DIV/0!</v>
      </c>
      <c r="BM257" s="869" t="e">
        <f t="shared" si="81"/>
        <v>#DIV/0!</v>
      </c>
      <c r="BN257" s="898">
        <v>0</v>
      </c>
      <c r="BO257" s="904">
        <v>0</v>
      </c>
      <c r="BP257" s="869" t="e">
        <f t="shared" si="82"/>
        <v>#DIV/0!</v>
      </c>
      <c r="BQ257" s="869" t="e">
        <f t="shared" si="83"/>
        <v>#DIV/0!</v>
      </c>
      <c r="BR257" s="904"/>
      <c r="BS257" s="904"/>
      <c r="BT257" s="898">
        <f>0.3+0.166+0.99903221+17.9</f>
        <v>19.365032209999999</v>
      </c>
      <c r="BU257" s="899">
        <v>1.6000000000000001E-3</v>
      </c>
      <c r="BV257" s="901">
        <f>1+15+1</f>
        <v>17</v>
      </c>
      <c r="BW257" s="901">
        <f>1+10+1</f>
        <v>12</v>
      </c>
      <c r="BX257" s="901">
        <v>1</v>
      </c>
      <c r="BY257" s="901"/>
      <c r="BZ257" s="901"/>
      <c r="CA257" s="901"/>
      <c r="CB257" s="901"/>
      <c r="CC257" s="901"/>
      <c r="CD257" s="901"/>
      <c r="CE257" s="901"/>
      <c r="CF257" s="901"/>
      <c r="CG257" s="901"/>
      <c r="CH257" s="901"/>
      <c r="CI257" s="901"/>
      <c r="CJ257" s="901"/>
      <c r="CK257" s="901"/>
      <c r="CL257" s="901"/>
      <c r="CM257" s="901"/>
      <c r="CN257" s="901"/>
      <c r="CO257" s="901"/>
      <c r="CP257" s="901"/>
      <c r="CQ257" s="901"/>
      <c r="CR257" s="901">
        <v>1</v>
      </c>
      <c r="CS257" s="902">
        <f t="shared" si="90"/>
        <v>1</v>
      </c>
      <c r="CT257" s="871">
        <f t="shared" si="91"/>
        <v>1</v>
      </c>
      <c r="CU257" s="871">
        <f t="shared" si="85"/>
        <v>0</v>
      </c>
      <c r="CV257" s="942">
        <v>44.704999999999998</v>
      </c>
      <c r="CW257" s="710" t="s">
        <v>4646</v>
      </c>
      <c r="CX257" s="710"/>
      <c r="CY257" s="710"/>
      <c r="CZ257" s="710"/>
      <c r="DA257" s="710">
        <v>100</v>
      </c>
      <c r="DB257" s="903" t="s">
        <v>4659</v>
      </c>
      <c r="DC257" s="710" t="s">
        <v>278</v>
      </c>
      <c r="DD257" s="710" t="s">
        <v>4669</v>
      </c>
      <c r="DE257" s="710" t="s">
        <v>4674</v>
      </c>
      <c r="DF257" s="901">
        <v>11</v>
      </c>
      <c r="DG257" s="901"/>
      <c r="DH257" s="901"/>
      <c r="DI257" s="710" t="s">
        <v>279</v>
      </c>
      <c r="DJ257" s="710"/>
      <c r="DK257" s="901"/>
      <c r="DL257" s="710" t="s">
        <v>278</v>
      </c>
      <c r="DM257" s="710" t="s">
        <v>4688</v>
      </c>
      <c r="DN257" s="901">
        <v>35</v>
      </c>
      <c r="DO257" s="710" t="s">
        <v>279</v>
      </c>
      <c r="DP257" s="710"/>
      <c r="DQ257" s="901"/>
      <c r="DR257" s="710" t="s">
        <v>278</v>
      </c>
      <c r="DS257" s="710" t="s">
        <v>4700</v>
      </c>
      <c r="DT257" s="901">
        <v>15</v>
      </c>
      <c r="DU257" s="710" t="s">
        <v>278</v>
      </c>
      <c r="DV257" s="710" t="s">
        <v>4707</v>
      </c>
      <c r="DW257" s="901">
        <v>2</v>
      </c>
      <c r="DX257" s="710"/>
      <c r="DY257" s="710"/>
      <c r="DZ257" s="901"/>
      <c r="EA257" s="710" t="s">
        <v>278</v>
      </c>
      <c r="EB257" s="710" t="s">
        <v>4720</v>
      </c>
      <c r="EC257" s="901">
        <v>113</v>
      </c>
      <c r="ED257" s="710" t="s">
        <v>279</v>
      </c>
      <c r="EE257" s="710"/>
      <c r="EF257" s="901"/>
      <c r="EG257" s="710" t="s">
        <v>279</v>
      </c>
      <c r="EH257" s="710"/>
      <c r="EI257" s="901"/>
      <c r="EJ257" s="710" t="s">
        <v>279</v>
      </c>
      <c r="EK257" s="710"/>
      <c r="EL257" s="901"/>
      <c r="EM257" s="710" t="s">
        <v>278</v>
      </c>
      <c r="EN257" s="710" t="s">
        <v>4739</v>
      </c>
      <c r="EO257" s="901">
        <v>15</v>
      </c>
      <c r="EP257" s="710" t="s">
        <v>279</v>
      </c>
      <c r="EQ257" s="710"/>
      <c r="ER257" s="901"/>
      <c r="ES257" s="710" t="s">
        <v>279</v>
      </c>
      <c r="ET257" s="710" t="s">
        <v>4751</v>
      </c>
      <c r="EU257" s="901">
        <v>918</v>
      </c>
      <c r="EV257" s="901"/>
      <c r="EW257" s="901"/>
      <c r="EX257" s="901"/>
      <c r="EY257" s="710" t="s">
        <v>278</v>
      </c>
      <c r="EZ257" s="710" t="s">
        <v>4760</v>
      </c>
      <c r="FA257" s="710" t="s">
        <v>278</v>
      </c>
      <c r="FB257" s="710" t="s">
        <v>4768</v>
      </c>
      <c r="FC257" s="710" t="s">
        <v>4783</v>
      </c>
      <c r="FD257" s="945" t="s">
        <v>4804</v>
      </c>
      <c r="FE257" s="945" t="s">
        <v>4816</v>
      </c>
      <c r="FF257" s="710" t="s">
        <v>4824</v>
      </c>
      <c r="FG257" s="710" t="s">
        <v>4847</v>
      </c>
      <c r="FH257" s="710" t="s">
        <v>4854</v>
      </c>
      <c r="FI257" s="710">
        <v>0</v>
      </c>
      <c r="FJ257" s="710">
        <v>0</v>
      </c>
      <c r="FK257" s="710" t="s">
        <v>4864</v>
      </c>
      <c r="FL257" s="710" t="s">
        <v>4883</v>
      </c>
      <c r="FM257" s="945" t="s">
        <v>4899</v>
      </c>
      <c r="FN257" s="710" t="s">
        <v>1874</v>
      </c>
      <c r="FO257" s="710" t="s">
        <v>1875</v>
      </c>
      <c r="FP257" s="1031" t="s">
        <v>1876</v>
      </c>
    </row>
    <row r="258" spans="2:172" ht="139.5" customHeight="1">
      <c r="B258" s="850" t="s">
        <v>5313</v>
      </c>
      <c r="C258" s="863"/>
      <c r="D258" s="850" t="s">
        <v>4934</v>
      </c>
      <c r="E258" s="850" t="s">
        <v>5314</v>
      </c>
      <c r="F258" s="863"/>
      <c r="H258" s="850" t="s">
        <v>4934</v>
      </c>
      <c r="I258" s="850" t="s">
        <v>5519</v>
      </c>
      <c r="J258" s="850" t="s">
        <v>5469</v>
      </c>
      <c r="K258" s="710" t="s">
        <v>275</v>
      </c>
      <c r="L258" s="710" t="s">
        <v>4487</v>
      </c>
      <c r="M258" s="710" t="s">
        <v>1872</v>
      </c>
      <c r="N258" s="710" t="s">
        <v>4515</v>
      </c>
      <c r="O258" s="895">
        <v>2019</v>
      </c>
      <c r="P258" s="896">
        <v>43392</v>
      </c>
      <c r="Q258" s="896">
        <v>43815</v>
      </c>
      <c r="R258" s="712">
        <f t="shared" si="87"/>
        <v>423</v>
      </c>
      <c r="S258" s="896"/>
      <c r="T258" s="896"/>
      <c r="U258" s="896"/>
      <c r="V258" s="896"/>
      <c r="W258" s="896"/>
      <c r="X258" s="896"/>
      <c r="Y258" s="896"/>
      <c r="Z258" s="896"/>
      <c r="AA258" s="896"/>
      <c r="AB258" s="710" t="s">
        <v>4523</v>
      </c>
      <c r="AC258" s="1047" t="s">
        <v>4547</v>
      </c>
      <c r="AD258" s="710" t="s">
        <v>4572</v>
      </c>
      <c r="AE258" s="710" t="s">
        <v>4597</v>
      </c>
      <c r="AF258" s="710" t="s">
        <v>4608</v>
      </c>
      <c r="AG258" s="710" t="s">
        <v>4597</v>
      </c>
      <c r="AH258" s="898">
        <v>0.55300000000000005</v>
      </c>
      <c r="AI258" s="868">
        <f t="shared" si="68"/>
        <v>0.55299999999999994</v>
      </c>
      <c r="AJ258" s="867">
        <f t="shared" si="69"/>
        <v>0</v>
      </c>
      <c r="AK258" s="898"/>
      <c r="AL258" s="898"/>
      <c r="AM258" s="898"/>
      <c r="AN258" s="869">
        <f t="shared" si="70"/>
        <v>0</v>
      </c>
      <c r="AO258" s="869">
        <f t="shared" si="71"/>
        <v>0</v>
      </c>
      <c r="AP258" s="898"/>
      <c r="AQ258" s="899"/>
      <c r="AR258" s="899">
        <v>3.9800000000000002E-4</v>
      </c>
      <c r="AS258" s="869">
        <f t="shared" si="72"/>
        <v>0</v>
      </c>
      <c r="AT258" s="869">
        <f t="shared" si="73"/>
        <v>0</v>
      </c>
      <c r="AU258" s="942">
        <v>0.18</v>
      </c>
      <c r="AV258" s="899">
        <v>0.32500000000000001</v>
      </c>
      <c r="AW258" s="869">
        <f t="shared" si="74"/>
        <v>0.32549728752260393</v>
      </c>
      <c r="AX258" s="869">
        <f t="shared" si="75"/>
        <v>-4.9728752260391751E-4</v>
      </c>
      <c r="AY258" s="898">
        <v>0</v>
      </c>
      <c r="AZ258" s="904">
        <v>0</v>
      </c>
      <c r="BA258" s="869">
        <f t="shared" si="76"/>
        <v>0</v>
      </c>
      <c r="BB258" s="869">
        <f t="shared" si="77"/>
        <v>0</v>
      </c>
      <c r="BC258" s="898">
        <v>0.373</v>
      </c>
      <c r="BD258" s="899">
        <v>0.67500000000000004</v>
      </c>
      <c r="BE258" s="869">
        <f t="shared" si="78"/>
        <v>0.67450271247739602</v>
      </c>
      <c r="BF258" s="869">
        <f t="shared" si="79"/>
        <v>4.9728752260402853E-4</v>
      </c>
      <c r="BG258" s="899"/>
      <c r="BH258" s="899"/>
      <c r="BI258" s="899"/>
      <c r="BJ258" s="899"/>
      <c r="BK258" s="899"/>
      <c r="BL258" s="714">
        <f t="shared" si="80"/>
        <v>0</v>
      </c>
      <c r="BM258" s="869">
        <f t="shared" si="81"/>
        <v>0</v>
      </c>
      <c r="BN258" s="898">
        <v>0</v>
      </c>
      <c r="BO258" s="904">
        <v>0</v>
      </c>
      <c r="BP258" s="869">
        <f t="shared" si="82"/>
        <v>0</v>
      </c>
      <c r="BQ258" s="869">
        <f t="shared" si="83"/>
        <v>0</v>
      </c>
      <c r="BR258" s="904"/>
      <c r="BS258" s="904"/>
      <c r="BT258" s="898">
        <v>0</v>
      </c>
      <c r="BU258" s="904">
        <v>0</v>
      </c>
      <c r="BV258" s="901">
        <v>1</v>
      </c>
      <c r="BW258" s="901">
        <v>1</v>
      </c>
      <c r="BX258" s="901">
        <v>1</v>
      </c>
      <c r="BY258" s="901">
        <v>0</v>
      </c>
      <c r="BZ258" s="901">
        <v>0</v>
      </c>
      <c r="CA258" s="901">
        <v>0</v>
      </c>
      <c r="CB258" s="901">
        <v>0</v>
      </c>
      <c r="CC258" s="901">
        <v>0</v>
      </c>
      <c r="CD258" s="901">
        <v>0</v>
      </c>
      <c r="CE258" s="901">
        <v>0</v>
      </c>
      <c r="CF258" s="901">
        <v>0</v>
      </c>
      <c r="CG258" s="901">
        <v>0</v>
      </c>
      <c r="CH258" s="901">
        <v>0</v>
      </c>
      <c r="CI258" s="901">
        <v>0</v>
      </c>
      <c r="CJ258" s="901">
        <v>1</v>
      </c>
      <c r="CK258" s="901">
        <v>0</v>
      </c>
      <c r="CL258" s="901">
        <v>0</v>
      </c>
      <c r="CM258" s="901">
        <v>0</v>
      </c>
      <c r="CN258" s="901">
        <v>0</v>
      </c>
      <c r="CO258" s="901">
        <v>0</v>
      </c>
      <c r="CP258" s="901">
        <v>0</v>
      </c>
      <c r="CQ258" s="901">
        <v>0</v>
      </c>
      <c r="CR258" s="901">
        <v>0</v>
      </c>
      <c r="CS258" s="902">
        <f t="shared" si="90"/>
        <v>1</v>
      </c>
      <c r="CT258" s="871">
        <f t="shared" si="91"/>
        <v>1</v>
      </c>
      <c r="CU258" s="871">
        <f t="shared" si="85"/>
        <v>0</v>
      </c>
      <c r="CV258" s="942">
        <v>11.2</v>
      </c>
      <c r="CW258" s="708" t="s">
        <v>4647</v>
      </c>
      <c r="CX258" s="708" t="s">
        <v>4653</v>
      </c>
      <c r="CY258" s="708"/>
      <c r="CZ258" s="708"/>
      <c r="DA258" s="708">
        <v>100</v>
      </c>
      <c r="DB258" s="708" t="s">
        <v>4653</v>
      </c>
      <c r="DC258" s="710" t="s">
        <v>279</v>
      </c>
      <c r="DD258" s="710"/>
      <c r="DE258" s="710"/>
      <c r="DF258" s="901"/>
      <c r="DG258" s="901"/>
      <c r="DH258" s="901">
        <v>10</v>
      </c>
      <c r="DI258" s="710" t="s">
        <v>279</v>
      </c>
      <c r="DJ258" s="710"/>
      <c r="DK258" s="901"/>
      <c r="DL258" s="710" t="s">
        <v>278</v>
      </c>
      <c r="DM258" s="710" t="s">
        <v>698</v>
      </c>
      <c r="DN258" s="955">
        <v>98</v>
      </c>
      <c r="DO258" s="710" t="s">
        <v>279</v>
      </c>
      <c r="DP258" s="710"/>
      <c r="DQ258" s="901"/>
      <c r="DR258" s="710" t="s">
        <v>278</v>
      </c>
      <c r="DS258" s="710" t="s">
        <v>4701</v>
      </c>
      <c r="DT258" s="901">
        <v>0</v>
      </c>
      <c r="DU258" s="710" t="s">
        <v>279</v>
      </c>
      <c r="DV258" s="710"/>
      <c r="DW258" s="901"/>
      <c r="DX258" s="710" t="s">
        <v>279</v>
      </c>
      <c r="DY258" s="710"/>
      <c r="DZ258" s="901"/>
      <c r="EA258" s="710" t="s">
        <v>279</v>
      </c>
      <c r="EB258" s="710"/>
      <c r="EC258" s="901"/>
      <c r="ED258" s="710" t="s">
        <v>278</v>
      </c>
      <c r="EE258" s="710" t="s">
        <v>1041</v>
      </c>
      <c r="EF258" s="901">
        <v>98</v>
      </c>
      <c r="EG258" s="710" t="s">
        <v>279</v>
      </c>
      <c r="EH258" s="710"/>
      <c r="EI258" s="901"/>
      <c r="EJ258" s="710" t="s">
        <v>279</v>
      </c>
      <c r="EK258" s="710" t="s">
        <v>410</v>
      </c>
      <c r="EL258" s="901">
        <v>0</v>
      </c>
      <c r="EM258" s="710" t="s">
        <v>278</v>
      </c>
      <c r="EN258" s="710" t="s">
        <v>4740</v>
      </c>
      <c r="EO258" s="901">
        <v>12</v>
      </c>
      <c r="EP258" s="710" t="s">
        <v>279</v>
      </c>
      <c r="EQ258" s="710" t="s">
        <v>410</v>
      </c>
      <c r="ER258" s="901">
        <v>0</v>
      </c>
      <c r="ES258" s="710" t="s">
        <v>278</v>
      </c>
      <c r="ET258" s="710" t="s">
        <v>4752</v>
      </c>
      <c r="EU258" s="955">
        <v>70</v>
      </c>
      <c r="EV258" s="955"/>
      <c r="EW258" s="955"/>
      <c r="EX258" s="955"/>
      <c r="EY258" s="708" t="s">
        <v>279</v>
      </c>
      <c r="EZ258" s="710" t="s">
        <v>4761</v>
      </c>
      <c r="FA258" s="708" t="s">
        <v>279</v>
      </c>
      <c r="FB258" s="708"/>
      <c r="FC258" s="708" t="s">
        <v>4784</v>
      </c>
      <c r="FD258" s="708"/>
      <c r="FE258" s="708"/>
      <c r="FF258" s="710" t="s">
        <v>4825</v>
      </c>
      <c r="FG258" s="710" t="s">
        <v>279</v>
      </c>
      <c r="FH258" s="710" t="s">
        <v>4854</v>
      </c>
      <c r="FI258" s="710">
        <v>0</v>
      </c>
      <c r="FJ258" s="710">
        <v>0</v>
      </c>
      <c r="FK258" s="710" t="s">
        <v>4865</v>
      </c>
      <c r="FL258" s="710" t="s">
        <v>4884</v>
      </c>
      <c r="FM258" s="1047" t="s">
        <v>4900</v>
      </c>
      <c r="FN258" s="710" t="s">
        <v>1874</v>
      </c>
      <c r="FO258" s="710" t="s">
        <v>1875</v>
      </c>
      <c r="FP258" s="1031" t="s">
        <v>1876</v>
      </c>
    </row>
    <row r="259" spans="2:172" ht="172" customHeight="1">
      <c r="B259" s="850" t="s">
        <v>5313</v>
      </c>
      <c r="C259" s="863"/>
      <c r="D259" s="850" t="s">
        <v>4934</v>
      </c>
      <c r="E259" s="850" t="s">
        <v>5314</v>
      </c>
      <c r="F259" s="863"/>
      <c r="H259" s="850" t="s">
        <v>4934</v>
      </c>
      <c r="I259" s="850" t="s">
        <v>5519</v>
      </c>
      <c r="J259" s="850" t="s">
        <v>5469</v>
      </c>
      <c r="K259" s="710" t="s">
        <v>275</v>
      </c>
      <c r="L259" s="710" t="s">
        <v>4488</v>
      </c>
      <c r="M259" s="710" t="s">
        <v>4506</v>
      </c>
      <c r="N259" s="710" t="s">
        <v>1873</v>
      </c>
      <c r="O259" s="895">
        <v>2019</v>
      </c>
      <c r="P259" s="896">
        <v>43405</v>
      </c>
      <c r="Q259" s="896">
        <v>43708</v>
      </c>
      <c r="R259" s="712">
        <f t="shared" si="87"/>
        <v>303</v>
      </c>
      <c r="S259" s="896"/>
      <c r="T259" s="896"/>
      <c r="U259" s="896"/>
      <c r="V259" s="896"/>
      <c r="W259" s="896"/>
      <c r="X259" s="896"/>
      <c r="Y259" s="896"/>
      <c r="Z259" s="896"/>
      <c r="AA259" s="896"/>
      <c r="AB259" s="710" t="s">
        <v>4524</v>
      </c>
      <c r="AC259" s="710" t="s">
        <v>4548</v>
      </c>
      <c r="AD259" s="710" t="s">
        <v>4573</v>
      </c>
      <c r="AE259" s="710" t="s">
        <v>4573</v>
      </c>
      <c r="AF259" s="710" t="s">
        <v>4609</v>
      </c>
      <c r="AG259" s="710" t="s">
        <v>4629</v>
      </c>
      <c r="AH259" s="898">
        <v>0.03</v>
      </c>
      <c r="AI259" s="868">
        <f t="shared" si="68"/>
        <v>0.03</v>
      </c>
      <c r="AJ259" s="867">
        <f t="shared" si="69"/>
        <v>0</v>
      </c>
      <c r="AK259" s="898"/>
      <c r="AL259" s="898"/>
      <c r="AM259" s="898"/>
      <c r="AN259" s="869">
        <f t="shared" si="70"/>
        <v>0</v>
      </c>
      <c r="AO259" s="869">
        <f t="shared" si="71"/>
        <v>0</v>
      </c>
      <c r="AP259" s="898"/>
      <c r="AQ259" s="904"/>
      <c r="AR259" s="899">
        <v>8.9999999999999998E-4</v>
      </c>
      <c r="AS259" s="869">
        <f t="shared" si="72"/>
        <v>0</v>
      </c>
      <c r="AT259" s="869">
        <f t="shared" si="73"/>
        <v>0</v>
      </c>
      <c r="AU259" s="942">
        <v>0.03</v>
      </c>
      <c r="AV259" s="899">
        <v>1</v>
      </c>
      <c r="AW259" s="869">
        <f t="shared" si="74"/>
        <v>1</v>
      </c>
      <c r="AX259" s="869">
        <f t="shared" si="75"/>
        <v>0</v>
      </c>
      <c r="AY259" s="898">
        <v>0</v>
      </c>
      <c r="AZ259" s="899"/>
      <c r="BA259" s="869">
        <f t="shared" si="76"/>
        <v>0</v>
      </c>
      <c r="BB259" s="869">
        <f t="shared" si="77"/>
        <v>0</v>
      </c>
      <c r="BC259" s="898">
        <v>0</v>
      </c>
      <c r="BD259" s="904">
        <v>0</v>
      </c>
      <c r="BE259" s="869">
        <f t="shared" si="78"/>
        <v>0</v>
      </c>
      <c r="BF259" s="869">
        <f t="shared" si="79"/>
        <v>0</v>
      </c>
      <c r="BG259" s="904"/>
      <c r="BH259" s="904"/>
      <c r="BI259" s="904"/>
      <c r="BJ259" s="904"/>
      <c r="BK259" s="904"/>
      <c r="BL259" s="714">
        <f t="shared" si="80"/>
        <v>0</v>
      </c>
      <c r="BM259" s="869">
        <f t="shared" si="81"/>
        <v>0</v>
      </c>
      <c r="BN259" s="898">
        <v>0</v>
      </c>
      <c r="BO259" s="904">
        <v>0</v>
      </c>
      <c r="BP259" s="869">
        <f t="shared" si="82"/>
        <v>0</v>
      </c>
      <c r="BQ259" s="869">
        <f t="shared" si="83"/>
        <v>0</v>
      </c>
      <c r="BR259" s="904"/>
      <c r="BS259" s="904"/>
      <c r="BT259" s="898">
        <v>0.15</v>
      </c>
      <c r="BU259" s="899">
        <v>4.1000000000000003E-3</v>
      </c>
      <c r="BV259" s="901">
        <v>3</v>
      </c>
      <c r="BW259" s="901">
        <v>2</v>
      </c>
      <c r="BX259" s="901">
        <v>1</v>
      </c>
      <c r="BY259" s="901"/>
      <c r="BZ259" s="901"/>
      <c r="CA259" s="901"/>
      <c r="CB259" s="901"/>
      <c r="CC259" s="901"/>
      <c r="CD259" s="901"/>
      <c r="CE259" s="901"/>
      <c r="CF259" s="901"/>
      <c r="CG259" s="901"/>
      <c r="CH259" s="901"/>
      <c r="CI259" s="901">
        <v>1</v>
      </c>
      <c r="CJ259" s="901"/>
      <c r="CK259" s="901"/>
      <c r="CL259" s="901"/>
      <c r="CM259" s="901"/>
      <c r="CN259" s="901"/>
      <c r="CO259" s="901"/>
      <c r="CP259" s="901"/>
      <c r="CQ259" s="901"/>
      <c r="CR259" s="901"/>
      <c r="CS259" s="902">
        <f t="shared" si="90"/>
        <v>1</v>
      </c>
      <c r="CT259" s="871">
        <f t="shared" si="91"/>
        <v>1</v>
      </c>
      <c r="CU259" s="871">
        <f t="shared" si="85"/>
        <v>0</v>
      </c>
      <c r="CV259" s="942">
        <v>0.113</v>
      </c>
      <c r="CW259" s="710" t="s">
        <v>4648</v>
      </c>
      <c r="CX259" s="710"/>
      <c r="CY259" s="710"/>
      <c r="CZ259" s="710"/>
      <c r="DA259" s="710">
        <v>32.29</v>
      </c>
      <c r="DB259" s="899" t="s">
        <v>4660</v>
      </c>
      <c r="DC259" s="710" t="s">
        <v>279</v>
      </c>
      <c r="DD259" s="710"/>
      <c r="DE259" s="710"/>
      <c r="DF259" s="901">
        <v>0</v>
      </c>
      <c r="DG259" s="901">
        <v>0</v>
      </c>
      <c r="DH259" s="901">
        <v>0</v>
      </c>
      <c r="DI259" s="710" t="s">
        <v>279</v>
      </c>
      <c r="DJ259" s="710"/>
      <c r="DK259" s="901">
        <v>0</v>
      </c>
      <c r="DL259" s="710" t="s">
        <v>278</v>
      </c>
      <c r="DM259" s="710" t="s">
        <v>4689</v>
      </c>
      <c r="DN259" s="901">
        <v>40</v>
      </c>
      <c r="DO259" s="710" t="s">
        <v>279</v>
      </c>
      <c r="DP259" s="710"/>
      <c r="DQ259" s="901"/>
      <c r="DR259" s="710" t="s">
        <v>279</v>
      </c>
      <c r="DS259" s="710"/>
      <c r="DT259" s="901"/>
      <c r="DU259" s="710" t="s">
        <v>279</v>
      </c>
      <c r="DV259" s="710"/>
      <c r="DW259" s="901"/>
      <c r="DX259" s="710"/>
      <c r="DY259" s="710"/>
      <c r="DZ259" s="901"/>
      <c r="EA259" s="710" t="s">
        <v>279</v>
      </c>
      <c r="EB259" s="710"/>
      <c r="EC259" s="901"/>
      <c r="ED259" s="710" t="s">
        <v>279</v>
      </c>
      <c r="EE259" s="710"/>
      <c r="EF259" s="901"/>
      <c r="EG259" s="710" t="s">
        <v>279</v>
      </c>
      <c r="EH259" s="710"/>
      <c r="EI259" s="901"/>
      <c r="EJ259" s="710" t="s">
        <v>279</v>
      </c>
      <c r="EK259" s="710"/>
      <c r="EL259" s="901"/>
      <c r="EM259" s="710" t="s">
        <v>278</v>
      </c>
      <c r="EN259" s="710" t="s">
        <v>3795</v>
      </c>
      <c r="EO259" s="901">
        <v>6</v>
      </c>
      <c r="EP259" s="710"/>
      <c r="EQ259" s="710"/>
      <c r="ER259" s="901"/>
      <c r="ES259" s="710"/>
      <c r="ET259" s="710"/>
      <c r="EU259" s="901"/>
      <c r="EV259" s="901"/>
      <c r="EW259" s="901"/>
      <c r="EX259" s="901"/>
      <c r="EY259" s="710" t="s">
        <v>279</v>
      </c>
      <c r="EZ259" s="710"/>
      <c r="FA259" s="710" t="s">
        <v>278</v>
      </c>
      <c r="FB259" s="710" t="s">
        <v>4769</v>
      </c>
      <c r="FC259" s="945" t="s">
        <v>4785</v>
      </c>
      <c r="FD259" s="945"/>
      <c r="FE259" s="710"/>
      <c r="FF259" s="710" t="s">
        <v>4826</v>
      </c>
      <c r="FG259" s="710" t="s">
        <v>279</v>
      </c>
      <c r="FH259" s="710" t="s">
        <v>279</v>
      </c>
      <c r="FI259" s="710">
        <v>0</v>
      </c>
      <c r="FJ259" s="710">
        <v>0</v>
      </c>
      <c r="FK259" s="710" t="s">
        <v>4866</v>
      </c>
      <c r="FL259" s="710" t="s">
        <v>4885</v>
      </c>
      <c r="FM259" s="945" t="s">
        <v>4901</v>
      </c>
      <c r="FN259" s="710" t="s">
        <v>1874</v>
      </c>
      <c r="FO259" s="710" t="s">
        <v>1875</v>
      </c>
      <c r="FP259" s="1031" t="s">
        <v>1876</v>
      </c>
    </row>
    <row r="260" spans="2:172" ht="154.5" customHeight="1">
      <c r="B260" s="850" t="s">
        <v>5313</v>
      </c>
      <c r="C260" s="863"/>
      <c r="D260" s="850" t="s">
        <v>4934</v>
      </c>
      <c r="E260" s="850" t="s">
        <v>5314</v>
      </c>
      <c r="F260" s="863"/>
      <c r="H260" s="850" t="s">
        <v>4934</v>
      </c>
      <c r="I260" s="850" t="s">
        <v>5519</v>
      </c>
      <c r="J260" s="850" t="s">
        <v>5469</v>
      </c>
      <c r="K260" s="710" t="s">
        <v>275</v>
      </c>
      <c r="L260" s="710" t="s">
        <v>4489</v>
      </c>
      <c r="M260" s="710" t="s">
        <v>4506</v>
      </c>
      <c r="N260" s="710" t="s">
        <v>1873</v>
      </c>
      <c r="O260" s="895">
        <v>2019</v>
      </c>
      <c r="P260" s="896">
        <v>43654</v>
      </c>
      <c r="Q260" s="896">
        <v>43697</v>
      </c>
      <c r="R260" s="712">
        <f t="shared" si="87"/>
        <v>43</v>
      </c>
      <c r="S260" s="896"/>
      <c r="T260" s="896"/>
      <c r="U260" s="896"/>
      <c r="V260" s="896"/>
      <c r="W260" s="896"/>
      <c r="X260" s="896"/>
      <c r="Y260" s="896"/>
      <c r="Z260" s="896"/>
      <c r="AA260" s="896"/>
      <c r="AB260" s="710" t="s">
        <v>4525</v>
      </c>
      <c r="AC260" s="945" t="s">
        <v>4549</v>
      </c>
      <c r="AD260" s="710" t="s">
        <v>4574</v>
      </c>
      <c r="AE260" s="710" t="s">
        <v>4574</v>
      </c>
      <c r="AF260" s="710" t="s">
        <v>4610</v>
      </c>
      <c r="AG260" s="710" t="s">
        <v>4630</v>
      </c>
      <c r="AH260" s="898">
        <v>1.2999999999999999E-2</v>
      </c>
      <c r="AI260" s="868">
        <f t="shared" si="68"/>
        <v>1.2999999999999999E-2</v>
      </c>
      <c r="AJ260" s="867">
        <f t="shared" si="69"/>
        <v>0</v>
      </c>
      <c r="AK260" s="898"/>
      <c r="AL260" s="898"/>
      <c r="AM260" s="898"/>
      <c r="AN260" s="869">
        <f t="shared" si="70"/>
        <v>0</v>
      </c>
      <c r="AO260" s="869">
        <f t="shared" si="71"/>
        <v>0</v>
      </c>
      <c r="AP260" s="898"/>
      <c r="AQ260" s="899"/>
      <c r="AR260" s="899">
        <v>2.0000000000000001E-4</v>
      </c>
      <c r="AS260" s="869">
        <f t="shared" si="72"/>
        <v>0</v>
      </c>
      <c r="AT260" s="869">
        <f t="shared" si="73"/>
        <v>0</v>
      </c>
      <c r="AU260" s="942">
        <v>1.2999999999999999E-2</v>
      </c>
      <c r="AV260" s="899">
        <v>1</v>
      </c>
      <c r="AW260" s="869">
        <f t="shared" si="74"/>
        <v>1</v>
      </c>
      <c r="AX260" s="869">
        <f t="shared" si="75"/>
        <v>0</v>
      </c>
      <c r="AY260" s="898">
        <v>0</v>
      </c>
      <c r="AZ260" s="904">
        <v>0</v>
      </c>
      <c r="BA260" s="869">
        <f t="shared" si="76"/>
        <v>0</v>
      </c>
      <c r="BB260" s="869">
        <f t="shared" si="77"/>
        <v>0</v>
      </c>
      <c r="BC260" s="898">
        <v>0</v>
      </c>
      <c r="BD260" s="904">
        <v>0</v>
      </c>
      <c r="BE260" s="869">
        <f t="shared" si="78"/>
        <v>0</v>
      </c>
      <c r="BF260" s="869">
        <f t="shared" si="79"/>
        <v>0</v>
      </c>
      <c r="BG260" s="904"/>
      <c r="BH260" s="904"/>
      <c r="BI260" s="904"/>
      <c r="BJ260" s="904"/>
      <c r="BK260" s="904"/>
      <c r="BL260" s="714">
        <f t="shared" si="80"/>
        <v>0</v>
      </c>
      <c r="BM260" s="869">
        <f t="shared" si="81"/>
        <v>0</v>
      </c>
      <c r="BN260" s="898">
        <v>0</v>
      </c>
      <c r="BO260" s="904">
        <v>0</v>
      </c>
      <c r="BP260" s="869">
        <f t="shared" si="82"/>
        <v>0</v>
      </c>
      <c r="BQ260" s="869">
        <f t="shared" si="83"/>
        <v>0</v>
      </c>
      <c r="BR260" s="904"/>
      <c r="BS260" s="904"/>
      <c r="BT260" s="898">
        <v>0.33100000000000002</v>
      </c>
      <c r="BU260" s="899">
        <v>7.7999999999999996E-3</v>
      </c>
      <c r="BV260" s="901">
        <v>2</v>
      </c>
      <c r="BW260" s="901">
        <v>1</v>
      </c>
      <c r="BX260" s="901">
        <v>1</v>
      </c>
      <c r="BY260" s="901">
        <v>0</v>
      </c>
      <c r="BZ260" s="901">
        <v>1</v>
      </c>
      <c r="CA260" s="901">
        <v>0</v>
      </c>
      <c r="CB260" s="901">
        <v>0</v>
      </c>
      <c r="CC260" s="901">
        <v>0</v>
      </c>
      <c r="CD260" s="901">
        <v>0</v>
      </c>
      <c r="CE260" s="901">
        <v>0</v>
      </c>
      <c r="CF260" s="901">
        <v>0</v>
      </c>
      <c r="CG260" s="901">
        <v>0</v>
      </c>
      <c r="CH260" s="901">
        <v>0</v>
      </c>
      <c r="CI260" s="901">
        <v>0</v>
      </c>
      <c r="CJ260" s="901">
        <v>0</v>
      </c>
      <c r="CK260" s="901">
        <v>0</v>
      </c>
      <c r="CL260" s="901">
        <v>0</v>
      </c>
      <c r="CM260" s="901">
        <v>0</v>
      </c>
      <c r="CN260" s="901">
        <v>0</v>
      </c>
      <c r="CO260" s="901">
        <v>0</v>
      </c>
      <c r="CP260" s="901">
        <v>0</v>
      </c>
      <c r="CQ260" s="901">
        <v>0</v>
      </c>
      <c r="CR260" s="901">
        <v>0</v>
      </c>
      <c r="CS260" s="902">
        <f t="shared" si="90"/>
        <v>1</v>
      </c>
      <c r="CT260" s="871">
        <f t="shared" si="91"/>
        <v>1</v>
      </c>
      <c r="CU260" s="871">
        <f t="shared" si="85"/>
        <v>0</v>
      </c>
      <c r="CV260" s="942">
        <v>0.505</v>
      </c>
      <c r="CW260" s="710"/>
      <c r="CX260" s="710"/>
      <c r="CY260" s="710"/>
      <c r="CZ260" s="710"/>
      <c r="DA260" s="710">
        <v>100</v>
      </c>
      <c r="DB260" s="899" t="s">
        <v>4660</v>
      </c>
      <c r="DC260" s="710" t="s">
        <v>279</v>
      </c>
      <c r="DD260" s="710"/>
      <c r="DE260" s="710"/>
      <c r="DF260" s="901"/>
      <c r="DG260" s="901"/>
      <c r="DH260" s="901">
        <v>1</v>
      </c>
      <c r="DI260" s="710" t="s">
        <v>279</v>
      </c>
      <c r="DJ260" s="710"/>
      <c r="DK260" s="901"/>
      <c r="DL260" s="710" t="s">
        <v>278</v>
      </c>
      <c r="DM260" s="710" t="s">
        <v>1685</v>
      </c>
      <c r="DN260" s="901">
        <v>45</v>
      </c>
      <c r="DO260" s="710" t="s">
        <v>279</v>
      </c>
      <c r="DP260" s="710"/>
      <c r="DQ260" s="901"/>
      <c r="DR260" s="710" t="s">
        <v>279</v>
      </c>
      <c r="DS260" s="710"/>
      <c r="DT260" s="901"/>
      <c r="DU260" s="710" t="s">
        <v>279</v>
      </c>
      <c r="DV260" s="710"/>
      <c r="DW260" s="901"/>
      <c r="DX260" s="710" t="s">
        <v>279</v>
      </c>
      <c r="DY260" s="710"/>
      <c r="DZ260" s="901"/>
      <c r="EA260" s="710" t="s">
        <v>279</v>
      </c>
      <c r="EB260" s="710"/>
      <c r="EC260" s="901"/>
      <c r="ED260" s="710" t="s">
        <v>278</v>
      </c>
      <c r="EE260" s="710" t="s">
        <v>1685</v>
      </c>
      <c r="EF260" s="901">
        <v>49</v>
      </c>
      <c r="EG260" s="710" t="s">
        <v>279</v>
      </c>
      <c r="EH260" s="710"/>
      <c r="EI260" s="901"/>
      <c r="EJ260" s="710" t="s">
        <v>279</v>
      </c>
      <c r="EK260" s="710"/>
      <c r="EL260" s="901"/>
      <c r="EM260" s="710" t="s">
        <v>279</v>
      </c>
      <c r="EN260" s="710"/>
      <c r="EO260" s="901"/>
      <c r="EP260" s="710" t="s">
        <v>279</v>
      </c>
      <c r="EQ260" s="710"/>
      <c r="ER260" s="901"/>
      <c r="ES260" s="710" t="s">
        <v>279</v>
      </c>
      <c r="ET260" s="710"/>
      <c r="EU260" s="901"/>
      <c r="EV260" s="901"/>
      <c r="EW260" s="901"/>
      <c r="EX260" s="901"/>
      <c r="EY260" s="710" t="s">
        <v>279</v>
      </c>
      <c r="EZ260" s="710"/>
      <c r="FA260" s="710" t="s">
        <v>278</v>
      </c>
      <c r="FB260" s="710" t="s">
        <v>4770</v>
      </c>
      <c r="FC260" s="945" t="s">
        <v>4786</v>
      </c>
      <c r="FD260" s="710"/>
      <c r="FE260" s="710"/>
      <c r="FF260" s="710" t="s">
        <v>4827</v>
      </c>
      <c r="FG260" s="710"/>
      <c r="FH260" s="710"/>
      <c r="FI260" s="710">
        <v>0</v>
      </c>
      <c r="FJ260" s="710">
        <v>0</v>
      </c>
      <c r="FK260" s="710" t="s">
        <v>4867</v>
      </c>
      <c r="FL260" s="710" t="s">
        <v>4886</v>
      </c>
      <c r="FM260" s="945" t="s">
        <v>4902</v>
      </c>
      <c r="FN260" s="710" t="s">
        <v>1874</v>
      </c>
      <c r="FO260" s="710" t="s">
        <v>1875</v>
      </c>
      <c r="FP260" s="1031" t="s">
        <v>1876</v>
      </c>
    </row>
    <row r="261" spans="2:172" ht="157" customHeight="1">
      <c r="B261" s="850" t="s">
        <v>5313</v>
      </c>
      <c r="C261" s="863"/>
      <c r="D261" s="850" t="s">
        <v>4934</v>
      </c>
      <c r="E261" s="850" t="s">
        <v>5314</v>
      </c>
      <c r="F261" s="863"/>
      <c r="H261" s="850" t="s">
        <v>4934</v>
      </c>
      <c r="I261" s="850" t="s">
        <v>5519</v>
      </c>
      <c r="J261" s="850" t="s">
        <v>5469</v>
      </c>
      <c r="K261" s="710" t="s">
        <v>275</v>
      </c>
      <c r="L261" s="710" t="s">
        <v>4490</v>
      </c>
      <c r="M261" s="710" t="s">
        <v>4506</v>
      </c>
      <c r="N261" s="710" t="s">
        <v>1873</v>
      </c>
      <c r="O261" s="895">
        <v>2019</v>
      </c>
      <c r="P261" s="896">
        <v>43566</v>
      </c>
      <c r="Q261" s="896">
        <v>43711</v>
      </c>
      <c r="R261" s="712">
        <f t="shared" si="87"/>
        <v>145</v>
      </c>
      <c r="S261" s="896"/>
      <c r="T261" s="896"/>
      <c r="U261" s="896"/>
      <c r="V261" s="896"/>
      <c r="W261" s="896"/>
      <c r="X261" s="896"/>
      <c r="Y261" s="896"/>
      <c r="Z261" s="896"/>
      <c r="AA261" s="896"/>
      <c r="AB261" s="710" t="s">
        <v>4526</v>
      </c>
      <c r="AC261" s="710" t="s">
        <v>4550</v>
      </c>
      <c r="AD261" s="710" t="s">
        <v>4575</v>
      </c>
      <c r="AE261" s="710" t="s">
        <v>4575</v>
      </c>
      <c r="AF261" s="710" t="s">
        <v>633</v>
      </c>
      <c r="AG261" s="710" t="s">
        <v>4631</v>
      </c>
      <c r="AH261" s="898">
        <v>0.13500000000000001</v>
      </c>
      <c r="AI261" s="868">
        <f t="shared" si="68"/>
        <v>0.13500000000000001</v>
      </c>
      <c r="AJ261" s="867">
        <f t="shared" si="69"/>
        <v>0</v>
      </c>
      <c r="AK261" s="898"/>
      <c r="AL261" s="898"/>
      <c r="AM261" s="898"/>
      <c r="AN261" s="869">
        <f t="shared" si="70"/>
        <v>0</v>
      </c>
      <c r="AO261" s="869">
        <f t="shared" si="71"/>
        <v>0</v>
      </c>
      <c r="AP261" s="898"/>
      <c r="AQ261" s="899"/>
      <c r="AR261" s="899">
        <v>2.9999999999999997E-4</v>
      </c>
      <c r="AS261" s="869">
        <f t="shared" si="72"/>
        <v>0</v>
      </c>
      <c r="AT261" s="869">
        <f t="shared" si="73"/>
        <v>0</v>
      </c>
      <c r="AU261" s="942">
        <v>0.1</v>
      </c>
      <c r="AV261" s="899">
        <v>0.74099999999999999</v>
      </c>
      <c r="AW261" s="869">
        <f t="shared" si="74"/>
        <v>0.7407407407407407</v>
      </c>
      <c r="AX261" s="869">
        <f t="shared" si="75"/>
        <v>2.5925925925929239E-4</v>
      </c>
      <c r="AY261" s="898">
        <v>3.5000000000000003E-2</v>
      </c>
      <c r="AZ261" s="899">
        <v>0.25900000000000001</v>
      </c>
      <c r="BA261" s="869">
        <f t="shared" si="76"/>
        <v>0.25925925925925924</v>
      </c>
      <c r="BB261" s="869">
        <f t="shared" si="77"/>
        <v>-2.5925925925923687E-4</v>
      </c>
      <c r="BC261" s="898">
        <v>0</v>
      </c>
      <c r="BD261" s="904">
        <v>0</v>
      </c>
      <c r="BE261" s="869">
        <f t="shared" si="78"/>
        <v>0</v>
      </c>
      <c r="BF261" s="869">
        <f t="shared" si="79"/>
        <v>0</v>
      </c>
      <c r="BG261" s="904"/>
      <c r="BH261" s="904"/>
      <c r="BI261" s="904"/>
      <c r="BJ261" s="904"/>
      <c r="BK261" s="904"/>
      <c r="BL261" s="714">
        <f t="shared" si="80"/>
        <v>0</v>
      </c>
      <c r="BM261" s="869">
        <f t="shared" si="81"/>
        <v>0</v>
      </c>
      <c r="BN261" s="898">
        <v>0</v>
      </c>
      <c r="BO261" s="904">
        <v>0</v>
      </c>
      <c r="BP261" s="869">
        <f t="shared" si="82"/>
        <v>0</v>
      </c>
      <c r="BQ261" s="869">
        <f t="shared" si="83"/>
        <v>0</v>
      </c>
      <c r="BR261" s="904"/>
      <c r="BS261" s="904"/>
      <c r="BT261" s="898">
        <v>0.33800000000000002</v>
      </c>
      <c r="BU261" s="899">
        <v>8.9999999999999998E-4</v>
      </c>
      <c r="BV261" s="901">
        <v>6</v>
      </c>
      <c r="BW261" s="901">
        <v>3</v>
      </c>
      <c r="BX261" s="901">
        <v>1</v>
      </c>
      <c r="BY261" s="901">
        <v>0</v>
      </c>
      <c r="BZ261" s="901">
        <v>0</v>
      </c>
      <c r="CA261" s="901">
        <v>0</v>
      </c>
      <c r="CB261" s="901">
        <v>0</v>
      </c>
      <c r="CC261" s="901">
        <v>0</v>
      </c>
      <c r="CD261" s="901">
        <v>0</v>
      </c>
      <c r="CE261" s="901">
        <v>0</v>
      </c>
      <c r="CF261" s="901">
        <v>0</v>
      </c>
      <c r="CG261" s="901">
        <v>0</v>
      </c>
      <c r="CH261" s="901">
        <v>0</v>
      </c>
      <c r="CI261" s="901">
        <v>0</v>
      </c>
      <c r="CJ261" s="901">
        <v>0</v>
      </c>
      <c r="CK261" s="901">
        <v>1</v>
      </c>
      <c r="CL261" s="901">
        <v>0</v>
      </c>
      <c r="CM261" s="901">
        <v>0</v>
      </c>
      <c r="CN261" s="901">
        <v>0</v>
      </c>
      <c r="CO261" s="901">
        <v>0</v>
      </c>
      <c r="CP261" s="901">
        <v>0</v>
      </c>
      <c r="CQ261" s="901">
        <v>0</v>
      </c>
      <c r="CR261" s="901">
        <v>0</v>
      </c>
      <c r="CS261" s="902">
        <f t="shared" si="90"/>
        <v>1</v>
      </c>
      <c r="CT261" s="871">
        <f t="shared" si="91"/>
        <v>1</v>
      </c>
      <c r="CU261" s="871">
        <f t="shared" si="85"/>
        <v>0</v>
      </c>
      <c r="CV261" s="942">
        <v>1</v>
      </c>
      <c r="CW261" s="710" t="s">
        <v>410</v>
      </c>
      <c r="CX261" s="710" t="s">
        <v>410</v>
      </c>
      <c r="CY261" s="710"/>
      <c r="CZ261" s="710"/>
      <c r="DA261" s="710">
        <v>27.8</v>
      </c>
      <c r="DB261" s="899" t="s">
        <v>4661</v>
      </c>
      <c r="DC261" s="710" t="s">
        <v>279</v>
      </c>
      <c r="DD261" s="710" t="s">
        <v>410</v>
      </c>
      <c r="DE261" s="710" t="s">
        <v>410</v>
      </c>
      <c r="DF261" s="901" t="s">
        <v>410</v>
      </c>
      <c r="DG261" s="901" t="s">
        <v>410</v>
      </c>
      <c r="DH261" s="901">
        <v>1</v>
      </c>
      <c r="DI261" s="710" t="s">
        <v>279</v>
      </c>
      <c r="DJ261" s="710" t="s">
        <v>410</v>
      </c>
      <c r="DK261" s="901">
        <v>0</v>
      </c>
      <c r="DL261" s="710" t="s">
        <v>278</v>
      </c>
      <c r="DM261" s="710" t="s">
        <v>4690</v>
      </c>
      <c r="DN261" s="901">
        <v>61</v>
      </c>
      <c r="DO261" s="710" t="s">
        <v>279</v>
      </c>
      <c r="DP261" s="710" t="s">
        <v>410</v>
      </c>
      <c r="DQ261" s="901">
        <v>0</v>
      </c>
      <c r="DR261" s="710" t="s">
        <v>278</v>
      </c>
      <c r="DS261" s="710" t="s">
        <v>4702</v>
      </c>
      <c r="DT261" s="901">
        <v>0</v>
      </c>
      <c r="DU261" s="710" t="s">
        <v>279</v>
      </c>
      <c r="DV261" s="710" t="s">
        <v>410</v>
      </c>
      <c r="DW261" s="901">
        <v>0</v>
      </c>
      <c r="DX261" s="710" t="s">
        <v>279</v>
      </c>
      <c r="DY261" s="710" t="s">
        <v>410</v>
      </c>
      <c r="DZ261" s="901">
        <v>0</v>
      </c>
      <c r="EA261" s="710" t="s">
        <v>279</v>
      </c>
      <c r="EB261" s="710" t="s">
        <v>410</v>
      </c>
      <c r="EC261" s="901">
        <v>0</v>
      </c>
      <c r="ED261" s="710" t="s">
        <v>278</v>
      </c>
      <c r="EE261" s="710" t="s">
        <v>4728</v>
      </c>
      <c r="EF261" s="901">
        <v>28</v>
      </c>
      <c r="EG261" s="710" t="s">
        <v>279</v>
      </c>
      <c r="EH261" s="710" t="s">
        <v>410</v>
      </c>
      <c r="EI261" s="901">
        <v>0</v>
      </c>
      <c r="EJ261" s="710" t="s">
        <v>279</v>
      </c>
      <c r="EK261" s="710" t="s">
        <v>410</v>
      </c>
      <c r="EL261" s="901">
        <v>0</v>
      </c>
      <c r="EM261" s="710" t="s">
        <v>278</v>
      </c>
      <c r="EN261" s="710" t="s">
        <v>4741</v>
      </c>
      <c r="EO261" s="901">
        <v>7</v>
      </c>
      <c r="EP261" s="710" t="s">
        <v>279</v>
      </c>
      <c r="EQ261" s="710" t="s">
        <v>410</v>
      </c>
      <c r="ER261" s="901">
        <v>0</v>
      </c>
      <c r="ES261" s="710" t="s">
        <v>279</v>
      </c>
      <c r="ET261" s="710" t="s">
        <v>410</v>
      </c>
      <c r="EU261" s="901">
        <v>0</v>
      </c>
      <c r="EV261" s="901"/>
      <c r="EW261" s="901"/>
      <c r="EX261" s="901"/>
      <c r="EY261" s="710" t="s">
        <v>279</v>
      </c>
      <c r="EZ261" s="710" t="s">
        <v>410</v>
      </c>
      <c r="FA261" s="710" t="s">
        <v>278</v>
      </c>
      <c r="FB261" s="710" t="s">
        <v>4771</v>
      </c>
      <c r="FC261" s="1048" t="s">
        <v>4787</v>
      </c>
      <c r="FD261" s="710" t="s">
        <v>410</v>
      </c>
      <c r="FE261" s="710" t="s">
        <v>410</v>
      </c>
      <c r="FF261" s="710" t="s">
        <v>4828</v>
      </c>
      <c r="FG261" s="710" t="s">
        <v>410</v>
      </c>
      <c r="FH261" s="710" t="s">
        <v>410</v>
      </c>
      <c r="FI261" s="710">
        <v>0</v>
      </c>
      <c r="FJ261" s="710">
        <v>0</v>
      </c>
      <c r="FK261" s="710" t="s">
        <v>4868</v>
      </c>
      <c r="FL261" s="710">
        <v>83499421649</v>
      </c>
      <c r="FM261" s="945" t="s">
        <v>4903</v>
      </c>
      <c r="FN261" s="710" t="s">
        <v>1874</v>
      </c>
      <c r="FO261" s="710" t="s">
        <v>1875</v>
      </c>
      <c r="FP261" s="1031" t="s">
        <v>1876</v>
      </c>
    </row>
    <row r="262" spans="2:172" ht="177" customHeight="1">
      <c r="B262" s="850" t="s">
        <v>5313</v>
      </c>
      <c r="C262" s="863"/>
      <c r="D262" s="850" t="s">
        <v>4934</v>
      </c>
      <c r="E262" s="850" t="s">
        <v>5314</v>
      </c>
      <c r="F262" s="863"/>
      <c r="H262" s="850" t="s">
        <v>4934</v>
      </c>
      <c r="I262" s="850" t="s">
        <v>5519</v>
      </c>
      <c r="J262" s="850" t="s">
        <v>5469</v>
      </c>
      <c r="K262" s="710" t="s">
        <v>275</v>
      </c>
      <c r="L262" s="710" t="s">
        <v>4491</v>
      </c>
      <c r="M262" s="710" t="s">
        <v>4506</v>
      </c>
      <c r="N262" s="710" t="s">
        <v>1873</v>
      </c>
      <c r="O262" s="895">
        <v>2019</v>
      </c>
      <c r="P262" s="896">
        <v>43577</v>
      </c>
      <c r="Q262" s="896">
        <v>43738</v>
      </c>
      <c r="R262" s="712">
        <f t="shared" si="87"/>
        <v>161</v>
      </c>
      <c r="S262" s="896"/>
      <c r="T262" s="896"/>
      <c r="U262" s="896"/>
      <c r="V262" s="896"/>
      <c r="W262" s="896"/>
      <c r="X262" s="896"/>
      <c r="Y262" s="896"/>
      <c r="Z262" s="896"/>
      <c r="AA262" s="896"/>
      <c r="AB262" s="710" t="s">
        <v>4527</v>
      </c>
      <c r="AC262" s="945" t="s">
        <v>4551</v>
      </c>
      <c r="AD262" s="710" t="s">
        <v>4576</v>
      </c>
      <c r="AE262" s="710" t="s">
        <v>4576</v>
      </c>
      <c r="AF262" s="710" t="s">
        <v>4611</v>
      </c>
      <c r="AG262" s="710" t="s">
        <v>4632</v>
      </c>
      <c r="AH262" s="898">
        <v>7.8E-2</v>
      </c>
      <c r="AI262" s="868">
        <f t="shared" si="68"/>
        <v>7.8E-2</v>
      </c>
      <c r="AJ262" s="867">
        <f t="shared" si="69"/>
        <v>0</v>
      </c>
      <c r="AK262" s="898"/>
      <c r="AL262" s="898"/>
      <c r="AM262" s="898"/>
      <c r="AN262" s="869">
        <f t="shared" si="70"/>
        <v>0</v>
      </c>
      <c r="AO262" s="869">
        <f t="shared" si="71"/>
        <v>0</v>
      </c>
      <c r="AP262" s="898"/>
      <c r="AQ262" s="904"/>
      <c r="AR262" s="899">
        <v>1E-4</v>
      </c>
      <c r="AS262" s="869">
        <f t="shared" si="72"/>
        <v>0</v>
      </c>
      <c r="AT262" s="869">
        <f t="shared" si="73"/>
        <v>0</v>
      </c>
      <c r="AU262" s="942">
        <v>7.8E-2</v>
      </c>
      <c r="AV262" s="899">
        <v>1</v>
      </c>
      <c r="AW262" s="869">
        <f t="shared" si="74"/>
        <v>1</v>
      </c>
      <c r="AX262" s="869">
        <f t="shared" si="75"/>
        <v>0</v>
      </c>
      <c r="AY262" s="898">
        <v>0</v>
      </c>
      <c r="AZ262" s="904">
        <v>0</v>
      </c>
      <c r="BA262" s="869">
        <f t="shared" si="76"/>
        <v>0</v>
      </c>
      <c r="BB262" s="869">
        <f t="shared" si="77"/>
        <v>0</v>
      </c>
      <c r="BC262" s="898">
        <v>0</v>
      </c>
      <c r="BD262" s="904">
        <v>0</v>
      </c>
      <c r="BE262" s="869">
        <f t="shared" si="78"/>
        <v>0</v>
      </c>
      <c r="BF262" s="869">
        <f t="shared" si="79"/>
        <v>0</v>
      </c>
      <c r="BG262" s="904"/>
      <c r="BH262" s="904"/>
      <c r="BI262" s="904"/>
      <c r="BJ262" s="904"/>
      <c r="BK262" s="904"/>
      <c r="BL262" s="714">
        <f t="shared" si="80"/>
        <v>0</v>
      </c>
      <c r="BM262" s="869">
        <f t="shared" si="81"/>
        <v>0</v>
      </c>
      <c r="BN262" s="898">
        <v>0</v>
      </c>
      <c r="BO262" s="904">
        <v>0</v>
      </c>
      <c r="BP262" s="869">
        <f t="shared" si="82"/>
        <v>0</v>
      </c>
      <c r="BQ262" s="869">
        <f t="shared" si="83"/>
        <v>0</v>
      </c>
      <c r="BR262" s="904"/>
      <c r="BS262" s="904"/>
      <c r="BT262" s="898">
        <v>0.19500000000000001</v>
      </c>
      <c r="BU262" s="899">
        <v>2.7000000000000001E-3</v>
      </c>
      <c r="BV262" s="901">
        <v>1</v>
      </c>
      <c r="BW262" s="901">
        <v>1</v>
      </c>
      <c r="BX262" s="901">
        <v>1</v>
      </c>
      <c r="BY262" s="901"/>
      <c r="BZ262" s="901"/>
      <c r="CA262" s="901"/>
      <c r="CB262" s="901"/>
      <c r="CC262" s="901"/>
      <c r="CD262" s="901">
        <v>1</v>
      </c>
      <c r="CE262" s="901"/>
      <c r="CF262" s="901"/>
      <c r="CG262" s="901"/>
      <c r="CH262" s="901"/>
      <c r="CI262" s="901"/>
      <c r="CJ262" s="901"/>
      <c r="CK262" s="901"/>
      <c r="CL262" s="901"/>
      <c r="CM262" s="901"/>
      <c r="CN262" s="901"/>
      <c r="CO262" s="901"/>
      <c r="CP262" s="901"/>
      <c r="CQ262" s="901"/>
      <c r="CR262" s="901"/>
      <c r="CS262" s="902">
        <f t="shared" si="90"/>
        <v>1</v>
      </c>
      <c r="CT262" s="871">
        <f t="shared" si="91"/>
        <v>1</v>
      </c>
      <c r="CU262" s="871">
        <f t="shared" si="85"/>
        <v>0</v>
      </c>
      <c r="CV262" s="942">
        <v>1.3029999999999999</v>
      </c>
      <c r="CW262" s="710"/>
      <c r="CX262" s="710"/>
      <c r="CY262" s="710"/>
      <c r="CZ262" s="710"/>
      <c r="DA262" s="710">
        <v>100</v>
      </c>
      <c r="DB262" s="899" t="s">
        <v>4660</v>
      </c>
      <c r="DC262" s="710" t="s">
        <v>950</v>
      </c>
      <c r="DD262" s="710"/>
      <c r="DE262" s="710"/>
      <c r="DF262" s="901"/>
      <c r="DG262" s="901"/>
      <c r="DH262" s="901">
        <v>4</v>
      </c>
      <c r="DI262" s="710" t="s">
        <v>279</v>
      </c>
      <c r="DJ262" s="710"/>
      <c r="DK262" s="901"/>
      <c r="DL262" s="710" t="s">
        <v>279</v>
      </c>
      <c r="DM262" s="710"/>
      <c r="DN262" s="901"/>
      <c r="DO262" s="710" t="s">
        <v>279</v>
      </c>
      <c r="DP262" s="710"/>
      <c r="DQ262" s="901"/>
      <c r="DR262" s="710" t="s">
        <v>279</v>
      </c>
      <c r="DS262" s="710"/>
      <c r="DT262" s="901"/>
      <c r="DU262" s="710" t="s">
        <v>279</v>
      </c>
      <c r="DV262" s="710"/>
      <c r="DW262" s="901"/>
      <c r="DX262" s="710" t="s">
        <v>279</v>
      </c>
      <c r="DY262" s="710" t="s">
        <v>4713</v>
      </c>
      <c r="DZ262" s="901">
        <v>1</v>
      </c>
      <c r="EA262" s="710" t="s">
        <v>279</v>
      </c>
      <c r="EB262" s="710"/>
      <c r="EC262" s="901"/>
      <c r="ED262" s="710" t="s">
        <v>278</v>
      </c>
      <c r="EE262" s="945" t="s">
        <v>4729</v>
      </c>
      <c r="EF262" s="901">
        <v>15</v>
      </c>
      <c r="EG262" s="710" t="s">
        <v>279</v>
      </c>
      <c r="EH262" s="710"/>
      <c r="EI262" s="901"/>
      <c r="EJ262" s="710" t="s">
        <v>279</v>
      </c>
      <c r="EK262" s="710"/>
      <c r="EL262" s="901"/>
      <c r="EM262" s="710" t="s">
        <v>279</v>
      </c>
      <c r="EN262" s="710"/>
      <c r="EO262" s="901"/>
      <c r="EP262" s="710" t="s">
        <v>279</v>
      </c>
      <c r="EQ262" s="710"/>
      <c r="ER262" s="901"/>
      <c r="ES262" s="710" t="s">
        <v>279</v>
      </c>
      <c r="ET262" s="710"/>
      <c r="EU262" s="901"/>
      <c r="EV262" s="901"/>
      <c r="EW262" s="901"/>
      <c r="EX262" s="901"/>
      <c r="EY262" s="710" t="s">
        <v>279</v>
      </c>
      <c r="EZ262" s="710"/>
      <c r="FA262" s="710" t="s">
        <v>579</v>
      </c>
      <c r="FB262" s="710" t="s">
        <v>4772</v>
      </c>
      <c r="FC262" s="945" t="s">
        <v>4788</v>
      </c>
      <c r="FD262" s="945" t="s">
        <v>4805</v>
      </c>
      <c r="FE262" s="710"/>
      <c r="FF262" s="710" t="s">
        <v>4829</v>
      </c>
      <c r="FG262" s="710"/>
      <c r="FH262" s="710"/>
      <c r="FI262" s="710"/>
      <c r="FJ262" s="710"/>
      <c r="FK262" s="710" t="s">
        <v>4869</v>
      </c>
      <c r="FL262" s="710" t="s">
        <v>4887</v>
      </c>
      <c r="FM262" s="945" t="s">
        <v>4904</v>
      </c>
      <c r="FN262" s="710" t="s">
        <v>1874</v>
      </c>
      <c r="FO262" s="710" t="s">
        <v>1875</v>
      </c>
      <c r="FP262" s="1031" t="s">
        <v>1876</v>
      </c>
    </row>
    <row r="263" spans="2:172" ht="167" customHeight="1">
      <c r="B263" s="850" t="s">
        <v>5313</v>
      </c>
      <c r="C263" s="863"/>
      <c r="D263" s="850" t="s">
        <v>4934</v>
      </c>
      <c r="E263" s="850" t="s">
        <v>5314</v>
      </c>
      <c r="F263" s="863"/>
      <c r="H263" s="850" t="s">
        <v>4934</v>
      </c>
      <c r="I263" s="850" t="s">
        <v>5519</v>
      </c>
      <c r="J263" s="850" t="s">
        <v>5469</v>
      </c>
      <c r="K263" s="710" t="s">
        <v>275</v>
      </c>
      <c r="L263" s="710" t="s">
        <v>4492</v>
      </c>
      <c r="M263" s="710" t="s">
        <v>4506</v>
      </c>
      <c r="N263" s="710" t="s">
        <v>1873</v>
      </c>
      <c r="O263" s="895">
        <v>2019</v>
      </c>
      <c r="P263" s="896">
        <v>43605</v>
      </c>
      <c r="Q263" s="896">
        <v>43650</v>
      </c>
      <c r="R263" s="712">
        <f t="shared" si="87"/>
        <v>45</v>
      </c>
      <c r="S263" s="896"/>
      <c r="T263" s="896"/>
      <c r="U263" s="896"/>
      <c r="V263" s="896"/>
      <c r="W263" s="896"/>
      <c r="X263" s="896"/>
      <c r="Y263" s="896"/>
      <c r="Z263" s="896"/>
      <c r="AA263" s="896"/>
      <c r="AB263" s="710" t="s">
        <v>4528</v>
      </c>
      <c r="AC263" s="945" t="s">
        <v>4552</v>
      </c>
      <c r="AD263" s="710" t="s">
        <v>4577</v>
      </c>
      <c r="AE263" s="710" t="s">
        <v>4577</v>
      </c>
      <c r="AF263" s="710" t="s">
        <v>4612</v>
      </c>
      <c r="AG263" s="710" t="s">
        <v>4633</v>
      </c>
      <c r="AH263" s="898">
        <v>1.4999999999999999E-2</v>
      </c>
      <c r="AI263" s="868">
        <f t="shared" si="68"/>
        <v>1.4999999999999999E-2</v>
      </c>
      <c r="AJ263" s="867">
        <f t="shared" si="69"/>
        <v>0</v>
      </c>
      <c r="AK263" s="898"/>
      <c r="AL263" s="898"/>
      <c r="AM263" s="898"/>
      <c r="AN263" s="869">
        <f t="shared" si="70"/>
        <v>0</v>
      </c>
      <c r="AO263" s="869">
        <f t="shared" si="71"/>
        <v>0</v>
      </c>
      <c r="AP263" s="898"/>
      <c r="AQ263" s="904"/>
      <c r="AR263" s="899">
        <v>2.7999999999999998E-4</v>
      </c>
      <c r="AS263" s="869">
        <f t="shared" si="72"/>
        <v>0</v>
      </c>
      <c r="AT263" s="869">
        <f t="shared" si="73"/>
        <v>0</v>
      </c>
      <c r="AU263" s="942">
        <v>1.4999999999999999E-2</v>
      </c>
      <c r="AV263" s="899">
        <v>1</v>
      </c>
      <c r="AW263" s="869">
        <f t="shared" si="74"/>
        <v>1</v>
      </c>
      <c r="AX263" s="869">
        <f t="shared" si="75"/>
        <v>0</v>
      </c>
      <c r="AY263" s="898">
        <v>0</v>
      </c>
      <c r="AZ263" s="904">
        <v>0</v>
      </c>
      <c r="BA263" s="869">
        <f t="shared" si="76"/>
        <v>0</v>
      </c>
      <c r="BB263" s="869">
        <f t="shared" si="77"/>
        <v>0</v>
      </c>
      <c r="BC263" s="898">
        <v>0</v>
      </c>
      <c r="BD263" s="904">
        <v>0</v>
      </c>
      <c r="BE263" s="869">
        <f t="shared" si="78"/>
        <v>0</v>
      </c>
      <c r="BF263" s="869">
        <f t="shared" si="79"/>
        <v>0</v>
      </c>
      <c r="BG263" s="904"/>
      <c r="BH263" s="904"/>
      <c r="BI263" s="904"/>
      <c r="BJ263" s="904"/>
      <c r="BK263" s="904"/>
      <c r="BL263" s="714">
        <f t="shared" si="80"/>
        <v>0</v>
      </c>
      <c r="BM263" s="869">
        <f t="shared" si="81"/>
        <v>0</v>
      </c>
      <c r="BN263" s="898">
        <v>0</v>
      </c>
      <c r="BO263" s="904">
        <v>0</v>
      </c>
      <c r="BP263" s="869">
        <f t="shared" si="82"/>
        <v>0</v>
      </c>
      <c r="BQ263" s="869">
        <f t="shared" si="83"/>
        <v>0</v>
      </c>
      <c r="BR263" s="904"/>
      <c r="BS263" s="904"/>
      <c r="BT263" s="898">
        <v>0.15</v>
      </c>
      <c r="BU263" s="899">
        <v>2.5000000000000001E-3</v>
      </c>
      <c r="BV263" s="901">
        <v>2</v>
      </c>
      <c r="BW263" s="901">
        <v>2</v>
      </c>
      <c r="BX263" s="901">
        <v>1</v>
      </c>
      <c r="BY263" s="901">
        <v>0</v>
      </c>
      <c r="BZ263" s="901">
        <v>0</v>
      </c>
      <c r="CA263" s="901">
        <v>0</v>
      </c>
      <c r="CB263" s="901">
        <v>0</v>
      </c>
      <c r="CC263" s="901">
        <v>0</v>
      </c>
      <c r="CD263" s="901">
        <v>0</v>
      </c>
      <c r="CE263" s="901">
        <v>0</v>
      </c>
      <c r="CF263" s="901">
        <v>0</v>
      </c>
      <c r="CG263" s="901">
        <v>0</v>
      </c>
      <c r="CH263" s="901">
        <v>0</v>
      </c>
      <c r="CI263" s="901">
        <v>0</v>
      </c>
      <c r="CJ263" s="901">
        <v>0</v>
      </c>
      <c r="CK263" s="901">
        <v>0</v>
      </c>
      <c r="CL263" s="901">
        <v>1</v>
      </c>
      <c r="CM263" s="901">
        <v>0</v>
      </c>
      <c r="CN263" s="901">
        <v>0</v>
      </c>
      <c r="CO263" s="901">
        <v>0</v>
      </c>
      <c r="CP263" s="901">
        <v>0</v>
      </c>
      <c r="CQ263" s="901">
        <v>0</v>
      </c>
      <c r="CR263" s="901">
        <v>0</v>
      </c>
      <c r="CS263" s="902">
        <f t="shared" si="90"/>
        <v>1</v>
      </c>
      <c r="CT263" s="871">
        <f t="shared" si="91"/>
        <v>1</v>
      </c>
      <c r="CU263" s="871">
        <f t="shared" si="85"/>
        <v>0</v>
      </c>
      <c r="CV263" s="942">
        <v>0.81299999999999994</v>
      </c>
      <c r="CW263" s="710"/>
      <c r="CX263" s="710"/>
      <c r="CY263" s="710"/>
      <c r="CZ263" s="710"/>
      <c r="DA263" s="710">
        <v>100</v>
      </c>
      <c r="DB263" s="899" t="s">
        <v>4660</v>
      </c>
      <c r="DC263" s="710" t="s">
        <v>279</v>
      </c>
      <c r="DD263" s="710"/>
      <c r="DE263" s="710"/>
      <c r="DF263" s="901"/>
      <c r="DG263" s="901"/>
      <c r="DH263" s="901">
        <v>1</v>
      </c>
      <c r="DI263" s="710" t="s">
        <v>279</v>
      </c>
      <c r="DJ263" s="710"/>
      <c r="DK263" s="901"/>
      <c r="DL263" s="710" t="s">
        <v>278</v>
      </c>
      <c r="DM263" s="710" t="s">
        <v>4691</v>
      </c>
      <c r="DN263" s="901">
        <v>8</v>
      </c>
      <c r="DO263" s="710" t="s">
        <v>279</v>
      </c>
      <c r="DP263" s="710"/>
      <c r="DQ263" s="901"/>
      <c r="DR263" s="710" t="s">
        <v>279</v>
      </c>
      <c r="DS263" s="710"/>
      <c r="DT263" s="901"/>
      <c r="DU263" s="710" t="s">
        <v>279</v>
      </c>
      <c r="DV263" s="710"/>
      <c r="DW263" s="901"/>
      <c r="DX263" s="710" t="s">
        <v>279</v>
      </c>
      <c r="DY263" s="710"/>
      <c r="DZ263" s="901"/>
      <c r="EA263" s="710" t="s">
        <v>279</v>
      </c>
      <c r="EB263" s="710"/>
      <c r="EC263" s="901"/>
      <c r="ED263" s="710" t="s">
        <v>278</v>
      </c>
      <c r="EE263" s="710" t="s">
        <v>4691</v>
      </c>
      <c r="EF263" s="901">
        <v>8</v>
      </c>
      <c r="EG263" s="710" t="s">
        <v>279</v>
      </c>
      <c r="EH263" s="710"/>
      <c r="EI263" s="901"/>
      <c r="EJ263" s="710" t="s">
        <v>279</v>
      </c>
      <c r="EK263" s="710"/>
      <c r="EL263" s="901"/>
      <c r="EM263" s="710" t="s">
        <v>278</v>
      </c>
      <c r="EN263" s="710" t="s">
        <v>4691</v>
      </c>
      <c r="EO263" s="901">
        <v>6</v>
      </c>
      <c r="EP263" s="710" t="s">
        <v>279</v>
      </c>
      <c r="EQ263" s="710"/>
      <c r="ER263" s="901"/>
      <c r="ES263" s="710" t="s">
        <v>279</v>
      </c>
      <c r="ET263" s="710"/>
      <c r="EU263" s="901"/>
      <c r="EV263" s="901"/>
      <c r="EW263" s="901"/>
      <c r="EX263" s="901"/>
      <c r="EY263" s="710" t="s">
        <v>279</v>
      </c>
      <c r="EZ263" s="710"/>
      <c r="FA263" s="710" t="s">
        <v>278</v>
      </c>
      <c r="FB263" s="710" t="s">
        <v>4773</v>
      </c>
      <c r="FC263" s="945" t="s">
        <v>4552</v>
      </c>
      <c r="FD263" s="945" t="s">
        <v>4806</v>
      </c>
      <c r="FE263" s="710"/>
      <c r="FF263" s="710" t="s">
        <v>4830</v>
      </c>
      <c r="FG263" s="710"/>
      <c r="FH263" s="710"/>
      <c r="FI263" s="710"/>
      <c r="FJ263" s="710"/>
      <c r="FK263" s="710" t="s">
        <v>4870</v>
      </c>
      <c r="FL263" s="710" t="s">
        <v>4888</v>
      </c>
      <c r="FM263" s="710" t="s">
        <v>4905</v>
      </c>
      <c r="FN263" s="710" t="s">
        <v>1874</v>
      </c>
      <c r="FO263" s="710" t="s">
        <v>1875</v>
      </c>
      <c r="FP263" s="1031" t="s">
        <v>1876</v>
      </c>
    </row>
    <row r="264" spans="2:172" ht="134.5" customHeight="1">
      <c r="B264" s="850" t="s">
        <v>5313</v>
      </c>
      <c r="C264" s="863"/>
      <c r="D264" s="850" t="s">
        <v>4934</v>
      </c>
      <c r="E264" s="850" t="s">
        <v>5314</v>
      </c>
      <c r="F264" s="863"/>
      <c r="H264" s="850" t="s">
        <v>4934</v>
      </c>
      <c r="I264" s="850" t="s">
        <v>5519</v>
      </c>
      <c r="J264" s="850" t="s">
        <v>5469</v>
      </c>
      <c r="K264" s="710" t="s">
        <v>275</v>
      </c>
      <c r="L264" s="710" t="s">
        <v>4493</v>
      </c>
      <c r="M264" s="710" t="s">
        <v>4506</v>
      </c>
      <c r="N264" s="710" t="s">
        <v>1873</v>
      </c>
      <c r="O264" s="895">
        <v>2018</v>
      </c>
      <c r="P264" s="896">
        <v>43626</v>
      </c>
      <c r="Q264" s="896">
        <v>43737</v>
      </c>
      <c r="R264" s="712">
        <f t="shared" si="87"/>
        <v>111</v>
      </c>
      <c r="S264" s="896"/>
      <c r="T264" s="896"/>
      <c r="U264" s="896"/>
      <c r="V264" s="896"/>
      <c r="W264" s="896"/>
      <c r="X264" s="896"/>
      <c r="Y264" s="896"/>
      <c r="Z264" s="896"/>
      <c r="AA264" s="896"/>
      <c r="AB264" s="710" t="s">
        <v>4529</v>
      </c>
      <c r="AC264" s="945" t="s">
        <v>4553</v>
      </c>
      <c r="AD264" s="710" t="s">
        <v>4578</v>
      </c>
      <c r="AE264" s="710" t="s">
        <v>4578</v>
      </c>
      <c r="AF264" s="710" t="s">
        <v>4613</v>
      </c>
      <c r="AG264" s="710" t="s">
        <v>4634</v>
      </c>
      <c r="AH264" s="898">
        <v>0.05</v>
      </c>
      <c r="AI264" s="868">
        <f t="shared" ref="AI264:AI277" si="92">AK264+AU264+AY264+BC264+BG264+AP264+BN264</f>
        <v>0.05</v>
      </c>
      <c r="AJ264" s="867">
        <f t="shared" si="69"/>
        <v>0</v>
      </c>
      <c r="AK264" s="898"/>
      <c r="AL264" s="898"/>
      <c r="AM264" s="898"/>
      <c r="AN264" s="869">
        <f t="shared" si="70"/>
        <v>0</v>
      </c>
      <c r="AO264" s="869">
        <f t="shared" si="71"/>
        <v>0</v>
      </c>
      <c r="AP264" s="898"/>
      <c r="AQ264" s="904"/>
      <c r="AR264" s="968">
        <v>3.6000000000000002E-4</v>
      </c>
      <c r="AS264" s="869">
        <f t="shared" si="72"/>
        <v>0</v>
      </c>
      <c r="AT264" s="869">
        <f t="shared" si="73"/>
        <v>0</v>
      </c>
      <c r="AU264" s="942">
        <v>0.05</v>
      </c>
      <c r="AV264" s="968">
        <v>1</v>
      </c>
      <c r="AW264" s="869">
        <f t="shared" si="74"/>
        <v>1</v>
      </c>
      <c r="AX264" s="869">
        <f t="shared" si="75"/>
        <v>0</v>
      </c>
      <c r="AY264" s="967">
        <v>0</v>
      </c>
      <c r="AZ264" s="904">
        <v>0</v>
      </c>
      <c r="BA264" s="869">
        <f t="shared" si="76"/>
        <v>0</v>
      </c>
      <c r="BB264" s="869">
        <f t="shared" si="77"/>
        <v>0</v>
      </c>
      <c r="BC264" s="942">
        <v>0</v>
      </c>
      <c r="BD264" s="904">
        <v>0</v>
      </c>
      <c r="BE264" s="869">
        <f t="shared" si="78"/>
        <v>0</v>
      </c>
      <c r="BF264" s="869">
        <f t="shared" si="79"/>
        <v>0</v>
      </c>
      <c r="BG264" s="904"/>
      <c r="BH264" s="904"/>
      <c r="BI264" s="904"/>
      <c r="BJ264" s="904"/>
      <c r="BK264" s="904"/>
      <c r="BL264" s="714">
        <f t="shared" si="80"/>
        <v>0</v>
      </c>
      <c r="BM264" s="869">
        <f t="shared" si="81"/>
        <v>0</v>
      </c>
      <c r="BN264" s="898">
        <v>0</v>
      </c>
      <c r="BO264" s="904">
        <v>0</v>
      </c>
      <c r="BP264" s="869">
        <f t="shared" si="82"/>
        <v>0</v>
      </c>
      <c r="BQ264" s="869">
        <f t="shared" si="83"/>
        <v>0</v>
      </c>
      <c r="BR264" s="904"/>
      <c r="BS264" s="904"/>
      <c r="BT264" s="898">
        <v>0.15</v>
      </c>
      <c r="BU264" s="899">
        <v>1.2700000000000001E-3</v>
      </c>
      <c r="BV264" s="901">
        <v>2</v>
      </c>
      <c r="BW264" s="901">
        <v>1</v>
      </c>
      <c r="BX264" s="901">
        <v>1</v>
      </c>
      <c r="BY264" s="901">
        <v>0</v>
      </c>
      <c r="BZ264" s="901">
        <v>0</v>
      </c>
      <c r="CA264" s="901">
        <v>0</v>
      </c>
      <c r="CB264" s="901">
        <v>0</v>
      </c>
      <c r="CC264" s="901">
        <v>0</v>
      </c>
      <c r="CD264" s="901">
        <v>0</v>
      </c>
      <c r="CE264" s="901">
        <v>0</v>
      </c>
      <c r="CF264" s="901">
        <v>0</v>
      </c>
      <c r="CG264" s="901">
        <v>0</v>
      </c>
      <c r="CH264" s="901">
        <v>0</v>
      </c>
      <c r="CI264" s="901">
        <v>0</v>
      </c>
      <c r="CJ264" s="901">
        <v>0</v>
      </c>
      <c r="CK264" s="901">
        <v>0</v>
      </c>
      <c r="CL264" s="901">
        <v>0</v>
      </c>
      <c r="CM264" s="901">
        <v>0</v>
      </c>
      <c r="CN264" s="901">
        <v>0</v>
      </c>
      <c r="CO264" s="901">
        <v>0</v>
      </c>
      <c r="CP264" s="901">
        <v>0</v>
      </c>
      <c r="CQ264" s="901">
        <v>0</v>
      </c>
      <c r="CR264" s="901">
        <v>1</v>
      </c>
      <c r="CS264" s="902">
        <f t="shared" si="90"/>
        <v>1</v>
      </c>
      <c r="CT264" s="871">
        <f t="shared" si="91"/>
        <v>1</v>
      </c>
      <c r="CU264" s="871">
        <f t="shared" si="85"/>
        <v>0</v>
      </c>
      <c r="CV264" s="942">
        <v>1.706</v>
      </c>
      <c r="CW264" s="710"/>
      <c r="CX264" s="710"/>
      <c r="CY264" s="710"/>
      <c r="CZ264" s="710"/>
      <c r="DA264" s="710">
        <v>100</v>
      </c>
      <c r="DB264" s="899" t="s">
        <v>4660</v>
      </c>
      <c r="DC264" s="710" t="s">
        <v>279</v>
      </c>
      <c r="DD264" s="710"/>
      <c r="DE264" s="710"/>
      <c r="DF264" s="901"/>
      <c r="DG264" s="901"/>
      <c r="DH264" s="901">
        <v>1</v>
      </c>
      <c r="DI264" s="710" t="s">
        <v>279</v>
      </c>
      <c r="DJ264" s="710"/>
      <c r="DK264" s="901"/>
      <c r="DL264" s="710" t="s">
        <v>279</v>
      </c>
      <c r="DM264" s="710"/>
      <c r="DN264" s="901"/>
      <c r="DO264" s="710" t="s">
        <v>279</v>
      </c>
      <c r="DP264" s="710"/>
      <c r="DQ264" s="901"/>
      <c r="DR264" s="710" t="s">
        <v>279</v>
      </c>
      <c r="DS264" s="710"/>
      <c r="DT264" s="901"/>
      <c r="DU264" s="710" t="s">
        <v>279</v>
      </c>
      <c r="DV264" s="710"/>
      <c r="DW264" s="901"/>
      <c r="DX264" s="710" t="s">
        <v>278</v>
      </c>
      <c r="DY264" s="710" t="s">
        <v>4713</v>
      </c>
      <c r="DZ264" s="901">
        <v>2</v>
      </c>
      <c r="EA264" s="710" t="s">
        <v>279</v>
      </c>
      <c r="EB264" s="710"/>
      <c r="EC264" s="901"/>
      <c r="ED264" s="710" t="s">
        <v>278</v>
      </c>
      <c r="EE264" s="710" t="s">
        <v>3005</v>
      </c>
      <c r="EF264" s="901">
        <v>6</v>
      </c>
      <c r="EG264" s="710" t="s">
        <v>279</v>
      </c>
      <c r="EH264" s="710"/>
      <c r="EI264" s="901"/>
      <c r="EJ264" s="710" t="s">
        <v>279</v>
      </c>
      <c r="EK264" s="710"/>
      <c r="EL264" s="901"/>
      <c r="EM264" s="710" t="s">
        <v>279</v>
      </c>
      <c r="EN264" s="710"/>
      <c r="EO264" s="901"/>
      <c r="EP264" s="710" t="s">
        <v>279</v>
      </c>
      <c r="EQ264" s="710"/>
      <c r="ER264" s="901"/>
      <c r="ES264" s="710" t="s">
        <v>279</v>
      </c>
      <c r="ET264" s="710"/>
      <c r="EU264" s="901"/>
      <c r="EV264" s="901"/>
      <c r="EW264" s="901"/>
      <c r="EX264" s="901"/>
      <c r="EY264" s="710" t="s">
        <v>279</v>
      </c>
      <c r="EZ264" s="710"/>
      <c r="FA264" s="710" t="s">
        <v>278</v>
      </c>
      <c r="FB264" s="710" t="s">
        <v>4774</v>
      </c>
      <c r="FC264" s="710" t="s">
        <v>4789</v>
      </c>
      <c r="FD264" s="710"/>
      <c r="FE264" s="710"/>
      <c r="FF264" s="710" t="s">
        <v>4831</v>
      </c>
      <c r="FG264" s="710"/>
      <c r="FH264" s="710"/>
      <c r="FI264" s="710">
        <v>0</v>
      </c>
      <c r="FJ264" s="710">
        <v>0</v>
      </c>
      <c r="FK264" s="710" t="s">
        <v>4871</v>
      </c>
      <c r="FL264" s="710" t="s">
        <v>4889</v>
      </c>
      <c r="FM264" s="945" t="s">
        <v>4906</v>
      </c>
      <c r="FN264" s="710" t="s">
        <v>1874</v>
      </c>
      <c r="FO264" s="710" t="s">
        <v>1875</v>
      </c>
      <c r="FP264" s="1031" t="s">
        <v>1876</v>
      </c>
    </row>
    <row r="265" spans="2:172" ht="149.5" customHeight="1">
      <c r="B265" s="850" t="s">
        <v>5313</v>
      </c>
      <c r="C265" s="863"/>
      <c r="D265" s="850" t="s">
        <v>4934</v>
      </c>
      <c r="E265" s="850" t="s">
        <v>5314</v>
      </c>
      <c r="F265" s="863"/>
      <c r="H265" s="850" t="s">
        <v>4934</v>
      </c>
      <c r="I265" s="850" t="s">
        <v>5519</v>
      </c>
      <c r="J265" s="850" t="s">
        <v>5469</v>
      </c>
      <c r="K265" s="710" t="s">
        <v>275</v>
      </c>
      <c r="L265" s="710" t="s">
        <v>4494</v>
      </c>
      <c r="M265" s="710" t="s">
        <v>4506</v>
      </c>
      <c r="N265" s="710" t="s">
        <v>1873</v>
      </c>
      <c r="O265" s="895">
        <v>2019</v>
      </c>
      <c r="P265" s="896">
        <v>43466</v>
      </c>
      <c r="Q265" s="896">
        <v>43830</v>
      </c>
      <c r="R265" s="712">
        <f t="shared" si="87"/>
        <v>364</v>
      </c>
      <c r="S265" s="896"/>
      <c r="T265" s="896"/>
      <c r="U265" s="896"/>
      <c r="V265" s="896"/>
      <c r="W265" s="896"/>
      <c r="X265" s="896"/>
      <c r="Y265" s="896"/>
      <c r="Z265" s="896"/>
      <c r="AA265" s="896"/>
      <c r="AB265" s="710" t="s">
        <v>4530</v>
      </c>
      <c r="AC265" s="945" t="s">
        <v>4554</v>
      </c>
      <c r="AD265" s="710" t="s">
        <v>4579</v>
      </c>
      <c r="AE265" s="710" t="s">
        <v>4598</v>
      </c>
      <c r="AF265" s="710" t="s">
        <v>4614</v>
      </c>
      <c r="AG265" s="710" t="s">
        <v>4635</v>
      </c>
      <c r="AH265" s="898">
        <v>0.79500000000000004</v>
      </c>
      <c r="AI265" s="868">
        <f t="shared" si="92"/>
        <v>0.79499999999999993</v>
      </c>
      <c r="AJ265" s="867">
        <f t="shared" ref="AJ265:AJ277" si="93">AI265-AH265</f>
        <v>0</v>
      </c>
      <c r="AK265" s="898"/>
      <c r="AL265" s="898"/>
      <c r="AM265" s="898"/>
      <c r="AN265" s="869">
        <f t="shared" ref="AN265:AN277" si="94">AK265/AH265</f>
        <v>0</v>
      </c>
      <c r="AO265" s="869">
        <f t="shared" ref="AO265:AO277" si="95">AL265-AN265</f>
        <v>0</v>
      </c>
      <c r="AP265" s="898"/>
      <c r="AQ265" s="899"/>
      <c r="AR265" s="899">
        <v>1E-4</v>
      </c>
      <c r="AS265" s="869">
        <f t="shared" ref="AS265:AS277" si="96">AP265/AH265</f>
        <v>0</v>
      </c>
      <c r="AT265" s="869">
        <f t="shared" ref="AT265:AT277" si="97">AQ265-AS265</f>
        <v>0</v>
      </c>
      <c r="AU265" s="942">
        <v>0.68899999999999995</v>
      </c>
      <c r="AV265" s="899">
        <v>0.86699999999999999</v>
      </c>
      <c r="AW265" s="869">
        <f t="shared" ref="AW265:AW277" si="98">AU265/AH265</f>
        <v>0.86666666666666659</v>
      </c>
      <c r="AX265" s="869">
        <f t="shared" ref="AX265:AX277" si="99">AV265-AW265</f>
        <v>3.3333333333340764E-4</v>
      </c>
      <c r="AY265" s="898">
        <v>0.104</v>
      </c>
      <c r="AZ265" s="899">
        <v>0.13100000000000001</v>
      </c>
      <c r="BA265" s="869">
        <f t="shared" ref="BA265:BA277" si="100">AY265/AH265</f>
        <v>0.13081761006289308</v>
      </c>
      <c r="BB265" s="869">
        <f t="shared" ref="BB265:BB277" si="101">AZ265-BA265</f>
        <v>1.8238993710692486E-4</v>
      </c>
      <c r="BC265" s="898">
        <v>2E-3</v>
      </c>
      <c r="BD265" s="899">
        <v>2.5000000000000001E-3</v>
      </c>
      <c r="BE265" s="869">
        <f t="shared" ref="BE265:BE277" si="102">BC265/AH265</f>
        <v>2.5157232704402514E-3</v>
      </c>
      <c r="BF265" s="869">
        <f t="shared" ref="BF265:BF277" si="103">BD265-BE265</f>
        <v>-1.5723270440251395E-5</v>
      </c>
      <c r="BG265" s="899"/>
      <c r="BH265" s="899"/>
      <c r="BI265" s="899"/>
      <c r="BJ265" s="899"/>
      <c r="BK265" s="899"/>
      <c r="BL265" s="714">
        <f t="shared" ref="BL265:BL277" si="104">BG265/AH265</f>
        <v>0</v>
      </c>
      <c r="BM265" s="869">
        <f t="shared" ref="BM265:BM277" si="105">BH265-BL265</f>
        <v>0</v>
      </c>
      <c r="BN265" s="898">
        <v>0</v>
      </c>
      <c r="BO265" s="904">
        <v>0</v>
      </c>
      <c r="BP265" s="869">
        <f t="shared" ref="BP265:BP277" si="106">BN265/AH265</f>
        <v>0</v>
      </c>
      <c r="BQ265" s="869">
        <f t="shared" ref="BQ265:BQ277" si="107">BO265-BP265</f>
        <v>0</v>
      </c>
      <c r="BR265" s="904"/>
      <c r="BS265" s="904"/>
      <c r="BT265" s="898">
        <v>4.851</v>
      </c>
      <c r="BU265" s="899">
        <v>1E-3</v>
      </c>
      <c r="BV265" s="901">
        <v>10</v>
      </c>
      <c r="BW265" s="901">
        <v>7</v>
      </c>
      <c r="BX265" s="901">
        <v>7</v>
      </c>
      <c r="BY265" s="901"/>
      <c r="BZ265" s="901"/>
      <c r="CA265" s="901"/>
      <c r="CB265" s="901"/>
      <c r="CC265" s="901"/>
      <c r="CD265" s="901"/>
      <c r="CE265" s="901">
        <v>1</v>
      </c>
      <c r="CF265" s="901">
        <v>4</v>
      </c>
      <c r="CG265" s="901">
        <v>2</v>
      </c>
      <c r="CH265" s="901"/>
      <c r="CI265" s="901"/>
      <c r="CJ265" s="901"/>
      <c r="CK265" s="901"/>
      <c r="CL265" s="901"/>
      <c r="CM265" s="901"/>
      <c r="CN265" s="901"/>
      <c r="CO265" s="901"/>
      <c r="CP265" s="901"/>
      <c r="CQ265" s="901"/>
      <c r="CR265" s="901"/>
      <c r="CS265" s="902">
        <f t="shared" si="90"/>
        <v>7</v>
      </c>
      <c r="CT265" s="871">
        <f t="shared" si="91"/>
        <v>7</v>
      </c>
      <c r="CU265" s="871">
        <f t="shared" ref="CU265:CU277" si="108">CS265-CT265</f>
        <v>0</v>
      </c>
      <c r="CV265" s="942">
        <v>0.59899999999999998</v>
      </c>
      <c r="CW265" s="710" t="s">
        <v>1031</v>
      </c>
      <c r="CX265" s="710"/>
      <c r="CY265" s="710"/>
      <c r="CZ265" s="710"/>
      <c r="DA265" s="710">
        <v>3.9</v>
      </c>
      <c r="DB265" s="899" t="s">
        <v>4662</v>
      </c>
      <c r="DC265" s="710" t="s">
        <v>278</v>
      </c>
      <c r="DD265" s="710" t="s">
        <v>4669</v>
      </c>
      <c r="DE265" s="710" t="s">
        <v>4674</v>
      </c>
      <c r="DF265" s="901">
        <v>5</v>
      </c>
      <c r="DG265" s="901"/>
      <c r="DH265" s="901"/>
      <c r="DI265" s="710"/>
      <c r="DJ265" s="710"/>
      <c r="DK265" s="901"/>
      <c r="DL265" s="710" t="s">
        <v>278</v>
      </c>
      <c r="DM265" s="710"/>
      <c r="DN265" s="901">
        <v>362</v>
      </c>
      <c r="DO265" s="710"/>
      <c r="DP265" s="710"/>
      <c r="DQ265" s="901"/>
      <c r="DR265" s="710"/>
      <c r="DS265" s="710"/>
      <c r="DT265" s="901"/>
      <c r="DU265" s="710"/>
      <c r="DV265" s="710"/>
      <c r="DW265" s="901"/>
      <c r="DX265" s="710"/>
      <c r="DY265" s="710"/>
      <c r="DZ265" s="901"/>
      <c r="EA265" s="710"/>
      <c r="EB265" s="710"/>
      <c r="EC265" s="901"/>
      <c r="ED265" s="710" t="s">
        <v>278</v>
      </c>
      <c r="EE265" s="710"/>
      <c r="EF265" s="901"/>
      <c r="EG265" s="710"/>
      <c r="EH265" s="710"/>
      <c r="EI265" s="901"/>
      <c r="EJ265" s="710"/>
      <c r="EK265" s="710"/>
      <c r="EL265" s="901"/>
      <c r="EM265" s="710"/>
      <c r="EN265" s="710"/>
      <c r="EO265" s="901"/>
      <c r="EP265" s="710"/>
      <c r="EQ265" s="710"/>
      <c r="ER265" s="901"/>
      <c r="ES265" s="710"/>
      <c r="ET265" s="710"/>
      <c r="EU265" s="901"/>
      <c r="EV265" s="901"/>
      <c r="EW265" s="901"/>
      <c r="EX265" s="901"/>
      <c r="EY265" s="710"/>
      <c r="EZ265" s="710"/>
      <c r="FA265" s="710" t="s">
        <v>279</v>
      </c>
      <c r="FB265" s="710"/>
      <c r="FC265" s="945" t="s">
        <v>4554</v>
      </c>
      <c r="FD265" s="945" t="s">
        <v>4807</v>
      </c>
      <c r="FE265" s="710" t="s">
        <v>279</v>
      </c>
      <c r="FF265" s="710" t="s">
        <v>4832</v>
      </c>
      <c r="FG265" s="710"/>
      <c r="FH265" s="710"/>
      <c r="FI265" s="710"/>
      <c r="FJ265" s="710"/>
      <c r="FK265" s="710" t="s">
        <v>4872</v>
      </c>
      <c r="FL265" s="710" t="s">
        <v>4890</v>
      </c>
      <c r="FM265" s="945" t="s">
        <v>4907</v>
      </c>
      <c r="FN265" s="710" t="s">
        <v>1874</v>
      </c>
      <c r="FO265" s="710" t="s">
        <v>1875</v>
      </c>
      <c r="FP265" s="1031" t="s">
        <v>1876</v>
      </c>
    </row>
    <row r="266" spans="2:172" ht="162" customHeight="1">
      <c r="B266" s="850" t="s">
        <v>5313</v>
      </c>
      <c r="C266" s="863"/>
      <c r="D266" s="850" t="s">
        <v>4934</v>
      </c>
      <c r="E266" s="850" t="s">
        <v>5314</v>
      </c>
      <c r="F266" s="863"/>
      <c r="H266" s="850" t="s">
        <v>4934</v>
      </c>
      <c r="I266" s="850" t="s">
        <v>5519</v>
      </c>
      <c r="J266" s="850" t="s">
        <v>5469</v>
      </c>
      <c r="K266" s="710" t="s">
        <v>275</v>
      </c>
      <c r="L266" s="710" t="s">
        <v>4495</v>
      </c>
      <c r="M266" s="710" t="s">
        <v>4508</v>
      </c>
      <c r="N266" s="710" t="s">
        <v>526</v>
      </c>
      <c r="O266" s="895">
        <v>2019</v>
      </c>
      <c r="P266" s="896">
        <v>43466</v>
      </c>
      <c r="Q266" s="896">
        <v>43830</v>
      </c>
      <c r="R266" s="712">
        <f t="shared" si="87"/>
        <v>364</v>
      </c>
      <c r="S266" s="896"/>
      <c r="T266" s="896"/>
      <c r="U266" s="896"/>
      <c r="V266" s="896"/>
      <c r="W266" s="896"/>
      <c r="X266" s="896"/>
      <c r="Y266" s="896"/>
      <c r="Z266" s="896"/>
      <c r="AA266" s="896"/>
      <c r="AB266" s="710" t="s">
        <v>4531</v>
      </c>
      <c r="AC266" s="945" t="s">
        <v>4555</v>
      </c>
      <c r="AD266" s="710" t="s">
        <v>4580</v>
      </c>
      <c r="AE266" s="710" t="s">
        <v>4580</v>
      </c>
      <c r="AF266" s="710" t="s">
        <v>4615</v>
      </c>
      <c r="AG266" s="710" t="s">
        <v>4580</v>
      </c>
      <c r="AH266" s="898">
        <v>2.2189999999999999</v>
      </c>
      <c r="AI266" s="868">
        <f t="shared" si="92"/>
        <v>2.2189999999999999</v>
      </c>
      <c r="AJ266" s="867">
        <f t="shared" si="93"/>
        <v>0</v>
      </c>
      <c r="AK266" s="898"/>
      <c r="AL266" s="898"/>
      <c r="AM266" s="898"/>
      <c r="AN266" s="869">
        <f t="shared" si="94"/>
        <v>0</v>
      </c>
      <c r="AO266" s="869">
        <f t="shared" si="95"/>
        <v>0</v>
      </c>
      <c r="AP266" s="898"/>
      <c r="AQ266" s="899"/>
      <c r="AR266" s="899">
        <v>7.1999999999999998E-3</v>
      </c>
      <c r="AS266" s="869">
        <f t="shared" si="96"/>
        <v>0</v>
      </c>
      <c r="AT266" s="869">
        <f t="shared" si="97"/>
        <v>0</v>
      </c>
      <c r="AU266" s="942">
        <v>1.984</v>
      </c>
      <c r="AV266" s="899">
        <v>0.89410000000000001</v>
      </c>
      <c r="AW266" s="869">
        <f t="shared" si="98"/>
        <v>0.89409643983776477</v>
      </c>
      <c r="AX266" s="869">
        <f t="shared" si="99"/>
        <v>3.5601622352388063E-6</v>
      </c>
      <c r="AY266" s="898">
        <v>0.215</v>
      </c>
      <c r="AZ266" s="899">
        <v>9.69E-2</v>
      </c>
      <c r="BA266" s="869">
        <f t="shared" si="100"/>
        <v>9.6890491212257776E-2</v>
      </c>
      <c r="BB266" s="869">
        <f t="shared" si="101"/>
        <v>9.5087877422239675E-6</v>
      </c>
      <c r="BC266" s="898">
        <v>0.02</v>
      </c>
      <c r="BD266" s="899">
        <v>8.9999999999999993E-3</v>
      </c>
      <c r="BE266" s="869">
        <f t="shared" si="102"/>
        <v>9.0130689499774673E-3</v>
      </c>
      <c r="BF266" s="869">
        <f t="shared" si="103"/>
        <v>-1.3068949977467978E-5</v>
      </c>
      <c r="BG266" s="899"/>
      <c r="BH266" s="899"/>
      <c r="BI266" s="899"/>
      <c r="BJ266" s="899"/>
      <c r="BK266" s="899"/>
      <c r="BL266" s="714">
        <f t="shared" si="104"/>
        <v>0</v>
      </c>
      <c r="BM266" s="869">
        <f t="shared" si="105"/>
        <v>0</v>
      </c>
      <c r="BN266" s="898">
        <v>0</v>
      </c>
      <c r="BO266" s="904">
        <v>0</v>
      </c>
      <c r="BP266" s="869">
        <f t="shared" si="106"/>
        <v>0</v>
      </c>
      <c r="BQ266" s="869">
        <f t="shared" si="107"/>
        <v>0</v>
      </c>
      <c r="BR266" s="904"/>
      <c r="BS266" s="904"/>
      <c r="BT266" s="898">
        <v>0</v>
      </c>
      <c r="BU266" s="904">
        <v>0</v>
      </c>
      <c r="BV266" s="901">
        <v>9</v>
      </c>
      <c r="BW266" s="901">
        <v>5</v>
      </c>
      <c r="BX266" s="901">
        <v>4</v>
      </c>
      <c r="BY266" s="901"/>
      <c r="BZ266" s="901"/>
      <c r="CA266" s="901">
        <v>1</v>
      </c>
      <c r="CB266" s="901"/>
      <c r="CC266" s="901"/>
      <c r="CD266" s="901"/>
      <c r="CE266" s="901"/>
      <c r="CF266" s="901"/>
      <c r="CG266" s="901"/>
      <c r="CH266" s="901"/>
      <c r="CI266" s="901"/>
      <c r="CJ266" s="901"/>
      <c r="CK266" s="901">
        <v>1</v>
      </c>
      <c r="CL266" s="901"/>
      <c r="CM266" s="901"/>
      <c r="CN266" s="901"/>
      <c r="CO266" s="901"/>
      <c r="CP266" s="901"/>
      <c r="CQ266" s="901"/>
      <c r="CR266" s="901">
        <v>2</v>
      </c>
      <c r="CS266" s="902">
        <f t="shared" si="90"/>
        <v>4</v>
      </c>
      <c r="CT266" s="871">
        <f t="shared" si="91"/>
        <v>4</v>
      </c>
      <c r="CU266" s="871">
        <f t="shared" si="108"/>
        <v>0</v>
      </c>
      <c r="CV266" s="942">
        <v>4.34</v>
      </c>
      <c r="CW266" s="710" t="s">
        <v>279</v>
      </c>
      <c r="CX266" s="710"/>
      <c r="CY266" s="710"/>
      <c r="CZ266" s="710"/>
      <c r="DA266" s="710">
        <v>89</v>
      </c>
      <c r="DB266" s="943" t="s">
        <v>4663</v>
      </c>
      <c r="DC266" s="710" t="s">
        <v>279</v>
      </c>
      <c r="DD266" s="710"/>
      <c r="DE266" s="710"/>
      <c r="DF266" s="901"/>
      <c r="DG266" s="901"/>
      <c r="DH266" s="901">
        <v>2</v>
      </c>
      <c r="DI266" s="710"/>
      <c r="DJ266" s="710"/>
      <c r="DK266" s="901"/>
      <c r="DL266" s="710" t="s">
        <v>278</v>
      </c>
      <c r="DM266" s="710" t="s">
        <v>4692</v>
      </c>
      <c r="DN266" s="901">
        <v>131</v>
      </c>
      <c r="DO266" s="710"/>
      <c r="DP266" s="710"/>
      <c r="DQ266" s="901"/>
      <c r="DR266" s="710"/>
      <c r="DS266" s="710"/>
      <c r="DT266" s="901"/>
      <c r="DU266" s="710"/>
      <c r="DV266" s="710"/>
      <c r="DW266" s="901"/>
      <c r="DX266" s="710"/>
      <c r="DY266" s="710"/>
      <c r="DZ266" s="901"/>
      <c r="EA266" s="710"/>
      <c r="EB266" s="710"/>
      <c r="EC266" s="901"/>
      <c r="ED266" s="710" t="s">
        <v>278</v>
      </c>
      <c r="EE266" s="945" t="s">
        <v>4730</v>
      </c>
      <c r="EF266" s="901">
        <v>131</v>
      </c>
      <c r="EG266" s="710"/>
      <c r="EH266" s="710"/>
      <c r="EI266" s="901"/>
      <c r="EJ266" s="710"/>
      <c r="EK266" s="710"/>
      <c r="EL266" s="901"/>
      <c r="EM266" s="710" t="s">
        <v>278</v>
      </c>
      <c r="EN266" s="945" t="s">
        <v>4742</v>
      </c>
      <c r="EO266" s="901">
        <v>5</v>
      </c>
      <c r="EP266" s="710"/>
      <c r="EQ266" s="710"/>
      <c r="ER266" s="901"/>
      <c r="ES266" s="710"/>
      <c r="ET266" s="710"/>
      <c r="EU266" s="901"/>
      <c r="EV266" s="901"/>
      <c r="EW266" s="901"/>
      <c r="EX266" s="901"/>
      <c r="EY266" s="710" t="s">
        <v>279</v>
      </c>
      <c r="EZ266" s="710"/>
      <c r="FA266" s="710" t="s">
        <v>279</v>
      </c>
      <c r="FB266" s="710"/>
      <c r="FC266" s="945" t="s">
        <v>4790</v>
      </c>
      <c r="FD266" s="945"/>
      <c r="FE266" s="710"/>
      <c r="FF266" s="710" t="s">
        <v>4833</v>
      </c>
      <c r="FG266" s="710"/>
      <c r="FH266" s="710" t="s">
        <v>279</v>
      </c>
      <c r="FI266" s="710"/>
      <c r="FJ266" s="710"/>
      <c r="FK266" s="710" t="s">
        <v>4872</v>
      </c>
      <c r="FL266" s="710" t="s">
        <v>4890</v>
      </c>
      <c r="FM266" s="945" t="s">
        <v>4907</v>
      </c>
      <c r="FN266" s="710" t="s">
        <v>1874</v>
      </c>
      <c r="FO266" s="710" t="s">
        <v>1875</v>
      </c>
      <c r="FP266" s="1031" t="s">
        <v>1876</v>
      </c>
    </row>
    <row r="267" spans="2:172" ht="192" customHeight="1">
      <c r="B267" s="850" t="s">
        <v>5313</v>
      </c>
      <c r="C267" s="863"/>
      <c r="D267" s="850" t="s">
        <v>4934</v>
      </c>
      <c r="E267" s="850" t="s">
        <v>5314</v>
      </c>
      <c r="F267" s="863"/>
      <c r="H267" s="850" t="s">
        <v>4934</v>
      </c>
      <c r="I267" s="850" t="s">
        <v>5519</v>
      </c>
      <c r="J267" s="850" t="s">
        <v>5469</v>
      </c>
      <c r="K267" s="710" t="s">
        <v>275</v>
      </c>
      <c r="L267" s="710" t="s">
        <v>4496</v>
      </c>
      <c r="M267" s="710" t="s">
        <v>4506</v>
      </c>
      <c r="N267" s="710" t="s">
        <v>1873</v>
      </c>
      <c r="O267" s="895">
        <v>2019</v>
      </c>
      <c r="P267" s="896">
        <v>43678</v>
      </c>
      <c r="Q267" s="896">
        <v>43830</v>
      </c>
      <c r="R267" s="712">
        <f t="shared" si="87"/>
        <v>152</v>
      </c>
      <c r="S267" s="896"/>
      <c r="T267" s="896"/>
      <c r="U267" s="896"/>
      <c r="V267" s="896"/>
      <c r="W267" s="896"/>
      <c r="X267" s="896"/>
      <c r="Y267" s="896"/>
      <c r="Z267" s="896"/>
      <c r="AA267" s="896"/>
      <c r="AB267" s="710" t="s">
        <v>4532</v>
      </c>
      <c r="AC267" s="945" t="s">
        <v>4556</v>
      </c>
      <c r="AD267" s="710" t="s">
        <v>4581</v>
      </c>
      <c r="AE267" s="710" t="s">
        <v>4581</v>
      </c>
      <c r="AF267" s="710" t="s">
        <v>4616</v>
      </c>
      <c r="AG267" s="710" t="s">
        <v>4581</v>
      </c>
      <c r="AH267" s="898">
        <v>0.309</v>
      </c>
      <c r="AI267" s="868">
        <f t="shared" si="92"/>
        <v>0.309</v>
      </c>
      <c r="AJ267" s="867">
        <f t="shared" si="93"/>
        <v>0</v>
      </c>
      <c r="AK267" s="898"/>
      <c r="AL267" s="898"/>
      <c r="AM267" s="898"/>
      <c r="AN267" s="869">
        <f t="shared" si="94"/>
        <v>0</v>
      </c>
      <c r="AO267" s="869">
        <f t="shared" si="95"/>
        <v>0</v>
      </c>
      <c r="AP267" s="898"/>
      <c r="AQ267" s="904"/>
      <c r="AR267" s="899">
        <v>8.9999999999999998E-4</v>
      </c>
      <c r="AS267" s="869">
        <f t="shared" si="96"/>
        <v>0</v>
      </c>
      <c r="AT267" s="869">
        <f t="shared" si="97"/>
        <v>0</v>
      </c>
      <c r="AU267" s="942">
        <v>0.3</v>
      </c>
      <c r="AV267" s="899">
        <v>0.97</v>
      </c>
      <c r="AW267" s="869">
        <f t="shared" si="98"/>
        <v>0.970873786407767</v>
      </c>
      <c r="AX267" s="869">
        <f t="shared" si="99"/>
        <v>-8.7378640776702987E-4</v>
      </c>
      <c r="AY267" s="898">
        <v>8.9999999999999993E-3</v>
      </c>
      <c r="AZ267" s="899">
        <v>2.9000000000000001E-2</v>
      </c>
      <c r="BA267" s="869">
        <f t="shared" si="100"/>
        <v>2.9126213592233007E-2</v>
      </c>
      <c r="BB267" s="869">
        <f t="shared" si="101"/>
        <v>-1.2621359223300571E-4</v>
      </c>
      <c r="BC267" s="898">
        <v>0</v>
      </c>
      <c r="BD267" s="904">
        <v>0</v>
      </c>
      <c r="BE267" s="869">
        <f t="shared" si="102"/>
        <v>0</v>
      </c>
      <c r="BF267" s="869">
        <f t="shared" si="103"/>
        <v>0</v>
      </c>
      <c r="BG267" s="904"/>
      <c r="BH267" s="904"/>
      <c r="BI267" s="904"/>
      <c r="BJ267" s="904"/>
      <c r="BK267" s="904"/>
      <c r="BL267" s="714">
        <f t="shared" si="104"/>
        <v>0</v>
      </c>
      <c r="BM267" s="869">
        <f t="shared" si="105"/>
        <v>0</v>
      </c>
      <c r="BN267" s="898">
        <v>0</v>
      </c>
      <c r="BO267" s="904">
        <v>0</v>
      </c>
      <c r="BP267" s="869">
        <f t="shared" si="106"/>
        <v>0</v>
      </c>
      <c r="BQ267" s="869">
        <f t="shared" si="107"/>
        <v>0</v>
      </c>
      <c r="BR267" s="904"/>
      <c r="BS267" s="904"/>
      <c r="BT267" s="898">
        <v>0</v>
      </c>
      <c r="BU267" s="904">
        <v>0</v>
      </c>
      <c r="BV267" s="901">
        <v>2</v>
      </c>
      <c r="BW267" s="901">
        <v>1</v>
      </c>
      <c r="BX267" s="901">
        <v>1</v>
      </c>
      <c r="BY267" s="901"/>
      <c r="BZ267" s="901"/>
      <c r="CA267" s="901"/>
      <c r="CB267" s="901"/>
      <c r="CC267" s="901"/>
      <c r="CD267" s="901"/>
      <c r="CE267" s="901"/>
      <c r="CF267" s="901"/>
      <c r="CG267" s="901"/>
      <c r="CH267" s="901"/>
      <c r="CI267" s="901"/>
      <c r="CJ267" s="901"/>
      <c r="CK267" s="901"/>
      <c r="CL267" s="901"/>
      <c r="CM267" s="901"/>
      <c r="CN267" s="901">
        <v>1</v>
      </c>
      <c r="CO267" s="901"/>
      <c r="CP267" s="901"/>
      <c r="CQ267" s="901"/>
      <c r="CR267" s="901"/>
      <c r="CS267" s="902">
        <f t="shared" si="90"/>
        <v>1</v>
      </c>
      <c r="CT267" s="871">
        <f t="shared" si="91"/>
        <v>1</v>
      </c>
      <c r="CU267" s="871">
        <f t="shared" si="108"/>
        <v>0</v>
      </c>
      <c r="CV267" s="942">
        <v>0.54400000000000004</v>
      </c>
      <c r="CW267" s="710"/>
      <c r="CX267" s="710"/>
      <c r="CY267" s="710"/>
      <c r="CZ267" s="710"/>
      <c r="DA267" s="710">
        <v>9.1999999999999993</v>
      </c>
      <c r="DB267" s="903" t="s">
        <v>4662</v>
      </c>
      <c r="DC267" s="710" t="s">
        <v>279</v>
      </c>
      <c r="DD267" s="710"/>
      <c r="DE267" s="710"/>
      <c r="DF267" s="901"/>
      <c r="DG267" s="901"/>
      <c r="DH267" s="901">
        <v>1</v>
      </c>
      <c r="DI267" s="710"/>
      <c r="DJ267" s="710"/>
      <c r="DK267" s="901"/>
      <c r="DL267" s="710" t="s">
        <v>278</v>
      </c>
      <c r="DM267" s="710" t="s">
        <v>4693</v>
      </c>
      <c r="DN267" s="901">
        <v>91</v>
      </c>
      <c r="DO267" s="710"/>
      <c r="DP267" s="710"/>
      <c r="DQ267" s="901"/>
      <c r="DR267" s="710"/>
      <c r="DS267" s="710"/>
      <c r="DT267" s="901"/>
      <c r="DU267" s="710"/>
      <c r="DV267" s="710"/>
      <c r="DW267" s="901"/>
      <c r="DX267" s="710"/>
      <c r="DY267" s="710"/>
      <c r="DZ267" s="901"/>
      <c r="EA267" s="710"/>
      <c r="EB267" s="710"/>
      <c r="EC267" s="901"/>
      <c r="ED267" s="710" t="s">
        <v>278</v>
      </c>
      <c r="EE267" s="710"/>
      <c r="EF267" s="901">
        <v>91</v>
      </c>
      <c r="EG267" s="710"/>
      <c r="EH267" s="710"/>
      <c r="EI267" s="901"/>
      <c r="EJ267" s="710"/>
      <c r="EK267" s="945"/>
      <c r="EL267" s="901"/>
      <c r="EM267" s="710" t="s">
        <v>278</v>
      </c>
      <c r="EN267" s="945" t="s">
        <v>4743</v>
      </c>
      <c r="EO267" s="901">
        <v>7</v>
      </c>
      <c r="EP267" s="710"/>
      <c r="EQ267" s="710"/>
      <c r="ER267" s="901"/>
      <c r="ES267" s="710"/>
      <c r="ET267" s="710"/>
      <c r="EU267" s="901"/>
      <c r="EV267" s="901"/>
      <c r="EW267" s="901"/>
      <c r="EX267" s="901"/>
      <c r="EY267" s="710" t="s">
        <v>279</v>
      </c>
      <c r="EZ267" s="710"/>
      <c r="FA267" s="710" t="s">
        <v>279</v>
      </c>
      <c r="FB267" s="710"/>
      <c r="FC267" s="945" t="s">
        <v>4791</v>
      </c>
      <c r="FD267" s="945" t="s">
        <v>4807</v>
      </c>
      <c r="FE267" s="710"/>
      <c r="FF267" s="710" t="s">
        <v>4833</v>
      </c>
      <c r="FG267" s="710"/>
      <c r="FH267" s="710"/>
      <c r="FI267" s="710"/>
      <c r="FJ267" s="710"/>
      <c r="FK267" s="710" t="s">
        <v>4872</v>
      </c>
      <c r="FL267" s="710" t="s">
        <v>4890</v>
      </c>
      <c r="FM267" s="945" t="s">
        <v>4907</v>
      </c>
      <c r="FN267" s="710" t="s">
        <v>1874</v>
      </c>
      <c r="FO267" s="710" t="s">
        <v>1875</v>
      </c>
      <c r="FP267" s="1031" t="s">
        <v>1876</v>
      </c>
    </row>
    <row r="268" spans="2:172" ht="162" customHeight="1">
      <c r="B268" s="850" t="s">
        <v>5313</v>
      </c>
      <c r="C268" s="863"/>
      <c r="D268" s="850" t="s">
        <v>4934</v>
      </c>
      <c r="E268" s="850" t="s">
        <v>5314</v>
      </c>
      <c r="F268" s="863"/>
      <c r="H268" s="850" t="s">
        <v>4934</v>
      </c>
      <c r="I268" s="850" t="s">
        <v>5519</v>
      </c>
      <c r="J268" s="850" t="s">
        <v>5469</v>
      </c>
      <c r="K268" s="710" t="s">
        <v>275</v>
      </c>
      <c r="L268" s="710" t="s">
        <v>4497</v>
      </c>
      <c r="M268" s="710" t="s">
        <v>4506</v>
      </c>
      <c r="N268" s="710" t="s">
        <v>1873</v>
      </c>
      <c r="O268" s="895">
        <v>2019</v>
      </c>
      <c r="P268" s="896">
        <v>43466</v>
      </c>
      <c r="Q268" s="896">
        <v>43830</v>
      </c>
      <c r="R268" s="712">
        <f t="shared" si="87"/>
        <v>364</v>
      </c>
      <c r="S268" s="896"/>
      <c r="T268" s="896"/>
      <c r="U268" s="896"/>
      <c r="V268" s="896"/>
      <c r="W268" s="896"/>
      <c r="X268" s="896"/>
      <c r="Y268" s="896"/>
      <c r="Z268" s="896"/>
      <c r="AA268" s="896"/>
      <c r="AB268" s="710" t="s">
        <v>4533</v>
      </c>
      <c r="AC268" s="945" t="s">
        <v>4557</v>
      </c>
      <c r="AD268" s="710" t="s">
        <v>4582</v>
      </c>
      <c r="AE268" s="710" t="s">
        <v>4582</v>
      </c>
      <c r="AF268" s="710" t="s">
        <v>4616</v>
      </c>
      <c r="AG268" s="710" t="s">
        <v>4582</v>
      </c>
      <c r="AH268" s="898">
        <v>0.1</v>
      </c>
      <c r="AI268" s="868">
        <f t="shared" si="92"/>
        <v>0.1</v>
      </c>
      <c r="AJ268" s="867">
        <f t="shared" si="93"/>
        <v>0</v>
      </c>
      <c r="AK268" s="898"/>
      <c r="AL268" s="898"/>
      <c r="AM268" s="898"/>
      <c r="AN268" s="869">
        <f t="shared" si="94"/>
        <v>0</v>
      </c>
      <c r="AO268" s="869">
        <f t="shared" si="95"/>
        <v>0</v>
      </c>
      <c r="AP268" s="898"/>
      <c r="AQ268" s="899"/>
      <c r="AR268" s="899">
        <v>6.9999999999999999E-4</v>
      </c>
      <c r="AS268" s="869">
        <f t="shared" si="96"/>
        <v>0</v>
      </c>
      <c r="AT268" s="869">
        <f t="shared" si="97"/>
        <v>0</v>
      </c>
      <c r="AU268" s="942">
        <v>9.5000000000000001E-2</v>
      </c>
      <c r="AV268" s="899">
        <v>0.95</v>
      </c>
      <c r="AW268" s="869">
        <f t="shared" si="98"/>
        <v>0.95</v>
      </c>
      <c r="AX268" s="869">
        <f t="shared" si="99"/>
        <v>0</v>
      </c>
      <c r="AY268" s="898">
        <v>5.0000000000000001E-3</v>
      </c>
      <c r="AZ268" s="904">
        <v>0.05</v>
      </c>
      <c r="BA268" s="869">
        <f t="shared" si="100"/>
        <v>4.9999999999999996E-2</v>
      </c>
      <c r="BB268" s="869">
        <f t="shared" si="101"/>
        <v>0</v>
      </c>
      <c r="BC268" s="898">
        <v>0</v>
      </c>
      <c r="BD268" s="904">
        <v>0</v>
      </c>
      <c r="BE268" s="869">
        <f t="shared" si="102"/>
        <v>0</v>
      </c>
      <c r="BF268" s="869">
        <f t="shared" si="103"/>
        <v>0</v>
      </c>
      <c r="BG268" s="904"/>
      <c r="BH268" s="904"/>
      <c r="BI268" s="904"/>
      <c r="BJ268" s="904"/>
      <c r="BK268" s="904"/>
      <c r="BL268" s="714">
        <f t="shared" si="104"/>
        <v>0</v>
      </c>
      <c r="BM268" s="869">
        <f t="shared" si="105"/>
        <v>0</v>
      </c>
      <c r="BN268" s="898">
        <v>0</v>
      </c>
      <c r="BO268" s="904">
        <v>0</v>
      </c>
      <c r="BP268" s="869">
        <f t="shared" si="106"/>
        <v>0</v>
      </c>
      <c r="BQ268" s="869">
        <f t="shared" si="107"/>
        <v>0</v>
      </c>
      <c r="BR268" s="904"/>
      <c r="BS268" s="904"/>
      <c r="BT268" s="898">
        <v>2.1000000000000001E-2</v>
      </c>
      <c r="BU268" s="899">
        <v>2.0000000000000001E-4</v>
      </c>
      <c r="BV268" s="901">
        <v>1</v>
      </c>
      <c r="BW268" s="901">
        <v>1</v>
      </c>
      <c r="BX268" s="901">
        <v>1</v>
      </c>
      <c r="BY268" s="901"/>
      <c r="BZ268" s="901"/>
      <c r="CA268" s="901"/>
      <c r="CB268" s="901"/>
      <c r="CC268" s="901"/>
      <c r="CD268" s="901"/>
      <c r="CE268" s="901"/>
      <c r="CF268" s="901"/>
      <c r="CG268" s="901"/>
      <c r="CH268" s="901"/>
      <c r="CI268" s="901"/>
      <c r="CJ268" s="901">
        <v>1</v>
      </c>
      <c r="CK268" s="901"/>
      <c r="CL268" s="901"/>
      <c r="CM268" s="901"/>
      <c r="CN268" s="901"/>
      <c r="CO268" s="901"/>
      <c r="CP268" s="901"/>
      <c r="CQ268" s="901"/>
      <c r="CR268" s="901"/>
      <c r="CS268" s="902">
        <f t="shared" si="90"/>
        <v>1</v>
      </c>
      <c r="CT268" s="871">
        <f t="shared" si="91"/>
        <v>1</v>
      </c>
      <c r="CU268" s="871">
        <f t="shared" si="108"/>
        <v>0</v>
      </c>
      <c r="CV268" s="942">
        <v>3.6779999999999999</v>
      </c>
      <c r="CW268" s="710"/>
      <c r="CX268" s="710"/>
      <c r="CY268" s="710"/>
      <c r="CZ268" s="710"/>
      <c r="DA268" s="710">
        <v>100</v>
      </c>
      <c r="DB268" s="899" t="s">
        <v>4664</v>
      </c>
      <c r="DC268" s="710" t="s">
        <v>279</v>
      </c>
      <c r="DD268" s="710"/>
      <c r="DE268" s="710"/>
      <c r="DF268" s="901"/>
      <c r="DG268" s="901"/>
      <c r="DH268" s="901">
        <v>1</v>
      </c>
      <c r="DI268" s="710"/>
      <c r="DJ268" s="710"/>
      <c r="DK268" s="901"/>
      <c r="DL268" s="710" t="s">
        <v>278</v>
      </c>
      <c r="DM268" s="945" t="s">
        <v>4694</v>
      </c>
      <c r="DN268" s="901">
        <v>42</v>
      </c>
      <c r="DO268" s="710"/>
      <c r="DP268" s="710"/>
      <c r="DQ268" s="901"/>
      <c r="DR268" s="710"/>
      <c r="DS268" s="710"/>
      <c r="DT268" s="901"/>
      <c r="DU268" s="710"/>
      <c r="DV268" s="710"/>
      <c r="DW268" s="901"/>
      <c r="DX268" s="710"/>
      <c r="DY268" s="710"/>
      <c r="DZ268" s="901"/>
      <c r="EA268" s="710"/>
      <c r="EB268" s="710"/>
      <c r="EC268" s="901"/>
      <c r="ED268" s="710" t="s">
        <v>278</v>
      </c>
      <c r="EE268" s="945" t="s">
        <v>4694</v>
      </c>
      <c r="EF268" s="901">
        <v>42</v>
      </c>
      <c r="EG268" s="710"/>
      <c r="EH268" s="710"/>
      <c r="EI268" s="901"/>
      <c r="EJ268" s="710"/>
      <c r="EK268" s="710"/>
      <c r="EL268" s="901"/>
      <c r="EM268" s="710" t="s">
        <v>278</v>
      </c>
      <c r="EN268" s="945" t="s">
        <v>4744</v>
      </c>
      <c r="EO268" s="901">
        <v>4</v>
      </c>
      <c r="EP268" s="710"/>
      <c r="EQ268" s="710"/>
      <c r="ER268" s="901"/>
      <c r="ES268" s="710"/>
      <c r="ET268" s="710"/>
      <c r="EU268" s="901"/>
      <c r="EV268" s="901"/>
      <c r="EW268" s="901"/>
      <c r="EX268" s="901"/>
      <c r="EY268" s="710" t="s">
        <v>279</v>
      </c>
      <c r="EZ268" s="710"/>
      <c r="FA268" s="710" t="s">
        <v>279</v>
      </c>
      <c r="FB268" s="710"/>
      <c r="FC268" s="945" t="s">
        <v>4557</v>
      </c>
      <c r="FD268" s="945" t="s">
        <v>4807</v>
      </c>
      <c r="FE268" s="710"/>
      <c r="FF268" s="710"/>
      <c r="FG268" s="710"/>
      <c r="FH268" s="710"/>
      <c r="FI268" s="710"/>
      <c r="FJ268" s="710"/>
      <c r="FK268" s="710" t="s">
        <v>4872</v>
      </c>
      <c r="FL268" s="710" t="s">
        <v>4890</v>
      </c>
      <c r="FM268" s="945" t="s">
        <v>4907</v>
      </c>
      <c r="FN268" s="710" t="s">
        <v>1874</v>
      </c>
      <c r="FO268" s="710" t="s">
        <v>1875</v>
      </c>
      <c r="FP268" s="1031" t="s">
        <v>1876</v>
      </c>
    </row>
    <row r="269" spans="2:172" ht="177" customHeight="1">
      <c r="B269" s="850" t="s">
        <v>5313</v>
      </c>
      <c r="C269" s="863"/>
      <c r="D269" s="850" t="s">
        <v>4934</v>
      </c>
      <c r="E269" s="850" t="s">
        <v>5314</v>
      </c>
      <c r="F269" s="863"/>
      <c r="H269" s="850" t="s">
        <v>4934</v>
      </c>
      <c r="I269" s="850" t="s">
        <v>5519</v>
      </c>
      <c r="J269" s="850" t="s">
        <v>5469</v>
      </c>
      <c r="K269" s="710" t="s">
        <v>275</v>
      </c>
      <c r="L269" s="710" t="s">
        <v>4498</v>
      </c>
      <c r="M269" s="710" t="s">
        <v>4506</v>
      </c>
      <c r="N269" s="710" t="s">
        <v>1873</v>
      </c>
      <c r="O269" s="895">
        <v>2019</v>
      </c>
      <c r="P269" s="711" t="s">
        <v>5668</v>
      </c>
      <c r="Q269" s="711" t="s">
        <v>5669</v>
      </c>
      <c r="R269" s="712">
        <f t="shared" si="87"/>
        <v>135</v>
      </c>
      <c r="S269" s="711"/>
      <c r="T269" s="711"/>
      <c r="U269" s="711"/>
      <c r="V269" s="711"/>
      <c r="W269" s="711"/>
      <c r="X269" s="711"/>
      <c r="Y269" s="711"/>
      <c r="Z269" s="711"/>
      <c r="AA269" s="711"/>
      <c r="AB269" s="710" t="s">
        <v>4534</v>
      </c>
      <c r="AC269" s="1028" t="s">
        <v>4558</v>
      </c>
      <c r="AD269" s="710" t="s">
        <v>4583</v>
      </c>
      <c r="AE269" s="710" t="s">
        <v>4583</v>
      </c>
      <c r="AF269" s="710" t="s">
        <v>4617</v>
      </c>
      <c r="AG269" s="710" t="s">
        <v>4583</v>
      </c>
      <c r="AH269" s="898">
        <f>SUM(AY269+AU269+BC269+BN269+AP269)</f>
        <v>3.718</v>
      </c>
      <c r="AI269" s="868">
        <f t="shared" si="92"/>
        <v>3.718</v>
      </c>
      <c r="AJ269" s="875">
        <f t="shared" si="93"/>
        <v>0</v>
      </c>
      <c r="AK269" s="898"/>
      <c r="AL269" s="898"/>
      <c r="AM269" s="898"/>
      <c r="AN269" s="869">
        <f t="shared" si="94"/>
        <v>0</v>
      </c>
      <c r="AO269" s="869">
        <f t="shared" si="95"/>
        <v>0</v>
      </c>
      <c r="AP269" s="898"/>
      <c r="AQ269" s="899"/>
      <c r="AR269" s="899">
        <f>SUM(AP269/307.446*100%)</f>
        <v>0</v>
      </c>
      <c r="AS269" s="869">
        <f t="shared" si="96"/>
        <v>0</v>
      </c>
      <c r="AT269" s="869">
        <f t="shared" si="97"/>
        <v>0</v>
      </c>
      <c r="AU269" s="942">
        <v>0.14899999999999999</v>
      </c>
      <c r="AV269" s="899">
        <v>4.0075309306078534E-2</v>
      </c>
      <c r="AW269" s="869">
        <f t="shared" si="98"/>
        <v>4.0075309306078534E-2</v>
      </c>
      <c r="AX269" s="869">
        <f t="shared" si="99"/>
        <v>0</v>
      </c>
      <c r="AY269" s="898">
        <v>8.7999999999999995E-2</v>
      </c>
      <c r="AZ269" s="899">
        <f>SUM(AY269/AH269*100%)</f>
        <v>2.3668639053254437E-2</v>
      </c>
      <c r="BA269" s="869">
        <f t="shared" si="100"/>
        <v>2.3668639053254437E-2</v>
      </c>
      <c r="BB269" s="869">
        <f t="shared" si="101"/>
        <v>0</v>
      </c>
      <c r="BC269" s="898">
        <v>9.2999999999999999E-2</v>
      </c>
      <c r="BD269" s="899">
        <f>SUM(BC269/AH269*100%)</f>
        <v>2.5013448090371166E-2</v>
      </c>
      <c r="BE269" s="869">
        <f t="shared" si="102"/>
        <v>2.5013448090371166E-2</v>
      </c>
      <c r="BF269" s="869">
        <f t="shared" si="103"/>
        <v>0</v>
      </c>
      <c r="BG269" s="899"/>
      <c r="BH269" s="899"/>
      <c r="BI269" s="899"/>
      <c r="BJ269" s="899"/>
      <c r="BK269" s="899"/>
      <c r="BL269" s="714">
        <f t="shared" si="104"/>
        <v>0</v>
      </c>
      <c r="BM269" s="869">
        <f t="shared" si="105"/>
        <v>0</v>
      </c>
      <c r="BN269" s="898">
        <v>3.3879999999999999</v>
      </c>
      <c r="BO269" s="899">
        <f>SUM(BN269/AH269*100%)</f>
        <v>0.91124260355029585</v>
      </c>
      <c r="BP269" s="869">
        <f t="shared" si="106"/>
        <v>0.91124260355029585</v>
      </c>
      <c r="BQ269" s="869">
        <f t="shared" si="107"/>
        <v>0</v>
      </c>
      <c r="BR269" s="899"/>
      <c r="BS269" s="899"/>
      <c r="BT269" s="967">
        <v>0</v>
      </c>
      <c r="BU269" s="904">
        <v>0</v>
      </c>
      <c r="BV269" s="901">
        <v>5</v>
      </c>
      <c r="BW269" s="901">
        <v>4</v>
      </c>
      <c r="BX269" s="901">
        <v>4</v>
      </c>
      <c r="BY269" s="901"/>
      <c r="BZ269" s="901"/>
      <c r="CA269" s="901"/>
      <c r="CB269" s="901"/>
      <c r="CC269" s="901"/>
      <c r="CD269" s="901"/>
      <c r="CE269" s="901"/>
      <c r="CF269" s="901"/>
      <c r="CG269" s="901"/>
      <c r="CH269" s="901"/>
      <c r="CI269" s="901"/>
      <c r="CJ269" s="901"/>
      <c r="CK269" s="901"/>
      <c r="CL269" s="901"/>
      <c r="CM269" s="901"/>
      <c r="CN269" s="901"/>
      <c r="CO269" s="901"/>
      <c r="CP269" s="901"/>
      <c r="CQ269" s="901"/>
      <c r="CR269" s="901">
        <v>4</v>
      </c>
      <c r="CS269" s="902">
        <v>4</v>
      </c>
      <c r="CT269" s="871">
        <f t="shared" si="91"/>
        <v>4</v>
      </c>
      <c r="CU269" s="871">
        <f t="shared" si="108"/>
        <v>0</v>
      </c>
      <c r="CV269" s="942">
        <v>5.452</v>
      </c>
      <c r="CW269" s="710" t="s">
        <v>4649</v>
      </c>
      <c r="CX269" s="710" t="s">
        <v>410</v>
      </c>
      <c r="CY269" s="710"/>
      <c r="CZ269" s="710"/>
      <c r="DA269" s="710">
        <f>SUM(CV269/5.452*100)</f>
        <v>100</v>
      </c>
      <c r="DB269" s="899" t="s">
        <v>4665</v>
      </c>
      <c r="DC269" s="710" t="s">
        <v>279</v>
      </c>
      <c r="DD269" s="710"/>
      <c r="DE269" s="710"/>
      <c r="DF269" s="901"/>
      <c r="DG269" s="901"/>
      <c r="DH269" s="901">
        <v>2</v>
      </c>
      <c r="DI269" s="710" t="s">
        <v>279</v>
      </c>
      <c r="DJ269" s="710" t="s">
        <v>410</v>
      </c>
      <c r="DK269" s="901" t="s">
        <v>410</v>
      </c>
      <c r="DL269" s="710" t="s">
        <v>278</v>
      </c>
      <c r="DM269" s="710" t="s">
        <v>4695</v>
      </c>
      <c r="DN269" s="901">
        <v>34</v>
      </c>
      <c r="DO269" s="710" t="s">
        <v>279</v>
      </c>
      <c r="DP269" s="710" t="s">
        <v>410</v>
      </c>
      <c r="DQ269" s="901" t="s">
        <v>410</v>
      </c>
      <c r="DR269" s="710" t="s">
        <v>279</v>
      </c>
      <c r="DS269" s="710" t="s">
        <v>410</v>
      </c>
      <c r="DT269" s="901" t="s">
        <v>410</v>
      </c>
      <c r="DU269" s="710" t="s">
        <v>279</v>
      </c>
      <c r="DV269" s="710" t="s">
        <v>410</v>
      </c>
      <c r="DW269" s="901" t="s">
        <v>410</v>
      </c>
      <c r="DX269" s="710" t="s">
        <v>279</v>
      </c>
      <c r="DY269" s="710" t="s">
        <v>410</v>
      </c>
      <c r="DZ269" s="901" t="s">
        <v>410</v>
      </c>
      <c r="EA269" s="710" t="s">
        <v>279</v>
      </c>
      <c r="EB269" s="710" t="s">
        <v>410</v>
      </c>
      <c r="EC269" s="901" t="s">
        <v>410</v>
      </c>
      <c r="ED269" s="710" t="s">
        <v>278</v>
      </c>
      <c r="EE269" s="710" t="s">
        <v>4695</v>
      </c>
      <c r="EF269" s="901">
        <v>34</v>
      </c>
      <c r="EG269" s="710" t="s">
        <v>279</v>
      </c>
      <c r="EH269" s="710" t="s">
        <v>410</v>
      </c>
      <c r="EI269" s="901" t="s">
        <v>410</v>
      </c>
      <c r="EJ269" s="710" t="s">
        <v>279</v>
      </c>
      <c r="EK269" s="710" t="s">
        <v>410</v>
      </c>
      <c r="EL269" s="901" t="s">
        <v>410</v>
      </c>
      <c r="EM269" s="710" t="s">
        <v>278</v>
      </c>
      <c r="EN269" s="710" t="s">
        <v>3482</v>
      </c>
      <c r="EO269" s="901">
        <v>16</v>
      </c>
      <c r="EP269" s="710" t="s">
        <v>279</v>
      </c>
      <c r="EQ269" s="710" t="s">
        <v>410</v>
      </c>
      <c r="ER269" s="901" t="s">
        <v>410</v>
      </c>
      <c r="ES269" s="710" t="s">
        <v>279</v>
      </c>
      <c r="ET269" s="710" t="s">
        <v>410</v>
      </c>
      <c r="EU269" s="901" t="s">
        <v>410</v>
      </c>
      <c r="EV269" s="901"/>
      <c r="EW269" s="901"/>
      <c r="EX269" s="901"/>
      <c r="EY269" s="710" t="s">
        <v>279</v>
      </c>
      <c r="EZ269" s="710" t="s">
        <v>410</v>
      </c>
      <c r="FA269" s="710" t="s">
        <v>279</v>
      </c>
      <c r="FB269" s="710" t="s">
        <v>410</v>
      </c>
      <c r="FC269" s="945" t="s">
        <v>4792</v>
      </c>
      <c r="FD269" s="710" t="s">
        <v>4808</v>
      </c>
      <c r="FE269" s="710" t="s">
        <v>279</v>
      </c>
      <c r="FF269" s="710" t="s">
        <v>4834</v>
      </c>
      <c r="FG269" s="710" t="s">
        <v>279</v>
      </c>
      <c r="FH269" s="710" t="s">
        <v>2471</v>
      </c>
      <c r="FI269" s="710" t="s">
        <v>410</v>
      </c>
      <c r="FJ269" s="710" t="s">
        <v>410</v>
      </c>
      <c r="FK269" s="710" t="s">
        <v>4873</v>
      </c>
      <c r="FL269" s="710" t="s">
        <v>4891</v>
      </c>
      <c r="FM269" s="945" t="s">
        <v>4908</v>
      </c>
      <c r="FN269" s="710" t="s">
        <v>1874</v>
      </c>
      <c r="FO269" s="710" t="s">
        <v>1875</v>
      </c>
      <c r="FP269" s="1031" t="s">
        <v>1876</v>
      </c>
    </row>
    <row r="270" spans="2:172" ht="164.5" customHeight="1">
      <c r="B270" s="850" t="s">
        <v>5313</v>
      </c>
      <c r="C270" s="863"/>
      <c r="D270" s="850" t="s">
        <v>4934</v>
      </c>
      <c r="E270" s="850" t="s">
        <v>5314</v>
      </c>
      <c r="F270" s="863"/>
      <c r="H270" s="850" t="s">
        <v>4934</v>
      </c>
      <c r="I270" s="850" t="s">
        <v>5519</v>
      </c>
      <c r="J270" s="850" t="s">
        <v>5469</v>
      </c>
      <c r="K270" s="710" t="s">
        <v>275</v>
      </c>
      <c r="L270" s="710" t="s">
        <v>4499</v>
      </c>
      <c r="M270" s="710" t="s">
        <v>4506</v>
      </c>
      <c r="N270" s="710" t="s">
        <v>1873</v>
      </c>
      <c r="O270" s="895">
        <v>2019</v>
      </c>
      <c r="P270" s="896">
        <v>43602</v>
      </c>
      <c r="Q270" s="896">
        <v>43765</v>
      </c>
      <c r="R270" s="712">
        <f t="shared" si="87"/>
        <v>163</v>
      </c>
      <c r="S270" s="896"/>
      <c r="T270" s="896"/>
      <c r="U270" s="896"/>
      <c r="V270" s="896"/>
      <c r="W270" s="896"/>
      <c r="X270" s="896"/>
      <c r="Y270" s="896"/>
      <c r="Z270" s="896"/>
      <c r="AA270" s="896"/>
      <c r="AB270" s="710" t="s">
        <v>4535</v>
      </c>
      <c r="AC270" s="945" t="s">
        <v>4559</v>
      </c>
      <c r="AD270" s="710" t="s">
        <v>4584</v>
      </c>
      <c r="AE270" s="710" t="s">
        <v>4584</v>
      </c>
      <c r="AF270" s="710" t="s">
        <v>4618</v>
      </c>
      <c r="AG270" s="710" t="s">
        <v>4584</v>
      </c>
      <c r="AH270" s="898">
        <f>AP270+AY270+BN270</f>
        <v>1.67</v>
      </c>
      <c r="AI270" s="868">
        <f t="shared" si="92"/>
        <v>1.6711</v>
      </c>
      <c r="AJ270" s="875">
        <f t="shared" si="93"/>
        <v>1.1000000000001009E-3</v>
      </c>
      <c r="AK270" s="898"/>
      <c r="AL270" s="898"/>
      <c r="AM270" s="898"/>
      <c r="AN270" s="869">
        <f t="shared" si="94"/>
        <v>0</v>
      </c>
      <c r="AO270" s="869">
        <f t="shared" si="95"/>
        <v>0</v>
      </c>
      <c r="AP270" s="898"/>
      <c r="AQ270" s="899"/>
      <c r="AR270" s="904">
        <f>0.001/85.043*100%</f>
        <v>1.1758757334524887E-5</v>
      </c>
      <c r="AS270" s="869">
        <f t="shared" si="96"/>
        <v>0</v>
      </c>
      <c r="AT270" s="869">
        <f t="shared" si="97"/>
        <v>0</v>
      </c>
      <c r="AU270" s="942">
        <v>1.1000000000000001E-3</v>
      </c>
      <c r="AV270" s="904">
        <v>5.9844404548174744E-4</v>
      </c>
      <c r="AW270" s="869">
        <f t="shared" si="98"/>
        <v>6.5868263473053902E-4</v>
      </c>
      <c r="AX270" s="869">
        <f t="shared" si="99"/>
        <v>-6.0238589248791581E-5</v>
      </c>
      <c r="AY270" s="898">
        <v>0.27</v>
      </c>
      <c r="AZ270" s="899">
        <f>270000/1671100</f>
        <v>0.16157022320627132</v>
      </c>
      <c r="BA270" s="869">
        <f t="shared" si="100"/>
        <v>0.16167664670658685</v>
      </c>
      <c r="BB270" s="869">
        <f t="shared" si="101"/>
        <v>-1.0642350031553338E-4</v>
      </c>
      <c r="BC270" s="898">
        <v>0</v>
      </c>
      <c r="BD270" s="904">
        <v>0</v>
      </c>
      <c r="BE270" s="869">
        <f t="shared" si="102"/>
        <v>0</v>
      </c>
      <c r="BF270" s="869">
        <f t="shared" si="103"/>
        <v>0</v>
      </c>
      <c r="BG270" s="904"/>
      <c r="BH270" s="904"/>
      <c r="BI270" s="904"/>
      <c r="BJ270" s="904"/>
      <c r="BK270" s="904"/>
      <c r="BL270" s="714">
        <f t="shared" si="104"/>
        <v>0</v>
      </c>
      <c r="BM270" s="869">
        <f t="shared" si="105"/>
        <v>0</v>
      </c>
      <c r="BN270" s="898">
        <v>1.4</v>
      </c>
      <c r="BO270" s="899">
        <f>1400000/1671100</f>
        <v>0.83777152773622166</v>
      </c>
      <c r="BP270" s="869">
        <f t="shared" si="106"/>
        <v>0.83832335329341312</v>
      </c>
      <c r="BQ270" s="869">
        <f t="shared" si="107"/>
        <v>-5.5182555719146542E-4</v>
      </c>
      <c r="BR270" s="899"/>
      <c r="BS270" s="899"/>
      <c r="BT270" s="898">
        <v>0</v>
      </c>
      <c r="BU270" s="904">
        <v>0</v>
      </c>
      <c r="BV270" s="901">
        <v>2</v>
      </c>
      <c r="BW270" s="901">
        <v>1</v>
      </c>
      <c r="BX270" s="901">
        <v>1</v>
      </c>
      <c r="BY270" s="901"/>
      <c r="BZ270" s="901"/>
      <c r="CA270" s="901"/>
      <c r="CB270" s="901"/>
      <c r="CC270" s="901"/>
      <c r="CD270" s="901"/>
      <c r="CE270" s="901"/>
      <c r="CF270" s="901"/>
      <c r="CG270" s="901"/>
      <c r="CH270" s="901"/>
      <c r="CI270" s="901"/>
      <c r="CJ270" s="901">
        <v>1</v>
      </c>
      <c r="CK270" s="901"/>
      <c r="CL270" s="901"/>
      <c r="CM270" s="901"/>
      <c r="CN270" s="901"/>
      <c r="CO270" s="901"/>
      <c r="CP270" s="901"/>
      <c r="CQ270" s="901"/>
      <c r="CR270" s="901"/>
      <c r="CS270" s="902">
        <f t="shared" ref="CS270:CS277" si="109">SUM(BY270:CR270)</f>
        <v>1</v>
      </c>
      <c r="CT270" s="871">
        <f t="shared" si="91"/>
        <v>1</v>
      </c>
      <c r="CU270" s="871">
        <f t="shared" si="108"/>
        <v>0</v>
      </c>
      <c r="CV270" s="942">
        <v>1.1359999999999999</v>
      </c>
      <c r="CW270" s="710" t="s">
        <v>4650</v>
      </c>
      <c r="CX270" s="710"/>
      <c r="CY270" s="710"/>
      <c r="CZ270" s="710"/>
      <c r="DA270" s="904">
        <v>1</v>
      </c>
      <c r="DB270" s="899" t="s">
        <v>4666</v>
      </c>
      <c r="DC270" s="710" t="s">
        <v>279</v>
      </c>
      <c r="DD270" s="710"/>
      <c r="DE270" s="710"/>
      <c r="DF270" s="901"/>
      <c r="DG270" s="901"/>
      <c r="DH270" s="901">
        <v>1</v>
      </c>
      <c r="DI270" s="710" t="s">
        <v>279</v>
      </c>
      <c r="DJ270" s="710"/>
      <c r="DK270" s="901"/>
      <c r="DL270" s="710" t="s">
        <v>278</v>
      </c>
      <c r="DM270" s="710" t="s">
        <v>698</v>
      </c>
      <c r="DN270" s="901">
        <v>40</v>
      </c>
      <c r="DO270" s="710" t="s">
        <v>279</v>
      </c>
      <c r="DP270" s="710"/>
      <c r="DQ270" s="901"/>
      <c r="DR270" s="710" t="s">
        <v>279</v>
      </c>
      <c r="DS270" s="710"/>
      <c r="DT270" s="901"/>
      <c r="DU270" s="710" t="s">
        <v>279</v>
      </c>
      <c r="DV270" s="710"/>
      <c r="DW270" s="901"/>
      <c r="DX270" s="710" t="s">
        <v>279</v>
      </c>
      <c r="DY270" s="710"/>
      <c r="DZ270" s="901"/>
      <c r="EA270" s="710" t="s">
        <v>279</v>
      </c>
      <c r="EB270" s="710"/>
      <c r="EC270" s="901"/>
      <c r="ED270" s="710" t="s">
        <v>278</v>
      </c>
      <c r="EE270" s="710" t="s">
        <v>698</v>
      </c>
      <c r="EF270" s="901">
        <v>40</v>
      </c>
      <c r="EG270" s="710" t="s">
        <v>279</v>
      </c>
      <c r="EH270" s="710"/>
      <c r="EI270" s="901"/>
      <c r="EJ270" s="710" t="s">
        <v>279</v>
      </c>
      <c r="EK270" s="710"/>
      <c r="EL270" s="901"/>
      <c r="EM270" s="710" t="s">
        <v>279</v>
      </c>
      <c r="EN270" s="710"/>
      <c r="EO270" s="901"/>
      <c r="EP270" s="710" t="s">
        <v>279</v>
      </c>
      <c r="EQ270" s="710"/>
      <c r="ER270" s="901"/>
      <c r="ES270" s="710" t="s">
        <v>279</v>
      </c>
      <c r="ET270" s="710"/>
      <c r="EU270" s="901"/>
      <c r="EV270" s="901"/>
      <c r="EW270" s="901"/>
      <c r="EX270" s="901"/>
      <c r="EY270" s="710" t="s">
        <v>279</v>
      </c>
      <c r="EZ270" s="710"/>
      <c r="FA270" s="710" t="s">
        <v>279</v>
      </c>
      <c r="FB270" s="710"/>
      <c r="FC270" s="710"/>
      <c r="FD270" s="710"/>
      <c r="FE270" s="710"/>
      <c r="FF270" s="710" t="s">
        <v>4835</v>
      </c>
      <c r="FG270" s="710"/>
      <c r="FH270" s="710" t="s">
        <v>4855</v>
      </c>
      <c r="FI270" s="710">
        <v>1</v>
      </c>
      <c r="FJ270" s="710">
        <v>1</v>
      </c>
      <c r="FK270" s="710" t="s">
        <v>4874</v>
      </c>
      <c r="FL270" s="710" t="s">
        <v>4892</v>
      </c>
      <c r="FM270" s="945" t="s">
        <v>4909</v>
      </c>
      <c r="FN270" s="710" t="s">
        <v>1874</v>
      </c>
      <c r="FO270" s="710" t="s">
        <v>1875</v>
      </c>
      <c r="FP270" s="1031" t="s">
        <v>1876</v>
      </c>
    </row>
    <row r="271" spans="2:172" ht="149.5" customHeight="1">
      <c r="B271" s="850" t="s">
        <v>5313</v>
      </c>
      <c r="C271" s="863"/>
      <c r="D271" s="850" t="s">
        <v>4934</v>
      </c>
      <c r="E271" s="850" t="s">
        <v>5314</v>
      </c>
      <c r="F271" s="863"/>
      <c r="H271" s="850" t="s">
        <v>4934</v>
      </c>
      <c r="I271" s="850" t="s">
        <v>5519</v>
      </c>
      <c r="J271" s="850" t="s">
        <v>5469</v>
      </c>
      <c r="K271" s="710" t="s">
        <v>275</v>
      </c>
      <c r="L271" s="710" t="s">
        <v>4500</v>
      </c>
      <c r="M271" s="710" t="s">
        <v>4506</v>
      </c>
      <c r="N271" s="710" t="s">
        <v>1873</v>
      </c>
      <c r="O271" s="895">
        <v>2019</v>
      </c>
      <c r="P271" s="896">
        <v>43761</v>
      </c>
      <c r="Q271" s="896">
        <v>43829</v>
      </c>
      <c r="R271" s="712">
        <f t="shared" si="87"/>
        <v>68</v>
      </c>
      <c r="S271" s="896"/>
      <c r="T271" s="896"/>
      <c r="U271" s="896"/>
      <c r="V271" s="896"/>
      <c r="W271" s="896"/>
      <c r="X271" s="896"/>
      <c r="Y271" s="896"/>
      <c r="Z271" s="896"/>
      <c r="AA271" s="896"/>
      <c r="AB271" s="710" t="s">
        <v>4536</v>
      </c>
      <c r="AC271" s="945" t="s">
        <v>4560</v>
      </c>
      <c r="AD271" s="710" t="s">
        <v>4585</v>
      </c>
      <c r="AE271" s="710" t="s">
        <v>4599</v>
      </c>
      <c r="AF271" s="710" t="s">
        <v>4619</v>
      </c>
      <c r="AG271" s="710" t="s">
        <v>4636</v>
      </c>
      <c r="AH271" s="898">
        <v>0.995</v>
      </c>
      <c r="AI271" s="868">
        <f t="shared" si="92"/>
        <v>0.995</v>
      </c>
      <c r="AJ271" s="867">
        <f t="shared" si="93"/>
        <v>0</v>
      </c>
      <c r="AK271" s="898"/>
      <c r="AL271" s="898"/>
      <c r="AM271" s="898"/>
      <c r="AN271" s="869">
        <f t="shared" si="94"/>
        <v>0</v>
      </c>
      <c r="AO271" s="869">
        <f t="shared" si="95"/>
        <v>0</v>
      </c>
      <c r="AP271" s="898"/>
      <c r="AQ271" s="904"/>
      <c r="AR271" s="904">
        <v>0</v>
      </c>
      <c r="AS271" s="869">
        <f t="shared" si="96"/>
        <v>0</v>
      </c>
      <c r="AT271" s="869">
        <f t="shared" si="97"/>
        <v>0</v>
      </c>
      <c r="AU271" s="942">
        <v>0</v>
      </c>
      <c r="AV271" s="904">
        <v>0</v>
      </c>
      <c r="AW271" s="869">
        <f t="shared" si="98"/>
        <v>0</v>
      </c>
      <c r="AX271" s="869">
        <f t="shared" si="99"/>
        <v>0</v>
      </c>
      <c r="AY271" s="898">
        <v>0</v>
      </c>
      <c r="AZ271" s="904">
        <v>0</v>
      </c>
      <c r="BA271" s="869">
        <f t="shared" si="100"/>
        <v>0</v>
      </c>
      <c r="BB271" s="869">
        <f t="shared" si="101"/>
        <v>0</v>
      </c>
      <c r="BC271" s="898">
        <v>0</v>
      </c>
      <c r="BD271" s="904">
        <v>0</v>
      </c>
      <c r="BE271" s="869">
        <f t="shared" si="102"/>
        <v>0</v>
      </c>
      <c r="BF271" s="869">
        <f t="shared" si="103"/>
        <v>0</v>
      </c>
      <c r="BG271" s="904"/>
      <c r="BH271" s="904"/>
      <c r="BI271" s="904"/>
      <c r="BJ271" s="904"/>
      <c r="BK271" s="904"/>
      <c r="BL271" s="714">
        <f t="shared" si="104"/>
        <v>0</v>
      </c>
      <c r="BM271" s="869">
        <f t="shared" si="105"/>
        <v>0</v>
      </c>
      <c r="BN271" s="898">
        <v>0.995</v>
      </c>
      <c r="BO271" s="904">
        <v>1</v>
      </c>
      <c r="BP271" s="869">
        <f t="shared" si="106"/>
        <v>1</v>
      </c>
      <c r="BQ271" s="869">
        <f t="shared" si="107"/>
        <v>0</v>
      </c>
      <c r="BR271" s="904"/>
      <c r="BS271" s="904"/>
      <c r="BT271" s="898">
        <v>0.76</v>
      </c>
      <c r="BU271" s="904">
        <v>1</v>
      </c>
      <c r="BV271" s="901">
        <v>10</v>
      </c>
      <c r="BW271" s="901">
        <v>3</v>
      </c>
      <c r="BX271" s="901">
        <v>2</v>
      </c>
      <c r="BY271" s="901"/>
      <c r="BZ271" s="901">
        <v>1</v>
      </c>
      <c r="CA271" s="901"/>
      <c r="CB271" s="901"/>
      <c r="CC271" s="901"/>
      <c r="CD271" s="901"/>
      <c r="CE271" s="901"/>
      <c r="CF271" s="901"/>
      <c r="CG271" s="901"/>
      <c r="CH271" s="901"/>
      <c r="CI271" s="901"/>
      <c r="CJ271" s="901"/>
      <c r="CK271" s="901"/>
      <c r="CL271" s="901"/>
      <c r="CM271" s="901"/>
      <c r="CN271" s="901"/>
      <c r="CO271" s="901"/>
      <c r="CP271" s="901"/>
      <c r="CQ271" s="901"/>
      <c r="CR271" s="901"/>
      <c r="CS271" s="902">
        <f t="shared" si="109"/>
        <v>1</v>
      </c>
      <c r="CT271" s="871">
        <f t="shared" si="91"/>
        <v>1</v>
      </c>
      <c r="CU271" s="871">
        <f t="shared" si="108"/>
        <v>0</v>
      </c>
      <c r="CV271" s="942">
        <v>7.1909999999999998</v>
      </c>
      <c r="CW271" s="710" t="s">
        <v>4651</v>
      </c>
      <c r="CX271" s="710"/>
      <c r="CY271" s="710"/>
      <c r="CZ271" s="710"/>
      <c r="DA271" s="710">
        <v>100</v>
      </c>
      <c r="DB271" s="899"/>
      <c r="DC271" s="710" t="s">
        <v>278</v>
      </c>
      <c r="DD271" s="710" t="s">
        <v>4669</v>
      </c>
      <c r="DE271" s="710" t="s">
        <v>4674</v>
      </c>
      <c r="DF271" s="901">
        <v>19</v>
      </c>
      <c r="DG271" s="901"/>
      <c r="DH271" s="901"/>
      <c r="DI271" s="710"/>
      <c r="DJ271" s="710"/>
      <c r="DK271" s="901"/>
      <c r="DL271" s="710" t="s">
        <v>278</v>
      </c>
      <c r="DM271" s="945" t="s">
        <v>4696</v>
      </c>
      <c r="DN271" s="901">
        <v>258</v>
      </c>
      <c r="DO271" s="710"/>
      <c r="DP271" s="710"/>
      <c r="DQ271" s="901"/>
      <c r="DR271" s="710"/>
      <c r="DS271" s="945"/>
      <c r="DT271" s="901"/>
      <c r="DU271" s="710"/>
      <c r="DV271" s="710"/>
      <c r="DW271" s="901"/>
      <c r="DX271" s="710"/>
      <c r="DY271" s="710"/>
      <c r="DZ271" s="901"/>
      <c r="EA271" s="710" t="s">
        <v>278</v>
      </c>
      <c r="EB271" s="945" t="s">
        <v>4721</v>
      </c>
      <c r="EC271" s="901">
        <v>318</v>
      </c>
      <c r="ED271" s="710"/>
      <c r="EE271" s="710" t="s">
        <v>278</v>
      </c>
      <c r="EF271" s="955">
        <v>318</v>
      </c>
      <c r="EG271" s="710"/>
      <c r="EH271" s="710"/>
      <c r="EI271" s="901"/>
      <c r="EJ271" s="710"/>
      <c r="EK271" s="710"/>
      <c r="EL271" s="901"/>
      <c r="EM271" s="710" t="s">
        <v>278</v>
      </c>
      <c r="EN271" s="710" t="s">
        <v>4745</v>
      </c>
      <c r="EO271" s="901">
        <v>14</v>
      </c>
      <c r="EP271" s="710" t="s">
        <v>278</v>
      </c>
      <c r="EQ271" s="710"/>
      <c r="ER271" s="901"/>
      <c r="ES271" s="710"/>
      <c r="ET271" s="710"/>
      <c r="EU271" s="901"/>
      <c r="EV271" s="901"/>
      <c r="EW271" s="901"/>
      <c r="EX271" s="901"/>
      <c r="EY271" s="710" t="s">
        <v>278</v>
      </c>
      <c r="EZ271" s="710" t="s">
        <v>4762</v>
      </c>
      <c r="FA271" s="710" t="s">
        <v>279</v>
      </c>
      <c r="FB271" s="710"/>
      <c r="FC271" s="945" t="s">
        <v>4793</v>
      </c>
      <c r="FD271" s="710"/>
      <c r="FE271" s="945" t="s">
        <v>4793</v>
      </c>
      <c r="FF271" s="710" t="s">
        <v>4836</v>
      </c>
      <c r="FG271" s="710"/>
      <c r="FH271" s="710"/>
      <c r="FI271" s="710"/>
      <c r="FJ271" s="710"/>
      <c r="FK271" s="710" t="s">
        <v>4875</v>
      </c>
      <c r="FL271" s="901">
        <v>83494022261</v>
      </c>
      <c r="FM271" s="945" t="s">
        <v>4910</v>
      </c>
      <c r="FN271" s="710" t="s">
        <v>1874</v>
      </c>
      <c r="FO271" s="710" t="s">
        <v>1875</v>
      </c>
      <c r="FP271" s="1031" t="s">
        <v>1876</v>
      </c>
    </row>
    <row r="272" spans="2:172" ht="127" customHeight="1">
      <c r="B272" s="850" t="s">
        <v>5313</v>
      </c>
      <c r="C272" s="863"/>
      <c r="D272" s="850" t="s">
        <v>4934</v>
      </c>
      <c r="E272" s="850" t="s">
        <v>5314</v>
      </c>
      <c r="F272" s="863"/>
      <c r="H272" s="850" t="s">
        <v>4934</v>
      </c>
      <c r="I272" s="850" t="s">
        <v>5519</v>
      </c>
      <c r="J272" s="850" t="s">
        <v>5469</v>
      </c>
      <c r="K272" s="710" t="s">
        <v>275</v>
      </c>
      <c r="L272" s="710" t="s">
        <v>4501</v>
      </c>
      <c r="M272" s="710" t="s">
        <v>4506</v>
      </c>
      <c r="N272" s="710" t="s">
        <v>1873</v>
      </c>
      <c r="O272" s="895">
        <v>2019</v>
      </c>
      <c r="P272" s="896">
        <v>43636</v>
      </c>
      <c r="Q272" s="896">
        <v>43666</v>
      </c>
      <c r="R272" s="712">
        <f t="shared" si="87"/>
        <v>30</v>
      </c>
      <c r="S272" s="896"/>
      <c r="T272" s="896"/>
      <c r="U272" s="896"/>
      <c r="V272" s="896"/>
      <c r="W272" s="896"/>
      <c r="X272" s="896"/>
      <c r="Y272" s="896"/>
      <c r="Z272" s="896"/>
      <c r="AA272" s="896"/>
      <c r="AB272" s="710" t="s">
        <v>4537</v>
      </c>
      <c r="AC272" s="945" t="s">
        <v>4561</v>
      </c>
      <c r="AD272" s="710" t="s">
        <v>4586</v>
      </c>
      <c r="AE272" s="710" t="s">
        <v>4586</v>
      </c>
      <c r="AF272" s="710" t="s">
        <v>4619</v>
      </c>
      <c r="AG272" s="710" t="s">
        <v>4637</v>
      </c>
      <c r="AH272" s="898">
        <v>5.3999999999999999E-2</v>
      </c>
      <c r="AI272" s="868">
        <f t="shared" si="92"/>
        <v>5.4000000000000006E-2</v>
      </c>
      <c r="AJ272" s="867">
        <f t="shared" si="93"/>
        <v>0</v>
      </c>
      <c r="AK272" s="898"/>
      <c r="AL272" s="898"/>
      <c r="AM272" s="898"/>
      <c r="AN272" s="869">
        <f t="shared" si="94"/>
        <v>0</v>
      </c>
      <c r="AO272" s="869">
        <f t="shared" si="95"/>
        <v>0</v>
      </c>
      <c r="AP272" s="898"/>
      <c r="AQ272" s="899"/>
      <c r="AR272" s="899">
        <v>8.0000000000000004E-4</v>
      </c>
      <c r="AS272" s="869">
        <f t="shared" si="96"/>
        <v>0</v>
      </c>
      <c r="AT272" s="869">
        <f t="shared" si="97"/>
        <v>0</v>
      </c>
      <c r="AU272" s="942">
        <v>4.2000000000000003E-2</v>
      </c>
      <c r="AV272" s="899">
        <v>0.77777777777777779</v>
      </c>
      <c r="AW272" s="869">
        <f t="shared" si="98"/>
        <v>0.77777777777777779</v>
      </c>
      <c r="AX272" s="869">
        <f t="shared" si="99"/>
        <v>0</v>
      </c>
      <c r="AY272" s="898">
        <v>0</v>
      </c>
      <c r="AZ272" s="904">
        <v>0</v>
      </c>
      <c r="BA272" s="869">
        <f t="shared" si="100"/>
        <v>0</v>
      </c>
      <c r="BB272" s="869">
        <f t="shared" si="101"/>
        <v>0</v>
      </c>
      <c r="BC272" s="898">
        <v>0</v>
      </c>
      <c r="BD272" s="904">
        <v>0</v>
      </c>
      <c r="BE272" s="869">
        <f t="shared" si="102"/>
        <v>0</v>
      </c>
      <c r="BF272" s="869">
        <f t="shared" si="103"/>
        <v>0</v>
      </c>
      <c r="BG272" s="904"/>
      <c r="BH272" s="904"/>
      <c r="BI272" s="904"/>
      <c r="BJ272" s="904"/>
      <c r="BK272" s="904"/>
      <c r="BL272" s="714">
        <f t="shared" si="104"/>
        <v>0</v>
      </c>
      <c r="BM272" s="869">
        <f t="shared" si="105"/>
        <v>0</v>
      </c>
      <c r="BN272" s="898">
        <v>1.2E-2</v>
      </c>
      <c r="BO272" s="899">
        <f>BN272/AH272</f>
        <v>0.22222222222222224</v>
      </c>
      <c r="BP272" s="869">
        <f t="shared" si="106"/>
        <v>0.22222222222222224</v>
      </c>
      <c r="BQ272" s="869">
        <f t="shared" si="107"/>
        <v>0</v>
      </c>
      <c r="BR272" s="899"/>
      <c r="BS272" s="899"/>
      <c r="BT272" s="898"/>
      <c r="BU272" s="899"/>
      <c r="BV272" s="901">
        <v>1</v>
      </c>
      <c r="BW272" s="901">
        <v>1</v>
      </c>
      <c r="BX272" s="901">
        <v>1</v>
      </c>
      <c r="BY272" s="901"/>
      <c r="BZ272" s="901"/>
      <c r="CA272" s="901"/>
      <c r="CB272" s="901"/>
      <c r="CC272" s="901"/>
      <c r="CD272" s="901"/>
      <c r="CE272" s="901"/>
      <c r="CF272" s="901"/>
      <c r="CG272" s="901"/>
      <c r="CH272" s="901"/>
      <c r="CI272" s="901"/>
      <c r="CJ272" s="901">
        <v>1</v>
      </c>
      <c r="CK272" s="901"/>
      <c r="CL272" s="901"/>
      <c r="CM272" s="901"/>
      <c r="CN272" s="901"/>
      <c r="CO272" s="901"/>
      <c r="CP272" s="901"/>
      <c r="CQ272" s="901"/>
      <c r="CR272" s="901"/>
      <c r="CS272" s="902">
        <f t="shared" si="109"/>
        <v>1</v>
      </c>
      <c r="CT272" s="871">
        <f t="shared" si="91"/>
        <v>1</v>
      </c>
      <c r="CU272" s="871">
        <f t="shared" si="108"/>
        <v>0</v>
      </c>
      <c r="CV272" s="942">
        <v>1.35</v>
      </c>
      <c r="CW272" s="710" t="s">
        <v>4652</v>
      </c>
      <c r="CX272" s="710"/>
      <c r="CY272" s="710"/>
      <c r="CZ272" s="710"/>
      <c r="DA272" s="710">
        <v>100</v>
      </c>
      <c r="DB272" s="899"/>
      <c r="DC272" s="710" t="s">
        <v>279</v>
      </c>
      <c r="DD272" s="710"/>
      <c r="DE272" s="710"/>
      <c r="DF272" s="901"/>
      <c r="DG272" s="901"/>
      <c r="DH272" s="901">
        <v>6</v>
      </c>
      <c r="DI272" s="710"/>
      <c r="DJ272" s="710"/>
      <c r="DK272" s="901"/>
      <c r="DL272" s="710" t="s">
        <v>278</v>
      </c>
      <c r="DM272" s="945"/>
      <c r="DN272" s="901">
        <v>27</v>
      </c>
      <c r="DO272" s="710"/>
      <c r="DP272" s="710"/>
      <c r="DQ272" s="901"/>
      <c r="DR272" s="710"/>
      <c r="DS272" s="945"/>
      <c r="DT272" s="901"/>
      <c r="DU272" s="710"/>
      <c r="DV272" s="710"/>
      <c r="DW272" s="901"/>
      <c r="DX272" s="710"/>
      <c r="DY272" s="710"/>
      <c r="DZ272" s="901"/>
      <c r="EA272" s="710" t="s">
        <v>278</v>
      </c>
      <c r="EB272" s="945" t="s">
        <v>4721</v>
      </c>
      <c r="EC272" s="901"/>
      <c r="ED272" s="710"/>
      <c r="EE272" s="710"/>
      <c r="EF272" s="901"/>
      <c r="EG272" s="710"/>
      <c r="EH272" s="710"/>
      <c r="EI272" s="901"/>
      <c r="EJ272" s="710"/>
      <c r="EK272" s="710"/>
      <c r="EL272" s="901"/>
      <c r="EM272" s="710" t="s">
        <v>278</v>
      </c>
      <c r="EN272" s="710" t="s">
        <v>4745</v>
      </c>
      <c r="EO272" s="901">
        <v>6</v>
      </c>
      <c r="EP272" s="710"/>
      <c r="EQ272" s="710"/>
      <c r="ER272" s="901"/>
      <c r="ES272" s="710"/>
      <c r="ET272" s="710"/>
      <c r="EU272" s="901"/>
      <c r="EV272" s="901"/>
      <c r="EW272" s="901"/>
      <c r="EX272" s="901"/>
      <c r="EY272" s="710" t="s">
        <v>278</v>
      </c>
      <c r="EZ272" s="710" t="s">
        <v>4762</v>
      </c>
      <c r="FA272" s="710" t="s">
        <v>278</v>
      </c>
      <c r="FB272" s="710" t="s">
        <v>4775</v>
      </c>
      <c r="FC272" s="945" t="s">
        <v>4794</v>
      </c>
      <c r="FD272" s="710"/>
      <c r="FE272" s="945" t="s">
        <v>4817</v>
      </c>
      <c r="FF272" s="710" t="s">
        <v>4837</v>
      </c>
      <c r="FG272" s="710"/>
      <c r="FH272" s="710"/>
      <c r="FI272" s="710"/>
      <c r="FJ272" s="710"/>
      <c r="FK272" s="710" t="s">
        <v>4875</v>
      </c>
      <c r="FL272" s="901">
        <v>83494022261</v>
      </c>
      <c r="FM272" s="945" t="s">
        <v>4910</v>
      </c>
      <c r="FN272" s="710" t="s">
        <v>1874</v>
      </c>
      <c r="FO272" s="710" t="s">
        <v>1875</v>
      </c>
      <c r="FP272" s="1031" t="s">
        <v>1876</v>
      </c>
    </row>
    <row r="273" spans="2:172" ht="157" customHeight="1">
      <c r="B273" s="850" t="s">
        <v>5313</v>
      </c>
      <c r="C273" s="863"/>
      <c r="D273" s="850" t="s">
        <v>4934</v>
      </c>
      <c r="E273" s="850" t="s">
        <v>5314</v>
      </c>
      <c r="F273" s="863"/>
      <c r="H273" s="850" t="s">
        <v>4934</v>
      </c>
      <c r="I273" s="850" t="s">
        <v>5519</v>
      </c>
      <c r="J273" s="850" t="s">
        <v>5469</v>
      </c>
      <c r="K273" s="710" t="s">
        <v>275</v>
      </c>
      <c r="L273" s="710" t="s">
        <v>4502</v>
      </c>
      <c r="M273" s="710" t="s">
        <v>4509</v>
      </c>
      <c r="N273" s="710" t="s">
        <v>4516</v>
      </c>
      <c r="O273" s="895">
        <v>2018</v>
      </c>
      <c r="P273" s="896">
        <v>43535</v>
      </c>
      <c r="Q273" s="896">
        <v>43830</v>
      </c>
      <c r="R273" s="712">
        <f t="shared" si="87"/>
        <v>295</v>
      </c>
      <c r="S273" s="896"/>
      <c r="T273" s="896"/>
      <c r="U273" s="896"/>
      <c r="V273" s="896"/>
      <c r="W273" s="896"/>
      <c r="X273" s="896"/>
      <c r="Y273" s="896"/>
      <c r="Z273" s="896"/>
      <c r="AA273" s="896"/>
      <c r="AB273" s="710" t="s">
        <v>4538</v>
      </c>
      <c r="AC273" s="945" t="s">
        <v>4562</v>
      </c>
      <c r="AD273" s="710" t="s">
        <v>4587</v>
      </c>
      <c r="AE273" s="710" t="s">
        <v>4600</v>
      </c>
      <c r="AF273" s="710" t="s">
        <v>4620</v>
      </c>
      <c r="AG273" s="710" t="s">
        <v>4638</v>
      </c>
      <c r="AH273" s="898">
        <v>4.8280000000000003</v>
      </c>
      <c r="AI273" s="868">
        <f t="shared" si="92"/>
        <v>4.8282999999999996</v>
      </c>
      <c r="AJ273" s="867">
        <f t="shared" si="93"/>
        <v>2.9999999999930083E-4</v>
      </c>
      <c r="AK273" s="898"/>
      <c r="AL273" s="898"/>
      <c r="AM273" s="898"/>
      <c r="AN273" s="869">
        <f t="shared" si="94"/>
        <v>0</v>
      </c>
      <c r="AO273" s="869">
        <f t="shared" si="95"/>
        <v>0</v>
      </c>
      <c r="AP273" s="898"/>
      <c r="AQ273" s="927"/>
      <c r="AR273" s="899">
        <f>AP273/11773.47*100%</f>
        <v>0</v>
      </c>
      <c r="AS273" s="869">
        <f t="shared" si="96"/>
        <v>0</v>
      </c>
      <c r="AT273" s="869">
        <f t="shared" si="97"/>
        <v>0</v>
      </c>
      <c r="AU273" s="942">
        <v>4.7229999999999999</v>
      </c>
      <c r="AV273" s="899">
        <v>0.97825186412593201</v>
      </c>
      <c r="AW273" s="869">
        <f t="shared" si="98"/>
        <v>0.97825186412593201</v>
      </c>
      <c r="AX273" s="869">
        <f t="shared" si="99"/>
        <v>0</v>
      </c>
      <c r="AY273" s="898">
        <f>105300/1000000</f>
        <v>0.1053</v>
      </c>
      <c r="AZ273" s="927">
        <f>AY273/AH273*100%</f>
        <v>2.1810273405136704E-2</v>
      </c>
      <c r="BA273" s="869">
        <f t="shared" si="100"/>
        <v>2.1810273405136704E-2</v>
      </c>
      <c r="BB273" s="869">
        <f t="shared" si="101"/>
        <v>0</v>
      </c>
      <c r="BC273" s="898">
        <v>0</v>
      </c>
      <c r="BD273" s="904">
        <v>0</v>
      </c>
      <c r="BE273" s="869">
        <f t="shared" si="102"/>
        <v>0</v>
      </c>
      <c r="BF273" s="869">
        <f t="shared" si="103"/>
        <v>0</v>
      </c>
      <c r="BG273" s="904"/>
      <c r="BH273" s="904"/>
      <c r="BI273" s="904"/>
      <c r="BJ273" s="904"/>
      <c r="BK273" s="904"/>
      <c r="BL273" s="714">
        <f t="shared" si="104"/>
        <v>0</v>
      </c>
      <c r="BM273" s="869">
        <f t="shared" si="105"/>
        <v>0</v>
      </c>
      <c r="BN273" s="898">
        <v>0</v>
      </c>
      <c r="BO273" s="904">
        <v>0</v>
      </c>
      <c r="BP273" s="869">
        <f t="shared" si="106"/>
        <v>0</v>
      </c>
      <c r="BQ273" s="869">
        <f t="shared" si="107"/>
        <v>0</v>
      </c>
      <c r="BR273" s="904"/>
      <c r="BS273" s="904"/>
      <c r="BT273" s="898">
        <v>19.015000000000001</v>
      </c>
      <c r="BU273" s="899">
        <f>BT273/12449.62*100%</f>
        <v>1.5273558550381457E-3</v>
      </c>
      <c r="BV273" s="901">
        <f>12+13</f>
        <v>25</v>
      </c>
      <c r="BW273" s="901">
        <f>8+4</f>
        <v>12</v>
      </c>
      <c r="BX273" s="901">
        <v>6</v>
      </c>
      <c r="BY273" s="901"/>
      <c r="BZ273" s="901"/>
      <c r="CA273" s="901"/>
      <c r="CB273" s="901"/>
      <c r="CC273" s="901"/>
      <c r="CD273" s="901"/>
      <c r="CE273" s="901"/>
      <c r="CF273" s="901">
        <v>3</v>
      </c>
      <c r="CG273" s="901"/>
      <c r="CH273" s="901"/>
      <c r="CI273" s="901">
        <v>1</v>
      </c>
      <c r="CJ273" s="901"/>
      <c r="CK273" s="901"/>
      <c r="CL273" s="901"/>
      <c r="CM273" s="901"/>
      <c r="CN273" s="901"/>
      <c r="CO273" s="901"/>
      <c r="CP273" s="901"/>
      <c r="CQ273" s="901">
        <v>1</v>
      </c>
      <c r="CR273" s="901">
        <v>1</v>
      </c>
      <c r="CS273" s="902">
        <f t="shared" si="109"/>
        <v>6</v>
      </c>
      <c r="CT273" s="871">
        <f t="shared" si="91"/>
        <v>6</v>
      </c>
      <c r="CU273" s="871">
        <f t="shared" si="108"/>
        <v>0</v>
      </c>
      <c r="CV273" s="942">
        <v>22</v>
      </c>
      <c r="CW273" s="710"/>
      <c r="CX273" s="710"/>
      <c r="CY273" s="710"/>
      <c r="CZ273" s="710"/>
      <c r="DA273" s="899">
        <f>CV273/51.77*100%</f>
        <v>0.42495653853583154</v>
      </c>
      <c r="DB273" s="943" t="s">
        <v>4667</v>
      </c>
      <c r="DC273" s="710" t="s">
        <v>278</v>
      </c>
      <c r="DD273" s="710" t="s">
        <v>4669</v>
      </c>
      <c r="DE273" s="710" t="s">
        <v>4674</v>
      </c>
      <c r="DF273" s="901">
        <v>3</v>
      </c>
      <c r="DG273" s="901"/>
      <c r="DH273" s="901"/>
      <c r="DI273" s="710" t="s">
        <v>278</v>
      </c>
      <c r="DJ273" s="710" t="s">
        <v>4681</v>
      </c>
      <c r="DK273" s="901">
        <v>305</v>
      </c>
      <c r="DL273" s="710" t="s">
        <v>278</v>
      </c>
      <c r="DM273" s="710" t="s">
        <v>2673</v>
      </c>
      <c r="DN273" s="901">
        <v>110</v>
      </c>
      <c r="DO273" s="710" t="s">
        <v>279</v>
      </c>
      <c r="DP273" s="710"/>
      <c r="DQ273" s="901"/>
      <c r="DR273" s="710" t="s">
        <v>278</v>
      </c>
      <c r="DS273" s="710" t="s">
        <v>4703</v>
      </c>
      <c r="DT273" s="901">
        <v>663</v>
      </c>
      <c r="DU273" s="710" t="s">
        <v>279</v>
      </c>
      <c r="DV273" s="710"/>
      <c r="DW273" s="901"/>
      <c r="DX273" s="710" t="s">
        <v>278</v>
      </c>
      <c r="DY273" s="710" t="s">
        <v>4714</v>
      </c>
      <c r="DZ273" s="901">
        <v>1050</v>
      </c>
      <c r="EA273" s="710" t="s">
        <v>278</v>
      </c>
      <c r="EB273" s="945" t="s">
        <v>4722</v>
      </c>
      <c r="EC273" s="901">
        <v>163</v>
      </c>
      <c r="ED273" s="710" t="s">
        <v>279</v>
      </c>
      <c r="EE273" s="710"/>
      <c r="EF273" s="901"/>
      <c r="EG273" s="710" t="s">
        <v>279</v>
      </c>
      <c r="EH273" s="710"/>
      <c r="EI273" s="901"/>
      <c r="EJ273" s="710" t="s">
        <v>279</v>
      </c>
      <c r="EK273" s="710"/>
      <c r="EL273" s="901"/>
      <c r="EM273" s="710" t="s">
        <v>278</v>
      </c>
      <c r="EN273" s="710" t="s">
        <v>4746</v>
      </c>
      <c r="EO273" s="901">
        <v>15</v>
      </c>
      <c r="EP273" s="710" t="s">
        <v>279</v>
      </c>
      <c r="EQ273" s="710"/>
      <c r="ER273" s="901"/>
      <c r="ES273" s="710" t="s">
        <v>279</v>
      </c>
      <c r="ET273" s="710"/>
      <c r="EU273" s="901"/>
      <c r="EV273" s="901"/>
      <c r="EW273" s="901"/>
      <c r="EX273" s="901"/>
      <c r="EY273" s="710" t="s">
        <v>279</v>
      </c>
      <c r="EZ273" s="710"/>
      <c r="FA273" s="710" t="s">
        <v>278</v>
      </c>
      <c r="FB273" s="710" t="s">
        <v>4776</v>
      </c>
      <c r="FC273" s="945" t="s">
        <v>4795</v>
      </c>
      <c r="FD273" s="945" t="s">
        <v>4809</v>
      </c>
      <c r="FE273" s="710"/>
      <c r="FF273" s="710" t="s">
        <v>4838</v>
      </c>
      <c r="FG273" s="710"/>
      <c r="FH273" s="710" t="s">
        <v>4856</v>
      </c>
      <c r="FI273" s="710">
        <v>2</v>
      </c>
      <c r="FJ273" s="710">
        <v>104</v>
      </c>
      <c r="FK273" s="710" t="s">
        <v>4876</v>
      </c>
      <c r="FL273" s="710" t="s">
        <v>4893</v>
      </c>
      <c r="FM273" s="945" t="s">
        <v>4911</v>
      </c>
      <c r="FN273" s="710" t="s">
        <v>1874</v>
      </c>
      <c r="FO273" s="710" t="s">
        <v>1875</v>
      </c>
      <c r="FP273" s="1031" t="s">
        <v>1876</v>
      </c>
    </row>
    <row r="274" spans="2:172" ht="109.5" customHeight="1">
      <c r="B274" s="850" t="s">
        <v>5313</v>
      </c>
      <c r="C274" s="863"/>
      <c r="D274" s="850" t="s">
        <v>4934</v>
      </c>
      <c r="E274" s="850" t="s">
        <v>5314</v>
      </c>
      <c r="F274" s="863"/>
      <c r="H274" s="850" t="s">
        <v>4934</v>
      </c>
      <c r="I274" s="850" t="s">
        <v>5519</v>
      </c>
      <c r="J274" s="850" t="s">
        <v>5469</v>
      </c>
      <c r="K274" s="710" t="s">
        <v>275</v>
      </c>
      <c r="L274" s="710" t="s">
        <v>4503</v>
      </c>
      <c r="M274" s="710" t="s">
        <v>4510</v>
      </c>
      <c r="N274" s="710" t="s">
        <v>4517</v>
      </c>
      <c r="O274" s="895">
        <v>2018</v>
      </c>
      <c r="P274" s="896">
        <v>43405</v>
      </c>
      <c r="Q274" s="896">
        <v>43830</v>
      </c>
      <c r="R274" s="712">
        <f t="shared" si="87"/>
        <v>425</v>
      </c>
      <c r="S274" s="896"/>
      <c r="T274" s="896"/>
      <c r="U274" s="896"/>
      <c r="V274" s="896"/>
      <c r="W274" s="896"/>
      <c r="X274" s="896"/>
      <c r="Y274" s="896"/>
      <c r="Z274" s="896"/>
      <c r="AA274" s="896"/>
      <c r="AB274" s="710" t="s">
        <v>4539</v>
      </c>
      <c r="AC274" s="945" t="s">
        <v>4563</v>
      </c>
      <c r="AD274" s="710" t="s">
        <v>4588</v>
      </c>
      <c r="AE274" s="710" t="s">
        <v>4588</v>
      </c>
      <c r="AF274" s="710" t="s">
        <v>4621</v>
      </c>
      <c r="AG274" s="710" t="s">
        <v>4639</v>
      </c>
      <c r="AH274" s="898">
        <v>0.49</v>
      </c>
      <c r="AI274" s="868">
        <f t="shared" si="92"/>
        <v>0.49</v>
      </c>
      <c r="AJ274" s="867">
        <f t="shared" si="93"/>
        <v>0</v>
      </c>
      <c r="AK274" s="898"/>
      <c r="AL274" s="898"/>
      <c r="AM274" s="898"/>
      <c r="AN274" s="869">
        <f t="shared" si="94"/>
        <v>0</v>
      </c>
      <c r="AO274" s="869">
        <f t="shared" si="95"/>
        <v>0</v>
      </c>
      <c r="AP274" s="898"/>
      <c r="AQ274" s="899"/>
      <c r="AR274" s="899">
        <f>AP274/546.3*100%</f>
        <v>0</v>
      </c>
      <c r="AS274" s="869">
        <f t="shared" si="96"/>
        <v>0</v>
      </c>
      <c r="AT274" s="869">
        <f t="shared" si="97"/>
        <v>0</v>
      </c>
      <c r="AU274" s="942">
        <v>0.49</v>
      </c>
      <c r="AV274" s="899">
        <v>1</v>
      </c>
      <c r="AW274" s="869">
        <f t="shared" si="98"/>
        <v>1</v>
      </c>
      <c r="AX274" s="869">
        <f t="shared" si="99"/>
        <v>0</v>
      </c>
      <c r="AY274" s="898">
        <v>0</v>
      </c>
      <c r="AZ274" s="904">
        <v>0</v>
      </c>
      <c r="BA274" s="869">
        <f t="shared" si="100"/>
        <v>0</v>
      </c>
      <c r="BB274" s="869">
        <f t="shared" si="101"/>
        <v>0</v>
      </c>
      <c r="BC274" s="898">
        <v>0</v>
      </c>
      <c r="BD274" s="904">
        <v>0</v>
      </c>
      <c r="BE274" s="869">
        <f t="shared" si="102"/>
        <v>0</v>
      </c>
      <c r="BF274" s="869">
        <f t="shared" si="103"/>
        <v>0</v>
      </c>
      <c r="BG274" s="904"/>
      <c r="BH274" s="904"/>
      <c r="BI274" s="904"/>
      <c r="BJ274" s="904"/>
      <c r="BK274" s="904"/>
      <c r="BL274" s="714">
        <f t="shared" si="104"/>
        <v>0</v>
      </c>
      <c r="BM274" s="869">
        <f t="shared" si="105"/>
        <v>0</v>
      </c>
      <c r="BN274" s="898">
        <v>0</v>
      </c>
      <c r="BO274" s="904">
        <v>0</v>
      </c>
      <c r="BP274" s="869">
        <f t="shared" si="106"/>
        <v>0</v>
      </c>
      <c r="BQ274" s="869">
        <f t="shared" si="107"/>
        <v>0</v>
      </c>
      <c r="BR274" s="904"/>
      <c r="BS274" s="904"/>
      <c r="BT274" s="898">
        <v>1.5</v>
      </c>
      <c r="BU274" s="899">
        <f>BT274/475.955*100%</f>
        <v>3.1515584456513748E-3</v>
      </c>
      <c r="BV274" s="901">
        <f>1+1</f>
        <v>2</v>
      </c>
      <c r="BW274" s="901">
        <f>1+1</f>
        <v>2</v>
      </c>
      <c r="BX274" s="901">
        <v>1</v>
      </c>
      <c r="BY274" s="901"/>
      <c r="BZ274" s="901"/>
      <c r="CA274" s="901"/>
      <c r="CB274" s="901"/>
      <c r="CC274" s="901"/>
      <c r="CD274" s="901"/>
      <c r="CE274" s="901"/>
      <c r="CF274" s="901"/>
      <c r="CG274" s="901"/>
      <c r="CH274" s="901"/>
      <c r="CI274" s="901"/>
      <c r="CJ274" s="901"/>
      <c r="CK274" s="901"/>
      <c r="CL274" s="901"/>
      <c r="CM274" s="901"/>
      <c r="CN274" s="901"/>
      <c r="CO274" s="901"/>
      <c r="CP274" s="901"/>
      <c r="CQ274" s="901"/>
      <c r="CR274" s="901">
        <v>1</v>
      </c>
      <c r="CS274" s="902">
        <f t="shared" si="109"/>
        <v>1</v>
      </c>
      <c r="CT274" s="871">
        <f t="shared" si="91"/>
        <v>1</v>
      </c>
      <c r="CU274" s="871">
        <f t="shared" si="108"/>
        <v>0</v>
      </c>
      <c r="CV274" s="942">
        <v>2.5</v>
      </c>
      <c r="CW274" s="710"/>
      <c r="CX274" s="710"/>
      <c r="CY274" s="710"/>
      <c r="CZ274" s="710"/>
      <c r="DA274" s="899">
        <f>CV274/9.927*100%</f>
        <v>0.25183842046942684</v>
      </c>
      <c r="DB274" s="943" t="s">
        <v>4667</v>
      </c>
      <c r="DC274" s="710" t="s">
        <v>279</v>
      </c>
      <c r="DD274" s="710"/>
      <c r="DE274" s="710"/>
      <c r="DF274" s="901"/>
      <c r="DG274" s="901"/>
      <c r="DH274" s="901">
        <v>4</v>
      </c>
      <c r="DI274" s="710" t="s">
        <v>278</v>
      </c>
      <c r="DJ274" s="710" t="s">
        <v>4682</v>
      </c>
      <c r="DK274" s="901">
        <v>134</v>
      </c>
      <c r="DL274" s="710" t="s">
        <v>278</v>
      </c>
      <c r="DM274" s="710" t="s">
        <v>3005</v>
      </c>
      <c r="DN274" s="901">
        <v>102</v>
      </c>
      <c r="DO274" s="710" t="s">
        <v>279</v>
      </c>
      <c r="DP274" s="710"/>
      <c r="DQ274" s="901"/>
      <c r="DR274" s="710" t="s">
        <v>279</v>
      </c>
      <c r="DS274" s="710"/>
      <c r="DT274" s="901"/>
      <c r="DU274" s="710" t="s">
        <v>279</v>
      </c>
      <c r="DV274" s="710"/>
      <c r="DW274" s="901"/>
      <c r="DX274" s="710" t="s">
        <v>278</v>
      </c>
      <c r="DY274" s="710" t="s">
        <v>4715</v>
      </c>
      <c r="DZ274" s="901">
        <v>141</v>
      </c>
      <c r="EA274" s="710" t="s">
        <v>279</v>
      </c>
      <c r="EB274" s="710"/>
      <c r="EC274" s="901"/>
      <c r="ED274" s="710" t="s">
        <v>278</v>
      </c>
      <c r="EE274" s="945" t="s">
        <v>4731</v>
      </c>
      <c r="EF274" s="901">
        <v>36</v>
      </c>
      <c r="EG274" s="710" t="s">
        <v>279</v>
      </c>
      <c r="EH274" s="710"/>
      <c r="EI274" s="901"/>
      <c r="EJ274" s="710" t="s">
        <v>279</v>
      </c>
      <c r="EK274" s="710"/>
      <c r="EL274" s="901"/>
      <c r="EM274" s="710" t="s">
        <v>278</v>
      </c>
      <c r="EN274" s="945" t="s">
        <v>4747</v>
      </c>
      <c r="EO274" s="901">
        <v>11</v>
      </c>
      <c r="EP274" s="710" t="s">
        <v>279</v>
      </c>
      <c r="EQ274" s="710"/>
      <c r="ER274" s="901"/>
      <c r="ES274" s="710" t="s">
        <v>279</v>
      </c>
      <c r="ET274" s="710"/>
      <c r="EU274" s="901"/>
      <c r="EV274" s="901"/>
      <c r="EW274" s="901"/>
      <c r="EX274" s="901"/>
      <c r="EY274" s="710" t="s">
        <v>279</v>
      </c>
      <c r="EZ274" s="710"/>
      <c r="FA274" s="710" t="s">
        <v>278</v>
      </c>
      <c r="FB274" s="710" t="s">
        <v>4777</v>
      </c>
      <c r="FC274" s="945" t="s">
        <v>4796</v>
      </c>
      <c r="FD274" s="945" t="s">
        <v>4810</v>
      </c>
      <c r="FE274" s="710"/>
      <c r="FF274" s="710" t="s">
        <v>4839</v>
      </c>
      <c r="FG274" s="945" t="s">
        <v>4848</v>
      </c>
      <c r="FH274" s="710"/>
      <c r="FI274" s="710"/>
      <c r="FJ274" s="710"/>
      <c r="FK274" s="710" t="s">
        <v>4876</v>
      </c>
      <c r="FL274" s="710" t="s">
        <v>4893</v>
      </c>
      <c r="FM274" s="945" t="s">
        <v>4911</v>
      </c>
      <c r="FN274" s="710" t="s">
        <v>1874</v>
      </c>
      <c r="FO274" s="710" t="s">
        <v>1875</v>
      </c>
      <c r="FP274" s="1031" t="s">
        <v>1876</v>
      </c>
    </row>
    <row r="275" spans="2:172" ht="147" customHeight="1">
      <c r="B275" s="850" t="s">
        <v>5313</v>
      </c>
      <c r="C275" s="863"/>
      <c r="D275" s="850" t="s">
        <v>4934</v>
      </c>
      <c r="E275" s="850" t="s">
        <v>5314</v>
      </c>
      <c r="F275" s="863"/>
      <c r="H275" s="850" t="s">
        <v>4934</v>
      </c>
      <c r="I275" s="850" t="s">
        <v>5519</v>
      </c>
      <c r="J275" s="850" t="s">
        <v>5469</v>
      </c>
      <c r="K275" s="710" t="s">
        <v>275</v>
      </c>
      <c r="L275" s="710" t="s">
        <v>4504</v>
      </c>
      <c r="M275" s="710" t="s">
        <v>4511</v>
      </c>
      <c r="N275" s="710" t="s">
        <v>4517</v>
      </c>
      <c r="O275" s="895">
        <v>2018</v>
      </c>
      <c r="P275" s="896">
        <v>43454</v>
      </c>
      <c r="Q275" s="896">
        <v>43830</v>
      </c>
      <c r="R275" s="712">
        <f t="shared" si="87"/>
        <v>376</v>
      </c>
      <c r="S275" s="896"/>
      <c r="T275" s="896"/>
      <c r="U275" s="896"/>
      <c r="V275" s="896"/>
      <c r="W275" s="896"/>
      <c r="X275" s="896"/>
      <c r="Y275" s="896"/>
      <c r="Z275" s="896"/>
      <c r="AA275" s="896"/>
      <c r="AB275" s="710" t="s">
        <v>4540</v>
      </c>
      <c r="AC275" s="945" t="s">
        <v>4564</v>
      </c>
      <c r="AD275" s="710" t="s">
        <v>4589</v>
      </c>
      <c r="AE275" s="710" t="s">
        <v>4589</v>
      </c>
      <c r="AF275" s="710" t="s">
        <v>4619</v>
      </c>
      <c r="AG275" s="710" t="s">
        <v>4589</v>
      </c>
      <c r="AH275" s="898">
        <v>7.3029999999999999</v>
      </c>
      <c r="AI275" s="868">
        <f t="shared" si="92"/>
        <v>7.3029999999999999</v>
      </c>
      <c r="AJ275" s="867">
        <f t="shared" si="93"/>
        <v>0</v>
      </c>
      <c r="AK275" s="898"/>
      <c r="AL275" s="898"/>
      <c r="AM275" s="898"/>
      <c r="AN275" s="869">
        <f t="shared" si="94"/>
        <v>0</v>
      </c>
      <c r="AO275" s="869">
        <f t="shared" si="95"/>
        <v>0</v>
      </c>
      <c r="AP275" s="898"/>
      <c r="AQ275" s="904"/>
      <c r="AR275" s="899">
        <f>AP275/213.52*100%</f>
        <v>0</v>
      </c>
      <c r="AS275" s="869">
        <f t="shared" si="96"/>
        <v>0</v>
      </c>
      <c r="AT275" s="869">
        <f t="shared" si="97"/>
        <v>0</v>
      </c>
      <c r="AU275" s="942">
        <v>7.3029999999999999</v>
      </c>
      <c r="AV275" s="899">
        <v>1</v>
      </c>
      <c r="AW275" s="869">
        <f t="shared" si="98"/>
        <v>1</v>
      </c>
      <c r="AX275" s="869">
        <f t="shared" si="99"/>
        <v>0</v>
      </c>
      <c r="AY275" s="898">
        <v>0</v>
      </c>
      <c r="AZ275" s="904">
        <v>0</v>
      </c>
      <c r="BA275" s="869">
        <f t="shared" si="100"/>
        <v>0</v>
      </c>
      <c r="BB275" s="869">
        <f t="shared" si="101"/>
        <v>0</v>
      </c>
      <c r="BC275" s="898">
        <v>0</v>
      </c>
      <c r="BD275" s="904">
        <v>0</v>
      </c>
      <c r="BE275" s="869">
        <f t="shared" si="102"/>
        <v>0</v>
      </c>
      <c r="BF275" s="869">
        <f t="shared" si="103"/>
        <v>0</v>
      </c>
      <c r="BG275" s="904"/>
      <c r="BH275" s="904"/>
      <c r="BI275" s="904"/>
      <c r="BJ275" s="904"/>
      <c r="BK275" s="904"/>
      <c r="BL275" s="714">
        <f t="shared" si="104"/>
        <v>0</v>
      </c>
      <c r="BM275" s="869">
        <f t="shared" si="105"/>
        <v>0</v>
      </c>
      <c r="BN275" s="898">
        <v>0</v>
      </c>
      <c r="BO275" s="904">
        <v>0</v>
      </c>
      <c r="BP275" s="869">
        <f t="shared" si="106"/>
        <v>0</v>
      </c>
      <c r="BQ275" s="869">
        <f t="shared" si="107"/>
        <v>0</v>
      </c>
      <c r="BR275" s="904"/>
      <c r="BS275" s="904"/>
      <c r="BT275" s="898">
        <v>1</v>
      </c>
      <c r="BU275" s="899">
        <v>7.0000000000000001E-3</v>
      </c>
      <c r="BV275" s="901">
        <f>8+5</f>
        <v>13</v>
      </c>
      <c r="BW275" s="901">
        <f>5+5</f>
        <v>10</v>
      </c>
      <c r="BX275" s="901">
        <v>5</v>
      </c>
      <c r="BY275" s="901"/>
      <c r="BZ275" s="901"/>
      <c r="CA275" s="901"/>
      <c r="CB275" s="901"/>
      <c r="CC275" s="901"/>
      <c r="CD275" s="901">
        <v>2</v>
      </c>
      <c r="CE275" s="901"/>
      <c r="CF275" s="901"/>
      <c r="CG275" s="901"/>
      <c r="CH275" s="901"/>
      <c r="CI275" s="901"/>
      <c r="CJ275" s="901">
        <v>2</v>
      </c>
      <c r="CK275" s="901"/>
      <c r="CL275" s="901"/>
      <c r="CM275" s="901">
        <v>1</v>
      </c>
      <c r="CN275" s="901"/>
      <c r="CO275" s="901"/>
      <c r="CP275" s="901"/>
      <c r="CQ275" s="901"/>
      <c r="CR275" s="901"/>
      <c r="CS275" s="902">
        <f t="shared" si="109"/>
        <v>5</v>
      </c>
      <c r="CT275" s="871">
        <f t="shared" si="91"/>
        <v>5</v>
      </c>
      <c r="CU275" s="871">
        <f t="shared" si="108"/>
        <v>0</v>
      </c>
      <c r="CV275" s="942">
        <v>4.1920000000000002</v>
      </c>
      <c r="CW275" s="710"/>
      <c r="CX275" s="710"/>
      <c r="CY275" s="710"/>
      <c r="CZ275" s="710"/>
      <c r="DA275" s="899">
        <f>CV275/4.192*100%</f>
        <v>1</v>
      </c>
      <c r="DB275" s="943" t="s">
        <v>4667</v>
      </c>
      <c r="DC275" s="710" t="s">
        <v>279</v>
      </c>
      <c r="DD275" s="710"/>
      <c r="DE275" s="710"/>
      <c r="DF275" s="901"/>
      <c r="DG275" s="901"/>
      <c r="DH275" s="901">
        <v>1</v>
      </c>
      <c r="DI275" s="710" t="s">
        <v>279</v>
      </c>
      <c r="DJ275" s="710"/>
      <c r="DK275" s="901"/>
      <c r="DL275" s="710" t="s">
        <v>278</v>
      </c>
      <c r="DM275" s="945" t="s">
        <v>4697</v>
      </c>
      <c r="DN275" s="901">
        <v>109</v>
      </c>
      <c r="DO275" s="710" t="s">
        <v>279</v>
      </c>
      <c r="DP275" s="710"/>
      <c r="DQ275" s="901"/>
      <c r="DR275" s="710" t="s">
        <v>279</v>
      </c>
      <c r="DS275" s="710"/>
      <c r="DT275" s="901"/>
      <c r="DU275" s="901" t="s">
        <v>278</v>
      </c>
      <c r="DV275" s="710" t="s">
        <v>4708</v>
      </c>
      <c r="DW275" s="710">
        <v>8</v>
      </c>
      <c r="DX275" s="710" t="s">
        <v>279</v>
      </c>
      <c r="DY275" s="710"/>
      <c r="DZ275" s="901"/>
      <c r="EA275" s="710" t="s">
        <v>279</v>
      </c>
      <c r="EB275" s="710"/>
      <c r="EC275" s="901"/>
      <c r="ED275" s="710" t="s">
        <v>279</v>
      </c>
      <c r="EE275" s="710"/>
      <c r="EF275" s="901"/>
      <c r="EG275" s="710" t="s">
        <v>279</v>
      </c>
      <c r="EH275" s="710"/>
      <c r="EI275" s="901"/>
      <c r="EJ275" s="710" t="s">
        <v>279</v>
      </c>
      <c r="EK275" s="710"/>
      <c r="EL275" s="901"/>
      <c r="EM275" s="710" t="s">
        <v>278</v>
      </c>
      <c r="EN275" s="945" t="s">
        <v>4748</v>
      </c>
      <c r="EO275" s="901">
        <v>12</v>
      </c>
      <c r="EP275" s="710" t="s">
        <v>279</v>
      </c>
      <c r="EQ275" s="710"/>
      <c r="ER275" s="901"/>
      <c r="ES275" s="710" t="s">
        <v>279</v>
      </c>
      <c r="ET275" s="710"/>
      <c r="EU275" s="901"/>
      <c r="EV275" s="901"/>
      <c r="EW275" s="901"/>
      <c r="EX275" s="901"/>
      <c r="EY275" s="710" t="s">
        <v>279</v>
      </c>
      <c r="EZ275" s="710"/>
      <c r="FA275" s="710" t="s">
        <v>278</v>
      </c>
      <c r="FB275" s="710" t="s">
        <v>4778</v>
      </c>
      <c r="FC275" s="945" t="s">
        <v>4797</v>
      </c>
      <c r="FD275" s="945" t="s">
        <v>4811</v>
      </c>
      <c r="FE275" s="710"/>
      <c r="FF275" s="710" t="s">
        <v>4840</v>
      </c>
      <c r="FG275" s="710"/>
      <c r="FH275" s="710" t="s">
        <v>4857</v>
      </c>
      <c r="FI275" s="710">
        <v>1</v>
      </c>
      <c r="FJ275" s="710">
        <v>64</v>
      </c>
      <c r="FK275" s="710" t="s">
        <v>4876</v>
      </c>
      <c r="FL275" s="710" t="s">
        <v>4893</v>
      </c>
      <c r="FM275" s="945" t="s">
        <v>4911</v>
      </c>
      <c r="FN275" s="710" t="s">
        <v>1874</v>
      </c>
      <c r="FO275" s="710" t="s">
        <v>1875</v>
      </c>
      <c r="FP275" s="1031" t="s">
        <v>1876</v>
      </c>
    </row>
    <row r="276" spans="2:172" ht="167" customHeight="1">
      <c r="B276" s="850" t="s">
        <v>5313</v>
      </c>
      <c r="C276" s="863"/>
      <c r="D276" s="850" t="s">
        <v>4934</v>
      </c>
      <c r="E276" s="850" t="s">
        <v>5314</v>
      </c>
      <c r="F276" s="863"/>
      <c r="H276" s="850" t="s">
        <v>4934</v>
      </c>
      <c r="I276" s="850" t="s">
        <v>5519</v>
      </c>
      <c r="J276" s="850" t="s">
        <v>5469</v>
      </c>
      <c r="K276" s="710" t="s">
        <v>275</v>
      </c>
      <c r="L276" s="710" t="s">
        <v>4505</v>
      </c>
      <c r="M276" s="710" t="s">
        <v>4506</v>
      </c>
      <c r="N276" s="710" t="s">
        <v>1873</v>
      </c>
      <c r="O276" s="895">
        <v>2019</v>
      </c>
      <c r="P276" s="896">
        <v>43458</v>
      </c>
      <c r="Q276" s="896">
        <v>43830</v>
      </c>
      <c r="R276" s="712">
        <f t="shared" si="87"/>
        <v>372</v>
      </c>
      <c r="S276" s="896"/>
      <c r="T276" s="896"/>
      <c r="U276" s="896"/>
      <c r="V276" s="896"/>
      <c r="W276" s="896"/>
      <c r="X276" s="896"/>
      <c r="Y276" s="896"/>
      <c r="Z276" s="896"/>
      <c r="AA276" s="896"/>
      <c r="AB276" s="896" t="s">
        <v>4541</v>
      </c>
      <c r="AC276" s="945" t="s">
        <v>4565</v>
      </c>
      <c r="AD276" s="710" t="s">
        <v>4590</v>
      </c>
      <c r="AE276" s="710" t="s">
        <v>4601</v>
      </c>
      <c r="AF276" s="710" t="s">
        <v>4622</v>
      </c>
      <c r="AG276" s="710" t="s">
        <v>4640</v>
      </c>
      <c r="AH276" s="898">
        <f>505000/1000000</f>
        <v>0.505</v>
      </c>
      <c r="AI276" s="868">
        <f t="shared" si="92"/>
        <v>0.505</v>
      </c>
      <c r="AJ276" s="867">
        <f t="shared" si="93"/>
        <v>0</v>
      </c>
      <c r="AK276" s="898"/>
      <c r="AL276" s="898"/>
      <c r="AM276" s="898"/>
      <c r="AN276" s="869">
        <f t="shared" si="94"/>
        <v>0</v>
      </c>
      <c r="AO276" s="869">
        <f t="shared" si="95"/>
        <v>0</v>
      </c>
      <c r="AP276" s="898"/>
      <c r="AQ276" s="899"/>
      <c r="AR276" s="942">
        <f>AH276/3883304679.07/1000000</f>
        <v>1.3004387802013537E-16</v>
      </c>
      <c r="AS276" s="869">
        <f t="shared" si="96"/>
        <v>0</v>
      </c>
      <c r="AT276" s="869">
        <f t="shared" si="97"/>
        <v>0</v>
      </c>
      <c r="AU276" s="942">
        <v>0.5</v>
      </c>
      <c r="AV276" s="942">
        <v>0.99009900990099009</v>
      </c>
      <c r="AW276" s="869">
        <f t="shared" si="98"/>
        <v>0.99009900990099009</v>
      </c>
      <c r="AX276" s="869">
        <f t="shared" si="99"/>
        <v>0</v>
      </c>
      <c r="AY276" s="898">
        <f>5000/1000000</f>
        <v>5.0000000000000001E-3</v>
      </c>
      <c r="AZ276" s="899">
        <f>AY276/AH276</f>
        <v>9.9009900990099011E-3</v>
      </c>
      <c r="BA276" s="869">
        <f t="shared" si="100"/>
        <v>9.9009900990099011E-3</v>
      </c>
      <c r="BB276" s="869">
        <f t="shared" si="101"/>
        <v>0</v>
      </c>
      <c r="BC276" s="898">
        <v>0</v>
      </c>
      <c r="BD276" s="904">
        <v>0</v>
      </c>
      <c r="BE276" s="869">
        <f t="shared" si="102"/>
        <v>0</v>
      </c>
      <c r="BF276" s="869">
        <f t="shared" si="103"/>
        <v>0</v>
      </c>
      <c r="BG276" s="904"/>
      <c r="BH276" s="904"/>
      <c r="BI276" s="904"/>
      <c r="BJ276" s="904"/>
      <c r="BK276" s="904"/>
      <c r="BL276" s="714">
        <f t="shared" si="104"/>
        <v>0</v>
      </c>
      <c r="BM276" s="869">
        <f t="shared" si="105"/>
        <v>0</v>
      </c>
      <c r="BN276" s="898">
        <v>0</v>
      </c>
      <c r="BO276" s="904">
        <v>0</v>
      </c>
      <c r="BP276" s="869">
        <f t="shared" si="106"/>
        <v>0</v>
      </c>
      <c r="BQ276" s="869">
        <f t="shared" si="107"/>
        <v>0</v>
      </c>
      <c r="BR276" s="904"/>
      <c r="BS276" s="904"/>
      <c r="BT276" s="898">
        <f>1754000/1000000</f>
        <v>1.754</v>
      </c>
      <c r="BU276" s="904">
        <f>BT276/3775336000/1000000</f>
        <v>4.6459440961016448E-16</v>
      </c>
      <c r="BV276" s="901">
        <f>10</f>
        <v>10</v>
      </c>
      <c r="BW276" s="901">
        <f>10</f>
        <v>10</v>
      </c>
      <c r="BX276" s="901">
        <f>4</f>
        <v>4</v>
      </c>
      <c r="BY276" s="901"/>
      <c r="BZ276" s="901"/>
      <c r="CA276" s="901"/>
      <c r="CB276" s="901"/>
      <c r="CC276" s="901"/>
      <c r="CD276" s="901"/>
      <c r="CE276" s="901">
        <v>1</v>
      </c>
      <c r="CF276" s="901"/>
      <c r="CG276" s="901"/>
      <c r="CH276" s="901"/>
      <c r="CI276" s="901"/>
      <c r="CJ276" s="901"/>
      <c r="CK276" s="901"/>
      <c r="CL276" s="901"/>
      <c r="CM276" s="901"/>
      <c r="CN276" s="901"/>
      <c r="CO276" s="901"/>
      <c r="CP276" s="901"/>
      <c r="CQ276" s="901"/>
      <c r="CR276" s="901"/>
      <c r="CS276" s="902">
        <f t="shared" si="109"/>
        <v>1</v>
      </c>
      <c r="CT276" s="871">
        <f t="shared" si="91"/>
        <v>1</v>
      </c>
      <c r="CU276" s="871">
        <f t="shared" si="108"/>
        <v>0</v>
      </c>
      <c r="CV276" s="942">
        <v>1000</v>
      </c>
      <c r="CW276" s="710" t="s">
        <v>279</v>
      </c>
      <c r="CX276" s="710"/>
      <c r="CY276" s="710"/>
      <c r="CZ276" s="710"/>
      <c r="DA276" s="899">
        <f>CV276/3870</f>
        <v>0.25839793281653745</v>
      </c>
      <c r="DB276" s="943" t="s">
        <v>4668</v>
      </c>
      <c r="DC276" s="710" t="s">
        <v>279</v>
      </c>
      <c r="DD276" s="710"/>
      <c r="DE276" s="710"/>
      <c r="DF276" s="901"/>
      <c r="DG276" s="901"/>
      <c r="DH276" s="901">
        <v>6</v>
      </c>
      <c r="DI276" s="710" t="s">
        <v>279</v>
      </c>
      <c r="DJ276" s="710"/>
      <c r="DK276" s="901"/>
      <c r="DL276" s="710" t="s">
        <v>279</v>
      </c>
      <c r="DM276" s="710"/>
      <c r="DN276" s="901"/>
      <c r="DO276" s="710" t="s">
        <v>279</v>
      </c>
      <c r="DP276" s="710"/>
      <c r="DQ276" s="901"/>
      <c r="DR276" s="710"/>
      <c r="DS276" s="710"/>
      <c r="DT276" s="901"/>
      <c r="DU276" s="710" t="s">
        <v>278</v>
      </c>
      <c r="DV276" s="710" t="s">
        <v>4709</v>
      </c>
      <c r="DW276" s="901">
        <v>10</v>
      </c>
      <c r="DX276" s="710"/>
      <c r="DY276" s="710"/>
      <c r="DZ276" s="901"/>
      <c r="EA276" s="710" t="s">
        <v>278</v>
      </c>
      <c r="EB276" s="710" t="s">
        <v>4723</v>
      </c>
      <c r="EC276" s="901">
        <f>2518+6970+61</f>
        <v>9549</v>
      </c>
      <c r="ED276" s="710" t="s">
        <v>278</v>
      </c>
      <c r="EE276" s="710" t="s">
        <v>4732</v>
      </c>
      <c r="EF276" s="901">
        <v>683</v>
      </c>
      <c r="EG276" s="710"/>
      <c r="EH276" s="710"/>
      <c r="EI276" s="901"/>
      <c r="EJ276" s="710"/>
      <c r="EK276" s="710"/>
      <c r="EL276" s="901"/>
      <c r="EM276" s="710"/>
      <c r="EN276" s="710"/>
      <c r="EO276" s="901"/>
      <c r="EP276" s="710"/>
      <c r="EQ276" s="710"/>
      <c r="ER276" s="901"/>
      <c r="ES276" s="710" t="s">
        <v>278</v>
      </c>
      <c r="ET276" s="710" t="s">
        <v>4753</v>
      </c>
      <c r="EU276" s="901">
        <v>13</v>
      </c>
      <c r="EV276" s="901"/>
      <c r="EW276" s="901"/>
      <c r="EX276" s="901"/>
      <c r="EY276" s="710" t="s">
        <v>279</v>
      </c>
      <c r="EZ276" s="710"/>
      <c r="FA276" s="710" t="s">
        <v>278</v>
      </c>
      <c r="FB276" s="710" t="s">
        <v>4932</v>
      </c>
      <c r="FC276" s="945" t="s">
        <v>4798</v>
      </c>
      <c r="FD276" s="945" t="s">
        <v>4812</v>
      </c>
      <c r="FE276" s="945" t="s">
        <v>4818</v>
      </c>
      <c r="FF276" s="945" t="s">
        <v>4841</v>
      </c>
      <c r="FG276" s="710"/>
      <c r="FH276" s="710" t="s">
        <v>4858</v>
      </c>
      <c r="FI276" s="710"/>
      <c r="FJ276" s="710" t="s">
        <v>279</v>
      </c>
      <c r="FK276" s="710" t="s">
        <v>4877</v>
      </c>
      <c r="FL276" s="710" t="s">
        <v>4894</v>
      </c>
      <c r="FM276" s="945" t="s">
        <v>4912</v>
      </c>
      <c r="FN276" s="710" t="s">
        <v>1874</v>
      </c>
      <c r="FO276" s="710" t="s">
        <v>1875</v>
      </c>
      <c r="FP276" s="1031" t="s">
        <v>1876</v>
      </c>
    </row>
    <row r="277" spans="2:172" ht="137" customHeight="1">
      <c r="B277" s="850" t="s">
        <v>5313</v>
      </c>
      <c r="C277" s="863"/>
      <c r="D277" s="850" t="s">
        <v>5317</v>
      </c>
      <c r="E277" s="850" t="s">
        <v>5314</v>
      </c>
      <c r="F277" s="879">
        <v>1</v>
      </c>
      <c r="G277" s="850" t="s">
        <v>4933</v>
      </c>
      <c r="I277" s="850" t="s">
        <v>5525</v>
      </c>
      <c r="J277" s="850" t="s">
        <v>5470</v>
      </c>
      <c r="K277" s="710" t="s">
        <v>276</v>
      </c>
      <c r="L277" s="710"/>
      <c r="M277" s="710" t="s">
        <v>442</v>
      </c>
      <c r="N277" s="710" t="s">
        <v>442</v>
      </c>
      <c r="O277" s="895">
        <v>2017</v>
      </c>
      <c r="P277" s="896">
        <v>43479</v>
      </c>
      <c r="Q277" s="896">
        <v>43830</v>
      </c>
      <c r="R277" s="712">
        <f t="shared" si="87"/>
        <v>351</v>
      </c>
      <c r="S277" s="1049" t="s">
        <v>443</v>
      </c>
      <c r="T277" s="949" t="s">
        <v>444</v>
      </c>
      <c r="U277" s="861" t="s">
        <v>445</v>
      </c>
      <c r="V277" s="710" t="s">
        <v>446</v>
      </c>
      <c r="W277" s="861" t="s">
        <v>447</v>
      </c>
      <c r="X277" s="710" t="s">
        <v>448</v>
      </c>
      <c r="Y277" s="861" t="s">
        <v>449</v>
      </c>
      <c r="Z277" s="857" t="s">
        <v>450</v>
      </c>
      <c r="AA277" s="940" t="s">
        <v>451</v>
      </c>
      <c r="AB277" s="940"/>
      <c r="AC277" s="940"/>
      <c r="AD277" s="710" t="s">
        <v>452</v>
      </c>
      <c r="AE277" s="710" t="s">
        <v>453</v>
      </c>
      <c r="AF277" s="710" t="s">
        <v>454</v>
      </c>
      <c r="AG277" s="710" t="s">
        <v>455</v>
      </c>
      <c r="AH277" s="898">
        <v>739.5</v>
      </c>
      <c r="AI277" s="868">
        <f t="shared" si="92"/>
        <v>739.5</v>
      </c>
      <c r="AJ277" s="867">
        <f t="shared" si="93"/>
        <v>0</v>
      </c>
      <c r="AK277" s="898">
        <v>169.9</v>
      </c>
      <c r="AL277" s="899">
        <v>0.22900000000000001</v>
      </c>
      <c r="AM277" s="899">
        <v>2E-3</v>
      </c>
      <c r="AN277" s="869">
        <f t="shared" si="94"/>
        <v>0.22974983096686952</v>
      </c>
      <c r="AO277" s="869">
        <f t="shared" si="95"/>
        <v>-7.4983096686950801E-4</v>
      </c>
      <c r="AP277" s="899"/>
      <c r="AQ277" s="899"/>
      <c r="AR277" s="899"/>
      <c r="AS277" s="869">
        <f t="shared" si="96"/>
        <v>0</v>
      </c>
      <c r="AT277" s="869">
        <f t="shared" si="97"/>
        <v>0</v>
      </c>
      <c r="AU277" s="898">
        <v>67.400000000000006</v>
      </c>
      <c r="AV277" s="899">
        <v>9.0999999999999998E-2</v>
      </c>
      <c r="AW277" s="869">
        <f t="shared" si="98"/>
        <v>9.1142663962136591E-2</v>
      </c>
      <c r="AX277" s="869">
        <f t="shared" si="99"/>
        <v>-1.4266396213659382E-4</v>
      </c>
      <c r="AY277" s="972">
        <v>3.9</v>
      </c>
      <c r="AZ277" s="899">
        <v>5.0000000000000001E-3</v>
      </c>
      <c r="BA277" s="869">
        <f t="shared" si="100"/>
        <v>5.2738336713995942E-3</v>
      </c>
      <c r="BB277" s="869">
        <f t="shared" si="101"/>
        <v>-2.7383367139959414E-4</v>
      </c>
      <c r="BC277" s="898">
        <v>0.6</v>
      </c>
      <c r="BD277" s="899">
        <v>0</v>
      </c>
      <c r="BE277" s="869">
        <f t="shared" si="102"/>
        <v>8.1135902636916835E-4</v>
      </c>
      <c r="BF277" s="869">
        <f t="shared" si="103"/>
        <v>-8.1135902636916835E-4</v>
      </c>
      <c r="BG277" s="898">
        <v>497.7</v>
      </c>
      <c r="BH277" s="899">
        <v>0.67300000000000004</v>
      </c>
      <c r="BI277" s="710" t="s">
        <v>456</v>
      </c>
      <c r="BJ277" s="710" t="s">
        <v>457</v>
      </c>
      <c r="BK277" s="710" t="s">
        <v>458</v>
      </c>
      <c r="BL277" s="714">
        <f t="shared" si="104"/>
        <v>0.67302231237322518</v>
      </c>
      <c r="BM277" s="869">
        <f t="shared" si="105"/>
        <v>-2.2312373225141791E-5</v>
      </c>
      <c r="BN277" s="898"/>
      <c r="BO277" s="899"/>
      <c r="BP277" s="869">
        <f t="shared" si="106"/>
        <v>0</v>
      </c>
      <c r="BQ277" s="869">
        <f t="shared" si="107"/>
        <v>0</v>
      </c>
      <c r="BR277" s="898">
        <v>218.4</v>
      </c>
      <c r="BS277" s="899">
        <v>2E-3</v>
      </c>
      <c r="BT277" s="899"/>
      <c r="BU277" s="899"/>
      <c r="BV277" s="710">
        <v>509</v>
      </c>
      <c r="BW277" s="710">
        <v>505</v>
      </c>
      <c r="BX277" s="710">
        <v>497</v>
      </c>
      <c r="BY277" s="901">
        <v>2</v>
      </c>
      <c r="BZ277" s="901">
        <v>6</v>
      </c>
      <c r="CA277" s="901">
        <v>19</v>
      </c>
      <c r="CB277" s="901">
        <v>4</v>
      </c>
      <c r="CC277" s="901"/>
      <c r="CD277" s="901">
        <v>4</v>
      </c>
      <c r="CE277" s="901">
        <v>164</v>
      </c>
      <c r="CF277" s="901">
        <v>13</v>
      </c>
      <c r="CG277" s="901">
        <v>35</v>
      </c>
      <c r="CH277" s="901">
        <v>116</v>
      </c>
      <c r="CI277" s="901">
        <v>12</v>
      </c>
      <c r="CJ277" s="901">
        <v>50</v>
      </c>
      <c r="CK277" s="901"/>
      <c r="CL277" s="901"/>
      <c r="CM277" s="901"/>
      <c r="CN277" s="901"/>
      <c r="CO277" s="901"/>
      <c r="CP277" s="901">
        <v>61</v>
      </c>
      <c r="CQ277" s="901">
        <v>2</v>
      </c>
      <c r="CR277" s="901">
        <v>9</v>
      </c>
      <c r="CS277" s="902">
        <f t="shared" si="109"/>
        <v>497</v>
      </c>
      <c r="CT277" s="871">
        <f t="shared" si="91"/>
        <v>497</v>
      </c>
      <c r="CU277" s="871">
        <f t="shared" si="108"/>
        <v>0</v>
      </c>
      <c r="CV277" s="942">
        <v>901.5</v>
      </c>
      <c r="CW277" s="710" t="s">
        <v>459</v>
      </c>
      <c r="CX277" s="710"/>
      <c r="CY277" s="710">
        <v>71.5</v>
      </c>
      <c r="CZ277" s="963" t="s">
        <v>460</v>
      </c>
      <c r="DA277" s="963"/>
      <c r="DB277" s="963"/>
      <c r="DC277" s="710" t="s">
        <v>278</v>
      </c>
      <c r="DD277" s="710" t="s">
        <v>461</v>
      </c>
      <c r="DE277" s="710" t="s">
        <v>462</v>
      </c>
      <c r="DF277" s="901">
        <v>4</v>
      </c>
      <c r="DG277" s="901"/>
      <c r="DH277" s="901"/>
      <c r="DI277" s="710" t="s">
        <v>279</v>
      </c>
      <c r="DJ277" s="710"/>
      <c r="DK277" s="901"/>
      <c r="DL277" s="710" t="s">
        <v>278</v>
      </c>
      <c r="DM277" s="710" t="s">
        <v>463</v>
      </c>
      <c r="DN277" s="901">
        <v>60327</v>
      </c>
      <c r="DO277" s="710" t="s">
        <v>279</v>
      </c>
      <c r="DP277" s="710"/>
      <c r="DQ277" s="901"/>
      <c r="DR277" s="710" t="s">
        <v>279</v>
      </c>
      <c r="DS277" s="710"/>
      <c r="DT277" s="901"/>
      <c r="DU277" s="710" t="s">
        <v>279</v>
      </c>
      <c r="DV277" s="710"/>
      <c r="DW277" s="901"/>
      <c r="DX277" s="710" t="s">
        <v>279</v>
      </c>
      <c r="DY277" s="710"/>
      <c r="DZ277" s="901"/>
      <c r="EA277" s="710" t="s">
        <v>279</v>
      </c>
      <c r="EB277" s="710"/>
      <c r="EC277" s="901"/>
      <c r="ED277" s="710" t="s">
        <v>278</v>
      </c>
      <c r="EE277" s="710" t="s">
        <v>463</v>
      </c>
      <c r="EF277" s="901">
        <v>60327</v>
      </c>
      <c r="EG277" s="710"/>
      <c r="EH277" s="710"/>
      <c r="EI277" s="901"/>
      <c r="EJ277" s="710" t="s">
        <v>278</v>
      </c>
      <c r="EK277" s="710" t="s">
        <v>464</v>
      </c>
      <c r="EL277" s="901">
        <v>220</v>
      </c>
      <c r="EM277" s="710" t="s">
        <v>278</v>
      </c>
      <c r="EN277" s="710" t="s">
        <v>446</v>
      </c>
      <c r="EO277" s="901">
        <v>21</v>
      </c>
      <c r="EP277" s="710"/>
      <c r="EQ277" s="710"/>
      <c r="ER277" s="901"/>
      <c r="ES277" s="710"/>
      <c r="ET277" s="710"/>
      <c r="EU277" s="901"/>
      <c r="EV277" s="904">
        <v>1</v>
      </c>
      <c r="EW277" s="710"/>
      <c r="EX277" s="860">
        <v>96</v>
      </c>
      <c r="EY277" s="710" t="s">
        <v>279</v>
      </c>
      <c r="EZ277" s="710" t="s">
        <v>465</v>
      </c>
      <c r="FA277" s="710" t="s">
        <v>278</v>
      </c>
      <c r="FB277" s="710" t="s">
        <v>466</v>
      </c>
      <c r="FC277" s="861" t="s">
        <v>467</v>
      </c>
      <c r="FD277" s="710" t="s">
        <v>468</v>
      </c>
      <c r="FE277" s="861" t="s">
        <v>469</v>
      </c>
      <c r="FF277" s="710"/>
      <c r="FG277" s="710"/>
      <c r="FH277" s="710" t="s">
        <v>470</v>
      </c>
      <c r="FI277" s="710">
        <v>4</v>
      </c>
      <c r="FJ277" s="710">
        <v>559</v>
      </c>
      <c r="FK277" s="710" t="s">
        <v>471</v>
      </c>
      <c r="FL277" s="710" t="s">
        <v>472</v>
      </c>
      <c r="FM277" s="861" t="s">
        <v>473</v>
      </c>
      <c r="FN277" s="710"/>
      <c r="FO277" s="710"/>
      <c r="FP277" s="710"/>
    </row>
    <row r="278" spans="2:172" ht="137" customHeight="1"/>
  </sheetData>
  <autoFilter ref="B1:FP277" xr:uid="{00000000-0009-0000-0000-000000000000}">
    <filterColumn colId="11" showButton="0"/>
    <filterColumn colId="1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9" showButton="0"/>
    <filterColumn colId="30" showButton="0"/>
    <filterColumn colId="35" showButton="0"/>
    <filterColumn colId="36" showButton="0"/>
    <filterColumn colId="40" showButton="0"/>
    <filterColumn colId="41" showButton="0"/>
    <filterColumn colId="45" showButton="0"/>
    <filterColumn colId="49" showButton="0"/>
    <filterColumn colId="53" showButton="0"/>
    <filterColumn colId="57" showButton="0"/>
    <filterColumn colId="58" showButton="0"/>
    <filterColumn colId="59" showButton="0"/>
    <filterColumn colId="60" showButton="0"/>
    <filterColumn colId="64" showButton="0"/>
    <filterColumn colId="68" showButton="0"/>
    <filterColumn colId="70" showButton="0"/>
    <filterColumn colId="72" showButton="0"/>
    <filterColumn colId="73"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8" showButton="0"/>
    <filterColumn colId="99" showButton="0"/>
    <filterColumn colId="100" showButton="0"/>
    <filterColumn colId="101" showButton="0"/>
    <filterColumn colId="102" showButton="0"/>
    <filterColumn colId="103" showButton="0"/>
    <filterColumn colId="105" showButton="0"/>
    <filterColumn colId="106" showButton="0"/>
    <filterColumn colId="107" showButton="0"/>
    <filterColumn colId="108" showButton="0"/>
    <filterColumn colId="109" showButton="0"/>
    <filterColumn colId="111" showButton="0"/>
    <filterColumn colId="112" showButton="0"/>
    <filterColumn colId="113" showButton="0"/>
    <filterColumn colId="114" showButton="0"/>
    <filterColumn colId="115" showButton="0"/>
    <filterColumn colId="116"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filterColumn colId="150" showButton="0"/>
    <filterColumn colId="153" showButton="0"/>
    <filterColumn colId="155" showButton="0"/>
    <filterColumn colId="157" showButton="0"/>
    <filterColumn colId="158" showButton="0"/>
    <filterColumn colId="159" showButton="0"/>
    <filterColumn colId="160" showButton="0"/>
    <filterColumn colId="162" showButton="0"/>
    <filterColumn colId="163" showButton="0"/>
    <filterColumn colId="165" showButton="0"/>
    <filterColumn colId="166" showButton="0"/>
    <filterColumn colId="168" showButton="0"/>
    <filterColumn colId="169" showButton="0"/>
  </autoFilter>
  <mergeCells count="103">
    <mergeCell ref="DU151:DW151"/>
    <mergeCell ref="EV151:EW151"/>
    <mergeCell ref="FH198:FJ198"/>
    <mergeCell ref="ES72:EU72"/>
    <mergeCell ref="FH72:FJ72"/>
    <mergeCell ref="ES4:EU4"/>
    <mergeCell ref="DR4:DT4"/>
    <mergeCell ref="DU4:DW4"/>
    <mergeCell ref="DX4:DZ4"/>
    <mergeCell ref="EA4:EC4"/>
    <mergeCell ref="ED4:EF4"/>
    <mergeCell ref="EG4:EI4"/>
    <mergeCell ref="DI4:DK4"/>
    <mergeCell ref="DL4:DN4"/>
    <mergeCell ref="EJ4:EL4"/>
    <mergeCell ref="EM4:EO4"/>
    <mergeCell ref="EP4:ER4"/>
    <mergeCell ref="EV34:EW34"/>
    <mergeCell ref="FH47:FJ47"/>
    <mergeCell ref="P4:Q4"/>
    <mergeCell ref="T4:U4"/>
    <mergeCell ref="V4:W4"/>
    <mergeCell ref="X4:Y4"/>
    <mergeCell ref="Z4:AA4"/>
    <mergeCell ref="AB4:AC4"/>
    <mergeCell ref="DO4:DQ4"/>
    <mergeCell ref="X3:Y3"/>
    <mergeCell ref="Z3:AA3"/>
    <mergeCell ref="CW4:CX4"/>
    <mergeCell ref="CY4:CZ4"/>
    <mergeCell ref="DA4:DB4"/>
    <mergeCell ref="P3:Q3"/>
    <mergeCell ref="T3:U3"/>
    <mergeCell ref="V3:W3"/>
    <mergeCell ref="CW3:CX3"/>
    <mergeCell ref="CY3:CZ3"/>
    <mergeCell ref="DA3:DB3"/>
    <mergeCell ref="AB3:AC3"/>
    <mergeCell ref="FN2:FP2"/>
    <mergeCell ref="BY2:CS2"/>
    <mergeCell ref="CV2:DB2"/>
    <mergeCell ref="DC2:DH2"/>
    <mergeCell ref="DI2:DZ2"/>
    <mergeCell ref="EA2:EU2"/>
    <mergeCell ref="EV2:EW2"/>
    <mergeCell ref="EY2:EZ2"/>
    <mergeCell ref="FA2:FB2"/>
    <mergeCell ref="FC2:FG2"/>
    <mergeCell ref="FH2:FJ2"/>
    <mergeCell ref="FK2:FM2"/>
    <mergeCell ref="BC2:BD2"/>
    <mergeCell ref="BG2:BK2"/>
    <mergeCell ref="BN2:BO2"/>
    <mergeCell ref="BR2:BS2"/>
    <mergeCell ref="EJ3:EL3"/>
    <mergeCell ref="EM3:EO3"/>
    <mergeCell ref="EP3:ER3"/>
    <mergeCell ref="ES3:EU3"/>
    <mergeCell ref="ED3:EF3"/>
    <mergeCell ref="EG3:EI3"/>
    <mergeCell ref="BT2:BU2"/>
    <mergeCell ref="BV2:BX2"/>
    <mergeCell ref="EA3:EC3"/>
    <mergeCell ref="DR3:DT3"/>
    <mergeCell ref="DU3:DW3"/>
    <mergeCell ref="DX3:DZ3"/>
    <mergeCell ref="DI3:DK3"/>
    <mergeCell ref="DL3:DN3"/>
    <mergeCell ref="DO3:DQ3"/>
    <mergeCell ref="FK1:FM1"/>
    <mergeCell ref="FN1:FP1"/>
    <mergeCell ref="M2:N2"/>
    <mergeCell ref="P2:Q2"/>
    <mergeCell ref="S2:AC2"/>
    <mergeCell ref="AE2:AG2"/>
    <mergeCell ref="AK2:AM2"/>
    <mergeCell ref="AP2:AR2"/>
    <mergeCell ref="AU2:AV2"/>
    <mergeCell ref="AY2:AZ2"/>
    <mergeCell ref="EA1:EU1"/>
    <mergeCell ref="EV1:EW1"/>
    <mergeCell ref="EY1:EZ1"/>
    <mergeCell ref="FA1:FB1"/>
    <mergeCell ref="FC1:FG1"/>
    <mergeCell ref="BV1:BX1"/>
    <mergeCell ref="BY1:CS1"/>
    <mergeCell ref="CV1:DB1"/>
    <mergeCell ref="DC1:DH1"/>
    <mergeCell ref="DI1:DZ1"/>
    <mergeCell ref="BR1:BS1"/>
    <mergeCell ref="M1:N1"/>
    <mergeCell ref="P1:Q1"/>
    <mergeCell ref="S1:AC1"/>
    <mergeCell ref="AE1:AG1"/>
    <mergeCell ref="AK1:AM1"/>
    <mergeCell ref="AP1:AR1"/>
    <mergeCell ref="AU1:AV1"/>
    <mergeCell ref="AY1:AZ1"/>
    <mergeCell ref="BC1:BD1"/>
    <mergeCell ref="BG1:BK1"/>
    <mergeCell ref="BN1:BO1"/>
    <mergeCell ref="FH1:FJ1"/>
    <mergeCell ref="BT1:BU1"/>
  </mergeCells>
  <hyperlinks>
    <hyperlink ref="W6" r:id="rId1" xr:uid="{00000000-0004-0000-0000-000000000000}"/>
    <hyperlink ref="AA6" r:id="rId2" xr:uid="{00000000-0004-0000-0000-000001000000}"/>
    <hyperlink ref="FD6" r:id="rId3" xr:uid="{00000000-0004-0000-0000-000002000000}"/>
    <hyperlink ref="FC6" r:id="rId4" xr:uid="{00000000-0004-0000-0000-000003000000}"/>
    <hyperlink ref="FF6" r:id="rId5" xr:uid="{00000000-0004-0000-0000-000004000000}"/>
    <hyperlink ref="FM6" r:id="rId6" xr:uid="{00000000-0004-0000-0000-000005000000}"/>
    <hyperlink ref="U9" r:id="rId7" xr:uid="{00000000-0004-0000-0000-000006000000}"/>
    <hyperlink ref="FM9" r:id="rId8" display="economy@minregion-ra.ru,invest-minregion@mail.ru" xr:uid="{00000000-0004-0000-0000-000007000000}"/>
    <hyperlink ref="FC9" r:id="rId9" xr:uid="{00000000-0004-0000-0000-000008000000}"/>
    <hyperlink ref="FF9" r:id="rId10" xr:uid="{00000000-0004-0000-0000-000009000000}"/>
    <hyperlink ref="FD9" r:id="rId11" xr:uid="{00000000-0004-0000-0000-00000A000000}"/>
    <hyperlink ref="FP9" r:id="rId12" xr:uid="{00000000-0004-0000-0000-00000B000000}"/>
    <hyperlink ref="CZ9" r:id="rId13" xr:uid="{00000000-0004-0000-0000-00000C000000}"/>
    <hyperlink ref="U7" r:id="rId14" xr:uid="{00000000-0004-0000-0000-00000D000000}"/>
    <hyperlink ref="FM7" r:id="rId15" display="economy@minregion-ra.ru,invest-minregion@mail.ru" xr:uid="{00000000-0004-0000-0000-00000E000000}"/>
    <hyperlink ref="FC7" r:id="rId16" xr:uid="{00000000-0004-0000-0000-00000F000000}"/>
    <hyperlink ref="FD7" r:id="rId17" display="https://vk.com/official_ga" xr:uid="{00000000-0004-0000-0000-000010000000}"/>
    <hyperlink ref="CZ7" r:id="rId18" xr:uid="{00000000-0004-0000-0000-000011000000}"/>
    <hyperlink ref="FP7" r:id="rId19" xr:uid="{00000000-0004-0000-0000-000012000000}"/>
    <hyperlink ref="FM8" r:id="rId20" xr:uid="{00000000-0004-0000-0000-000013000000}"/>
    <hyperlink ref="CZ8" r:id="rId21" xr:uid="{00000000-0004-0000-0000-000014000000}"/>
    <hyperlink ref="FP8" r:id="rId22" xr:uid="{00000000-0004-0000-0000-000015000000}"/>
    <hyperlink ref="U10" r:id="rId23" xr:uid="{00000000-0004-0000-0000-000016000000}"/>
    <hyperlink ref="W10" r:id="rId24" xr:uid="{00000000-0004-0000-0000-000017000000}"/>
    <hyperlink ref="AA10" r:id="rId25" display="http://алтайпредлагай.рф/documents/normativnye-pravovye-akty/" xr:uid="{00000000-0004-0000-0000-000018000000}"/>
    <hyperlink ref="CZ10" r:id="rId26" xr:uid="{00000000-0004-0000-0000-000019000000}"/>
    <hyperlink ref="FC10" r:id="rId27" xr:uid="{00000000-0004-0000-0000-00001A000000}"/>
    <hyperlink ref="FG10" r:id="rId28" display="http://алтайпредлагай.рф/documents/vspomogatelnie-material/" xr:uid="{00000000-0004-0000-0000-00001B000000}"/>
    <hyperlink ref="FP10" r:id="rId29" xr:uid="{00000000-0004-0000-0000-00001C000000}"/>
    <hyperlink ref="FM10" r:id="rId30" xr:uid="{00000000-0004-0000-0000-00001D000000}"/>
    <hyperlink ref="FE10" r:id="rId31" xr:uid="{00000000-0004-0000-0000-00001E000000}"/>
    <hyperlink ref="CZ11" r:id="rId32" xr:uid="{00000000-0004-0000-0000-00001F000000}"/>
    <hyperlink ref="FC11" r:id="rId33" xr:uid="{00000000-0004-0000-0000-000020000000}"/>
    <hyperlink ref="FD11" r:id="rId34" display="https://youtu.be/TYBfuFnaUVo _x000a_" xr:uid="{00000000-0004-0000-0000-000021000000}"/>
    <hyperlink ref="AA12" r:id="rId35" xr:uid="{00000000-0004-0000-0000-000022000000}"/>
    <hyperlink ref="FD12" r:id="rId36" xr:uid="{00000000-0004-0000-0000-000023000000}"/>
    <hyperlink ref="FC12" r:id="rId37" xr:uid="{00000000-0004-0000-0000-000024000000}"/>
    <hyperlink ref="FM12" r:id="rId38" xr:uid="{00000000-0004-0000-0000-000025000000}"/>
    <hyperlink ref="AC13" r:id="rId39" xr:uid="{00000000-0004-0000-0000-000026000000}"/>
    <hyperlink ref="DS13" r:id="rId40" xr:uid="{00000000-0004-0000-0000-000027000000}"/>
    <hyperlink ref="EB13" r:id="rId41" display="https://бюджеттвоихвозможностей.рф/" xr:uid="{00000000-0004-0000-0000-000028000000}"/>
    <hyperlink ref="FC13" r:id="rId42" xr:uid="{00000000-0004-0000-0000-000029000000}"/>
    <hyperlink ref="FD13" r:id="rId43" xr:uid="{00000000-0004-0000-0000-00002A000000}"/>
    <hyperlink ref="FE13" r:id="rId44" xr:uid="{00000000-0004-0000-0000-00002B000000}"/>
    <hyperlink ref="FM13" r:id="rId45" xr:uid="{00000000-0004-0000-0000-00002C000000}"/>
    <hyperlink ref="FP13" r:id="rId46" xr:uid="{00000000-0004-0000-0000-00002D000000}"/>
    <hyperlink ref="DB13" r:id="rId47" xr:uid="{00000000-0004-0000-0000-00002E000000}"/>
    <hyperlink ref="FP15" r:id="rId48" location="compose?to=anischenko%40krasniyar.ru" display="https://mail.yandex.ru/?uid=1130000010623088 - compose?to=anischenko%40krasniyar.ru" xr:uid="{00000000-0004-0000-0000-00002F000000}"/>
    <hyperlink ref="FM16" r:id="rId49" xr:uid="{00000000-0004-0000-0000-000030000000}"/>
    <hyperlink ref="FD16" r:id="rId50" display="https://vk.com/cckrb, " xr:uid="{00000000-0004-0000-0000-000031000000}"/>
    <hyperlink ref="AA16" r:id="rId51" xr:uid="{00000000-0004-0000-0000-000032000000}"/>
    <hyperlink ref="CZ16" r:id="rId52" xr:uid="{00000000-0004-0000-0000-000033000000}"/>
    <hyperlink ref="FP16" r:id="rId53" xr:uid="{00000000-0004-0000-0000-000034000000}"/>
    <hyperlink ref="Y17" r:id="rId54" xr:uid="{00000000-0004-0000-0000-000035000000}"/>
    <hyperlink ref="CZ17" r:id="rId55" xr:uid="{00000000-0004-0000-0000-000036000000}"/>
    <hyperlink ref="EZ17" r:id="rId56" display="https://regionrb.info/" xr:uid="{00000000-0004-0000-0000-000037000000}"/>
    <hyperlink ref="FP17" r:id="rId57" xr:uid="{00000000-0004-0000-0000-000038000000}"/>
    <hyperlink ref="Y18" r:id="rId58" xr:uid="{00000000-0004-0000-0000-000039000000}"/>
    <hyperlink ref="AA18" r:id="rId59" xr:uid="{00000000-0004-0000-0000-00003A000000}"/>
    <hyperlink ref="FC18" r:id="rId60" xr:uid="{00000000-0004-0000-0000-00003B000000}"/>
    <hyperlink ref="FE18" r:id="rId61" xr:uid="{00000000-0004-0000-0000-00003C000000}"/>
    <hyperlink ref="FM18" r:id="rId62" xr:uid="{00000000-0004-0000-0000-00003D000000}"/>
    <hyperlink ref="FP18" r:id="rId63" xr:uid="{00000000-0004-0000-0000-00003E000000}"/>
    <hyperlink ref="Y19" r:id="rId64" xr:uid="{00000000-0004-0000-0000-00003F000000}"/>
    <hyperlink ref="FD19" r:id="rId65" xr:uid="{00000000-0004-0000-0000-000040000000}"/>
    <hyperlink ref="CZ19" r:id="rId66" xr:uid="{00000000-0004-0000-0000-000041000000}"/>
    <hyperlink ref="FE19" r:id="rId67" xr:uid="{00000000-0004-0000-0000-000042000000}"/>
    <hyperlink ref="FM19" r:id="rId68" xr:uid="{00000000-0004-0000-0000-000043000000}"/>
    <hyperlink ref="FC19" r:id="rId69" xr:uid="{00000000-0004-0000-0000-000044000000}"/>
    <hyperlink ref="FP19" r:id="rId70" xr:uid="{00000000-0004-0000-0000-000045000000}"/>
    <hyperlink ref="AC20" r:id="rId71" xr:uid="{00000000-0004-0000-0000-000046000000}"/>
    <hyperlink ref="DB20" r:id="rId72" xr:uid="{00000000-0004-0000-0000-000047000000}"/>
    <hyperlink ref="DJ20" r:id="rId73" display="http://taktagul.ru/page/anketirovanie-naselenija-po-nashe-selo-1" xr:uid="{00000000-0004-0000-0000-000048000000}"/>
    <hyperlink ref="FF20" r:id="rId74" display="http://bakaly-sp.ru/category/news/next/7" xr:uid="{00000000-0004-0000-0000-000049000000}"/>
    <hyperlink ref="FM20" r:id="rId75" display="mailto:cent.buh@mail.ru" xr:uid="{00000000-0004-0000-0000-00004A000000}"/>
    <hyperlink ref="FP20" r:id="rId76" display="mailto:Yunusova.lr@bashkortostan.ru" xr:uid="{00000000-0004-0000-0000-00004B000000}"/>
    <hyperlink ref="AC21" r:id="rId77" xr:uid="{00000000-0004-0000-0000-00004C000000}"/>
    <hyperlink ref="DB21" r:id="rId78" xr:uid="{00000000-0004-0000-0000-00004D000000}"/>
    <hyperlink ref="FF21" r:id="rId79" display="http://starojanb-bal.ru/obyavlenie-5/" xr:uid="{00000000-0004-0000-0000-00004E000000}"/>
    <hyperlink ref="FM21" r:id="rId80" display="mailto:mkusp@yandex.ru" xr:uid="{00000000-0004-0000-0000-00004F000000}"/>
    <hyperlink ref="FP21" r:id="rId81" display="mailto:Yunusova.lr@bashkortostan.ru" xr:uid="{00000000-0004-0000-0000-000050000000}"/>
    <hyperlink ref="AC22" r:id="rId82" xr:uid="{00000000-0004-0000-0000-000051000000}"/>
    <hyperlink ref="DB22" r:id="rId83" xr:uid="{00000000-0004-0000-0000-000052000000}"/>
    <hyperlink ref="FF22" r:id="rId84" display="http://spburaevski.ru/2017/02/1435/" xr:uid="{00000000-0004-0000-0000-000053000000}"/>
    <hyperlink ref="FM22" r:id="rId85" display="mailto:bur_rfu@ufamts.ru" xr:uid="{00000000-0004-0000-0000-000054000000}"/>
    <hyperlink ref="FP22" r:id="rId86" display="mailto:Yunusova.lr@bashkortostan.ru" xr:uid="{00000000-0004-0000-0000-000055000000}"/>
    <hyperlink ref="AC23" r:id="rId87" xr:uid="{00000000-0004-0000-0000-000056000000}"/>
    <hyperlink ref="DB23" r:id="rId88" xr:uid="{00000000-0004-0000-0000-000057000000}"/>
    <hyperlink ref="FM23" r:id="rId89" display="mailto:ilishtfu@ufamts.ru" xr:uid="{00000000-0004-0000-0000-000058000000}"/>
    <hyperlink ref="FP23" r:id="rId90" display="mailto:Yunusova.lr@bashkortostan.ru" xr:uid="{00000000-0004-0000-0000-000059000000}"/>
    <hyperlink ref="AC24" r:id="rId91" display="https://kaltasin.bashkortostan.ru/documents/active/147977/" xr:uid="{00000000-0004-0000-0000-00005A000000}"/>
    <hyperlink ref="DB24" r:id="rId92" xr:uid="{00000000-0004-0000-0000-00005B000000}"/>
    <hyperlink ref="FM24" r:id="rId93" display="mailto:fu.kaltas@bashkortostan.ru" xr:uid="{00000000-0004-0000-0000-00005C000000}"/>
    <hyperlink ref="FP24" r:id="rId94" display="mailto:Yunusova.lr@bashkortostan.ru" xr:uid="{00000000-0004-0000-0000-00005D000000}"/>
    <hyperlink ref="AC25" r:id="rId95" display="https://miyaki.bashkortostan.ru/activity/12234/" xr:uid="{00000000-0004-0000-0000-00005E000000}"/>
    <hyperlink ref="DB25" r:id="rId96" xr:uid="{00000000-0004-0000-0000-00005F000000}"/>
    <hyperlink ref="FM25" r:id="rId97" display="mailto:miaki_rfu@ufamts.ru" xr:uid="{00000000-0004-0000-0000-000060000000}"/>
    <hyperlink ref="FP25" r:id="rId98" display="mailto:Yunusova.lr@bashkortostan.ru" xr:uid="{00000000-0004-0000-0000-000061000000}"/>
    <hyperlink ref="Y26" display="https://belregion.ru/documents/?arrFilterDocs_pf%5BTYPE%5D=&amp;arrFilterDocs_ff%5BNAME%5D=423-%D1%80%D0%BF&amp;arrFilterDocs_DATE_ACTIVE_FROM_1=&amp;arrFilterDocs_DATE_ACTIVE_FROM_2=&amp;arrFilterDocs_ff%5BPREVIEW_TEXT%5D=&amp;set_filter=%D0%A4%D0%B8%D0%BB%D1%8C%D1%82%D1%80" xr:uid="{00000000-0004-0000-0000-000062000000}"/>
    <hyperlink ref="U26" display="https://belregion.ru/documents/?arrFilterDocs_pf%5BTYPE%5D=&amp;arrFilterDocs_ff%5BNAME%5D=111-%D0%BF%D0%BF&amp;arrFilterDocs_DATE_ACTIVE_FROM_1=&amp;arrFilterDocs_DATE_ACTIVE_FROM_2=&amp;arrFilterDocs_ff%5BPREVIEW_TEXT%5D=&amp;set_filter=%D0%A4%D0%B8%D0%BB%D1%8C%D1%82%D1%80" xr:uid="{00000000-0004-0000-0000-000063000000}"/>
    <hyperlink ref="FC26" r:id="rId99" xr:uid="{00000000-0004-0000-0000-000064000000}"/>
    <hyperlink ref="CZ26" r:id="rId100" xr:uid="{00000000-0004-0000-0000-000065000000}"/>
    <hyperlink ref="FP26" r:id="rId101" xr:uid="{00000000-0004-0000-0000-000066000000}"/>
    <hyperlink ref="AA26" r:id="rId102" xr:uid="{00000000-0004-0000-0000-000067000000}"/>
    <hyperlink ref="Y27" display="https://belregion.ru/documents/?arrFilterDocs_pf%5BTYPE%5D=&amp;arrFilterDocs_ff%5BNAME%5D=423-%D1%80%D0%BF&amp;arrFilterDocs_DATE_ACTIVE_FROM_1=&amp;arrFilterDocs_DATE_ACTIVE_FROM_2=&amp;arrFilterDocs_ff%5BPREVIEW_TEXT%5D=&amp;set_filter=%D0%A4%D0%B8%D0%BB%D1%8C%D1%82%D1%80" xr:uid="{00000000-0004-0000-0000-000068000000}"/>
    <hyperlink ref="U27" display="https://belregion.ru/documents/?arrFilterDocs_pf%5BTYPE%5D=&amp;arrFilterDocs_ff%5BNAME%5D=253-%D0%BF%D0%BF&amp;arrFilterDocs_DATE_ACTIVE_FROM_1=&amp;arrFilterDocs_DATE_ACTIVE_FROM_2=&amp;arrFilterDocs_ff%5BPREVIEW_TEXT%5D=&amp;set_filter=%D0%A4%D0%B8%D0%BB%D1%8C%D1%82%D1%80" xr:uid="{00000000-0004-0000-0000-000069000000}"/>
    <hyperlink ref="AA27" display="https://belregion.ru/documents/?arrFilterDocs_pf%5BTYPE%5D=&amp;arrFilterDocs_ff%5BNAME%5D=171-%D1%80%D0%BF&amp;arrFilterDocs_DATE_ACTIVE_FROM_1=&amp;arrFilterDocs_DATE_ACTIVE_FROM_2=&amp;arrFilterDocs_ff%5BPREVIEW_TEXT%5D=&amp;set_filter=%D0%A4%D0%B8%D0%BB%D1%8C%D1%82%D1%80" xr:uid="{00000000-0004-0000-0000-00006A000000}"/>
    <hyperlink ref="FC27" r:id="rId103" xr:uid="{00000000-0004-0000-0000-00006B000000}"/>
    <hyperlink ref="CZ27" r:id="rId104" xr:uid="{00000000-0004-0000-0000-00006C000000}"/>
    <hyperlink ref="FP27" r:id="rId105" xr:uid="{00000000-0004-0000-0000-00006D000000}"/>
    <hyperlink ref="FP28" r:id="rId106" xr:uid="{00000000-0004-0000-0000-00006E000000}"/>
    <hyperlink ref="FM28" r:id="rId107" xr:uid="{00000000-0004-0000-0000-00006F000000}"/>
    <hyperlink ref="AC28" r:id="rId108" xr:uid="{00000000-0004-0000-0000-000070000000}"/>
    <hyperlink ref="FC28" r:id="rId109" xr:uid="{00000000-0004-0000-0000-000071000000}"/>
    <hyperlink ref="FD28" r:id="rId110" xr:uid="{00000000-0004-0000-0000-000072000000}"/>
    <hyperlink ref="FF28" r:id="rId111" xr:uid="{00000000-0004-0000-0000-000073000000}"/>
    <hyperlink ref="FM29" r:id="rId112" xr:uid="{00000000-0004-0000-0000-000074000000}"/>
    <hyperlink ref="FP29" r:id="rId113" xr:uid="{00000000-0004-0000-0000-000075000000}"/>
    <hyperlink ref="FD29" r:id="rId114" xr:uid="{00000000-0004-0000-0000-000076000000}"/>
    <hyperlink ref="FM35" r:id="rId115" xr:uid="{00000000-0004-0000-0000-000077000000}"/>
    <hyperlink ref="FP35" r:id="rId116" xr:uid="{00000000-0004-0000-0000-000078000000}"/>
    <hyperlink ref="CZ35" r:id="rId117" xr:uid="{00000000-0004-0000-0000-000079000000}"/>
    <hyperlink ref="FC35" r:id="rId118" xr:uid="{00000000-0004-0000-0000-00007A000000}"/>
    <hyperlink ref="U52" r:id="rId119" xr:uid="{00000000-0004-0000-0000-00007B000000}"/>
    <hyperlink ref="FM52" r:id="rId120" xr:uid="{00000000-0004-0000-0000-00007C000000}"/>
    <hyperlink ref="FC52" r:id="rId121" xr:uid="{00000000-0004-0000-0000-00007D000000}"/>
    <hyperlink ref="CZ30" r:id="rId122" xr:uid="{00000000-0004-0000-0000-00007E000000}"/>
    <hyperlink ref="FM30" r:id="rId123" xr:uid="{00000000-0004-0000-0000-00007F000000}"/>
    <hyperlink ref="FM32" r:id="rId124" xr:uid="{00000000-0004-0000-0000-000080000000}"/>
    <hyperlink ref="FD32" r:id="rId125" display="https://gorsreda.avo.ru/" xr:uid="{00000000-0004-0000-0000-000081000000}"/>
    <hyperlink ref="FM33" r:id="rId126" xr:uid="{00000000-0004-0000-0000-000082000000}"/>
    <hyperlink ref="FC33" r:id="rId127" xr:uid="{00000000-0004-0000-0000-000083000000}"/>
    <hyperlink ref="FM34" r:id="rId128" xr:uid="{00000000-0004-0000-0000-000084000000}"/>
    <hyperlink ref="CZ34" r:id="rId129" xr:uid="{00000000-0004-0000-0000-000085000000}"/>
    <hyperlink ref="FC34" r:id="rId130" xr:uid="{00000000-0004-0000-0000-000086000000}"/>
    <hyperlink ref="U34" r:id="rId131" xr:uid="{00000000-0004-0000-0000-000087000000}"/>
    <hyperlink ref="AA34" r:id="rId132" xr:uid="{00000000-0004-0000-0000-000088000000}"/>
    <hyperlink ref="Y34" r:id="rId133" xr:uid="{00000000-0004-0000-0000-000089000000}"/>
    <hyperlink ref="FM39" r:id="rId134" xr:uid="{00000000-0004-0000-0000-00008A000000}"/>
    <hyperlink ref="U39" r:id="rId135" xr:uid="{00000000-0004-0000-0000-00008B000000}"/>
    <hyperlink ref="AA39" r:id="rId136" display="https://www.govvrn.ru/documents/34650/1195896/Распоряжение+правительства+Воронежской+области+от+19.04.2017+№+282-р+«О+развитии+инициативного+бюджетирования+на+территории+Воронежской+области».doc/2dbf0463-7acd-3f10-2d53-82f2f7eda972?version=1.0; " xr:uid="{00000000-0004-0000-0000-00008C000000}"/>
    <hyperlink ref="CZ39" r:id="rId137" xr:uid="{00000000-0004-0000-0000-00008D000000}"/>
    <hyperlink ref="FP39" r:id="rId138" xr:uid="{00000000-0004-0000-0000-00008E000000}"/>
    <hyperlink ref="U40" r:id="rId139" xr:uid="{00000000-0004-0000-0000-00008F000000}"/>
    <hyperlink ref="Y40" r:id="rId140" display="http://pravo.govvrn.ru/content/закон-воронежской-области-от-20122018-№-168-оз" xr:uid="{00000000-0004-0000-0000-000090000000}"/>
    <hyperlink ref="AA40" r:id="rId141" xr:uid="{00000000-0004-0000-0000-000091000000}"/>
    <hyperlink ref="CZ40" r:id="rId142" xr:uid="{00000000-0004-0000-0000-000092000000}"/>
    <hyperlink ref="FC40" r:id="rId143" xr:uid="{00000000-0004-0000-0000-000093000000}"/>
    <hyperlink ref="FE40" r:id="rId144" xr:uid="{00000000-0004-0000-0000-000094000000}"/>
    <hyperlink ref="FM40" r:id="rId145" xr:uid="{00000000-0004-0000-0000-000095000000}"/>
    <hyperlink ref="FP40" r:id="rId146" xr:uid="{00000000-0004-0000-0000-000096000000}"/>
    <hyperlink ref="EQ40" r:id="rId147" display="http://www.tosvrn.ru/" xr:uid="{00000000-0004-0000-0000-000097000000}"/>
    <hyperlink ref="FM41" r:id="rId148" xr:uid="{00000000-0004-0000-0000-000098000000}"/>
    <hyperlink ref="FP41" r:id="rId149" xr:uid="{00000000-0004-0000-0000-000099000000}"/>
    <hyperlink ref="U41" r:id="rId150" xr:uid="{00000000-0004-0000-0000-00009A000000}"/>
    <hyperlink ref="U31" r:id="rId151" xr:uid="{00000000-0004-0000-0000-00009B000000}"/>
    <hyperlink ref="Y31" r:id="rId152" xr:uid="{00000000-0004-0000-0000-00009C000000}"/>
    <hyperlink ref="FP31" r:id="rId153" xr:uid="{00000000-0004-0000-0000-00009D000000}"/>
    <hyperlink ref="AA31" r:id="rId154" xr:uid="{00000000-0004-0000-0000-00009E000000}"/>
    <hyperlink ref="CZ31" r:id="rId155" xr:uid="{00000000-0004-0000-0000-00009F000000}"/>
    <hyperlink ref="FC31" r:id="rId156" xr:uid="{00000000-0004-0000-0000-0000A0000000}"/>
    <hyperlink ref="FD31" r:id="rId157" xr:uid="{00000000-0004-0000-0000-0000A1000000}"/>
    <hyperlink ref="FM36" r:id="rId158" xr:uid="{00000000-0004-0000-0000-0000A2000000}"/>
    <hyperlink ref="FC36" r:id="rId159" xr:uid="{00000000-0004-0000-0000-0000A3000000}"/>
    <hyperlink ref="FF36" r:id="rId160" display="http://krassever.ru/article/narodnyye-initsiativy-vnov-profinansiruyut" xr:uid="{00000000-0004-0000-0000-0000A4000000}"/>
    <hyperlink ref="FD36" r:id="rId161" display="http://krassever.ru/tag?keyword=%C2%AB%D0%9D%D0%B0%D1%80%D0%BE%D0%B4%D0%BD%D1%8B%D0%B9%20%D0%B1%D1%8E%D0%B4%D0%B6%D0%B5%D1%82%C2%BB" xr:uid="{00000000-0004-0000-0000-0000A5000000}"/>
    <hyperlink ref="U36" r:id="rId162" xr:uid="{00000000-0004-0000-0000-0000A6000000}"/>
    <hyperlink ref="CZ36" r:id="rId163" xr:uid="{00000000-0004-0000-0000-0000A7000000}"/>
    <hyperlink ref="FM47" r:id="rId164" xr:uid="{00000000-0004-0000-0000-0000A8000000}"/>
    <hyperlink ref="U47" r:id="rId165" xr:uid="{00000000-0004-0000-0000-0000A9000000}"/>
    <hyperlink ref="AA47" r:id="rId166" xr:uid="{00000000-0004-0000-0000-0000AA000000}"/>
    <hyperlink ref="FC50" r:id="rId167" xr:uid="{00000000-0004-0000-0000-0000AB000000}"/>
    <hyperlink ref="CZ50" r:id="rId168" xr:uid="{00000000-0004-0000-0000-0000AC000000}"/>
    <hyperlink ref="U50" r:id="rId169" xr:uid="{00000000-0004-0000-0000-0000AD000000}"/>
    <hyperlink ref="U51" r:id="rId170" xr:uid="{00000000-0004-0000-0000-0000AE000000}"/>
    <hyperlink ref="CZ51" r:id="rId171" xr:uid="{00000000-0004-0000-0000-0000AF000000}"/>
    <hyperlink ref="DB49" r:id="rId172" xr:uid="{00000000-0004-0000-0000-0000B0000000}"/>
    <hyperlink ref="FD49" r:id="rId173" xr:uid="{00000000-0004-0000-0000-0000B1000000}"/>
    <hyperlink ref="FM49" r:id="rId174" xr:uid="{00000000-0004-0000-0000-0000B2000000}"/>
    <hyperlink ref="AC49" r:id="rId175" tooltip="Ссылка на КонсультантПлюс" display="consultantplus://offline/ref=7E7306BE598EE74F78349580DCDBA13892FAB1EB5FB8E14765253C2259088452B4DAD8668079597EBB068C26319C3F893FA0E3819AE1393B8F09042D1AF419u4g0N" xr:uid="{00000000-0004-0000-0000-0000B3000000}"/>
    <hyperlink ref="FM61" r:id="rId176" xr:uid="{00000000-0004-0000-0000-0000B4000000}"/>
    <hyperlink ref="FP61" r:id="rId177" xr:uid="{00000000-0004-0000-0000-0000B5000000}"/>
    <hyperlink ref="FD61" r:id="rId178" display="https://psy-prk.ru/novosti/tvoy-kuzbass-tvoya-initsiativa/" xr:uid="{00000000-0004-0000-0000-0000B6000000}"/>
    <hyperlink ref="CZ61" r:id="rId179" display="http://kemerovostat.old.gks.ru/wps/wcm/connect/rosstat_ts/kemerovostat/resources/3ff9a5804351eba5bc0dfd74665da2b8/%D0%A7%D0%B8%D1%81%D0%BB%D0%B5%D0%BD%D0%BD%D0%BE%D1%81%D1%82%D1%8C+%D0%BD%D0%B0%D1%81%D0%B5%D0%BB%D0%B5%D0%BD%D0%B8%D1%8F+%D0%9A%D0%B5%D0%BC%D0%B5%D1%80%D0%BE%D0%B2%D1%81%D0%BA%D0%BE%D0%B9+%D0%BE%D0%B1%D0%BB%D0%B0%D1%81%D1%82%D0%B8+%D0%BD%D0%B0+%D0%BD%D0%B0%D1%87%D0%B0%D0%BB%D0%BE+%D0%B3%D0%BE%D0%B4%D0%B0.pdf" xr:uid="{00000000-0004-0000-0000-0000B7000000}"/>
    <hyperlink ref="U61" r:id="rId180" xr:uid="{00000000-0004-0000-0000-0000B8000000}"/>
    <hyperlink ref="Y61" r:id="rId181" xr:uid="{00000000-0004-0000-0000-0000B9000000}"/>
    <hyperlink ref="U62" r:id="rId182" xr:uid="{00000000-0004-0000-0000-0000BA000000}"/>
    <hyperlink ref="AA62" r:id="rId183" xr:uid="{00000000-0004-0000-0000-0000BB000000}"/>
    <hyperlink ref="FC62" r:id="rId184" xr:uid="{00000000-0004-0000-0000-0000BC000000}"/>
    <hyperlink ref="FE62" r:id="rId185" xr:uid="{00000000-0004-0000-0000-0000BD000000}"/>
    <hyperlink ref="U53" r:id="rId186" tooltip="Ссылка на КонсультантПлюс" display="consultantplus://offline/ref=02CC2414CC785508648514228F9D6FCDFD5429074B1F4B5E38EBD301C928D2EE4DC05C38C2865DF3ACD5B1F6B5148C2D03B548FD0F5CB48EA4C458746891C7D8TEUFH" xr:uid="{00000000-0004-0000-0000-0000BE000000}"/>
    <hyperlink ref="AA53" r:id="rId187" tooltip="Ссылка на КонсультантПлюс" display="consultantplus://offline/ref=09AE4D5AC8EAABD9DECB9A81845B47C311F458723588A06EE65587D6DBBBA9038ACCF005B9E528F9AA17C0F3603CBB580CF1F6714C95DFE6382A516A3B4B900DvDf7H" xr:uid="{00000000-0004-0000-0000-0000BF000000}"/>
    <hyperlink ref="FM53" r:id="rId188" xr:uid="{00000000-0004-0000-0000-0000C0000000}"/>
    <hyperlink ref="FC53" r:id="rId189" xr:uid="{00000000-0004-0000-0000-0000C1000000}"/>
    <hyperlink ref="CZ53" r:id="rId190" xr:uid="{00000000-0004-0000-0000-0000C2000000}"/>
    <hyperlink ref="FC59" r:id="rId191" display="http://old.gov.karelia.ru/Projects/Initiatives/" xr:uid="{00000000-0004-0000-0000-0000C3000000}"/>
    <hyperlink ref="CZ59" r:id="rId192" xr:uid="{00000000-0004-0000-0000-0000C4000000}"/>
    <hyperlink ref="W59" r:id="rId193" display="http://minfin.karelia.ru/2018-2020-gody/" xr:uid="{00000000-0004-0000-0000-0000C5000000}"/>
    <hyperlink ref="FE59" r:id="rId194" xr:uid="{00000000-0004-0000-0000-0000C6000000}"/>
    <hyperlink ref="FM59" r:id="rId195" xr:uid="{00000000-0004-0000-0000-0000C7000000}"/>
    <hyperlink ref="FP59" r:id="rId196" xr:uid="{00000000-0004-0000-0000-0000C8000000}"/>
    <hyperlink ref="W60" r:id="rId197" display="http://minfin.karelia.ru/2018-2020-gody/" xr:uid="{00000000-0004-0000-0000-0000C9000000}"/>
    <hyperlink ref="AA60" r:id="rId198" xr:uid="{00000000-0004-0000-0000-0000CA000000}"/>
    <hyperlink ref="FC60" r:id="rId199" display="http://old.gov.karelia.ru/Projects/Initiatives/" xr:uid="{00000000-0004-0000-0000-0000CB000000}"/>
    <hyperlink ref="FM60" r:id="rId200" xr:uid="{00000000-0004-0000-0000-0000CC000000}"/>
    <hyperlink ref="CZ60" r:id="rId201" xr:uid="{00000000-0004-0000-0000-0000CD000000}"/>
    <hyperlink ref="FP60" r:id="rId202" xr:uid="{00000000-0004-0000-0000-0000CE000000}"/>
    <hyperlink ref="AC55" r:id="rId203" display="https://www.kaluga-gov.ru/?q=%D0%B8%D0%BD%D1%84%D0%BE%D1%80%D0%BC%D0%B0%D1%86%D0%B8%D1%8F-%D0%BE%D1%82-%D0%BF%D0%BE%D0%B4%D1%80%D0%B0%D0%B7%D0%B4%D0%B5%D0%BB%D0%B5%D0%BD%D0%B8%D1%8F/%D1%80%D0%B5%D1%88%D0%B5%D0%BD%D0%B8%D0%B5-%D0%B3%D0%BE%D1%80%D0%BE%D0%B4%D1%81%D0%BA%D0%BE%D0%B9-%D0%B4%D1%83%D0%BC%D1%8B-%D0%B3%D0%BE%D1%80%D0%BE%D0%B4%D0%B0-%D0%BA%D0%B0%D0%BB%D1%83%D0%B3%D0%B8-%D0%BE%D1%82-05122018-%E2%84%96-262-%D0%BE-%D1%80%D0%B5%D0%B0%D0%BB%D0%B8%D0%B7%D0%B0%D1%86%D0%B8%D0%B8https://www.kaluga-gov.ru/?q=%D0%B8%D0%BD%D1%84%D0%BE%D1%80%D0%BC%D0%B0%D1%86%D0%B8%D1%8F-%D0%BE%D1%82-%D0%BF%D0%BE%D0%B4%D1%80%D0%B0%D0%B7%D0%B4%D0%B5%D0%BB%D0%B5%D0%BD%D0%B8%D1%8F/%D1%80%D0%B5%D1%88%D0%B5%D0%BD%D0%B8%D0%B5-%D0%B3%D0%BE%D1%80%D0%BE%D0%B4%D1%81%D0%BA%D0%BE%D0%B9-%D0%B4%D1%83%D0%BC%D1%8B-%D0%B3%D0%BE%D1%80%D0%BE%D0%B4%D0%B0-%D0%BA%D0%B0%D0%BB%D1%83%D0%B3%D0%B8-%D0%BE%D1%82-05122018-%E2%84%96-262-%D0%BE-%D1%80%D0%B5%D0%B0%D0%BB%D0%B8%D0%B7%D0%B0%D1%86%D0%B8%D0%B8" xr:uid="{00000000-0004-0000-0000-0000CF000000}"/>
    <hyperlink ref="DB55" r:id="rId204" xr:uid="{00000000-0004-0000-0000-0000D0000000}"/>
    <hyperlink ref="FC55" r:id="rId205" xr:uid="{00000000-0004-0000-0000-0000D1000000}"/>
    <hyperlink ref="FD55" r:id="rId206" xr:uid="{00000000-0004-0000-0000-0000D2000000}"/>
    <hyperlink ref="FF55" r:id="rId207" display="официальный сайт Городской Управы города Калуги, социальные сети, газета «Калужская неделя» https://www.kaluga-gov.ru/?q=%D0%B8%D0%BD%D0%B8%D1%86%D0%B8%D0%B0%D1%82%D0%B8%D0%B2%D0%BD%D0%BE%D0%B5-%D0%B1%D1%8E%D0%B4%D0%B6%D0%B5%D1%82%D0%B8%D1%80%D0%BE%D0%B2%D0%B0%D0%BD%D0%B8%D0%B5_442365699" xr:uid="{00000000-0004-0000-0000-0000D3000000}"/>
    <hyperlink ref="FG55" r:id="rId208" display="https://www.kaluga-gov.ru/?q=%D1%81%D1%82%D0%B0%D1%82%D1%8C%D1%8F/%D0%BF%D1%80%D0%B8%D0%B5%D0%BC-%D0%BF%D1%80%D0%BE%D0%B5%D0%BA%D1%82%D0%BE%D0%B2-%D0%B8%D0%BD%D0%B8%D1%86%D0%B8%D0%B0%D1%82%D0%B8%D0%B2%D0%BD%D0%BE%D0%B3%D0%BE-%D0%B1%D1%8E%D0%B4%D0%B6%D0%B5%D1%82%D0%B8%D1%80%D0%BE%D0%B2%D0%B0%D0%BD%D0%B8%D1%8F-%D0%BF%D1%80%D0%BE%D0%B4%D0%BE%D0%BB%D0%B6%D0%B0%D0%B5%D1%82%D1%81%D1%8F_535892050" xr:uid="{00000000-0004-0000-0000-0000D4000000}"/>
    <hyperlink ref="FM55" r:id="rId209" xr:uid="{00000000-0004-0000-0000-0000D5000000}"/>
    <hyperlink ref="FP55" r:id="rId210" xr:uid="{00000000-0004-0000-0000-0000D6000000}"/>
    <hyperlink ref="AC54" r:id="rId211" xr:uid="{00000000-0004-0000-0000-0000D7000000}"/>
    <hyperlink ref="DB54" r:id="rId212" xr:uid="{00000000-0004-0000-0000-0000D8000000}"/>
    <hyperlink ref="FM54" r:id="rId213" xr:uid="{00000000-0004-0000-0000-0000D9000000}"/>
    <hyperlink ref="FP54" r:id="rId214" xr:uid="{00000000-0004-0000-0000-0000DA000000}"/>
    <hyperlink ref="FC54" r:id="rId215" display="http://admmaloyaroslavec.ru/ru/programma-podderzhki-mestnyh-iniciativ" xr:uid="{00000000-0004-0000-0000-0000DB000000}"/>
    <hyperlink ref="AC56" r:id="rId216" xr:uid="{00000000-0004-0000-0000-0000DC000000}"/>
    <hyperlink ref="DB56" r:id="rId217" xr:uid="{00000000-0004-0000-0000-0000DD000000}"/>
    <hyperlink ref="FP56" r:id="rId218" display="mailto:foborovsk@adm.kaluga.ru" xr:uid="{00000000-0004-0000-0000-0000DE000000}"/>
    <hyperlink ref="FM56" r:id="rId219" display="mailto:foborovsk@adm.kaluga.ru" xr:uid="{00000000-0004-0000-0000-0000DF000000}"/>
    <hyperlink ref="FC92" r:id="rId220" xr:uid="{00000000-0004-0000-0000-0000E0000000}"/>
    <hyperlink ref="FG92" r:id="rId221" xr:uid="{00000000-0004-0000-0000-0000E1000000}"/>
    <hyperlink ref="FM92" r:id="rId222" xr:uid="{00000000-0004-0000-0000-0000E2000000}"/>
    <hyperlink ref="CZ92" r:id="rId223" xr:uid="{00000000-0004-0000-0000-0000E3000000}"/>
    <hyperlink ref="Y92" r:id="rId224" xr:uid="{00000000-0004-0000-0000-0000E4000000}"/>
    <hyperlink ref="U71" r:id="rId225" xr:uid="{00000000-0004-0000-0000-0000E5000000}"/>
    <hyperlink ref="CZ71" r:id="rId226" xr:uid="{00000000-0004-0000-0000-0000E6000000}"/>
    <hyperlink ref="FC71" r:id="rId227" xr:uid="{00000000-0004-0000-0000-0000E7000000}"/>
    <hyperlink ref="FE71" r:id="rId228" xr:uid="{00000000-0004-0000-0000-0000E8000000}"/>
    <hyperlink ref="FG71" r:id="rId229" display="https://drive.google.com/open?id=1w25Zz-ExkDh-aT7lSyclttjRfN0XL4kV" xr:uid="{00000000-0004-0000-0000-0000E9000000}"/>
    <hyperlink ref="FM71" r:id="rId230" xr:uid="{00000000-0004-0000-0000-0000EA000000}"/>
    <hyperlink ref="FH71" r:id="rId231" display="https://drive.google.com/open?id=19lr_chPpTGz5pMoy1j2U4rN8rcPxAYle" xr:uid="{00000000-0004-0000-0000-0000EB000000}"/>
    <hyperlink ref="FF71" r:id="rId232" display="https://drive.google.com/open?id=1w25Zz-ExkDh-aT7lSyclttjRfN0XL4kV" xr:uid="{00000000-0004-0000-0000-0000EC000000}"/>
    <hyperlink ref="FE94" r:id="rId233" xr:uid="{00000000-0004-0000-0000-0000ED000000}"/>
    <hyperlink ref="FP94" r:id="rId234" xr:uid="{00000000-0004-0000-0000-0000EE000000}"/>
    <hyperlink ref="U94" r:id="rId235" xr:uid="{00000000-0004-0000-0000-0000EF000000}"/>
    <hyperlink ref="FM94" r:id="rId236" xr:uid="{00000000-0004-0000-0000-0000F0000000}"/>
    <hyperlink ref="FC94" r:id="rId237" xr:uid="{00000000-0004-0000-0000-0000F1000000}"/>
    <hyperlink ref="FE95" r:id="rId238" xr:uid="{00000000-0004-0000-0000-0000F2000000}"/>
    <hyperlink ref="FC95" r:id="rId239" xr:uid="{00000000-0004-0000-0000-0000F3000000}"/>
    <hyperlink ref="FP95" r:id="rId240" xr:uid="{00000000-0004-0000-0000-0000F4000000}"/>
    <hyperlink ref="U95" r:id="rId241" xr:uid="{00000000-0004-0000-0000-0000F5000000}"/>
    <hyperlink ref="Y95" r:id="rId242" xr:uid="{00000000-0004-0000-0000-0000F6000000}"/>
    <hyperlink ref="FD95" r:id="rId243" xr:uid="{00000000-0004-0000-0000-0000F7000000}"/>
    <hyperlink ref="FF95" r:id="rId244" xr:uid="{00000000-0004-0000-0000-0000F8000000}"/>
    <hyperlink ref="FM95" r:id="rId245" xr:uid="{00000000-0004-0000-0000-0000F9000000}"/>
    <hyperlink ref="FF96" r:id="rId246" display="https://цмпи.рф/novosti/" xr:uid="{00000000-0004-0000-0000-0000FA000000}"/>
    <hyperlink ref="FM96" r:id="rId247" xr:uid="{00000000-0004-0000-0000-0000FB000000}"/>
    <hyperlink ref="FE96" r:id="rId248" xr:uid="{00000000-0004-0000-0000-0000FC000000}"/>
    <hyperlink ref="FG96" r:id="rId249" xr:uid="{00000000-0004-0000-0000-0000FD000000}"/>
    <hyperlink ref="FH96" display="https://цмпи.рф/proekty/ppmi/  В 2019 году согласно рабочему плану проекта ППМИ было проведено 9 семинаров для Глав городских и сельских поселений, 1 семинар для кураторов ППМИ и 1 межрегиональный семинар &quot;Вовлечение граждан в проекты инициативного бюджет" xr:uid="{00000000-0004-0000-0000-0000FE000000}"/>
    <hyperlink ref="U96" r:id="rId250" display="http://docs.cntd.ru/document/553386375" xr:uid="{00000000-0004-0000-0000-0000FF000000}"/>
    <hyperlink ref="FP96" r:id="rId251" xr:uid="{00000000-0004-0000-0000-000000010000}"/>
    <hyperlink ref="U97" r:id="rId252" display="http://docs.cntd.ru/document/553386375" xr:uid="{00000000-0004-0000-0000-000001010000}"/>
    <hyperlink ref="FE97" r:id="rId253" xr:uid="{00000000-0004-0000-0000-000002010000}"/>
    <hyperlink ref="FH97" display="https://цмпи.рф/proekty/ppmi/  В 2019 году согласно рабочему плану проекта ТОС было проведено:  межрегиональный семинар &quot;Вовлечение граждан в проекты инициативного бюджетирования&quot;, участники - Главы районов, Главы городских и сельских поселений, председат" xr:uid="{00000000-0004-0000-0000-000003010000}"/>
    <hyperlink ref="FM97" r:id="rId254" xr:uid="{00000000-0004-0000-0000-000004010000}"/>
    <hyperlink ref="FP97" r:id="rId255" xr:uid="{00000000-0004-0000-0000-000005010000}"/>
    <hyperlink ref="U98" r:id="rId256" xr:uid="{00000000-0004-0000-0000-000006010000}"/>
    <hyperlink ref="CZ98" r:id="rId257" xr:uid="{00000000-0004-0000-0000-000007010000}"/>
    <hyperlink ref="FP98" r:id="rId258" xr:uid="{00000000-0004-0000-0000-000008010000}"/>
    <hyperlink ref="U99" r:id="rId259" xr:uid="{00000000-0004-0000-0000-000009010000}"/>
    <hyperlink ref="FP99" r:id="rId260" xr:uid="{00000000-0004-0000-0000-00000A010000}"/>
    <hyperlink ref="Y99" r:id="rId261" xr:uid="{00000000-0004-0000-0000-00000B010000}"/>
    <hyperlink ref="U76" r:id="rId262" xr:uid="{00000000-0004-0000-0000-00000C010000}"/>
    <hyperlink ref="AA76" r:id="rId263" xr:uid="{00000000-0004-0000-0000-00000D010000}"/>
    <hyperlink ref="FC76" r:id="rId264" xr:uid="{00000000-0004-0000-0000-00000E010000}"/>
    <hyperlink ref="FM76" r:id="rId265" xr:uid="{00000000-0004-0000-0000-00000F010000}"/>
    <hyperlink ref="CZ76" r:id="rId266" display="https://kurskstat.gks.ru/" xr:uid="{00000000-0004-0000-0000-000010010000}"/>
    <hyperlink ref="W77" r:id="rId267" xr:uid="{00000000-0004-0000-0000-000011010000}"/>
    <hyperlink ref="FC77" r:id="rId268" xr:uid="{00000000-0004-0000-0000-000012010000}"/>
    <hyperlink ref="CZ77" r:id="rId269" xr:uid="{00000000-0004-0000-0000-000013010000}"/>
    <hyperlink ref="AA77" r:id="rId270" display="https://adm.rkursk.ru/index.php?id=109&amp;mat_id=60146&amp;page=30&amp;sort_field=103&amp;sort_order=0&amp;year=2016" xr:uid="{00000000-0004-0000-0000-000014010000}"/>
    <hyperlink ref="FM77" r:id="rId271" xr:uid="{00000000-0004-0000-0000-000015010000}"/>
    <hyperlink ref="FD77" r:id="rId272" display="http://adm.rkursk.ru/index.php?id=10&amp;mat_id=75907&amp;query=%EF%F0%EE%E5%EA%F2+%ED%E0%F0%EE%E4%ED%FB%E9+%E1%FE%E4%E6%E5%F2+732-%EF%E0, " xr:uid="{00000000-0004-0000-0000-000016010000}"/>
    <hyperlink ref="FP77" r:id="rId273" xr:uid="{00000000-0004-0000-0000-000017010000}"/>
    <hyperlink ref="U78" r:id="rId274" xr:uid="{00000000-0004-0000-0000-000018010000}"/>
    <hyperlink ref="FM78" r:id="rId275" xr:uid="{00000000-0004-0000-0000-000019010000}"/>
    <hyperlink ref="FC93" r:id="rId276" xr:uid="{00000000-0004-0000-0000-00001A010000}"/>
    <hyperlink ref="FM93" r:id="rId277" xr:uid="{00000000-0004-0000-0000-00001B010000}"/>
    <hyperlink ref="Y93" r:id="rId278" xr:uid="{00000000-0004-0000-0000-00001C010000}"/>
    <hyperlink ref="CZ93" r:id="rId279" xr:uid="{00000000-0004-0000-0000-00001D010000}"/>
    <hyperlink ref="U100" r:id="rId280" xr:uid="{00000000-0004-0000-0000-00001E010000}"/>
    <hyperlink ref="FC100" r:id="rId281" xr:uid="{00000000-0004-0000-0000-00001F010000}"/>
    <hyperlink ref="FM100" r:id="rId282" xr:uid="{00000000-0004-0000-0000-000020010000}"/>
    <hyperlink ref="FC91" r:id="rId283" xr:uid="{00000000-0004-0000-0000-000021010000}"/>
    <hyperlink ref="CZ91" r:id="rId284" xr:uid="{00000000-0004-0000-0000-000022010000}"/>
    <hyperlink ref="U91" r:id="rId285" xr:uid="{00000000-0004-0000-0000-000023010000}"/>
    <hyperlink ref="U103" r:id="rId286" xr:uid="{00000000-0004-0000-0000-000024010000}"/>
    <hyperlink ref="Y103" r:id="rId287" xr:uid="{00000000-0004-0000-0000-000025010000}"/>
    <hyperlink ref="FM103" r:id="rId288" xr:uid="{00000000-0004-0000-0000-000026010000}"/>
    <hyperlink ref="FC103" r:id="rId289" xr:uid="{00000000-0004-0000-0000-000027010000}"/>
    <hyperlink ref="CZ103" r:id="rId290" xr:uid="{00000000-0004-0000-0000-000028010000}"/>
    <hyperlink ref="U80" r:id="rId291" xr:uid="{00000000-0004-0000-0000-000029010000}"/>
    <hyperlink ref="AA80" r:id="rId292" xr:uid="{00000000-0004-0000-0000-00002A010000}"/>
    <hyperlink ref="FC80" r:id="rId293" xr:uid="{00000000-0004-0000-0000-00002B010000}"/>
    <hyperlink ref="FM80" r:id="rId294" xr:uid="{00000000-0004-0000-0000-00002C010000}"/>
    <hyperlink ref="FP80" r:id="rId295" xr:uid="{00000000-0004-0000-0000-00002D010000}"/>
    <hyperlink ref="CZ80" r:id="rId296" xr:uid="{00000000-0004-0000-0000-00002E010000}"/>
    <hyperlink ref="U81" r:id="rId297" xr:uid="{00000000-0004-0000-0000-00002F010000}"/>
    <hyperlink ref="AA81" r:id="rId298" xr:uid="{00000000-0004-0000-0000-000030010000}"/>
    <hyperlink ref="FC81" r:id="rId299" xr:uid="{00000000-0004-0000-0000-000031010000}"/>
    <hyperlink ref="FM81" r:id="rId300" xr:uid="{00000000-0004-0000-0000-000032010000}"/>
    <hyperlink ref="CZ81" r:id="rId301" xr:uid="{00000000-0004-0000-0000-000033010000}"/>
    <hyperlink ref="U65" r:id="rId302" display="http://docs.cntd.ru/document/444708082" xr:uid="{00000000-0004-0000-0000-000034010000}"/>
    <hyperlink ref="AA65" r:id="rId303" display="http://docs.cntd.ru/document/444708082" xr:uid="{00000000-0004-0000-0000-000035010000}"/>
    <hyperlink ref="CZ65" r:id="rId304" xr:uid="{00000000-0004-0000-0000-000036010000}"/>
    <hyperlink ref="FE65" r:id="rId305" display="https://signal.rkomi.ru/budzhet/razrabotan-logotip-proekta-narodnyy-byudzhet" xr:uid="{00000000-0004-0000-0000-000037010000}"/>
    <hyperlink ref="U147" r:id="rId306" xr:uid="{00000000-0004-0000-0000-000038010000}"/>
    <hyperlink ref="AA147" r:id="rId307" xr:uid="{00000000-0004-0000-0000-000039010000}"/>
    <hyperlink ref="EQ147" r:id="rId308" xr:uid="{00000000-0004-0000-0000-00003A010000}"/>
    <hyperlink ref="Y147" r:id="rId309" xr:uid="{00000000-0004-0000-0000-00003B010000}"/>
    <hyperlink ref="CZ147" r:id="rId310" xr:uid="{00000000-0004-0000-0000-00003C010000}"/>
    <hyperlink ref="W147" r:id="rId311" xr:uid="{00000000-0004-0000-0000-00003D010000}"/>
    <hyperlink ref="U86" r:id="rId312" xr:uid="{00000000-0004-0000-0000-00003E010000}"/>
    <hyperlink ref="CZ86" r:id="rId313" xr:uid="{00000000-0004-0000-0000-00003F010000}"/>
    <hyperlink ref="FC86" r:id="rId314" xr:uid="{00000000-0004-0000-0000-000040010000}"/>
    <hyperlink ref="FD86" r:id="rId315" xr:uid="{00000000-0004-0000-0000-000041010000}"/>
    <hyperlink ref="FM86" r:id="rId316" xr:uid="{00000000-0004-0000-0000-000042010000}"/>
    <hyperlink ref="FP86" r:id="rId317" xr:uid="{00000000-0004-0000-0000-000043010000}"/>
    <hyperlink ref="FP130" r:id="rId318" xr:uid="{00000000-0004-0000-0000-000044010000}"/>
    <hyperlink ref="FM130" r:id="rId319" xr:uid="{00000000-0004-0000-0000-000045010000}"/>
    <hyperlink ref="FE130" r:id="rId320" xr:uid="{00000000-0004-0000-0000-000046010000}"/>
    <hyperlink ref="FD130" r:id="rId321" display="https://twitter.com/SOdeistvie63" xr:uid="{00000000-0004-0000-0000-000047010000}"/>
    <hyperlink ref="FC130" r:id="rId322" xr:uid="{00000000-0004-0000-0000-000048010000}"/>
    <hyperlink ref="FF130" r:id="rId323" display="https://yadi.sk/d/grWA1E3b0X2FnA" xr:uid="{00000000-0004-0000-0000-000049010000}"/>
    <hyperlink ref="FG130" r:id="rId324" xr:uid="{00000000-0004-0000-0000-00004A010000}"/>
    <hyperlink ref="U146" r:id="rId325" xr:uid="{00000000-0004-0000-0000-00004B010000}"/>
    <hyperlink ref="AA146" r:id="rId326" xr:uid="{00000000-0004-0000-0000-00004C010000}"/>
    <hyperlink ref="CZ146" r:id="rId327" display="https://srtv.gks.ru/folder/59967" xr:uid="{00000000-0004-0000-0000-00004D010000}"/>
    <hyperlink ref="FC146" r:id="rId328" xr:uid="{00000000-0004-0000-0000-00004E010000}"/>
    <hyperlink ref="FD146" r:id="rId329" xr:uid="{00000000-0004-0000-0000-00004F010000}"/>
    <hyperlink ref="FM146" r:id="rId330" xr:uid="{00000000-0004-0000-0000-000050010000}"/>
    <hyperlink ref="FF146" location="'практика субъекта'!B144" display="Информационное освещение программы поддержки местных инициатив на территории области осуществлялось с помощью размещения информационных и новостных материалов: на странице официального сайта Правительства Саратовской области, министерство финансов Саратов" xr:uid="{00000000-0004-0000-0000-000051010000}"/>
    <hyperlink ref="FE146" r:id="rId331" xr:uid="{00000000-0004-0000-0000-000052010000}"/>
    <hyperlink ref="FP147" r:id="rId332" xr:uid="{00000000-0004-0000-0000-000053010000}"/>
    <hyperlink ref="FG147" r:id="rId333" xr:uid="{00000000-0004-0000-0000-000054010000}"/>
    <hyperlink ref="FM147" r:id="rId334" xr:uid="{00000000-0004-0000-0000-000055010000}"/>
    <hyperlink ref="FE147" r:id="rId335" xr:uid="{00000000-0004-0000-0000-000056010000}"/>
    <hyperlink ref="FD147" r:id="rId336" display="https://minfin.sakha.gov.ru/initsiativnoe-bjudzhetirovanie _x000a_" xr:uid="{00000000-0004-0000-0000-000057010000}"/>
    <hyperlink ref="FC147" r:id="rId337" xr:uid="{00000000-0004-0000-0000-000058010000}"/>
    <hyperlink ref="U153" r:id="rId338" xr:uid="{00000000-0004-0000-0000-000059010000}"/>
    <hyperlink ref="W153" r:id="rId339" location="document_list " xr:uid="{00000000-0004-0000-0000-00005A010000}"/>
    <hyperlink ref="AA153" r:id="rId340" xr:uid="{00000000-0004-0000-0000-00005B010000}"/>
    <hyperlink ref="FM153" r:id="rId341" xr:uid="{00000000-0004-0000-0000-00005C010000}"/>
    <hyperlink ref="FE153" r:id="rId342" display="https://vk.com/sun_asbest?z=photo-145138689_456239017%2Falbum-145138689_0%2Frev" xr:uid="{00000000-0004-0000-0000-00005D010000}"/>
    <hyperlink ref="U151" r:id="rId343" xr:uid="{00000000-0004-0000-0000-00005E010000}"/>
    <hyperlink ref="Y151" r:id="rId344" xr:uid="{00000000-0004-0000-0000-00005F010000}"/>
    <hyperlink ref="CZ151" r:id="rId345" xr:uid="{00000000-0004-0000-0000-000060010000}"/>
    <hyperlink ref="FC151" r:id="rId346" xr:uid="{00000000-0004-0000-0000-000061010000}"/>
    <hyperlink ref="FE151" r:id="rId347" xr:uid="{00000000-0004-0000-0000-000062010000}"/>
    <hyperlink ref="U152" r:id="rId348" xr:uid="{00000000-0004-0000-0000-000063010000}"/>
    <hyperlink ref="W152" r:id="rId349" xr:uid="{00000000-0004-0000-0000-000064010000}"/>
    <hyperlink ref="CZ152" r:id="rId350" xr:uid="{00000000-0004-0000-0000-000065010000}"/>
    <hyperlink ref="FM152" r:id="rId351" xr:uid="{00000000-0004-0000-0000-000066010000}"/>
    <hyperlink ref="W129" r:id="rId352" xr:uid="{00000000-0004-0000-0000-000067010000}"/>
    <hyperlink ref="EB73" r:id="rId353" xr:uid="{00000000-0004-0000-0000-000068010000}"/>
    <hyperlink ref="EE73" r:id="rId354" xr:uid="{00000000-0004-0000-0000-000069010000}"/>
    <hyperlink ref="EN73" r:id="rId355" xr:uid="{00000000-0004-0000-0000-00006A010000}"/>
    <hyperlink ref="FM73" r:id="rId356" xr:uid="{00000000-0004-0000-0000-00006B010000}"/>
    <hyperlink ref="FC74" r:id="rId357" xr:uid="{00000000-0004-0000-0000-00006C010000}"/>
    <hyperlink ref="FM74" r:id="rId358" xr:uid="{00000000-0004-0000-0000-00006D010000}"/>
    <hyperlink ref="U75" r:id="rId359" xr:uid="{00000000-0004-0000-0000-00006E010000}"/>
    <hyperlink ref="FC75" r:id="rId360" xr:uid="{00000000-0004-0000-0000-00006F010000}"/>
    <hyperlink ref="FM75" r:id="rId361" xr:uid="{00000000-0004-0000-0000-000070010000}"/>
    <hyperlink ref="AA63" r:id="rId362" xr:uid="{00000000-0004-0000-0000-000071010000}"/>
    <hyperlink ref="FM63" r:id="rId363" xr:uid="{00000000-0004-0000-0000-000072010000}"/>
    <hyperlink ref="U64" r:id="rId364" xr:uid="{00000000-0004-0000-0000-000073010000}"/>
    <hyperlink ref="AA64" r:id="rId365" xr:uid="{00000000-0004-0000-0000-000074010000}"/>
    <hyperlink ref="FC64" r:id="rId366" xr:uid="{00000000-0004-0000-0000-000075010000}"/>
    <hyperlink ref="FE64" r:id="rId367" xr:uid="{00000000-0004-0000-0000-000076010000}"/>
    <hyperlink ref="CZ64" r:id="rId368" xr:uid="{00000000-0004-0000-0000-000077010000}"/>
    <hyperlink ref="AA83" r:id="rId369" xr:uid="{00000000-0004-0000-0000-000078010000}"/>
    <hyperlink ref="U83" r:id="rId370" xr:uid="{00000000-0004-0000-0000-000079010000}"/>
    <hyperlink ref="FA83" r:id="rId371" xr:uid="{00000000-0004-0000-0000-00007A010000}"/>
    <hyperlink ref="FB83" r:id="rId372" xr:uid="{00000000-0004-0000-0000-00007B010000}"/>
    <hyperlink ref="FC83" r:id="rId373" xr:uid="{00000000-0004-0000-0000-00007C010000}"/>
    <hyperlink ref="FJ83" r:id="rId374" xr:uid="{00000000-0004-0000-0000-00007D010000}"/>
    <hyperlink ref="U148" display="https://pib.sakhminfin.ru/show/mb_x000a_Постановление Правительства Сахалинской области от 29.08.2017 N 400 (ред. от 15.08.2019) &quot;Об отдельных вопросах реализации в Сахалинской области общественно значимых проектов, основанных на местных инициативах в рамках пр" xr:uid="{00000000-0004-0000-0000-00007E010000}"/>
    <hyperlink ref="FC148" r:id="rId375" display="https://pib.sakhminfin.ru/" xr:uid="{00000000-0004-0000-0000-00007F010000}"/>
    <hyperlink ref="Y148" r:id="rId376" xr:uid="{00000000-0004-0000-0000-000080010000}"/>
    <hyperlink ref="FG148" r:id="rId377" display="https://yadi.sk/d/uWkKQGPwE_uIJw" xr:uid="{00000000-0004-0000-0000-000081010000}"/>
    <hyperlink ref="FF148" r:id="rId378" display="https://www.youtube.com/watch?v=DNii10B8ujw" xr:uid="{00000000-0004-0000-0000-000082010000}"/>
    <hyperlink ref="U149" display="https://pib.sakhminfin.ru/show/rt_x000a_Постановление Правительства Сахалинской области от 15.03.2018 N 90 (ред. от 15.08.2019) &quot;Об отдельных вопросах реализации в Сахалинской области общественно значимых проектов, основанных на местных инициативах, в сфере кап" xr:uid="{00000000-0004-0000-0000-000083010000}"/>
    <hyperlink ref="EB149" r:id="rId379" xr:uid="{00000000-0004-0000-0000-000084010000}"/>
    <hyperlink ref="FM149" r:id="rId380" xr:uid="{00000000-0004-0000-0000-000085010000}"/>
    <hyperlink ref="FC149" r:id="rId381" display="https://pib.sakhminfin.ru/" xr:uid="{00000000-0004-0000-0000-000086010000}"/>
    <hyperlink ref="FD149" r:id="rId382" display="https://www.facebook.com/budget65/ https:/                                                    /vk.com/budget65" xr:uid="{00000000-0004-0000-0000-000087010000}"/>
    <hyperlink ref="CZ149" r:id="rId383" xr:uid="{00000000-0004-0000-0000-000088010000}"/>
    <hyperlink ref="Y149" r:id="rId384" xr:uid="{00000000-0004-0000-0000-000089010000}"/>
    <hyperlink ref="FG149" r:id="rId385" xr:uid="{00000000-0004-0000-0000-00008A010000}"/>
    <hyperlink ref="U150" display="https://pib.sakhminfin.ru/show/ppi _x000a_Постановление Правительства Сахалинской области от 08.02.2017 N 52 (ред. от 19.12.2019) &quot;Об отдельных вопросах реализации в Сахалинской области общественно значимых проектов, основанных на местных инициативах&quot; (вместе с" xr:uid="{00000000-0004-0000-0000-00008B010000}"/>
    <hyperlink ref="EN150" r:id="rId386" display="http://sakhminfin.ru/index.php/news/3293-o-rezultatakh-konkursnogo-otbora-na-predostavlenie-v-2020-godu-byudzhetam-munitsipalnykh-obrazovanij-sakhalinskoj-oblasti-subsidii-iz-oblastnogo-byudzheta-na-realizatsiyu-v-sakhalinskoj-oblasti-obshchestvenno-znachimykh-proektov-osnovannykh-na-mestnykh-in" xr:uid="{00000000-0004-0000-0000-00008C010000}"/>
    <hyperlink ref="FC150" r:id="rId387" display="https://pib.sakhminfin.ru/" xr:uid="{00000000-0004-0000-0000-00008D010000}"/>
    <hyperlink ref="CZ150" r:id="rId388" xr:uid="{00000000-0004-0000-0000-00008E010000}"/>
    <hyperlink ref="FG150" r:id="rId389" display="https://yadi.sk/d/zn8f23T-Oysjgw" xr:uid="{00000000-0004-0000-0000-00008F010000}"/>
    <hyperlink ref="Y150" r:id="rId390" xr:uid="{00000000-0004-0000-0000-000090010000}"/>
    <hyperlink ref="DS150" r:id="rId391" xr:uid="{00000000-0004-0000-0000-000091010000}"/>
    <hyperlink ref="U66" r:id="rId392" tooltip="Ссылка на КонсультантПлюс" display="consultantplus://offline/ref=C1AFF30CF9F51AC2281A9C390E570C3C83C4D71A97692F9E5E14E786DF03A36D9CD8F8F0BD6DE4A4934BA80201A00920BD864AC89E28287C517C38FAB3EC3872TCH" xr:uid="{00000000-0004-0000-0000-000092010000}"/>
    <hyperlink ref="FC66" r:id="rId393" xr:uid="{00000000-0004-0000-0000-000093010000}"/>
    <hyperlink ref="FM66" r:id="rId394" xr:uid="{00000000-0004-0000-0000-000094010000}"/>
    <hyperlink ref="FP66" r:id="rId395" xr:uid="{00000000-0004-0000-0000-000095010000}"/>
    <hyperlink ref="U67" r:id="rId396" tooltip="Ссылка на КонсультантПлюс" display="consultantplus://offline/ref=6F5496872F65B7B6CAFE8510AC837EA10722FCDC181F76E091826D734B6E86904169785BA163292AAB30F55F25CE51EC55663B2FDE095DA44B68990F39554DT9K3L" xr:uid="{00000000-0004-0000-0000-000096010000}"/>
    <hyperlink ref="FC67" r:id="rId397" xr:uid="{00000000-0004-0000-0000-000097010000}"/>
    <hyperlink ref="FM67" r:id="rId398" xr:uid="{00000000-0004-0000-0000-000098010000}"/>
    <hyperlink ref="FP67" r:id="rId399" xr:uid="{00000000-0004-0000-0000-000099010000}"/>
    <hyperlink ref="U68" r:id="rId400" tooltip="Ссылка на КонсультантПлюс" display="consultantplus://offline/ref=55AB044EF2AE989F64BAC01863E5C4A9ADFF11BADF275679A20855BC8E46D11C9C7059606921C791BA63221FB7AD46C4F510AAEFFC56605E2760CEN9c9M" xr:uid="{00000000-0004-0000-0000-00009A010000}"/>
    <hyperlink ref="FC68" r:id="rId401" xr:uid="{00000000-0004-0000-0000-00009B010000}"/>
    <hyperlink ref="FM68" r:id="rId402" xr:uid="{00000000-0004-0000-0000-00009C010000}"/>
    <hyperlink ref="FP68" r:id="rId403" xr:uid="{00000000-0004-0000-0000-00009D010000}"/>
    <hyperlink ref="U145" r:id="rId404" xr:uid="{00000000-0004-0000-0000-00009E010000}"/>
    <hyperlink ref="FE145" r:id="rId405" xr:uid="{00000000-0004-0000-0000-00009F010000}"/>
    <hyperlink ref="FM145" r:id="rId406" display="gorod@kfin.gov.spb.ru" xr:uid="{00000000-0004-0000-0000-0000A0010000}"/>
    <hyperlink ref="CZ145" r:id="rId407" xr:uid="{00000000-0004-0000-0000-0000A1010000}"/>
    <hyperlink ref="FP145" r:id="rId408" xr:uid="{00000000-0004-0000-0000-0000A2010000}"/>
    <hyperlink ref="CZ84" r:id="rId409" xr:uid="{00000000-0004-0000-0000-0000A3010000}"/>
    <hyperlink ref="FM84" r:id="rId410" xr:uid="{00000000-0004-0000-0000-0000A4010000}"/>
    <hyperlink ref="AC70" r:id="rId411" xr:uid="{00000000-0004-0000-0000-0000A5010000}"/>
    <hyperlink ref="FC72" r:id="rId412" xr:uid="{00000000-0004-0000-0000-0000A6010000}"/>
    <hyperlink ref="FM90" r:id="rId413" xr:uid="{00000000-0004-0000-0000-0000A7010000}"/>
    <hyperlink ref="FP90" r:id="rId414" xr:uid="{00000000-0004-0000-0000-0000A8010000}"/>
    <hyperlink ref="FP120" r:id="rId415" xr:uid="{00000000-0004-0000-0000-0000A9010000}"/>
    <hyperlink ref="CZ120" r:id="rId416" xr:uid="{00000000-0004-0000-0000-0000AA010000}"/>
    <hyperlink ref="U120" r:id="rId417" xr:uid="{00000000-0004-0000-0000-0000AB010000}"/>
    <hyperlink ref="FM119" r:id="rId418" xr:uid="{00000000-0004-0000-0000-0000AC010000}"/>
    <hyperlink ref="Y119" r:id="rId419" xr:uid="{00000000-0004-0000-0000-0000AD010000}"/>
    <hyperlink ref="U119" r:id="rId420" xr:uid="{00000000-0004-0000-0000-0000AE010000}"/>
    <hyperlink ref="FP119" r:id="rId421" xr:uid="{00000000-0004-0000-0000-0000AF010000}"/>
    <hyperlink ref="CZ119" r:id="rId422" xr:uid="{00000000-0004-0000-0000-0000B0010000}"/>
    <hyperlink ref="FC119" r:id="rId423" xr:uid="{00000000-0004-0000-0000-0000B1010000}"/>
    <hyperlink ref="FP118" r:id="rId424" xr:uid="{00000000-0004-0000-0000-0000B2010000}"/>
    <hyperlink ref="CZ118" r:id="rId425" xr:uid="{00000000-0004-0000-0000-0000B3010000}"/>
    <hyperlink ref="W118" r:id="rId426" xr:uid="{00000000-0004-0000-0000-0000B4010000}"/>
    <hyperlink ref="FM118" r:id="rId427" xr:uid="{00000000-0004-0000-0000-0000B5010000}"/>
    <hyperlink ref="AA118" r:id="rId428" xr:uid="{00000000-0004-0000-0000-0000B6010000}"/>
    <hyperlink ref="FC118" r:id="rId429" xr:uid="{00000000-0004-0000-0000-0000B7010000}"/>
    <hyperlink ref="FP122" r:id="rId430" xr:uid="{00000000-0004-0000-0000-0000B8010000}"/>
    <hyperlink ref="FD122" r:id="rId431" display="https://vmeste.permkrai.ru/program/category/6/" xr:uid="{00000000-0004-0000-0000-0000B9010000}"/>
    <hyperlink ref="Y122" r:id="rId432" xr:uid="{00000000-0004-0000-0000-0000BA010000}"/>
    <hyperlink ref="AA122" r:id="rId433" display="http://docs.cntd.ru/document/444971152" xr:uid="{00000000-0004-0000-0000-0000BB010000}"/>
    <hyperlink ref="U122" r:id="rId434" xr:uid="{00000000-0004-0000-0000-0000BC010000}"/>
    <hyperlink ref="FM122" r:id="rId435" xr:uid="{00000000-0004-0000-0000-0000BD010000}"/>
    <hyperlink ref="FC122" r:id="rId436" xr:uid="{00000000-0004-0000-0000-0000BE010000}"/>
    <hyperlink ref="FM124" r:id="rId437" xr:uid="{00000000-0004-0000-0000-0000BF010000}"/>
    <hyperlink ref="FP124" r:id="rId438" xr:uid="{00000000-0004-0000-0000-0000C0010000}"/>
    <hyperlink ref="FC124" r:id="rId439" xr:uid="{00000000-0004-0000-0000-0000C1010000}"/>
    <hyperlink ref="AC111" r:id="rId440" xr:uid="{00000000-0004-0000-0000-0000C2010000}"/>
    <hyperlink ref="FC111" r:id="rId441" xr:uid="{00000000-0004-0000-0000-0000C3010000}"/>
    <hyperlink ref="FE111" r:id="rId442" xr:uid="{00000000-0004-0000-0000-0000C4010000}"/>
    <hyperlink ref="FM111" r:id="rId443" xr:uid="{00000000-0004-0000-0000-0000C5010000}"/>
    <hyperlink ref="EB111" r:id="rId444" display="http://бузулук.рф/%D0%BE%D0%BF%D1%80%D0%BE%D1%81/%D0%BA%D0%B0%D0%BA-%D0%B2%D1%8B-%D1%81%D1%87%D0%B8%D1%82%D0%B0%D0%B5%D1%82%D0%B5-%D0%B2-%D0%BA%D0%B0%D0%BA%D0%BE%D0%BC-%D0%B8%D0%B7-%D0%BF%D0%B5%D1%80%D0%B5%D1%87%D0%B8%D1%81%D0%BB%D0%B5%D0%BD%D0%BD%D1%8B%D1%85-%D1%80%D0%B0%D0%B9%D0%BE%D0%BD%D0%BE%D0%B2-%D0%B3%D0%BE%D1%80%D0%BE%D0%B4%D0%B0-%D0%B1%D1%83%D0%B7%D1%83%D0%BB%D1%83%D0%BA%D0%B0-%D0%BD%D0%B5%D0%BE%D0%B1%D1%85%D0%BE%D0%B4%D0%B8%D0%BC%D0%BE-%D1%80%D0%B5%D0%B0%D0%BB%D0%B8%D0%B7%D0%BE%D0%B2%D0%B0%D1%82%D1%8C-%D0%BF%D1%80%D0%BE%D0%B5%D0%BA%D1%82" xr:uid="{00000000-0004-0000-0000-0000C6010000}"/>
    <hyperlink ref="FD111" r:id="rId445" xr:uid="{00000000-0004-0000-0000-0000C7010000}"/>
    <hyperlink ref="AC112" r:id="rId446" xr:uid="{00000000-0004-0000-0000-0000C8010000}"/>
    <hyperlink ref="FC112" r:id="rId447" xr:uid="{00000000-0004-0000-0000-0000C9010000}"/>
    <hyperlink ref="FM112" r:id="rId448" xr:uid="{00000000-0004-0000-0000-0000CA010000}"/>
    <hyperlink ref="DS112" r:id="rId449" xr:uid="{00000000-0004-0000-0000-0000CB010000}"/>
    <hyperlink ref="FM113" r:id="rId450" xr:uid="{00000000-0004-0000-0000-0000CC010000}"/>
    <hyperlink ref="FM114" r:id="rId451" xr:uid="{00000000-0004-0000-0000-0000CD010000}"/>
    <hyperlink ref="AC114" r:id="rId452" xr:uid="{00000000-0004-0000-0000-0000CE010000}"/>
    <hyperlink ref="EB114" r:id="rId453" xr:uid="{00000000-0004-0000-0000-0000CF010000}"/>
    <hyperlink ref="FC114" r:id="rId454" xr:uid="{00000000-0004-0000-0000-0000D0010000}"/>
    <hyperlink ref="FM115" r:id="rId455" xr:uid="{00000000-0004-0000-0000-0000D1010000}"/>
    <hyperlink ref="FM116" r:id="rId456" xr:uid="{00000000-0004-0000-0000-0000D2010000}"/>
    <hyperlink ref="FM117" r:id="rId457" xr:uid="{00000000-0004-0000-0000-0000D3010000}"/>
    <hyperlink ref="AC104" r:id="rId458" xr:uid="{00000000-0004-0000-0000-0000D4010000}"/>
    <hyperlink ref="FC104" r:id="rId459" display="http://mo-ko.orb.ru/" xr:uid="{00000000-0004-0000-0000-0000D5010000}"/>
    <hyperlink ref="FM105" r:id="rId460" xr:uid="{00000000-0004-0000-0000-0000D6010000}"/>
    <hyperlink ref="AC105" r:id="rId461" xr:uid="{00000000-0004-0000-0000-0000D7010000}"/>
    <hyperlink ref="AC106" r:id="rId462" xr:uid="{00000000-0004-0000-0000-0000D8010000}"/>
    <hyperlink ref="EN106" r:id="rId463" xr:uid="{00000000-0004-0000-0000-0000D9010000}"/>
    <hyperlink ref="ET106" r:id="rId464" xr:uid="{00000000-0004-0000-0000-0000DA010000}"/>
    <hyperlink ref="FC106" r:id="rId465" xr:uid="{00000000-0004-0000-0000-0000DB010000}"/>
    <hyperlink ref="FD106" r:id="rId466" xr:uid="{00000000-0004-0000-0000-0000DC010000}"/>
    <hyperlink ref="FE106" r:id="rId467" xr:uid="{00000000-0004-0000-0000-0000DD010000}"/>
    <hyperlink ref="AC107" r:id="rId468" xr:uid="{00000000-0004-0000-0000-0000DE010000}"/>
    <hyperlink ref="FE107" r:id="rId469" xr:uid="{00000000-0004-0000-0000-0000DF010000}"/>
    <hyperlink ref="FM107" r:id="rId470" xr:uid="{00000000-0004-0000-0000-0000E0010000}"/>
    <hyperlink ref="AC108" r:id="rId471" xr:uid="{00000000-0004-0000-0000-0000E1010000}"/>
    <hyperlink ref="FC108" r:id="rId472" xr:uid="{00000000-0004-0000-0000-0000E2010000}"/>
    <hyperlink ref="FM108" r:id="rId473" xr:uid="{00000000-0004-0000-0000-0000E3010000}"/>
    <hyperlink ref="FM109" r:id="rId474" xr:uid="{00000000-0004-0000-0000-0000E4010000}"/>
    <hyperlink ref="AC110" r:id="rId475" xr:uid="{00000000-0004-0000-0000-0000E5010000}"/>
    <hyperlink ref="FD110" r:id="rId476" display="https://vk.com/fintotsk?w=wall-163040897_67" xr:uid="{00000000-0004-0000-0000-0000E6010000}"/>
    <hyperlink ref="FM110" r:id="rId477" xr:uid="{00000000-0004-0000-0000-0000E7010000}"/>
    <hyperlink ref="FC110" r:id="rId478" xr:uid="{00000000-0004-0000-0000-0000E8010000}"/>
    <hyperlink ref="AC121" r:id="rId479" xr:uid="{00000000-0004-0000-0000-0000E9010000}"/>
    <hyperlink ref="DB121" r:id="rId480" xr:uid="{00000000-0004-0000-0000-0000EA010000}"/>
    <hyperlink ref="FP121" r:id="rId481" xr:uid="{00000000-0004-0000-0000-0000EB010000}"/>
    <hyperlink ref="ET121" r:id="rId482" xr:uid="{00000000-0004-0000-0000-0000EC010000}"/>
    <hyperlink ref="FM127" r:id="rId483" xr:uid="{00000000-0004-0000-0000-0000ED010000}"/>
    <hyperlink ref="FP127" r:id="rId484" xr:uid="{00000000-0004-0000-0000-0000EE010000}"/>
    <hyperlink ref="AC126" r:id="rId485" xr:uid="{00000000-0004-0000-0000-0000EF010000}"/>
    <hyperlink ref="FM126" r:id="rId486" xr:uid="{00000000-0004-0000-0000-0000F0010000}"/>
    <hyperlink ref="FP126" r:id="rId487" xr:uid="{00000000-0004-0000-0000-0000F1010000}"/>
    <hyperlink ref="FM131" r:id="rId488" xr:uid="{00000000-0004-0000-0000-0000F2010000}"/>
    <hyperlink ref="FP131" r:id="rId489" xr:uid="{00000000-0004-0000-0000-0000F3010000}"/>
    <hyperlink ref="FE131" r:id="rId490" xr:uid="{00000000-0004-0000-0000-0000F4010000}"/>
    <hyperlink ref="FC131" r:id="rId491" xr:uid="{00000000-0004-0000-0000-0000F5010000}"/>
    <hyperlink ref="DB131" r:id="rId492" xr:uid="{00000000-0004-0000-0000-0000F6010000}"/>
    <hyperlink ref="EN131" r:id="rId493" xr:uid="{00000000-0004-0000-0000-0000F7010000}"/>
    <hyperlink ref="FM132" r:id="rId494" xr:uid="{00000000-0004-0000-0000-0000F8010000}"/>
    <hyperlink ref="FP132" r:id="rId495" xr:uid="{00000000-0004-0000-0000-0000F9010000}"/>
    <hyperlink ref="FD132" r:id="rId496" display="https://twitter.com/orlova_d/status/1182927343561723905" xr:uid="{00000000-0004-0000-0000-0000FA010000}"/>
    <hyperlink ref="FE132" r:id="rId497" xr:uid="{00000000-0004-0000-0000-0000FB010000}"/>
    <hyperlink ref="AC132" r:id="rId498" xr:uid="{00000000-0004-0000-0000-0000FC010000}"/>
    <hyperlink ref="AC133" r:id="rId499" display="https://samadm.ru/upload/iblock/c39/postanovlenie-konstruktor-dvora.docx" xr:uid="{00000000-0004-0000-0000-0000FD010000}"/>
    <hyperlink ref="FM133" r:id="rId500" display="ProvkinaSV@samadm.ru" xr:uid="{00000000-0004-0000-0000-0000FE010000}"/>
    <hyperlink ref="FP133" r:id="rId501" xr:uid="{00000000-0004-0000-0000-0000FF010000}"/>
    <hyperlink ref="EN134" r:id="rId502" xr:uid="{00000000-0004-0000-0000-000000020000}"/>
    <hyperlink ref="DB134" r:id="rId503" xr:uid="{00000000-0004-0000-0000-000001020000}"/>
    <hyperlink ref="FC134" r:id="rId504" xr:uid="{00000000-0004-0000-0000-000002020000}"/>
    <hyperlink ref="AC134" r:id="rId505" display="https://www.kuibsamara.ru/allfiles/201906/post____(2112-Vwb6E).pdf, " xr:uid="{00000000-0004-0000-0000-000003020000}"/>
    <hyperlink ref="FE134" r:id="rId506" xr:uid="{00000000-0004-0000-0000-000004020000}"/>
    <hyperlink ref="FM134" r:id="rId507" xr:uid="{00000000-0004-0000-0000-000005020000}"/>
    <hyperlink ref="FP134" r:id="rId508" xr:uid="{00000000-0004-0000-0000-000006020000}"/>
    <hyperlink ref="FM135" r:id="rId509" xr:uid="{00000000-0004-0000-0000-000007020000}"/>
    <hyperlink ref="FP135" r:id="rId510" xr:uid="{00000000-0004-0000-0000-000008020000}"/>
    <hyperlink ref="FD135" r:id="rId511" display="https://twitter.com/Leninski_golos    " xr:uid="{00000000-0004-0000-0000-000009020000}"/>
    <hyperlink ref="AC135" r:id="rId512" xr:uid="{00000000-0004-0000-0000-00000A020000}"/>
    <hyperlink ref="DB135" r:id="rId513" xr:uid="{00000000-0004-0000-0000-00000B020000}"/>
    <hyperlink ref="FM136" r:id="rId514" xr:uid="{00000000-0004-0000-0000-00000C020000}"/>
    <hyperlink ref="FP136" r:id="rId515" xr:uid="{00000000-0004-0000-0000-00000D020000}"/>
    <hyperlink ref="DB136" r:id="rId516" xr:uid="{00000000-0004-0000-0000-00000E020000}"/>
    <hyperlink ref="FC136" r:id="rId517" xr:uid="{00000000-0004-0000-0000-00000F020000}"/>
    <hyperlink ref="FD136" r:id="rId518" xr:uid="{00000000-0004-0000-0000-000010020000}"/>
    <hyperlink ref="FE136" r:id="rId519" xr:uid="{00000000-0004-0000-0000-000011020000}"/>
    <hyperlink ref="DB137" r:id="rId520" xr:uid="{00000000-0004-0000-0000-000012020000}"/>
    <hyperlink ref="FM137" r:id="rId521" xr:uid="{00000000-0004-0000-0000-000013020000}"/>
    <hyperlink ref="AC137" r:id="rId522" display="https://samadm.ru/docs/official-publication/21680/" xr:uid="{00000000-0004-0000-0000-000014020000}"/>
    <hyperlink ref="FP137" r:id="rId523" xr:uid="{00000000-0004-0000-0000-000015020000}"/>
    <hyperlink ref="FG137" r:id="rId524" display="https://samadm.ru/upload/iblock/5e6/Informatsionnoe-soobshchenie.pdf_x000a_" xr:uid="{00000000-0004-0000-0000-000016020000}"/>
    <hyperlink ref="DB138" r:id="rId525" xr:uid="{00000000-0004-0000-0000-000017020000}"/>
    <hyperlink ref="FC138" r:id="rId526" xr:uid="{00000000-0004-0000-0000-000018020000}"/>
    <hyperlink ref="FE138" r:id="rId527" xr:uid="{00000000-0004-0000-0000-000019020000}"/>
    <hyperlink ref="FM138" r:id="rId528" display="BystrovaEA@samadm.ru       " xr:uid="{00000000-0004-0000-0000-00001A020000}"/>
    <hyperlink ref="FP138" r:id="rId529" xr:uid="{00000000-0004-0000-0000-00001B020000}"/>
    <hyperlink ref="FM139" r:id="rId530" xr:uid="{00000000-0004-0000-0000-00001C020000}"/>
    <hyperlink ref="FC139" r:id="rId531" xr:uid="{00000000-0004-0000-0000-00001D020000}"/>
    <hyperlink ref="FP139" r:id="rId532" xr:uid="{00000000-0004-0000-0000-00001E020000}"/>
    <hyperlink ref="FC140" r:id="rId533" xr:uid="{00000000-0004-0000-0000-00001F020000}"/>
    <hyperlink ref="FE140" r:id="rId534" xr:uid="{00000000-0004-0000-0000-000020020000}"/>
    <hyperlink ref="FM140" r:id="rId535" xr:uid="{00000000-0004-0000-0000-000021020000}"/>
    <hyperlink ref="FD141" r:id="rId536" display="https://vk.com/club51180168 " xr:uid="{00000000-0004-0000-0000-000022020000}"/>
    <hyperlink ref="FC141" r:id="rId537" xr:uid="{00000000-0004-0000-0000-000023020000}"/>
    <hyperlink ref="FE141" r:id="rId538" xr:uid="{00000000-0004-0000-0000-000024020000}"/>
    <hyperlink ref="FP141" r:id="rId539" xr:uid="{00000000-0004-0000-0000-000025020000}"/>
    <hyperlink ref="FM141" r:id="rId540" xr:uid="{00000000-0004-0000-0000-000026020000}"/>
    <hyperlink ref="AC142" r:id="rId541" display="http://www.pohgor.ru/documents/municipal-programm/predpisanija_38.html; " xr:uid="{00000000-0004-0000-0000-000027020000}"/>
    <hyperlink ref="FC142" r:id="rId542" xr:uid="{00000000-0004-0000-0000-000028020000}"/>
    <hyperlink ref="FD142" r:id="rId543" xr:uid="{00000000-0004-0000-0000-000029020000}"/>
    <hyperlink ref="FE142" r:id="rId544" xr:uid="{00000000-0004-0000-0000-00002A020000}"/>
    <hyperlink ref="FM142" r:id="rId545" xr:uid="{00000000-0004-0000-0000-00002B020000}"/>
    <hyperlink ref="FP142" r:id="rId546" xr:uid="{00000000-0004-0000-0000-00002C020000}"/>
    <hyperlink ref="DB143" r:id="rId547" xr:uid="{00000000-0004-0000-0000-00002D020000}"/>
    <hyperlink ref="FM143" r:id="rId548" xr:uid="{00000000-0004-0000-0000-00002E020000}"/>
    <hyperlink ref="FD143" r:id="rId549" xr:uid="{00000000-0004-0000-0000-00002F020000}"/>
    <hyperlink ref="FF143" r:id="rId550" display="http://www.otradny24.ru/news-short/38817/?sphrase_id=382502" xr:uid="{00000000-0004-0000-0000-000030020000}"/>
    <hyperlink ref="AC144" r:id="rId551" display="http://www.bezenchukgp.ru/file_download/3582/Vestnik+10+%28154%29++22.05.2019.docx" xr:uid="{00000000-0004-0000-0000-000031020000}"/>
    <hyperlink ref="FM154" r:id="rId552" xr:uid="{00000000-0004-0000-0000-000032020000}"/>
    <hyperlink ref="FM155" r:id="rId553" xr:uid="{00000000-0004-0000-0000-000033020000}"/>
    <hyperlink ref="FD155" r:id="rId554" xr:uid="{00000000-0004-0000-0000-000034020000}"/>
    <hyperlink ref="FC156" r:id="rId555" xr:uid="{00000000-0004-0000-0000-000035020000}"/>
    <hyperlink ref="FM156" r:id="rId556" xr:uid="{00000000-0004-0000-0000-000036020000}"/>
    <hyperlink ref="DB156" r:id="rId557" xr:uid="{00000000-0004-0000-0000-000037020000}"/>
    <hyperlink ref="AC156" r:id="rId558" display="https://екатеринбург.рф/официально/документы/постановления/п_2018/23803" xr:uid="{00000000-0004-0000-0000-000038020000}"/>
    <hyperlink ref="FM159" r:id="rId559" xr:uid="{00000000-0004-0000-0000-000039020000}"/>
    <hyperlink ref="AA159" r:id="rId560" xr:uid="{00000000-0004-0000-0000-00003A020000}"/>
    <hyperlink ref="FP159" r:id="rId561" display="mailto:fin@admin-smolensk.ru" xr:uid="{00000000-0004-0000-0000-00003B020000}"/>
    <hyperlink ref="CZ169" r:id="rId562" xr:uid="{00000000-0004-0000-0000-00003C020000}"/>
    <hyperlink ref="FC169" r:id="rId563" xr:uid="{00000000-0004-0000-0000-00003D020000}"/>
    <hyperlink ref="FD169" r:id="rId564" display="http://vlfin.ru/nashi-stati/lichnye-finansy/zdes-moya-kopeechka-vot-nasha-skameechka-initsiativnoe-byudzhetirovanie-prineslo-oshchutimye-plody/?sphrase_id=7835; " xr:uid="{00000000-0004-0000-0000-00003E020000}"/>
    <hyperlink ref="FM169" r:id="rId565" xr:uid="{00000000-0004-0000-0000-00003F020000}"/>
    <hyperlink ref="AA169" r:id="rId566" xr:uid="{00000000-0004-0000-0000-000040020000}"/>
    <hyperlink ref="FE169" r:id="rId567" xr:uid="{00000000-0004-0000-0000-000041020000}"/>
    <hyperlink ref="U169" r:id="rId568" display="https://tomsk.gov.ru/documents/front/view/id/50135" xr:uid="{00000000-0004-0000-0000-000042020000}"/>
    <hyperlink ref="FM168" r:id="rId569" display="mailto:minfin@tverreg.ru" xr:uid="{00000000-0004-0000-0000-000043020000}"/>
    <hyperlink ref="CZ164" r:id="rId570" xr:uid="{00000000-0004-0000-0000-000044020000}"/>
    <hyperlink ref="FC164" r:id="rId571" xr:uid="{00000000-0004-0000-0000-000045020000}"/>
    <hyperlink ref="FM164" r:id="rId572" xr:uid="{00000000-0004-0000-0000-000046020000}"/>
    <hyperlink ref="U164" r:id="rId573" xr:uid="{00000000-0004-0000-0000-000047020000}"/>
    <hyperlink ref="FP164" r:id="rId574" xr:uid="{00000000-0004-0000-0000-000048020000}"/>
    <hyperlink ref="U165" r:id="rId575" xr:uid="{00000000-0004-0000-0000-000049020000}"/>
    <hyperlink ref="FD165" r:id="rId576" xr:uid="{00000000-0004-0000-0000-00004A020000}"/>
    <hyperlink ref="W165" r:id="rId577" xr:uid="{00000000-0004-0000-0000-00004B020000}"/>
    <hyperlink ref="FM165" r:id="rId578" xr:uid="{00000000-0004-0000-0000-00004C020000}"/>
    <hyperlink ref="CZ165" r:id="rId579" xr:uid="{00000000-0004-0000-0000-00004D020000}"/>
    <hyperlink ref="FP166" r:id="rId580" xr:uid="{00000000-0004-0000-0000-00004E020000}"/>
    <hyperlink ref="FM166" r:id="rId581" xr:uid="{00000000-0004-0000-0000-00004F020000}"/>
    <hyperlink ref="FC167" r:id="rId582" xr:uid="{00000000-0004-0000-0000-000050020000}"/>
    <hyperlink ref="FP167" r:id="rId583" xr:uid="{00000000-0004-0000-0000-000051020000}"/>
    <hyperlink ref="FM167" r:id="rId584" xr:uid="{00000000-0004-0000-0000-000052020000}"/>
    <hyperlink ref="FP163" r:id="rId585" xr:uid="{00000000-0004-0000-0000-000053020000}"/>
    <hyperlink ref="FC163" r:id="rId586" xr:uid="{00000000-0004-0000-0000-000054020000}"/>
    <hyperlink ref="FD163" r:id="rId587" xr:uid="{00000000-0004-0000-0000-000055020000}"/>
    <hyperlink ref="FE163" r:id="rId588" xr:uid="{00000000-0004-0000-0000-000056020000}"/>
    <hyperlink ref="CZ163" r:id="rId589" xr:uid="{00000000-0004-0000-0000-000057020000}"/>
    <hyperlink ref="U163" r:id="rId590" xr:uid="{00000000-0004-0000-0000-000058020000}"/>
    <hyperlink ref="AC162" r:id="rId591" xr:uid="{00000000-0004-0000-0000-000059020000}"/>
    <hyperlink ref="FP161" r:id="rId592" xr:uid="{00000000-0004-0000-0000-00005A020000}"/>
    <hyperlink ref="U277" display="consultantplus://offline/ref=9B6FD57B73B1E8A7F6EEA39AB1B2A255FBC2E3D24E708B08A96F7A9538738FB02BA5B6456DFF2DC6380E0C4811DA18E075D40AE8EC0FF84BF0912EFA78571F9EpD11G_x000a_consultantplus://offline/ref=86FDDC5FD35259C040E78EC05D56D8B01E819DEDBD1681DD0BA045754CF6187" xr:uid="{00000000-0004-0000-0000-00005B020000}"/>
    <hyperlink ref="W277" r:id="rId593" display="file:///C:/Users/shirokova/Downloads/Protokol_25.02.2019.pdf_x000a_" xr:uid="{00000000-0004-0000-0000-00005C020000}"/>
    <hyperlink ref="Y277" r:id="rId594" xr:uid="{00000000-0004-0000-0000-00005D020000}"/>
    <hyperlink ref="AA277" r:id="rId595" xr:uid="{00000000-0004-0000-0000-00005E020000}"/>
    <hyperlink ref="FE277" r:id="rId596" xr:uid="{00000000-0004-0000-0000-00005F020000}"/>
    <hyperlink ref="FC277" r:id="rId597" xr:uid="{00000000-0004-0000-0000-000060020000}"/>
    <hyperlink ref="CZ277" r:id="rId598" xr:uid="{00000000-0004-0000-0000-000061020000}"/>
    <hyperlink ref="FM277" r:id="rId599" xr:uid="{00000000-0004-0000-0000-000062020000}"/>
    <hyperlink ref="W180" r:id="rId600" xr:uid="{00000000-0004-0000-0000-000063020000}"/>
    <hyperlink ref="FC180" r:id="rId601" xr:uid="{00000000-0004-0000-0000-000064020000}"/>
    <hyperlink ref="FE180" r:id="rId602" xr:uid="{00000000-0004-0000-0000-000065020000}"/>
    <hyperlink ref="FM180" r:id="rId603" xr:uid="{00000000-0004-0000-0000-000066020000}"/>
    <hyperlink ref="U180" r:id="rId604" xr:uid="{00000000-0004-0000-0000-000067020000}"/>
    <hyperlink ref="Y180" r:id="rId605" xr:uid="{00000000-0004-0000-0000-000068020000}"/>
    <hyperlink ref="U209" r:id="rId606" xr:uid="{00000000-0004-0000-0000-000069020000}"/>
    <hyperlink ref="CZ209" r:id="rId607" xr:uid="{00000000-0004-0000-0000-00006A020000}"/>
    <hyperlink ref="FC209" r:id="rId608" xr:uid="{00000000-0004-0000-0000-00006B020000}"/>
    <hyperlink ref="FD209" r:id="rId609" xr:uid="{00000000-0004-0000-0000-00006C020000}"/>
    <hyperlink ref="FM209" r:id="rId610" xr:uid="{00000000-0004-0000-0000-00006D020000}"/>
    <hyperlink ref="FP209" r:id="rId611" xr:uid="{00000000-0004-0000-0000-00006E020000}"/>
    <hyperlink ref="U208" r:id="rId612" display="http://docs.cntd.ru/document/465300676 " xr:uid="{00000000-0004-0000-0000-00006F020000}"/>
    <hyperlink ref="CZ208" r:id="rId613" xr:uid="{00000000-0004-0000-0000-000070020000}"/>
    <hyperlink ref="AA208" r:id="rId614" xr:uid="{00000000-0004-0000-0000-000071020000}"/>
    <hyperlink ref="FC208" r:id="rId615" xr:uid="{00000000-0004-0000-0000-000072020000}"/>
    <hyperlink ref="FE208" r:id="rId616" xr:uid="{00000000-0004-0000-0000-000073020000}"/>
    <hyperlink ref="FM208" r:id="rId617" xr:uid="{00000000-0004-0000-0000-000074020000}"/>
    <hyperlink ref="FD208" r:id="rId618" xr:uid="{00000000-0004-0000-0000-000075020000}"/>
    <hyperlink ref="FP208" r:id="rId619" xr:uid="{00000000-0004-0000-0000-000076020000}"/>
    <hyperlink ref="EB211" r:id="rId620" xr:uid="{00000000-0004-0000-0000-000077020000}"/>
    <hyperlink ref="CZ211" r:id="rId621" xr:uid="{00000000-0004-0000-0000-000078020000}"/>
    <hyperlink ref="U212" r:id="rId622" xr:uid="{00000000-0004-0000-0000-000079020000}"/>
    <hyperlink ref="FP212" r:id="rId623" xr:uid="{00000000-0004-0000-0000-00007A020000}"/>
    <hyperlink ref="U213" r:id="rId624" location="ziz0z1fe1w" xr:uid="{00000000-0004-0000-0000-00007B020000}"/>
    <hyperlink ref="FM213" r:id="rId625" xr:uid="{00000000-0004-0000-0000-00007C020000}"/>
    <hyperlink ref="FE213" r:id="rId626" xr:uid="{00000000-0004-0000-0000-00007D020000}"/>
    <hyperlink ref="AA174" r:id="rId627" xr:uid="{00000000-0004-0000-0000-00007E020000}"/>
    <hyperlink ref="FC174" r:id="rId628" xr:uid="{00000000-0004-0000-0000-00007F020000}"/>
    <hyperlink ref="FD174" r:id="rId629" xr:uid="{00000000-0004-0000-0000-000080020000}"/>
    <hyperlink ref="FE174" r:id="rId630" xr:uid="{00000000-0004-0000-0000-000081020000}"/>
    <hyperlink ref="U170" r:id="rId631" xr:uid="{00000000-0004-0000-0000-000082020000}"/>
    <hyperlink ref="AA170" r:id="rId632" xr:uid="{00000000-0004-0000-0000-000083020000}"/>
    <hyperlink ref="FC170" r:id="rId633" xr:uid="{00000000-0004-0000-0000-000084020000}"/>
    <hyperlink ref="FE170" r:id="rId634" xr:uid="{00000000-0004-0000-0000-000085020000}"/>
    <hyperlink ref="FM170" r:id="rId635" xr:uid="{00000000-0004-0000-0000-000086020000}"/>
    <hyperlink ref="FP170" r:id="rId636" xr:uid="{00000000-0004-0000-0000-000087020000}"/>
    <hyperlink ref="AA248" r:id="rId637" xr:uid="{00000000-0004-0000-0000-000088020000}"/>
    <hyperlink ref="FC248" r:id="rId638" display="http://www.agro.cap.ru/action/activity/iniciativnoe-byudzhetirovanie " xr:uid="{00000000-0004-0000-0000-000089020000}"/>
    <hyperlink ref="U248" r:id="rId639" display="http://agro.cap.ru/action/activity/" xr:uid="{00000000-0004-0000-0000-00008A020000}"/>
    <hyperlink ref="Y248" r:id="rId640" display="http://www.cap.ru/doc/laws/2018/07/02/decree_311127/_x000a__x000a__x000a_" xr:uid="{00000000-0004-0000-0000-00008B020000}"/>
    <hyperlink ref="CZ248" r:id="rId641" xr:uid="{00000000-0004-0000-0000-00008C020000}"/>
    <hyperlink ref="W248" r:id="rId642" display="http://www.cap.ru/doc/laws/2019/06/03/ruling_338278" xr:uid="{00000000-0004-0000-0000-00008D020000}"/>
    <hyperlink ref="FM248" r:id="rId643" xr:uid="{00000000-0004-0000-0000-00008E020000}"/>
    <hyperlink ref="FP248" r:id="rId644" display="minstroy_str@cap.ru_x000a_" xr:uid="{00000000-0004-0000-0000-00008F020000}"/>
    <hyperlink ref="U172" r:id="rId645" xr:uid="{00000000-0004-0000-0000-000090020000}"/>
    <hyperlink ref="AA172" r:id="rId646" xr:uid="{00000000-0004-0000-0000-000091020000}"/>
    <hyperlink ref="CZ172" r:id="rId647" xr:uid="{00000000-0004-0000-0000-000092020000}"/>
    <hyperlink ref="FM172" r:id="rId648" xr:uid="{00000000-0004-0000-0000-000093020000}"/>
    <hyperlink ref="U173" r:id="rId649" xr:uid="{00000000-0004-0000-0000-000094020000}"/>
    <hyperlink ref="FM173" r:id="rId650" xr:uid="{00000000-0004-0000-0000-000095020000}"/>
    <hyperlink ref="FC173" r:id="rId651" xr:uid="{00000000-0004-0000-0000-000096020000}"/>
    <hyperlink ref="FD173" r:id="rId652" xr:uid="{00000000-0004-0000-0000-000097020000}"/>
    <hyperlink ref="FE173" r:id="rId653" xr:uid="{00000000-0004-0000-0000-000098020000}"/>
    <hyperlink ref="AA173" r:id="rId654" xr:uid="{00000000-0004-0000-0000-000099020000}"/>
    <hyperlink ref="CZ173" r:id="rId655" xr:uid="{00000000-0004-0000-0000-00009A020000}"/>
    <hyperlink ref="AC175" r:id="rId656" xr:uid="{00000000-0004-0000-0000-00009B020000}"/>
    <hyperlink ref="DB175" r:id="rId657" xr:uid="{00000000-0004-0000-0000-00009C020000}"/>
    <hyperlink ref="FP175" r:id="rId658" xr:uid="{00000000-0004-0000-0000-00009D020000}"/>
    <hyperlink ref="AC176" r:id="rId659" xr:uid="{00000000-0004-0000-0000-00009E020000}"/>
    <hyperlink ref="DB176" r:id="rId660" xr:uid="{00000000-0004-0000-0000-00009F020000}"/>
    <hyperlink ref="FC176" r:id="rId661" xr:uid="{00000000-0004-0000-0000-0000A0020000}"/>
    <hyperlink ref="FD176" r:id="rId662" xr:uid="{00000000-0004-0000-0000-0000A1020000}"/>
    <hyperlink ref="FM176" r:id="rId663" xr:uid="{00000000-0004-0000-0000-0000A2020000}"/>
    <hyperlink ref="FP176" r:id="rId664" xr:uid="{00000000-0004-0000-0000-0000A3020000}"/>
    <hyperlink ref="AC177" r:id="rId665" xr:uid="{00000000-0004-0000-0000-0000A4020000}"/>
    <hyperlink ref="DB177" r:id="rId666" xr:uid="{00000000-0004-0000-0000-0000A5020000}"/>
    <hyperlink ref="FC177" r:id="rId667" xr:uid="{00000000-0004-0000-0000-0000A6020000}"/>
    <hyperlink ref="FM177" r:id="rId668" xr:uid="{00000000-0004-0000-0000-0000A7020000}"/>
    <hyperlink ref="FD177" r:id="rId669" xr:uid="{00000000-0004-0000-0000-0000A8020000}"/>
    <hyperlink ref="FP177" r:id="rId670" xr:uid="{00000000-0004-0000-0000-0000A9020000}"/>
    <hyperlink ref="AC178" r:id="rId671" xr:uid="{00000000-0004-0000-0000-0000AA020000}"/>
    <hyperlink ref="FC178" r:id="rId672" xr:uid="{00000000-0004-0000-0000-0000AB020000}"/>
    <hyperlink ref="FE178" r:id="rId673" xr:uid="{00000000-0004-0000-0000-0000AC020000}"/>
    <hyperlink ref="FM178" r:id="rId674" xr:uid="{00000000-0004-0000-0000-0000AD020000}"/>
    <hyperlink ref="FD178" r:id="rId675" xr:uid="{00000000-0004-0000-0000-0000AE020000}"/>
    <hyperlink ref="EN178" r:id="rId676" xr:uid="{00000000-0004-0000-0000-0000AF020000}"/>
    <hyperlink ref="AC179" r:id="rId677" xr:uid="{00000000-0004-0000-0000-0000B0020000}"/>
    <hyperlink ref="FM179" r:id="rId678" xr:uid="{00000000-0004-0000-0000-0000B1020000}"/>
    <hyperlink ref="AC181" r:id="rId679" xr:uid="{00000000-0004-0000-0000-0000B2020000}"/>
    <hyperlink ref="FC181" r:id="rId680" xr:uid="{00000000-0004-0000-0000-0000B3020000}"/>
    <hyperlink ref="DB181" r:id="rId681" xr:uid="{00000000-0004-0000-0000-0000B4020000}"/>
    <hyperlink ref="FD181" r:id="rId682" xr:uid="{00000000-0004-0000-0000-0000B5020000}"/>
    <hyperlink ref="FM182" r:id="rId683" xr:uid="{00000000-0004-0000-0000-0000B6020000}"/>
    <hyperlink ref="FC182" r:id="rId684" xr:uid="{00000000-0004-0000-0000-0000B7020000}"/>
    <hyperlink ref="FM183" r:id="rId685" xr:uid="{00000000-0004-0000-0000-0000B8020000}"/>
    <hyperlink ref="AC183" r:id="rId686" xr:uid="{00000000-0004-0000-0000-0000B9020000}"/>
    <hyperlink ref="FC183" r:id="rId687" xr:uid="{00000000-0004-0000-0000-0000BA020000}"/>
    <hyperlink ref="FM184" r:id="rId688" xr:uid="{00000000-0004-0000-0000-0000BB020000}"/>
    <hyperlink ref="FC184" r:id="rId689" xr:uid="{00000000-0004-0000-0000-0000BC020000}"/>
    <hyperlink ref="FM185" r:id="rId690" xr:uid="{00000000-0004-0000-0000-0000BD020000}"/>
    <hyperlink ref="AC185" r:id="rId691" xr:uid="{00000000-0004-0000-0000-0000BE020000}"/>
    <hyperlink ref="FC185" r:id="rId692" xr:uid="{00000000-0004-0000-0000-0000BF020000}"/>
    <hyperlink ref="AC186" r:id="rId693" xr:uid="{00000000-0004-0000-0000-0000C0020000}"/>
    <hyperlink ref="FC186" r:id="rId694" xr:uid="{00000000-0004-0000-0000-0000C1020000}"/>
    <hyperlink ref="FM186" r:id="rId695" xr:uid="{00000000-0004-0000-0000-0000C2020000}"/>
    <hyperlink ref="DB187" r:id="rId696" xr:uid="{00000000-0004-0000-0000-0000C3020000}"/>
    <hyperlink ref="FM187" r:id="rId697" xr:uid="{00000000-0004-0000-0000-0000C4020000}"/>
    <hyperlink ref="FE187" r:id="rId698" xr:uid="{00000000-0004-0000-0000-0000C5020000}"/>
    <hyperlink ref="FF187" r:id="rId699" xr:uid="{00000000-0004-0000-0000-0000C6020000}"/>
    <hyperlink ref="FC187" r:id="rId700" xr:uid="{00000000-0004-0000-0000-0000C7020000}"/>
    <hyperlink ref="FM188" r:id="rId701" xr:uid="{00000000-0004-0000-0000-0000C8020000}"/>
    <hyperlink ref="FC188" r:id="rId702" xr:uid="{00000000-0004-0000-0000-0000C9020000}"/>
    <hyperlink ref="AC189" r:id="rId703" xr:uid="{00000000-0004-0000-0000-0000CA020000}"/>
    <hyperlink ref="FM190" r:id="rId704" xr:uid="{00000000-0004-0000-0000-0000CB020000}"/>
    <hyperlink ref="FC190" r:id="rId705" xr:uid="{00000000-0004-0000-0000-0000CC020000}"/>
    <hyperlink ref="FC191" r:id="rId706" xr:uid="{00000000-0004-0000-0000-0000CD020000}"/>
    <hyperlink ref="AC191" r:id="rId707" xr:uid="{00000000-0004-0000-0000-0000CE020000}"/>
    <hyperlink ref="AC192" r:id="rId708" xr:uid="{00000000-0004-0000-0000-0000CF020000}"/>
    <hyperlink ref="FM192" r:id="rId709" xr:uid="{00000000-0004-0000-0000-0000D0020000}"/>
    <hyperlink ref="FC192" r:id="rId710" xr:uid="{00000000-0004-0000-0000-0000D1020000}"/>
    <hyperlink ref="FM193" r:id="rId711" xr:uid="{00000000-0004-0000-0000-0000D2020000}"/>
    <hyperlink ref="AC193" r:id="rId712" xr:uid="{00000000-0004-0000-0000-0000D3020000}"/>
    <hyperlink ref="DB193" r:id="rId713" xr:uid="{00000000-0004-0000-0000-0000D4020000}"/>
    <hyperlink ref="FC193" r:id="rId714" xr:uid="{00000000-0004-0000-0000-0000D5020000}"/>
    <hyperlink ref="FM194" r:id="rId715" xr:uid="{00000000-0004-0000-0000-0000D6020000}"/>
    <hyperlink ref="FD194" r:id="rId716" xr:uid="{00000000-0004-0000-0000-0000D7020000}"/>
    <hyperlink ref="AC194" r:id="rId717" xr:uid="{00000000-0004-0000-0000-0000D8020000}"/>
    <hyperlink ref="AC195" r:id="rId718" xr:uid="{00000000-0004-0000-0000-0000D9020000}"/>
    <hyperlink ref="FM195" r:id="rId719" xr:uid="{00000000-0004-0000-0000-0000DA020000}"/>
    <hyperlink ref="FC195" r:id="rId720" xr:uid="{00000000-0004-0000-0000-0000DB020000}"/>
    <hyperlink ref="FM196" r:id="rId721" xr:uid="{00000000-0004-0000-0000-0000DC020000}"/>
    <hyperlink ref="AC196" r:id="rId722" xr:uid="{00000000-0004-0000-0000-0000DD020000}"/>
    <hyperlink ref="FC196" r:id="rId723" xr:uid="{00000000-0004-0000-0000-0000DE020000}"/>
    <hyperlink ref="AC197" r:id="rId724" xr:uid="{00000000-0004-0000-0000-0000DF020000}"/>
    <hyperlink ref="FM197" r:id="rId725" xr:uid="{00000000-0004-0000-0000-0000E0020000}"/>
    <hyperlink ref="FC197" r:id="rId726" xr:uid="{00000000-0004-0000-0000-0000E1020000}"/>
    <hyperlink ref="FM198" r:id="rId727" xr:uid="{00000000-0004-0000-0000-0000E2020000}"/>
    <hyperlink ref="AC198" r:id="rId728" xr:uid="{00000000-0004-0000-0000-0000E3020000}"/>
    <hyperlink ref="FC198" r:id="rId729" xr:uid="{00000000-0004-0000-0000-0000E4020000}"/>
    <hyperlink ref="FC199" r:id="rId730" xr:uid="{00000000-0004-0000-0000-0000E5020000}"/>
    <hyperlink ref="FC200" r:id="rId731" xr:uid="{00000000-0004-0000-0000-0000E6020000}"/>
    <hyperlink ref="AC200" r:id="rId732" display="http://www.terenga.ru/node/10494" xr:uid="{00000000-0004-0000-0000-0000E7020000}"/>
    <hyperlink ref="AC201" r:id="rId733" xr:uid="{00000000-0004-0000-0000-0000E8020000}"/>
    <hyperlink ref="DB201" r:id="rId734" xr:uid="{00000000-0004-0000-0000-0000E9020000}"/>
    <hyperlink ref="FM201" r:id="rId735" xr:uid="{00000000-0004-0000-0000-0000EA020000}"/>
    <hyperlink ref="AC202" r:id="rId736" display="https://cherdakli.com/?page_id=620" xr:uid="{00000000-0004-0000-0000-0000EB020000}"/>
    <hyperlink ref="FD202" r:id="rId737" xr:uid="{00000000-0004-0000-0000-0000EC020000}"/>
    <hyperlink ref="FM202" r:id="rId738" xr:uid="{00000000-0004-0000-0000-0000ED020000}"/>
    <hyperlink ref="FE202" r:id="rId739" xr:uid="{00000000-0004-0000-0000-0000EE020000}"/>
    <hyperlink ref="DB202" r:id="rId740" xr:uid="{00000000-0004-0000-0000-0000EF020000}"/>
    <hyperlink ref="FC202" r:id="rId741" xr:uid="{00000000-0004-0000-0000-0000F0020000}"/>
    <hyperlink ref="FM203" r:id="rId742" xr:uid="{00000000-0004-0000-0000-0000F1020000}"/>
    <hyperlink ref="FC203" r:id="rId743" xr:uid="{00000000-0004-0000-0000-0000F2020000}"/>
    <hyperlink ref="AC204" r:id="rId744" xr:uid="{00000000-0004-0000-0000-0000F3020000}"/>
    <hyperlink ref="FC204" r:id="rId745" xr:uid="{00000000-0004-0000-0000-0000F4020000}"/>
    <hyperlink ref="FM204" r:id="rId746" xr:uid="{00000000-0004-0000-0000-0000F5020000}"/>
    <hyperlink ref="DB204" r:id="rId747" xr:uid="{00000000-0004-0000-0000-0000F6020000}"/>
    <hyperlink ref="AC205" r:id="rId748" xr:uid="{00000000-0004-0000-0000-0000F7020000}"/>
    <hyperlink ref="FC205" r:id="rId749" xr:uid="{00000000-0004-0000-0000-0000F8020000}"/>
    <hyperlink ref="FM205" r:id="rId750" xr:uid="{00000000-0004-0000-0000-0000F9020000}"/>
    <hyperlink ref="FM206" r:id="rId751" xr:uid="{00000000-0004-0000-0000-0000FA020000}"/>
    <hyperlink ref="AC206" r:id="rId752" xr:uid="{00000000-0004-0000-0000-0000FB020000}"/>
    <hyperlink ref="FC206" r:id="rId753" xr:uid="{00000000-0004-0000-0000-0000FC020000}"/>
    <hyperlink ref="AC207" r:id="rId754" display="https://cherdakli.com/?page_id=620" xr:uid="{00000000-0004-0000-0000-0000FD020000}"/>
    <hyperlink ref="FD207" r:id="rId755" xr:uid="{00000000-0004-0000-0000-0000FE020000}"/>
    <hyperlink ref="FM207" r:id="rId756" xr:uid="{00000000-0004-0000-0000-0000FF020000}"/>
    <hyperlink ref="FE207" r:id="rId757" xr:uid="{00000000-0004-0000-0000-000000030000}"/>
    <hyperlink ref="DB207" r:id="rId758" xr:uid="{00000000-0004-0000-0000-000001030000}"/>
    <hyperlink ref="FC207" r:id="rId759" xr:uid="{00000000-0004-0000-0000-000002030000}"/>
    <hyperlink ref="AC214" r:id="rId760" xr:uid="{00000000-0004-0000-0000-000003030000}"/>
    <hyperlink ref="DB214" r:id="rId761" xr:uid="{00000000-0004-0000-0000-000004030000}"/>
    <hyperlink ref="FD214" r:id="rId762" display="https://www.youtube.com/watch?v=ctQrBhyhkzM , " xr:uid="{00000000-0004-0000-0000-000005030000}"/>
    <hyperlink ref="FM214" r:id="rId763" xr:uid="{00000000-0004-0000-0000-000006030000}"/>
    <hyperlink ref="FC214" r:id="rId764" xr:uid="{00000000-0004-0000-0000-000007030000}"/>
    <hyperlink ref="AC215" r:id="rId765" xr:uid="{00000000-0004-0000-0000-000008030000}"/>
    <hyperlink ref="EK215" r:id="rId766" xr:uid="{00000000-0004-0000-0000-000009030000}"/>
    <hyperlink ref="FD215" r:id="rId767" xr:uid="{00000000-0004-0000-0000-00000A030000}"/>
    <hyperlink ref="FC215" r:id="rId768" xr:uid="{00000000-0004-0000-0000-00000B030000}"/>
    <hyperlink ref="FM215" r:id="rId769" xr:uid="{00000000-0004-0000-0000-00000C030000}"/>
    <hyperlink ref="AC216" r:id="rId770" xr:uid="{00000000-0004-0000-0000-00000D030000}"/>
    <hyperlink ref="FC216" r:id="rId771" xr:uid="{00000000-0004-0000-0000-00000E030000}"/>
    <hyperlink ref="FP216" r:id="rId772" xr:uid="{00000000-0004-0000-0000-00000F030000}"/>
    <hyperlink ref="FM216" r:id="rId773" xr:uid="{00000000-0004-0000-0000-000010030000}"/>
    <hyperlink ref="AC217" r:id="rId774" location="tabs-container2" xr:uid="{00000000-0004-0000-0000-000011030000}"/>
    <hyperlink ref="FC217" r:id="rId775" location="SITE_DIR#/theme/index.php?ID=#IBLOCK_ID#/|tabs-container2" xr:uid="{00000000-0004-0000-0000-000012030000}"/>
    <hyperlink ref="AC218" r:id="rId776" xr:uid="{00000000-0004-0000-0000-000013030000}"/>
    <hyperlink ref="FC218" r:id="rId777" location="tabs-container1 (район); " display="http://admbel.ru/local-control/administration/finans/ini/#tabs-container1 (район); " xr:uid="{00000000-0004-0000-0000-000014030000}"/>
    <hyperlink ref="FP217" r:id="rId778" xr:uid="{00000000-0004-0000-0000-000015030000}"/>
    <hyperlink ref="FM217" r:id="rId779" xr:uid="{00000000-0004-0000-0000-000016030000}"/>
    <hyperlink ref="FP218" r:id="rId780" xr:uid="{00000000-0004-0000-0000-000017030000}"/>
    <hyperlink ref="FM218" r:id="rId781" xr:uid="{00000000-0004-0000-0000-000018030000}"/>
    <hyperlink ref="AC219" r:id="rId782" display="http://berezovo.ru/regulatory/77344/?sphrase_id=91281" xr:uid="{00000000-0004-0000-0000-000019030000}"/>
    <hyperlink ref="DB219" r:id="rId783" display="https://www.gradberezov.ru/o-poselenii/obshchie-svedeniya-i-istoriya-poseleniya/" xr:uid="{00000000-0004-0000-0000-00001A030000}"/>
    <hyperlink ref="FC219" r:id="rId784" display="http://berezovo.ru/activity/finance/initsiativnoe-byudzhetirovanie/" xr:uid="{00000000-0004-0000-0000-00001B030000}"/>
    <hyperlink ref="FD219" r:id="rId785" display="https://www.youtube.com/channel/UCGdpyToy8AOnijRkLCNbr9A" xr:uid="{00000000-0004-0000-0000-00001C030000}"/>
    <hyperlink ref="FE219" r:id="rId786" xr:uid="{00000000-0004-0000-0000-00001D030000}"/>
    <hyperlink ref="FM219" r:id="rId787" xr:uid="{00000000-0004-0000-0000-00001E030000}"/>
    <hyperlink ref="DC220" r:id="rId788" xr:uid="{00000000-0004-0000-0000-00001F030000}"/>
    <hyperlink ref="AC220" r:id="rId789" xr:uid="{00000000-0004-0000-0000-000020030000}"/>
    <hyperlink ref="EN220" r:id="rId790" xr:uid="{00000000-0004-0000-0000-000021030000}"/>
    <hyperlink ref="AC221" r:id="rId791" xr:uid="{00000000-0004-0000-0000-000022030000}"/>
    <hyperlink ref="FM221" r:id="rId792" xr:uid="{00000000-0004-0000-0000-000023030000}"/>
    <hyperlink ref="FC221" r:id="rId793" xr:uid="{00000000-0004-0000-0000-000024030000}"/>
    <hyperlink ref="DB221" r:id="rId794" xr:uid="{00000000-0004-0000-0000-000025030000}"/>
    <hyperlink ref="EN221" r:id="rId795" xr:uid="{00000000-0004-0000-0000-000026030000}"/>
    <hyperlink ref="AC222" r:id="rId796" xr:uid="{00000000-0004-0000-0000-000027030000}"/>
    <hyperlink ref="EN222" r:id="rId797" xr:uid="{00000000-0004-0000-0000-000028030000}"/>
    <hyperlink ref="FC222" r:id="rId798" xr:uid="{00000000-0004-0000-0000-000029030000}"/>
    <hyperlink ref="FM222" r:id="rId799" xr:uid="{00000000-0004-0000-0000-00002A030000}"/>
    <hyperlink ref="FP222" r:id="rId800" xr:uid="{00000000-0004-0000-0000-00002B030000}"/>
    <hyperlink ref="DB222" r:id="rId801" xr:uid="{00000000-0004-0000-0000-00002C030000}"/>
    <hyperlink ref="AC223" r:id="rId802" xr:uid="{00000000-0004-0000-0000-00002D030000}"/>
    <hyperlink ref="FC223" r:id="rId803" xr:uid="{00000000-0004-0000-0000-00002E030000}"/>
    <hyperlink ref="FM223" r:id="rId804" xr:uid="{00000000-0004-0000-0000-00002F030000}"/>
    <hyperlink ref="FP223" r:id="rId805" xr:uid="{00000000-0004-0000-0000-000030030000}"/>
    <hyperlink ref="DB223" r:id="rId806" xr:uid="{00000000-0004-0000-0000-000031030000}"/>
    <hyperlink ref="AC224" r:id="rId807" xr:uid="{00000000-0004-0000-0000-000032030000}"/>
    <hyperlink ref="DJ224" r:id="rId808" xr:uid="{00000000-0004-0000-0000-000033030000}"/>
    <hyperlink ref="DB224" r:id="rId809" xr:uid="{00000000-0004-0000-0000-000034030000}"/>
    <hyperlink ref="EN224" r:id="rId810" xr:uid="{00000000-0004-0000-0000-000035030000}"/>
    <hyperlink ref="FC224" r:id="rId811" xr:uid="{00000000-0004-0000-0000-000036030000}"/>
    <hyperlink ref="FM224" r:id="rId812" xr:uid="{00000000-0004-0000-0000-000037030000}"/>
    <hyperlink ref="FM225" r:id="rId813" xr:uid="{00000000-0004-0000-0000-000038030000}"/>
    <hyperlink ref="DB225" r:id="rId814" xr:uid="{00000000-0004-0000-0000-000039030000}"/>
    <hyperlink ref="FC225" r:id="rId815" xr:uid="{00000000-0004-0000-0000-00003A030000}"/>
    <hyperlink ref="AC226" r:id="rId816" xr:uid="{00000000-0004-0000-0000-00003B030000}"/>
    <hyperlink ref="FC226" r:id="rId817" xr:uid="{00000000-0004-0000-0000-00003C030000}"/>
    <hyperlink ref="FP226" r:id="rId818" xr:uid="{00000000-0004-0000-0000-00003D030000}"/>
    <hyperlink ref="FM226" r:id="rId819" xr:uid="{00000000-0004-0000-0000-00003E030000}"/>
    <hyperlink ref="DB226" r:id="rId820" xr:uid="{00000000-0004-0000-0000-00003F030000}"/>
    <hyperlink ref="AC229" r:id="rId821" xr:uid="{00000000-0004-0000-0000-000040030000}"/>
    <hyperlink ref="DB229" r:id="rId822" xr:uid="{00000000-0004-0000-0000-000041030000}"/>
    <hyperlink ref="FC229" r:id="rId823" xr:uid="{00000000-0004-0000-0000-000042030000}"/>
    <hyperlink ref="FM229" r:id="rId824" xr:uid="{00000000-0004-0000-0000-000043030000}"/>
    <hyperlink ref="FC227" r:id="rId825" xr:uid="{00000000-0004-0000-0000-000044030000}"/>
    <hyperlink ref="FM227" r:id="rId826" xr:uid="{00000000-0004-0000-0000-000045030000}"/>
    <hyperlink ref="FP227" r:id="rId827" xr:uid="{00000000-0004-0000-0000-000046030000}"/>
    <hyperlink ref="AC227" r:id="rId828" xr:uid="{00000000-0004-0000-0000-000047030000}"/>
    <hyperlink ref="DB227" r:id="rId829" xr:uid="{00000000-0004-0000-0000-000048030000}"/>
    <hyperlink ref="FC228" r:id="rId830" xr:uid="{00000000-0004-0000-0000-000049030000}"/>
    <hyperlink ref="FM228" r:id="rId831" xr:uid="{00000000-0004-0000-0000-00004A030000}"/>
    <hyperlink ref="DB228" r:id="rId832" xr:uid="{00000000-0004-0000-0000-00004B030000}"/>
    <hyperlink ref="AC230" r:id="rId833" xr:uid="{00000000-0004-0000-0000-00004C030000}"/>
    <hyperlink ref="FC230" r:id="rId834" xr:uid="{00000000-0004-0000-0000-00004D030000}"/>
    <hyperlink ref="FC231" r:id="rId835" xr:uid="{00000000-0004-0000-0000-00004E030000}"/>
    <hyperlink ref="FM231" r:id="rId836" xr:uid="{00000000-0004-0000-0000-00004F030000}"/>
    <hyperlink ref="ET231" r:id="rId837" display="http://admkogalym.ru/upload/medialibrary/145/3_icx_182_19.pdf" xr:uid="{00000000-0004-0000-0000-000050030000}"/>
    <hyperlink ref="AC231" r:id="rId838" xr:uid="{00000000-0004-0000-0000-000051030000}"/>
    <hyperlink ref="DB231" r:id="rId839" xr:uid="{00000000-0004-0000-0000-000052030000}"/>
    <hyperlink ref="DJ231" r:id="rId840" display="http://admkogalym.ru/upload/dokumenty-KF/forma-ankety-dlya-uchastiya-v-oprose.pdf " xr:uid="{00000000-0004-0000-0000-000053030000}"/>
    <hyperlink ref="DM231" r:id="rId841" xr:uid="{00000000-0004-0000-0000-000054030000}"/>
    <hyperlink ref="AC232" r:id="rId842" xr:uid="{00000000-0004-0000-0000-000055030000}"/>
    <hyperlink ref="EN232" r:id="rId843" xr:uid="{00000000-0004-0000-0000-000056030000}"/>
    <hyperlink ref="DB232" r:id="rId844" xr:uid="{00000000-0004-0000-0000-000057030000}"/>
    <hyperlink ref="EB232" r:id="rId845" display="https://vk.com/wall-166261622_2643" xr:uid="{00000000-0004-0000-0000-000058030000}"/>
    <hyperlink ref="FD232" r:id="rId846" xr:uid="{00000000-0004-0000-0000-000059030000}"/>
    <hyperlink ref="FC232" r:id="rId847" xr:uid="{00000000-0004-0000-0000-00005A030000}"/>
    <hyperlink ref="FP232" r:id="rId848" xr:uid="{00000000-0004-0000-0000-00005B030000}"/>
    <hyperlink ref="FG232" r:id="rId849" xr:uid="{00000000-0004-0000-0000-00005C030000}"/>
    <hyperlink ref="AC233" r:id="rId850" display="https://admmegion.ru/gov/laws/index.php?ELEMENT_ID=329183" xr:uid="{00000000-0004-0000-0000-00005D030000}"/>
    <hyperlink ref="FP233" r:id="rId851" xr:uid="{00000000-0004-0000-0000-00005E030000}"/>
    <hyperlink ref="FC233" display="https://admmegion.ru/city/budcitizen/section/3764/                 В разделе обновлена информация о практиках инициативного бюджетирования, добавлены сведения о проектах инициативного бюджетирования и критерии оценки заявок, сведения о подготовке заявок, " xr:uid="{00000000-0004-0000-0000-00005F030000}"/>
    <hyperlink ref="AC234" r:id="rId852" xr:uid="{00000000-0004-0000-0000-000060030000}"/>
    <hyperlink ref="FM234" r:id="rId853" xr:uid="{00000000-0004-0000-0000-000061030000}"/>
    <hyperlink ref="FC234" r:id="rId854" xr:uid="{00000000-0004-0000-0000-000062030000}"/>
    <hyperlink ref="DB234" r:id="rId855" xr:uid="{00000000-0004-0000-0000-000063030000}"/>
    <hyperlink ref="AC235" r:id="rId856" xr:uid="{00000000-0004-0000-0000-000064030000}"/>
    <hyperlink ref="EB235" r:id="rId857" display="https://www.n-vartovsk.ru/ibudget/" xr:uid="{00000000-0004-0000-0000-000065030000}"/>
    <hyperlink ref="FC235" r:id="rId858" xr:uid="{00000000-0004-0000-0000-000066030000}"/>
    <hyperlink ref="FE235" r:id="rId859" xr:uid="{00000000-0004-0000-0000-000067030000}"/>
    <hyperlink ref="DB235" r:id="rId860" xr:uid="{00000000-0004-0000-0000-000068030000}"/>
    <hyperlink ref="EB236" r:id="rId861" xr:uid="{00000000-0004-0000-0000-000069030000}"/>
    <hyperlink ref="DJ236" r:id="rId862" xr:uid="{00000000-0004-0000-0000-00006A030000}"/>
    <hyperlink ref="FM236" r:id="rId863" xr:uid="{00000000-0004-0000-0000-00006B030000}"/>
    <hyperlink ref="FP236" r:id="rId864" xr:uid="{00000000-0004-0000-0000-00006C030000}"/>
    <hyperlink ref="AC237" r:id="rId865" display="https://docs.google.com/viewer?url=http://hmrn.ru/upload/iblock/3b7/47.docx " xr:uid="{00000000-0004-0000-0000-00006D030000}"/>
    <hyperlink ref="FM237" r:id="rId866" xr:uid="{00000000-0004-0000-0000-00006E030000}"/>
    <hyperlink ref="FP237" r:id="rId867" xr:uid="{00000000-0004-0000-0000-00006F030000}"/>
    <hyperlink ref="DB237" r:id="rId868" xr:uid="{00000000-0004-0000-0000-000070030000}"/>
    <hyperlink ref="AC238" r:id="rId869" xr:uid="{00000000-0004-0000-0000-000071030000}"/>
    <hyperlink ref="DB238" r:id="rId870" xr:uid="{00000000-0004-0000-0000-000072030000}"/>
    <hyperlink ref="FC238" r:id="rId871" xr:uid="{00000000-0004-0000-0000-000073030000}"/>
    <hyperlink ref="FD238" r:id="rId872" display="https://vk.com/feed?w=wall-172665895_104_x000a_" xr:uid="{00000000-0004-0000-0000-000074030000}"/>
    <hyperlink ref="FE238" r:id="rId873" xr:uid="{00000000-0004-0000-0000-000075030000}"/>
    <hyperlink ref="FP239" r:id="rId874" xr:uid="{00000000-0004-0000-0000-000076030000}"/>
    <hyperlink ref="FC239" r:id="rId875" xr:uid="{00000000-0004-0000-0000-000077030000}"/>
    <hyperlink ref="AC240" r:id="rId876" display="http://www.admrad.ru/постановление-администрации-города-43/" xr:uid="{00000000-0004-0000-0000-000078030000}"/>
    <hyperlink ref="FM240" r:id="rId877" xr:uid="{00000000-0004-0000-0000-000079030000}"/>
    <hyperlink ref="FP240" r:id="rId878" xr:uid="{00000000-0004-0000-0000-00007A030000}"/>
    <hyperlink ref="FC240" r:id="rId879" xr:uid="{00000000-0004-0000-0000-00007B030000}"/>
    <hyperlink ref="AC241" r:id="rId880" xr:uid="{00000000-0004-0000-0000-00007C030000}"/>
    <hyperlink ref="DB241" r:id="rId881" xr:uid="{00000000-0004-0000-0000-00007D030000}"/>
    <hyperlink ref="FE241" r:id="rId882" xr:uid="{00000000-0004-0000-0000-00007E030000}"/>
    <hyperlink ref="FC241" r:id="rId883" xr:uid="{00000000-0004-0000-0000-00007F030000}"/>
    <hyperlink ref="FM241" r:id="rId884" display="vatagina_aa@admsurgut.ru" xr:uid="{00000000-0004-0000-0000-000080030000}"/>
    <hyperlink ref="AC242" r:id="rId885" display="http://www.admsr.ru/upload/iblock/65b/3257_npa.docx" xr:uid="{00000000-0004-0000-0000-000081030000}"/>
    <hyperlink ref="EB242" r:id="rId886" xr:uid="{00000000-0004-0000-0000-000082030000}"/>
    <hyperlink ref="FC242" r:id="rId887" xr:uid="{00000000-0004-0000-0000-000083030000}"/>
    <hyperlink ref="FD242" r:id="rId888" display="https://vk.com/rmc_sr" xr:uid="{00000000-0004-0000-0000-000084030000}"/>
    <hyperlink ref="FM242" r:id="rId889" xr:uid="{00000000-0004-0000-0000-000085030000}"/>
    <hyperlink ref="DB242" r:id="rId890" xr:uid="{00000000-0004-0000-0000-000086030000}"/>
    <hyperlink ref="AC243" r:id="rId891" xr:uid="{00000000-0004-0000-0000-000087030000}"/>
    <hyperlink ref="FF243" r:id="rId892" xr:uid="{00000000-0004-0000-0000-000088030000}"/>
    <hyperlink ref="FD245" r:id="rId893" xr:uid="{00000000-0004-0000-0000-000089030000}"/>
    <hyperlink ref="AC249" r:id="rId894" display="http://gcheb.cap.ru/doc/laws/2018/02/09/postanovlenie201" xr:uid="{00000000-0004-0000-0000-00008A030000}"/>
    <hyperlink ref="FM249" r:id="rId895" xr:uid="{00000000-0004-0000-0000-00008B030000}"/>
    <hyperlink ref="FC249" r:id="rId896" xr:uid="{00000000-0004-0000-0000-00008C030000}"/>
    <hyperlink ref="DB249" r:id="rId897" xr:uid="{00000000-0004-0000-0000-00008D030000}"/>
    <hyperlink ref="DB252" r:id="rId898" xr:uid="{00000000-0004-0000-0000-00008E030000}"/>
    <hyperlink ref="EB252" r:id="rId899" display="https://xn--80adblbabq1bk1bi8r.xn--p1ai/solve/archive/1015/; " xr:uid="{00000000-0004-0000-0000-00008F030000}"/>
    <hyperlink ref="EN252" r:id="rId900" xr:uid="{00000000-0004-0000-0000-000090030000}"/>
    <hyperlink ref="FC252" r:id="rId901" xr:uid="{00000000-0004-0000-0000-000091030000}"/>
    <hyperlink ref="DM252" r:id="rId902" xr:uid="{00000000-0004-0000-0000-000092030000}"/>
    <hyperlink ref="FM252" r:id="rId903" display="iluhina@slh.yanao.ru" xr:uid="{00000000-0004-0000-0000-000093030000}"/>
    <hyperlink ref="FP252" r:id="rId904" xr:uid="{00000000-0004-0000-0000-000094030000}"/>
    <hyperlink ref="DY252" r:id="rId905" display="https://df.salekhard.org/byudzhetnaya-initsiativa-grazhdan/2019/contest3.php   " xr:uid="{00000000-0004-0000-0000-000095030000}"/>
    <hyperlink ref="FC253" r:id="rId906" xr:uid="{00000000-0004-0000-0000-000096030000}"/>
    <hyperlink ref="FM253" r:id="rId907" xr:uid="{00000000-0004-0000-0000-000097030000}"/>
    <hyperlink ref="FG253" r:id="rId908" display="https://yadi.sk/i/VrNkebyDmsJ7Ew_x000a_" xr:uid="{00000000-0004-0000-0000-000098030000}"/>
    <hyperlink ref="EB253" r:id="rId909" xr:uid="{00000000-0004-0000-0000-000099030000}"/>
    <hyperlink ref="FP253" r:id="rId910" xr:uid="{00000000-0004-0000-0000-00009A030000}"/>
    <hyperlink ref="AC254" r:id="rId911" xr:uid="{00000000-0004-0000-0000-00009B030000}"/>
    <hyperlink ref="FM254" r:id="rId912" xr:uid="{00000000-0004-0000-0000-00009C030000}"/>
    <hyperlink ref="DB254" r:id="rId913" xr:uid="{00000000-0004-0000-0000-00009D030000}"/>
    <hyperlink ref="FC254" r:id="rId914" xr:uid="{00000000-0004-0000-0000-00009E030000}"/>
    <hyperlink ref="FE254" r:id="rId915" xr:uid="{00000000-0004-0000-0000-00009F030000}"/>
    <hyperlink ref="FP254" r:id="rId916" xr:uid="{00000000-0004-0000-0000-0000A0030000}"/>
    <hyperlink ref="FC255" r:id="rId917" display="https://xn--80adblbabq1bk1bi8r.xn--p1ai/homely/" xr:uid="{00000000-0004-0000-0000-0000A1030000}"/>
    <hyperlink ref="FD255" r:id="rId918" display="http://muravlenko.yanao.ru/" xr:uid="{00000000-0004-0000-0000-0000A2030000}"/>
    <hyperlink ref="FE255" r:id="rId919" display="https://xn--80adblbabq1bk1bi8r.xn--p1ai/   " xr:uid="{00000000-0004-0000-0000-0000A3030000}"/>
    <hyperlink ref="AC255" r:id="rId920" display="http://muravlenko.yanao.ru/ekonomika-i-zhkh/municipalnye-finansy/bjudzhetnaya-iniciativa-grazhdan/dokumenty-bjudzhetnaya-iniciativa-grazhdan/49980-postanovlenie-o-realizacii-proekta-byudzhetnaya-iniciativa-grazhdan-na-territorii-goroda-muravlenko.html" xr:uid="{00000000-0004-0000-0000-0000A4030000}"/>
    <hyperlink ref="FP255" r:id="rId921" xr:uid="{00000000-0004-0000-0000-0000A5030000}"/>
    <hyperlink ref="AC256" r:id="rId922" xr:uid="{00000000-0004-0000-0000-0000A6030000}"/>
    <hyperlink ref="DB256" r:id="rId923" xr:uid="{00000000-0004-0000-0000-0000A7030000}"/>
    <hyperlink ref="FC256" r:id="rId924" xr:uid="{00000000-0004-0000-0000-0000A8030000}"/>
    <hyperlink ref="EB256" r:id="rId925" xr:uid="{00000000-0004-0000-0000-0000A9030000}"/>
    <hyperlink ref="FM256" r:id="rId926" xr:uid="{00000000-0004-0000-0000-0000AA030000}"/>
    <hyperlink ref="FP256" r:id="rId927" xr:uid="{00000000-0004-0000-0000-0000AB030000}"/>
    <hyperlink ref="AC257" r:id="rId928" xr:uid="{00000000-0004-0000-0000-0000AC030000}"/>
    <hyperlink ref="FM257" r:id="rId929" xr:uid="{00000000-0004-0000-0000-0000AD030000}"/>
    <hyperlink ref="FE257" r:id="rId930" xr:uid="{00000000-0004-0000-0000-0000AE030000}"/>
    <hyperlink ref="FD257" r:id="rId931" xr:uid="{00000000-0004-0000-0000-0000AF030000}"/>
    <hyperlink ref="FP257" r:id="rId932" xr:uid="{00000000-0004-0000-0000-0000B0030000}"/>
    <hyperlink ref="FM258" r:id="rId933" xr:uid="{00000000-0004-0000-0000-0000B1030000}"/>
    <hyperlink ref="AC258" r:id="rId934" xr:uid="{00000000-0004-0000-0000-0000B2030000}"/>
    <hyperlink ref="DB258" r:id="rId935" xr:uid="{00000000-0004-0000-0000-0000B3030000}"/>
    <hyperlink ref="DS258" display="в соответствии с Постановлением Администрации МО п. Пангоды № 285 от 01.08.2018 г. Об утверждении Порядка проведения конкурсного отбора проектов местных инициатив граждан по вопросам местного значения муниципального образования поселок Пангоды            " xr:uid="{00000000-0004-0000-0000-0000B4030000}"/>
    <hyperlink ref="FP258" r:id="rId936" xr:uid="{00000000-0004-0000-0000-0000B5030000}"/>
    <hyperlink ref="FM259" r:id="rId937" xr:uid="{00000000-0004-0000-0000-0000B6030000}"/>
    <hyperlink ref="FC259" r:id="rId938" xr:uid="{00000000-0004-0000-0000-0000B7030000}"/>
    <hyperlink ref="FP259" r:id="rId939" xr:uid="{00000000-0004-0000-0000-0000B8030000}"/>
    <hyperlink ref="AC260" r:id="rId940" xr:uid="{00000000-0004-0000-0000-0000B9030000}"/>
    <hyperlink ref="FM260" r:id="rId941" xr:uid="{00000000-0004-0000-0000-0000BA030000}"/>
    <hyperlink ref="FC260" r:id="rId942" xr:uid="{00000000-0004-0000-0000-0000BB030000}"/>
    <hyperlink ref="FP260" r:id="rId943" xr:uid="{00000000-0004-0000-0000-0000BC030000}"/>
    <hyperlink ref="FM261" r:id="rId944" xr:uid="{00000000-0004-0000-0000-0000BD030000}"/>
    <hyperlink ref="FP261" r:id="rId945" xr:uid="{00000000-0004-0000-0000-0000BE030000}"/>
    <hyperlink ref="AC262" r:id="rId946" display="http://admin-moovg.ru/documents/1255.html" xr:uid="{00000000-0004-0000-0000-0000BF030000}"/>
    <hyperlink ref="FD262" r:id="rId947" display="https://vk.com/id497767521?w=wall497767521_147%2Fall" xr:uid="{00000000-0004-0000-0000-0000C0030000}"/>
    <hyperlink ref="FM262" r:id="rId948" xr:uid="{00000000-0004-0000-0000-0000C1030000}"/>
    <hyperlink ref="EE262" r:id="rId949" xr:uid="{00000000-0004-0000-0000-0000C2030000}"/>
    <hyperlink ref="FP262" r:id="rId950" xr:uid="{00000000-0004-0000-0000-0000C3030000}"/>
    <hyperlink ref="AC263" r:id="rId951" xr:uid="{00000000-0004-0000-0000-0000C4030000}"/>
    <hyperlink ref="FC263" r:id="rId952" xr:uid="{00000000-0004-0000-0000-0000C5030000}"/>
    <hyperlink ref="FD263" r:id="rId953" xr:uid="{00000000-0004-0000-0000-0000C6030000}"/>
    <hyperlink ref="FP263" r:id="rId954" xr:uid="{00000000-0004-0000-0000-0000C7030000}"/>
    <hyperlink ref="AC264" r:id="rId955" xr:uid="{00000000-0004-0000-0000-0000C8030000}"/>
    <hyperlink ref="FM264" r:id="rId956" xr:uid="{00000000-0004-0000-0000-0000C9030000}"/>
    <hyperlink ref="FP264" r:id="rId957" xr:uid="{00000000-0004-0000-0000-0000CA030000}"/>
    <hyperlink ref="AC265" r:id="rId958" xr:uid="{00000000-0004-0000-0000-0000CB030000}"/>
    <hyperlink ref="FM265" r:id="rId959" xr:uid="{00000000-0004-0000-0000-0000CC030000}"/>
    <hyperlink ref="FC265" r:id="rId960" xr:uid="{00000000-0004-0000-0000-0000CD030000}"/>
    <hyperlink ref="FP265" r:id="rId961" xr:uid="{00000000-0004-0000-0000-0000CE030000}"/>
    <hyperlink ref="FM266" r:id="rId962" xr:uid="{00000000-0004-0000-0000-0000CF030000}"/>
    <hyperlink ref="AC266" r:id="rId963" xr:uid="{00000000-0004-0000-0000-0000D0030000}"/>
    <hyperlink ref="FC266" r:id="rId964" xr:uid="{00000000-0004-0000-0000-0000D1030000}"/>
    <hyperlink ref="EE266" r:id="rId965" xr:uid="{00000000-0004-0000-0000-0000D2030000}"/>
    <hyperlink ref="EN266" r:id="rId966" xr:uid="{00000000-0004-0000-0000-0000D3030000}"/>
    <hyperlink ref="FP266" r:id="rId967" xr:uid="{00000000-0004-0000-0000-0000D4030000}"/>
    <hyperlink ref="FM267" r:id="rId968" xr:uid="{00000000-0004-0000-0000-0000D5030000}"/>
    <hyperlink ref="AC267" r:id="rId969" xr:uid="{00000000-0004-0000-0000-0000D6030000}"/>
    <hyperlink ref="EN267" r:id="rId970" xr:uid="{00000000-0004-0000-0000-0000D7030000}"/>
    <hyperlink ref="FC267" r:id="rId971" xr:uid="{00000000-0004-0000-0000-0000D8030000}"/>
    <hyperlink ref="FP267" r:id="rId972" xr:uid="{00000000-0004-0000-0000-0000D9030000}"/>
    <hyperlink ref="FM268" r:id="rId973" xr:uid="{00000000-0004-0000-0000-0000DA030000}"/>
    <hyperlink ref="AC268" r:id="rId974" xr:uid="{00000000-0004-0000-0000-0000DB030000}"/>
    <hyperlink ref="DM268" r:id="rId975" xr:uid="{00000000-0004-0000-0000-0000DC030000}"/>
    <hyperlink ref="EE268" r:id="rId976" xr:uid="{00000000-0004-0000-0000-0000DD030000}"/>
    <hyperlink ref="EN268" r:id="rId977" xr:uid="{00000000-0004-0000-0000-0000DE030000}"/>
    <hyperlink ref="FP268" r:id="rId978" xr:uid="{00000000-0004-0000-0000-0000DF030000}"/>
    <hyperlink ref="AC269" r:id="rId979" xr:uid="{00000000-0004-0000-0000-0000E0030000}"/>
    <hyperlink ref="FC269" r:id="rId980" xr:uid="{00000000-0004-0000-0000-0000E1030000}"/>
    <hyperlink ref="FM269" r:id="rId981" xr:uid="{00000000-0004-0000-0000-0000E2030000}"/>
    <hyperlink ref="FP269" r:id="rId982" xr:uid="{00000000-0004-0000-0000-0000E3030000}"/>
    <hyperlink ref="AC270" r:id="rId983" xr:uid="{00000000-0004-0000-0000-0000E4030000}"/>
    <hyperlink ref="FM270" r:id="rId984" xr:uid="{00000000-0004-0000-0000-0000E5030000}"/>
    <hyperlink ref="FP270" r:id="rId985" xr:uid="{00000000-0004-0000-0000-0000E6030000}"/>
    <hyperlink ref="AC271" r:id="rId986" display="https://tasu.ru/files/819.pdf" xr:uid="{00000000-0004-0000-0000-0000E7030000}"/>
    <hyperlink ref="DM271" r:id="rId987" xr:uid="{00000000-0004-0000-0000-0000E8030000}"/>
    <hyperlink ref="EB271" r:id="rId988" xr:uid="{00000000-0004-0000-0000-0000E9030000}"/>
    <hyperlink ref="FC271" r:id="rId989" display="https://tasu.ru/ekonomika-i-finansy/initsiativnoe-byudzhetirovanie/;" xr:uid="{00000000-0004-0000-0000-0000EA030000}"/>
    <hyperlink ref="FE271" r:id="rId990" display="https://tasu.ru/ekonomika-i-finansy/initsiativnoe-byudzhetirovanie/;" xr:uid="{00000000-0004-0000-0000-0000EB030000}"/>
    <hyperlink ref="FM271" r:id="rId991" xr:uid="{00000000-0004-0000-0000-0000EC030000}"/>
    <hyperlink ref="FP271" r:id="rId992" xr:uid="{00000000-0004-0000-0000-0000ED030000}"/>
    <hyperlink ref="EB272" r:id="rId993" xr:uid="{00000000-0004-0000-0000-0000EE030000}"/>
    <hyperlink ref="FM272" r:id="rId994" xr:uid="{00000000-0004-0000-0000-0000EF030000}"/>
    <hyperlink ref="AC272" r:id="rId995" xr:uid="{00000000-0004-0000-0000-0000F0030000}"/>
    <hyperlink ref="FP272" r:id="rId996" xr:uid="{00000000-0004-0000-0000-0000F1030000}"/>
    <hyperlink ref="AC273" r:id="rId997" display="https://www.puradm.ru/one-doc/4235" xr:uid="{00000000-0004-0000-0000-0000F2030000}"/>
    <hyperlink ref="DB273" r:id="rId998" xr:uid="{00000000-0004-0000-0000-0000F3030000}"/>
    <hyperlink ref="FC273" r:id="rId999" location="iniciativa" display="http://dfik.ru/#iniciativa" xr:uid="{00000000-0004-0000-0000-0000F4030000}"/>
    <hyperlink ref="FD273" r:id="rId1000" display="https://www.puradm.ru/search/index.php?q=%D0%98%D0%9D%D0%98%D0%A6%D0%98%D0%90%D0%A2%D0%98%D0%92%D0%9D%D0%9E%D0%95+%D0%91%D0%AE%D0%94%D0%96%D0%95%D0%A2%D0%98%D0%A0%D0%9E%D0%92%D0%90%D0%9D%D0%98%D0%95" xr:uid="{00000000-0004-0000-0000-0000F5030000}"/>
    <hyperlink ref="EB273" r:id="rId1001" display="https://www.xn--80adblbabq1bk1bi8r.xn--p1ai/solve/archive/1282/" xr:uid="{00000000-0004-0000-0000-0000F6030000}"/>
    <hyperlink ref="FM273" r:id="rId1002" xr:uid="{00000000-0004-0000-0000-0000F7030000}"/>
    <hyperlink ref="FP273" r:id="rId1003" xr:uid="{00000000-0004-0000-0000-0000F8030000}"/>
    <hyperlink ref="AC274" r:id="rId1004" display="https://drive.google.com/file/d/1bR9hbPZh8gWmMrCX7YU0-EF__3g0df5T/view" xr:uid="{00000000-0004-0000-0000-0000F9030000}"/>
    <hyperlink ref="DB274" r:id="rId1005" xr:uid="{00000000-0004-0000-0000-0000FA030000}"/>
    <hyperlink ref="EE274" r:id="rId1006" xr:uid="{00000000-0004-0000-0000-0000FB030000}"/>
    <hyperlink ref="FC274" r:id="rId1007" xr:uid="{00000000-0004-0000-0000-0000FC030000}"/>
    <hyperlink ref="FM274" r:id="rId1008" xr:uid="{00000000-0004-0000-0000-0000FD030000}"/>
    <hyperlink ref="FP274" r:id="rId1009" xr:uid="{00000000-0004-0000-0000-0000FE030000}"/>
    <hyperlink ref="DB275" r:id="rId1010" xr:uid="{00000000-0004-0000-0000-0000FF030000}"/>
    <hyperlink ref="AC275" r:id="rId1011" display="http://hanimey.ru/documents/1455.html" xr:uid="{00000000-0004-0000-0000-000000040000}"/>
    <hyperlink ref="FC275" r:id="rId1012" xr:uid="{00000000-0004-0000-0000-000001040000}"/>
    <hyperlink ref="FM275" r:id="rId1013" xr:uid="{00000000-0004-0000-0000-000002040000}"/>
    <hyperlink ref="EN275" r:id="rId1014" xr:uid="{00000000-0004-0000-0000-000003040000}"/>
    <hyperlink ref="FP275" r:id="rId1015" xr:uid="{00000000-0004-0000-0000-000004040000}"/>
    <hyperlink ref="FC276" r:id="rId1016" xr:uid="{00000000-0004-0000-0000-000005040000}"/>
    <hyperlink ref="FD276" r:id="rId1017" xr:uid="{00000000-0004-0000-0000-000006040000}"/>
    <hyperlink ref="FE276" r:id="rId1018" xr:uid="{00000000-0004-0000-0000-000007040000}"/>
    <hyperlink ref="FF276" r:id="rId1019" xr:uid="{00000000-0004-0000-0000-000008040000}"/>
    <hyperlink ref="AC276" r:id="rId1020" xr:uid="{00000000-0004-0000-0000-000009040000}"/>
    <hyperlink ref="DB276" r:id="rId1021" xr:uid="{00000000-0004-0000-0000-00000A040000}"/>
    <hyperlink ref="FM276" r:id="rId1022" display="IrinaAGadzieva@krasnoselkupsky.yanao.ru, " xr:uid="{00000000-0004-0000-0000-00000B040000}"/>
    <hyperlink ref="FP276" r:id="rId1023" xr:uid="{00000000-0004-0000-0000-00000C040000}"/>
    <hyperlink ref="K251" r:id="rId1024" display="http://www.admomsk.ru/web/guest/government/divisions/62/social-relations/org" xr:uid="{00000000-0004-0000-0000-00000D040000}"/>
    <hyperlink ref="K259" r:id="rId1025" display="evn_adm@mail.ru" xr:uid="{00000000-0004-0000-0000-00000E040000}"/>
    <hyperlink ref="FE102" r:id="rId1026" xr:uid="{00000000-0004-0000-0000-00000F040000}"/>
    <hyperlink ref="FM102" r:id="rId1027" xr:uid="{00000000-0004-0000-0000-000010040000}"/>
    <hyperlink ref="U14" r:id="rId1028" xr:uid="{00000000-0004-0000-0000-000011040000}"/>
    <hyperlink ref="Y14" r:id="rId1029" xr:uid="{00000000-0004-0000-0000-000012040000}"/>
    <hyperlink ref="AA14" r:id="rId1030" xr:uid="{00000000-0004-0000-0000-000013040000}"/>
    <hyperlink ref="CY14" r:id="rId1031" display="https://astrastat.gks.ru/" xr:uid="{00000000-0004-0000-0000-000014040000}"/>
    <hyperlink ref="FM14" r:id="rId1032" xr:uid="{00000000-0004-0000-0000-000015040000}"/>
    <hyperlink ref="FC14" r:id="rId1033" xr:uid="{00000000-0004-0000-0000-000016040000}"/>
    <hyperlink ref="FP14" r:id="rId1034" xr:uid="{00000000-0004-0000-0000-000017040000}"/>
    <hyperlink ref="AB82" r:id="rId1035" display="http://www.sbor.ru/Files/file/ob_utverzhdenii_polozheniya_o_proekte_po_partitsipatornomu_byudzhetirovaniyu_-ya_planiruyu_byudzhet-.doc" xr:uid="{00000000-0004-0000-0000-000018040000}"/>
    <hyperlink ref="AC82" r:id="rId1036" xr:uid="{00000000-0004-0000-0000-000019040000}"/>
    <hyperlink ref="FM82" r:id="rId1037" xr:uid="{00000000-0004-0000-0000-00001A040000}"/>
    <hyperlink ref="FE82" r:id="rId1038" xr:uid="{00000000-0004-0000-0000-00001B040000}"/>
    <hyperlink ref="CX9" r:id="rId1039" xr:uid="{00000000-0004-0000-0000-00001C040000}"/>
    <hyperlink ref="CX7" r:id="rId1040" xr:uid="{00000000-0004-0000-0000-00001D040000}"/>
    <hyperlink ref="CX8" r:id="rId1041" xr:uid="{00000000-0004-0000-0000-00001E040000}"/>
    <hyperlink ref="CX36" r:id="rId1042" xr:uid="{00000000-0004-0000-0000-00001F040000}"/>
    <hyperlink ref="CX95" r:id="rId1043" xr:uid="{00000000-0004-0000-0000-000020040000}"/>
    <hyperlink ref="CX80" r:id="rId1044" xr:uid="{00000000-0004-0000-0000-000021040000}"/>
    <hyperlink ref="CX147" r:id="rId1045" xr:uid="{00000000-0004-0000-0000-000022040000}"/>
    <hyperlink ref="CX104" r:id="rId1046" xr:uid="{00000000-0004-0000-0000-000023040000}"/>
    <hyperlink ref="CX106" r:id="rId1047" xr:uid="{00000000-0004-0000-0000-000024040000}"/>
    <hyperlink ref="CX107" r:id="rId1048" xr:uid="{00000000-0004-0000-0000-000025040000}"/>
    <hyperlink ref="CX127" r:id="rId1049" xr:uid="{00000000-0004-0000-0000-000026040000}"/>
    <hyperlink ref="CX163" r:id="rId1050" xr:uid="{00000000-0004-0000-0000-000027040000}"/>
    <hyperlink ref="CX180" r:id="rId1051" xr:uid="{00000000-0004-0000-0000-000028040000}"/>
    <hyperlink ref="CX174" r:id="rId1052" xr:uid="{00000000-0004-0000-0000-000029040000}"/>
    <hyperlink ref="CX178" r:id="rId1053" xr:uid="{00000000-0004-0000-0000-00002A040000}"/>
    <hyperlink ref="CX179" r:id="rId1054" xr:uid="{00000000-0004-0000-0000-00002B040000}"/>
    <hyperlink ref="CX258" r:id="rId1055" xr:uid="{00000000-0004-0000-0000-00002C040000}"/>
    <hyperlink ref="DB104" r:id="rId1056" xr:uid="{00000000-0004-0000-0000-00002D040000}"/>
    <hyperlink ref="DB162" r:id="rId1057" xr:uid="{00000000-0004-0000-0000-00002E040000}"/>
    <hyperlink ref="DB178" r:id="rId1058" xr:uid="{00000000-0004-0000-0000-00002F040000}"/>
    <hyperlink ref="DB267" r:id="rId1059" xr:uid="{00000000-0004-0000-0000-000030040000}"/>
    <hyperlink ref="DB257" r:id="rId1060" xr:uid="{00000000-0004-0000-0000-000031040000}"/>
    <hyperlink ref="FG128" r:id="rId1061" xr:uid="{00000000-0004-0000-0000-000032040000}"/>
    <hyperlink ref="FO128" r:id="rId1062" xr:uid="{00000000-0004-0000-0000-000033040000}"/>
    <hyperlink ref="FF128" r:id="rId1063" display="https://yadi.sk/d/arZkxRQtzUkxNA" xr:uid="{00000000-0004-0000-0000-000034040000}"/>
    <hyperlink ref="FD128" r:id="rId1064" xr:uid="{00000000-0004-0000-0000-000035040000}"/>
    <hyperlink ref="FC128" r:id="rId1065" xr:uid="{00000000-0004-0000-0000-000036040000}"/>
    <hyperlink ref="AA128" r:id="rId1066" xr:uid="{00000000-0004-0000-0000-000037040000}"/>
    <hyperlink ref="AC37" r:id="rId1067" display="https://mayor.cherinfo.ru/decree/102141-postanovlenie-merii-goroda-cerepovca-ot-18062019-no-2883-o-proekte-narodnyj-budzet-tos" xr:uid="{00000000-0004-0000-0000-000038040000}"/>
    <hyperlink ref="FM37" r:id="rId1068" display="n_chumina@cherepovetscity.ru" xr:uid="{00000000-0004-0000-0000-000039040000}"/>
    <hyperlink ref="DB37" r:id="rId1069" xr:uid="{00000000-0004-0000-0000-00003A040000}"/>
    <hyperlink ref="FP37" r:id="rId1070" xr:uid="{00000000-0004-0000-0000-00003B040000}"/>
    <hyperlink ref="AC38" r:id="rId1071" location="0463841300311135" xr:uid="{00000000-0004-0000-0000-00003C040000}"/>
    <hyperlink ref="DM38" r:id="rId1072" xr:uid="{00000000-0004-0000-0000-00003D040000}"/>
    <hyperlink ref="ET38" r:id="rId1073" xr:uid="{00000000-0004-0000-0000-00003E040000}"/>
    <hyperlink ref="FM38" r:id="rId1074" xr:uid="{00000000-0004-0000-0000-00003F040000}"/>
    <hyperlink ref="FP38" r:id="rId1075" xr:uid="{00000000-0004-0000-0000-000040040000}"/>
  </hyperlinks>
  <pageMargins left="0.7" right="0.7" top="0.75" bottom="0.75" header="0.3" footer="0.3"/>
  <pageSetup paperSize="9" scale="10" fitToWidth="0" fitToHeight="3" orientation="portrait" horizontalDpi="4294967293" verticalDpi="4294967293" r:id="rId1076"/>
  <legacyDrawing r:id="rId107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77"/>
  <sheetViews>
    <sheetView zoomScale="70" zoomScaleNormal="70" workbookViewId="0">
      <pane xSplit="9" ySplit="2" topLeftCell="J3" activePane="bottomRight" state="frozen"/>
      <selection pane="topRight" activeCell="J1" sqref="J1"/>
      <selection pane="bottomLeft" activeCell="A3" sqref="A3"/>
      <selection pane="bottomRight" activeCell="P218" sqref="P218"/>
    </sheetView>
  </sheetViews>
  <sheetFormatPr baseColWidth="10" defaultColWidth="8.6640625" defaultRowHeight="13"/>
  <cols>
    <col min="1" max="1" width="8.6640625" style="36"/>
    <col min="2" max="2" width="11.6640625" style="36" customWidth="1"/>
    <col min="3" max="3" width="17.83203125" style="36" customWidth="1"/>
    <col min="4" max="5" width="8.6640625" style="36"/>
    <col min="6" max="6" width="11.5" style="36" customWidth="1"/>
    <col min="7" max="7" width="32.6640625" style="36" customWidth="1"/>
    <col min="8" max="8" width="14.1640625" style="36" customWidth="1"/>
    <col min="9" max="9" width="15.83203125" style="36" customWidth="1"/>
    <col min="10" max="14" width="8.6640625" style="36" customWidth="1"/>
    <col min="15" max="15" width="11.33203125" style="224" customWidth="1"/>
    <col min="16" max="16" width="14.5" style="36" customWidth="1"/>
    <col min="17" max="17" width="9.83203125" style="36" customWidth="1"/>
    <col min="18" max="18" width="12.6640625" style="36" customWidth="1"/>
    <col min="19" max="19" width="13.1640625" style="36" customWidth="1"/>
    <col min="20" max="20" width="9.83203125" style="36" customWidth="1"/>
    <col min="21" max="21" width="8.83203125" style="36" bestFit="1" customWidth="1"/>
    <col min="22" max="22" width="10.5" style="36" customWidth="1"/>
    <col min="23" max="29" width="8.83203125" style="36" bestFit="1" customWidth="1"/>
    <col min="30" max="31" width="8.83203125" style="160" bestFit="1" customWidth="1"/>
    <col min="32" max="32" width="8.83203125" style="36" bestFit="1" customWidth="1"/>
    <col min="33" max="34" width="8.83203125" style="160" bestFit="1" customWidth="1"/>
    <col min="35" max="37" width="8.83203125" style="36" bestFit="1" customWidth="1"/>
    <col min="38" max="38" width="10.6640625" style="36" customWidth="1"/>
    <col min="39" max="39" width="9.33203125" style="36" bestFit="1" customWidth="1"/>
    <col min="40" max="41" width="8.83203125" style="160" bestFit="1" customWidth="1"/>
    <col min="42" max="42" width="11.6640625" style="36" customWidth="1"/>
    <col min="43" max="43" width="8.83203125" style="36" bestFit="1" customWidth="1"/>
    <col min="44" max="44" width="8.6640625" style="36" customWidth="1"/>
    <col min="45" max="45" width="12.1640625" style="36" customWidth="1"/>
    <col min="46" max="50" width="8.83203125" style="36" bestFit="1" customWidth="1"/>
    <col min="51" max="51" width="8.83203125" style="160" bestFit="1" customWidth="1"/>
    <col min="52" max="53" width="8.83203125" style="36" bestFit="1" customWidth="1"/>
    <col min="54" max="54" width="8.83203125" style="160" bestFit="1" customWidth="1"/>
    <col min="55" max="55" width="8.83203125" style="36" bestFit="1" customWidth="1"/>
    <col min="56" max="57" width="8.83203125" style="160" bestFit="1" customWidth="1"/>
    <col min="58" max="68" width="8.83203125" style="36" bestFit="1" customWidth="1"/>
    <col min="69" max="69" width="8.83203125" style="160" bestFit="1" customWidth="1"/>
    <col min="70" max="75" width="8.83203125" style="36" bestFit="1" customWidth="1"/>
    <col min="76" max="76" width="7.83203125" style="36" customWidth="1"/>
    <col min="77" max="77" width="10.6640625" style="36" customWidth="1"/>
    <col min="78" max="78" width="8.83203125" style="36" bestFit="1" customWidth="1"/>
    <col min="79" max="80" width="8.83203125" style="160" bestFit="1" customWidth="1"/>
    <col min="81" max="81" width="8.83203125" style="36" bestFit="1" customWidth="1"/>
    <col min="82" max="82" width="15" style="36" customWidth="1"/>
    <col min="83" max="87" width="8.83203125" style="36" bestFit="1" customWidth="1"/>
    <col min="88" max="88" width="8.83203125" style="160" bestFit="1" customWidth="1"/>
    <col min="89" max="92" width="8.83203125" style="36" bestFit="1" customWidth="1"/>
    <col min="93" max="93" width="8.83203125" style="160" bestFit="1" customWidth="1"/>
    <col min="94" max="95" width="8.83203125" style="36" bestFit="1" customWidth="1"/>
    <col min="96" max="96" width="8.83203125" style="160" bestFit="1" customWidth="1"/>
    <col min="97" max="100" width="8.83203125" style="36" bestFit="1" customWidth="1"/>
    <col min="101" max="16384" width="8.6640625" style="36"/>
  </cols>
  <sheetData>
    <row r="1" spans="1:100" ht="27" customHeight="1" thickBot="1">
      <c r="P1" s="135" t="s">
        <v>5385</v>
      </c>
      <c r="Q1" s="136" t="s">
        <v>5386</v>
      </c>
      <c r="R1" s="137" t="s">
        <v>5388</v>
      </c>
      <c r="S1" s="137" t="s">
        <v>5389</v>
      </c>
      <c r="T1" s="136" t="s">
        <v>5390</v>
      </c>
      <c r="U1" s="136" t="s">
        <v>5391</v>
      </c>
      <c r="V1" s="136" t="s">
        <v>5392</v>
      </c>
      <c r="W1" s="132" t="s">
        <v>5394</v>
      </c>
      <c r="X1" s="132" t="s">
        <v>5395</v>
      </c>
      <c r="Y1" s="132" t="s">
        <v>5393</v>
      </c>
      <c r="Z1" s="132" t="s">
        <v>5396</v>
      </c>
      <c r="AA1" s="134" t="s">
        <v>5398</v>
      </c>
      <c r="AB1" s="134" t="s">
        <v>5397</v>
      </c>
      <c r="AC1" s="134" t="s">
        <v>5399</v>
      </c>
      <c r="AD1" s="158" t="s">
        <v>5400</v>
      </c>
      <c r="AE1" s="158" t="s">
        <v>5401</v>
      </c>
      <c r="AF1" s="134" t="s">
        <v>5402</v>
      </c>
      <c r="AG1" s="158" t="s">
        <v>5403</v>
      </c>
      <c r="AH1" s="158" t="s">
        <v>5404</v>
      </c>
      <c r="AI1" s="134" t="s">
        <v>5405</v>
      </c>
      <c r="AJ1" s="134" t="s">
        <v>5406</v>
      </c>
      <c r="AK1" s="132" t="s">
        <v>5407</v>
      </c>
      <c r="AL1" s="132" t="s">
        <v>5408</v>
      </c>
      <c r="AM1" s="132" t="s">
        <v>5409</v>
      </c>
      <c r="AN1" s="164" t="s">
        <v>5410</v>
      </c>
      <c r="AO1" s="164" t="s">
        <v>5411</v>
      </c>
      <c r="AP1" s="132" t="s">
        <v>5412</v>
      </c>
      <c r="AQ1" s="132" t="s">
        <v>5413</v>
      </c>
      <c r="AR1" s="132" t="s">
        <v>5414</v>
      </c>
      <c r="AS1" s="132" t="s">
        <v>5415</v>
      </c>
      <c r="AT1" s="132" t="s">
        <v>5416</v>
      </c>
      <c r="AU1" s="132" t="s">
        <v>5417</v>
      </c>
      <c r="AV1" s="132" t="s">
        <v>5418</v>
      </c>
      <c r="AW1" s="132" t="s">
        <v>5419</v>
      </c>
      <c r="AX1" s="132" t="s">
        <v>5420</v>
      </c>
      <c r="AY1" s="164" t="s">
        <v>5421</v>
      </c>
      <c r="AZ1" s="132" t="s">
        <v>5422</v>
      </c>
      <c r="BA1" s="132" t="s">
        <v>5423</v>
      </c>
      <c r="BB1" s="164" t="s">
        <v>5424</v>
      </c>
      <c r="BC1" s="132" t="s">
        <v>5425</v>
      </c>
      <c r="BD1" s="164" t="s">
        <v>5426</v>
      </c>
      <c r="BE1" s="164" t="s">
        <v>5427</v>
      </c>
      <c r="BF1" s="132" t="s">
        <v>5428</v>
      </c>
      <c r="BG1" s="132" t="s">
        <v>5429</v>
      </c>
      <c r="BH1" s="132" t="s">
        <v>5430</v>
      </c>
      <c r="BI1" s="132" t="s">
        <v>5431</v>
      </c>
      <c r="BJ1" s="132" t="s">
        <v>5432</v>
      </c>
      <c r="BK1" s="132" t="s">
        <v>5433</v>
      </c>
      <c r="BL1" s="132" t="s">
        <v>5434</v>
      </c>
      <c r="BM1" s="132" t="s">
        <v>5435</v>
      </c>
      <c r="BN1" s="132" t="s">
        <v>5436</v>
      </c>
      <c r="BO1" s="132" t="s">
        <v>5437</v>
      </c>
      <c r="BP1" s="132" t="s">
        <v>5438</v>
      </c>
      <c r="BQ1" s="164" t="s">
        <v>5439</v>
      </c>
      <c r="BR1" s="132" t="s">
        <v>5440</v>
      </c>
      <c r="BS1" s="132" t="s">
        <v>5441</v>
      </c>
      <c r="BT1" s="132" t="s">
        <v>5442</v>
      </c>
      <c r="BU1" s="132" t="s">
        <v>5443</v>
      </c>
      <c r="BV1" s="132" t="s">
        <v>5444</v>
      </c>
      <c r="BW1" s="132" t="s">
        <v>5445</v>
      </c>
      <c r="BX1" s="132" t="s">
        <v>5446</v>
      </c>
      <c r="BY1" s="132" t="s">
        <v>5447</v>
      </c>
      <c r="BZ1" s="132" t="s">
        <v>5448</v>
      </c>
      <c r="CA1" s="164" t="s">
        <v>5449</v>
      </c>
      <c r="CB1" s="164" t="s">
        <v>5450</v>
      </c>
      <c r="CC1" s="132" t="s">
        <v>5451</v>
      </c>
      <c r="CD1" s="132" t="s">
        <v>5452</v>
      </c>
      <c r="CE1" s="132" t="s">
        <v>5453</v>
      </c>
      <c r="CF1" s="132" t="s">
        <v>5454</v>
      </c>
      <c r="CG1" s="132" t="s">
        <v>5455</v>
      </c>
      <c r="CH1" s="132" t="s">
        <v>5456</v>
      </c>
      <c r="CI1" s="132" t="s">
        <v>5457</v>
      </c>
      <c r="CJ1" s="164" t="s">
        <v>5458</v>
      </c>
      <c r="CK1" s="132" t="s">
        <v>5459</v>
      </c>
      <c r="CL1" s="132" t="s">
        <v>5460</v>
      </c>
      <c r="CM1" s="132" t="s">
        <v>5461</v>
      </c>
      <c r="CN1" s="132" t="s">
        <v>5462</v>
      </c>
      <c r="CO1" s="164" t="s">
        <v>5463</v>
      </c>
      <c r="CP1" s="132" t="s">
        <v>5464</v>
      </c>
      <c r="CQ1" s="132" t="s">
        <v>5465</v>
      </c>
      <c r="CR1" s="164" t="s">
        <v>5466</v>
      </c>
      <c r="CS1" s="132" t="s">
        <v>5467</v>
      </c>
      <c r="CT1" s="132" t="s">
        <v>5468</v>
      </c>
      <c r="CU1" s="132" t="s">
        <v>5469</v>
      </c>
      <c r="CV1" s="132" t="s">
        <v>5470</v>
      </c>
    </row>
    <row r="2" spans="1:100" ht="71" thickBot="1">
      <c r="A2" s="22" t="s">
        <v>4941</v>
      </c>
      <c r="B2" s="22" t="s">
        <v>4942</v>
      </c>
      <c r="C2" s="33" t="s">
        <v>4943</v>
      </c>
      <c r="D2" s="33"/>
      <c r="E2" s="22" t="s">
        <v>4941</v>
      </c>
      <c r="F2" s="34"/>
      <c r="G2" s="35" t="s">
        <v>4943</v>
      </c>
      <c r="H2" s="23" t="s">
        <v>4944</v>
      </c>
      <c r="I2" s="24"/>
      <c r="L2" s="138">
        <v>2016</v>
      </c>
      <c r="M2" s="138">
        <v>2017</v>
      </c>
      <c r="N2" s="138">
        <v>2018</v>
      </c>
      <c r="O2" s="138">
        <v>2019</v>
      </c>
      <c r="P2" s="3" t="s">
        <v>192</v>
      </c>
      <c r="Q2" s="3" t="s">
        <v>5387</v>
      </c>
      <c r="R2" s="3" t="s">
        <v>194</v>
      </c>
      <c r="S2" s="3" t="s">
        <v>195</v>
      </c>
      <c r="T2" s="3" t="s">
        <v>196</v>
      </c>
      <c r="U2" s="3" t="s">
        <v>197</v>
      </c>
      <c r="V2" s="3" t="s">
        <v>198</v>
      </c>
      <c r="W2" s="3" t="s">
        <v>199</v>
      </c>
      <c r="X2" s="3" t="s">
        <v>200</v>
      </c>
      <c r="Y2" s="3" t="s">
        <v>201</v>
      </c>
      <c r="Z2" s="3" t="s">
        <v>202</v>
      </c>
      <c r="AA2" s="3" t="s">
        <v>203</v>
      </c>
      <c r="AB2" s="3" t="s">
        <v>204</v>
      </c>
      <c r="AC2" s="3" t="s">
        <v>205</v>
      </c>
      <c r="AD2" s="159" t="s">
        <v>206</v>
      </c>
      <c r="AE2" s="159" t="s">
        <v>207</v>
      </c>
      <c r="AF2" s="3" t="s">
        <v>208</v>
      </c>
      <c r="AG2" s="159" t="s">
        <v>209</v>
      </c>
      <c r="AH2" s="159" t="s">
        <v>210</v>
      </c>
      <c r="AI2" s="3" t="s">
        <v>211</v>
      </c>
      <c r="AJ2" s="3" t="s">
        <v>212</v>
      </c>
      <c r="AK2" s="3" t="s">
        <v>213</v>
      </c>
      <c r="AL2" s="3" t="s">
        <v>214</v>
      </c>
      <c r="AM2" s="1" t="s">
        <v>215</v>
      </c>
      <c r="AN2" s="165" t="s">
        <v>216</v>
      </c>
      <c r="AO2" s="165" t="s">
        <v>217</v>
      </c>
      <c r="AP2" s="1" t="s">
        <v>218</v>
      </c>
      <c r="AQ2" s="1" t="s">
        <v>219</v>
      </c>
      <c r="AR2" s="1" t="s">
        <v>220</v>
      </c>
      <c r="AS2" s="1" t="s">
        <v>221</v>
      </c>
      <c r="AT2" s="1" t="s">
        <v>222</v>
      </c>
      <c r="AU2" s="1" t="s">
        <v>223</v>
      </c>
      <c r="AV2" s="1" t="s">
        <v>224</v>
      </c>
      <c r="AW2" s="1" t="s">
        <v>225</v>
      </c>
      <c r="AX2" s="1" t="s">
        <v>226</v>
      </c>
      <c r="AY2" s="165" t="s">
        <v>227</v>
      </c>
      <c r="AZ2" s="1" t="s">
        <v>228</v>
      </c>
      <c r="BA2" s="1" t="s">
        <v>229</v>
      </c>
      <c r="BB2" s="165" t="s">
        <v>230</v>
      </c>
      <c r="BC2" s="1" t="s">
        <v>231</v>
      </c>
      <c r="BD2" s="165" t="s">
        <v>232</v>
      </c>
      <c r="BE2" s="165" t="s">
        <v>233</v>
      </c>
      <c r="BF2" s="1" t="s">
        <v>234</v>
      </c>
      <c r="BG2" s="1" t="s">
        <v>235</v>
      </c>
      <c r="BH2" s="1" t="s">
        <v>236</v>
      </c>
      <c r="BI2" s="1" t="s">
        <v>237</v>
      </c>
      <c r="BJ2" s="1" t="s">
        <v>238</v>
      </c>
      <c r="BK2" s="1" t="s">
        <v>239</v>
      </c>
      <c r="BL2" s="1" t="s">
        <v>240</v>
      </c>
      <c r="BM2" s="1" t="s">
        <v>241</v>
      </c>
      <c r="BN2" s="1" t="s">
        <v>242</v>
      </c>
      <c r="BO2" s="1" t="s">
        <v>243</v>
      </c>
      <c r="BP2" s="1" t="s">
        <v>244</v>
      </c>
      <c r="BQ2" s="165" t="s">
        <v>245</v>
      </c>
      <c r="BR2" s="1" t="s">
        <v>246</v>
      </c>
      <c r="BS2" s="1" t="s">
        <v>247</v>
      </c>
      <c r="BT2" s="1" t="s">
        <v>248</v>
      </c>
      <c r="BU2" s="1" t="s">
        <v>249</v>
      </c>
      <c r="BV2" s="1" t="s">
        <v>250</v>
      </c>
      <c r="BW2" s="1" t="s">
        <v>251</v>
      </c>
      <c r="BX2" s="1" t="s">
        <v>252</v>
      </c>
      <c r="BY2" s="1" t="s">
        <v>253</v>
      </c>
      <c r="BZ2" s="1" t="s">
        <v>254</v>
      </c>
      <c r="CA2" s="165" t="s">
        <v>255</v>
      </c>
      <c r="CB2" s="165" t="s">
        <v>256</v>
      </c>
      <c r="CC2" s="1" t="s">
        <v>257</v>
      </c>
      <c r="CD2" s="1" t="s">
        <v>258</v>
      </c>
      <c r="CE2" s="1" t="s">
        <v>259</v>
      </c>
      <c r="CF2" s="1" t="s">
        <v>260</v>
      </c>
      <c r="CG2" s="1" t="s">
        <v>261</v>
      </c>
      <c r="CH2" s="1" t="s">
        <v>262</v>
      </c>
      <c r="CI2" s="1" t="s">
        <v>263</v>
      </c>
      <c r="CJ2" s="165" t="s">
        <v>264</v>
      </c>
      <c r="CK2" s="1" t="s">
        <v>265</v>
      </c>
      <c r="CL2" s="1" t="s">
        <v>266</v>
      </c>
      <c r="CM2" s="1" t="s">
        <v>267</v>
      </c>
      <c r="CN2" s="1" t="s">
        <v>268</v>
      </c>
      <c r="CO2" s="165" t="s">
        <v>269</v>
      </c>
      <c r="CP2" s="1" t="s">
        <v>270</v>
      </c>
      <c r="CQ2" s="1" t="s">
        <v>271</v>
      </c>
      <c r="CR2" s="165" t="s">
        <v>272</v>
      </c>
      <c r="CS2" s="1" t="s">
        <v>273</v>
      </c>
      <c r="CT2" s="1" t="s">
        <v>274</v>
      </c>
      <c r="CU2" s="1" t="s">
        <v>275</v>
      </c>
      <c r="CV2" s="1" t="s">
        <v>276</v>
      </c>
    </row>
    <row r="3" spans="1:100" ht="15" thickBot="1">
      <c r="A3" s="4"/>
      <c r="B3" s="4"/>
      <c r="C3" s="5" t="s">
        <v>4945</v>
      </c>
      <c r="D3" s="5"/>
      <c r="E3" s="5"/>
      <c r="F3" s="6"/>
      <c r="G3" s="7"/>
      <c r="H3" s="8"/>
      <c r="I3" s="9"/>
    </row>
    <row r="4" spans="1:100" ht="42">
      <c r="A4" s="763" t="s">
        <v>4946</v>
      </c>
      <c r="B4" s="766" t="s">
        <v>4947</v>
      </c>
      <c r="C4" s="769" t="s">
        <v>4948</v>
      </c>
      <c r="D4" s="37" t="s">
        <v>4949</v>
      </c>
      <c r="E4" s="37">
        <v>1</v>
      </c>
      <c r="F4" s="38" t="s">
        <v>4950</v>
      </c>
      <c r="G4" s="39" t="s">
        <v>4951</v>
      </c>
      <c r="H4" s="40" t="s">
        <v>4952</v>
      </c>
      <c r="I4" s="41" t="s">
        <v>4953</v>
      </c>
      <c r="M4" s="36">
        <v>75</v>
      </c>
      <c r="N4" s="36">
        <v>82</v>
      </c>
      <c r="O4" s="224">
        <v>81</v>
      </c>
      <c r="P4" s="325"/>
      <c r="Q4" s="325"/>
      <c r="R4" s="325"/>
      <c r="S4" s="325"/>
      <c r="T4" s="325"/>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T4" s="325"/>
      <c r="AU4" s="325"/>
      <c r="AV4" s="325"/>
      <c r="AW4" s="325"/>
      <c r="AX4" s="325"/>
      <c r="AY4" s="325"/>
      <c r="AZ4" s="325"/>
      <c r="BA4" s="325"/>
      <c r="BB4" s="325"/>
      <c r="BC4" s="325"/>
      <c r="BD4" s="325"/>
      <c r="BE4" s="325"/>
      <c r="BF4" s="325"/>
      <c r="BG4" s="325"/>
      <c r="BH4" s="325"/>
      <c r="BI4" s="325"/>
      <c r="BJ4" s="325"/>
      <c r="BK4" s="325"/>
      <c r="BL4" s="325"/>
      <c r="BM4" s="325"/>
      <c r="BN4" s="325"/>
      <c r="BO4" s="325"/>
      <c r="BP4" s="325"/>
      <c r="BQ4" s="325"/>
      <c r="BR4" s="325"/>
      <c r="BS4" s="325"/>
      <c r="BT4" s="325"/>
      <c r="BU4" s="325"/>
      <c r="BV4" s="325"/>
      <c r="BW4" s="325"/>
      <c r="BX4" s="325"/>
      <c r="BY4" s="325"/>
      <c r="BZ4" s="325"/>
      <c r="CA4" s="325"/>
      <c r="CB4" s="325"/>
      <c r="CC4" s="325"/>
      <c r="CD4" s="325"/>
      <c r="CE4" s="325"/>
      <c r="CF4" s="325"/>
      <c r="CG4" s="325"/>
      <c r="CH4" s="325"/>
      <c r="CI4" s="325"/>
      <c r="CJ4" s="325"/>
      <c r="CK4" s="325"/>
      <c r="CL4" s="325"/>
      <c r="CM4" s="325"/>
      <c r="CN4" s="325"/>
      <c r="CO4" s="325"/>
      <c r="CP4" s="325"/>
      <c r="CQ4" s="325"/>
      <c r="CR4" s="325"/>
      <c r="CS4" s="325"/>
      <c r="CT4" s="325"/>
      <c r="CU4" s="325"/>
      <c r="CV4" s="325"/>
    </row>
    <row r="5" spans="1:100" ht="42">
      <c r="A5" s="764"/>
      <c r="B5" s="767"/>
      <c r="C5" s="760"/>
      <c r="D5" s="42" t="s">
        <v>4949</v>
      </c>
      <c r="E5" s="42">
        <v>2</v>
      </c>
      <c r="F5" s="43" t="s">
        <v>4954</v>
      </c>
      <c r="G5" s="44" t="s">
        <v>4955</v>
      </c>
      <c r="H5" s="45" t="s">
        <v>4952</v>
      </c>
      <c r="I5" s="46" t="s">
        <v>4956</v>
      </c>
      <c r="M5" s="36">
        <v>57</v>
      </c>
      <c r="N5" s="36">
        <v>68</v>
      </c>
      <c r="O5" s="224">
        <v>69</v>
      </c>
      <c r="P5" s="325"/>
      <c r="Q5" s="325"/>
      <c r="R5" s="325"/>
      <c r="S5" s="325"/>
      <c r="T5" s="325"/>
      <c r="U5" s="325"/>
      <c r="V5" s="325"/>
      <c r="W5" s="325"/>
      <c r="X5" s="325"/>
      <c r="Y5" s="325"/>
      <c r="Z5" s="325"/>
      <c r="AA5" s="325"/>
      <c r="AB5" s="325"/>
      <c r="AC5" s="325"/>
      <c r="AD5" s="325"/>
      <c r="AE5" s="325"/>
      <c r="AF5" s="325"/>
      <c r="AG5" s="325"/>
      <c r="AH5" s="325"/>
      <c r="AI5" s="325"/>
      <c r="AJ5" s="325"/>
      <c r="AK5" s="325"/>
      <c r="AL5" s="325"/>
      <c r="AM5" s="325"/>
      <c r="AN5" s="325"/>
      <c r="AO5" s="325"/>
      <c r="AP5" s="325"/>
      <c r="AQ5" s="325"/>
      <c r="AR5" s="325"/>
      <c r="AS5" s="325"/>
      <c r="AT5" s="325"/>
      <c r="AU5" s="325"/>
      <c r="AV5" s="325"/>
      <c r="AW5" s="325"/>
      <c r="AX5" s="325"/>
      <c r="AY5" s="325"/>
      <c r="AZ5" s="325"/>
      <c r="BA5" s="325"/>
      <c r="BB5" s="325"/>
      <c r="BC5" s="325"/>
      <c r="BD5" s="325"/>
      <c r="BE5" s="325"/>
      <c r="BF5" s="325"/>
      <c r="BG5" s="325"/>
      <c r="BH5" s="325"/>
      <c r="BI5" s="325"/>
      <c r="BJ5" s="325"/>
      <c r="BK5" s="325"/>
      <c r="BL5" s="325"/>
      <c r="BM5" s="325"/>
      <c r="BN5" s="325"/>
      <c r="BO5" s="325"/>
      <c r="BP5" s="325"/>
      <c r="BQ5" s="325"/>
      <c r="BR5" s="325"/>
      <c r="BS5" s="325"/>
      <c r="BT5" s="325"/>
      <c r="BU5" s="325"/>
      <c r="BV5" s="325"/>
      <c r="BW5" s="325"/>
      <c r="BX5" s="325"/>
      <c r="BY5" s="325"/>
      <c r="BZ5" s="325"/>
      <c r="CA5" s="325"/>
      <c r="CB5" s="325"/>
      <c r="CC5" s="325"/>
      <c r="CD5" s="325"/>
      <c r="CE5" s="325"/>
      <c r="CF5" s="325"/>
      <c r="CG5" s="325"/>
      <c r="CH5" s="325"/>
      <c r="CI5" s="325"/>
      <c r="CJ5" s="325"/>
      <c r="CK5" s="325"/>
      <c r="CL5" s="325"/>
      <c r="CM5" s="325"/>
      <c r="CN5" s="325"/>
      <c r="CO5" s="325"/>
      <c r="CP5" s="325"/>
      <c r="CQ5" s="325"/>
      <c r="CR5" s="325"/>
      <c r="CS5" s="325"/>
      <c r="CT5" s="325"/>
      <c r="CU5" s="325"/>
      <c r="CV5" s="325"/>
    </row>
    <row r="6" spans="1:100" ht="63.5" customHeight="1">
      <c r="A6" s="764"/>
      <c r="B6" s="767"/>
      <c r="C6" s="760"/>
      <c r="D6" s="42" t="s">
        <v>4949</v>
      </c>
      <c r="E6" s="42">
        <v>3</v>
      </c>
      <c r="F6" s="43" t="s">
        <v>4957</v>
      </c>
      <c r="G6" s="47" t="s">
        <v>5244</v>
      </c>
      <c r="H6" s="45" t="s">
        <v>4958</v>
      </c>
      <c r="I6" s="46" t="s">
        <v>4956</v>
      </c>
      <c r="M6" s="36">
        <v>112</v>
      </c>
      <c r="N6" s="36">
        <v>193</v>
      </c>
      <c r="O6" s="224">
        <f>SUM(P6:CV6)</f>
        <v>249</v>
      </c>
      <c r="P6" s="36">
        <f>P8+P10</f>
        <v>1</v>
      </c>
      <c r="Q6" s="36">
        <f>Q8+Q10</f>
        <v>3</v>
      </c>
      <c r="R6" s="36">
        <f>R8+R10</f>
        <v>1</v>
      </c>
      <c r="S6" s="36">
        <f t="shared" ref="S6:CD6" si="0">S8+S10</f>
        <v>1</v>
      </c>
      <c r="T6" s="36">
        <f t="shared" si="0"/>
        <v>2</v>
      </c>
      <c r="U6" s="36">
        <f t="shared" si="0"/>
        <v>2</v>
      </c>
      <c r="V6" s="36">
        <f t="shared" si="0"/>
        <v>10</v>
      </c>
      <c r="W6" s="36">
        <f t="shared" si="0"/>
        <v>4</v>
      </c>
      <c r="X6" s="36">
        <f t="shared" si="0"/>
        <v>1</v>
      </c>
      <c r="Y6" s="36">
        <f t="shared" si="0"/>
        <v>1</v>
      </c>
      <c r="Z6" s="36">
        <f t="shared" si="0"/>
        <v>3</v>
      </c>
      <c r="AA6" s="36">
        <f t="shared" si="0"/>
        <v>1</v>
      </c>
      <c r="AB6" s="36">
        <f t="shared" si="0"/>
        <v>3</v>
      </c>
      <c r="AC6" s="36">
        <f t="shared" si="0"/>
        <v>3</v>
      </c>
      <c r="AD6" s="160">
        <f t="shared" si="0"/>
        <v>0</v>
      </c>
      <c r="AE6" s="160">
        <f t="shared" si="0"/>
        <v>0</v>
      </c>
      <c r="AF6" s="36">
        <f t="shared" si="0"/>
        <v>1</v>
      </c>
      <c r="AG6" s="160">
        <f t="shared" si="0"/>
        <v>0</v>
      </c>
      <c r="AH6" s="160">
        <f t="shared" si="0"/>
        <v>0</v>
      </c>
      <c r="AI6" s="36">
        <f t="shared" si="0"/>
        <v>1</v>
      </c>
      <c r="AJ6" s="36">
        <f t="shared" si="0"/>
        <v>1</v>
      </c>
      <c r="AK6" s="36">
        <f t="shared" si="0"/>
        <v>2</v>
      </c>
      <c r="AL6" s="36">
        <f t="shared" si="0"/>
        <v>1</v>
      </c>
      <c r="AM6" s="36">
        <f t="shared" si="0"/>
        <v>4</v>
      </c>
      <c r="AN6" s="160">
        <f t="shared" si="0"/>
        <v>0</v>
      </c>
      <c r="AO6" s="160">
        <f t="shared" si="0"/>
        <v>0</v>
      </c>
      <c r="AP6" s="36">
        <f t="shared" si="0"/>
        <v>2</v>
      </c>
      <c r="AQ6" s="36">
        <f t="shared" si="0"/>
        <v>1</v>
      </c>
      <c r="AR6" s="36">
        <f t="shared" si="0"/>
        <v>3</v>
      </c>
      <c r="AS6" s="36">
        <f t="shared" si="0"/>
        <v>1</v>
      </c>
      <c r="AT6" s="36">
        <f t="shared" si="0"/>
        <v>3</v>
      </c>
      <c r="AU6" s="36">
        <f t="shared" si="0"/>
        <v>1</v>
      </c>
      <c r="AV6" s="36">
        <f t="shared" si="0"/>
        <v>2</v>
      </c>
      <c r="AW6" s="36">
        <f t="shared" si="0"/>
        <v>3</v>
      </c>
      <c r="AX6" s="36">
        <f t="shared" si="0"/>
        <v>3</v>
      </c>
      <c r="AY6" s="160">
        <f t="shared" si="0"/>
        <v>0</v>
      </c>
      <c r="AZ6" s="36">
        <f t="shared" si="0"/>
        <v>3</v>
      </c>
      <c r="BA6" s="36">
        <f t="shared" si="0"/>
        <v>2</v>
      </c>
      <c r="BB6" s="160">
        <f t="shared" si="0"/>
        <v>0</v>
      </c>
      <c r="BC6" s="36">
        <f t="shared" si="0"/>
        <v>1</v>
      </c>
      <c r="BD6" s="160">
        <f t="shared" si="0"/>
        <v>0</v>
      </c>
      <c r="BE6" s="160">
        <f t="shared" si="0"/>
        <v>0</v>
      </c>
      <c r="BF6" s="36">
        <f t="shared" si="0"/>
        <v>1</v>
      </c>
      <c r="BG6" s="36">
        <f t="shared" si="0"/>
        <v>1</v>
      </c>
      <c r="BH6" s="36">
        <f t="shared" si="0"/>
        <v>1</v>
      </c>
      <c r="BI6" s="36">
        <f t="shared" si="0"/>
        <v>1</v>
      </c>
      <c r="BJ6" s="36">
        <f t="shared" si="0"/>
        <v>6</v>
      </c>
      <c r="BK6" s="36">
        <f t="shared" si="0"/>
        <v>1</v>
      </c>
      <c r="BL6" s="36">
        <f t="shared" si="0"/>
        <v>1</v>
      </c>
      <c r="BM6" s="36">
        <f t="shared" si="0"/>
        <v>15</v>
      </c>
      <c r="BN6" s="36">
        <f t="shared" si="0"/>
        <v>2</v>
      </c>
      <c r="BO6" s="36">
        <f t="shared" si="0"/>
        <v>2</v>
      </c>
      <c r="BP6" s="36">
        <f t="shared" si="0"/>
        <v>1</v>
      </c>
      <c r="BQ6" s="160">
        <f t="shared" si="0"/>
        <v>0</v>
      </c>
      <c r="BR6" s="36">
        <f t="shared" si="0"/>
        <v>1</v>
      </c>
      <c r="BS6" s="36">
        <f t="shared" si="0"/>
        <v>2</v>
      </c>
      <c r="BT6" s="36">
        <f t="shared" si="0"/>
        <v>2</v>
      </c>
      <c r="BU6" s="36">
        <f t="shared" si="0"/>
        <v>15</v>
      </c>
      <c r="BV6" s="36">
        <f t="shared" si="0"/>
        <v>1</v>
      </c>
      <c r="BW6" s="36">
        <f t="shared" si="0"/>
        <v>1</v>
      </c>
      <c r="BX6" s="36">
        <f t="shared" si="0"/>
        <v>1</v>
      </c>
      <c r="BY6" s="36">
        <f t="shared" si="0"/>
        <v>3</v>
      </c>
      <c r="BZ6" s="36">
        <f t="shared" si="0"/>
        <v>6</v>
      </c>
      <c r="CA6" s="160">
        <f t="shared" si="0"/>
        <v>0</v>
      </c>
      <c r="CB6" s="160">
        <f t="shared" si="0"/>
        <v>0</v>
      </c>
      <c r="CC6" s="36">
        <f t="shared" si="0"/>
        <v>1</v>
      </c>
      <c r="CD6" s="36">
        <f t="shared" si="0"/>
        <v>3</v>
      </c>
      <c r="CE6" s="36">
        <f t="shared" ref="CE6:CV6" si="1">CE8+CE10</f>
        <v>2</v>
      </c>
      <c r="CF6" s="36">
        <f t="shared" si="1"/>
        <v>3</v>
      </c>
      <c r="CG6" s="36">
        <f t="shared" si="1"/>
        <v>1</v>
      </c>
      <c r="CH6" s="36">
        <f t="shared" si="1"/>
        <v>1</v>
      </c>
      <c r="CI6" s="36">
        <f t="shared" si="1"/>
        <v>1</v>
      </c>
      <c r="CJ6" s="160">
        <f t="shared" si="1"/>
        <v>0</v>
      </c>
      <c r="CK6" s="36">
        <f t="shared" si="1"/>
        <v>2</v>
      </c>
      <c r="CL6" s="36">
        <f t="shared" si="1"/>
        <v>6</v>
      </c>
      <c r="CM6" s="36">
        <f t="shared" si="1"/>
        <v>28</v>
      </c>
      <c r="CN6" s="36">
        <f t="shared" si="1"/>
        <v>2</v>
      </c>
      <c r="CO6" s="160">
        <f t="shared" si="1"/>
        <v>0</v>
      </c>
      <c r="CP6" s="36">
        <f t="shared" si="1"/>
        <v>33</v>
      </c>
      <c r="CQ6" s="36">
        <f t="shared" si="1"/>
        <v>2</v>
      </c>
      <c r="CR6" s="160">
        <f t="shared" si="1"/>
        <v>0</v>
      </c>
      <c r="CS6" s="36">
        <f t="shared" si="1"/>
        <v>2</v>
      </c>
      <c r="CT6" s="36">
        <f t="shared" si="1"/>
        <v>1</v>
      </c>
      <c r="CU6" s="36">
        <f t="shared" si="1"/>
        <v>25</v>
      </c>
      <c r="CV6" s="36">
        <f t="shared" si="1"/>
        <v>1</v>
      </c>
    </row>
    <row r="7" spans="1:100" ht="42">
      <c r="A7" s="764"/>
      <c r="B7" s="767"/>
      <c r="C7" s="760"/>
      <c r="D7" s="42" t="s">
        <v>4949</v>
      </c>
      <c r="E7" s="42">
        <v>4</v>
      </c>
      <c r="F7" s="48" t="s">
        <v>4959</v>
      </c>
      <c r="G7" s="44" t="s">
        <v>5245</v>
      </c>
      <c r="H7" s="45" t="s">
        <v>4952</v>
      </c>
      <c r="I7" s="46" t="s">
        <v>4956</v>
      </c>
      <c r="M7" s="36" t="s">
        <v>5497</v>
      </c>
      <c r="N7" s="36">
        <v>64</v>
      </c>
      <c r="O7" s="224">
        <f>COUNTIF(P7:CV7,"да")</f>
        <v>63</v>
      </c>
      <c r="P7" s="36" t="str">
        <f>IF(P$8&gt;0,"да","нет")</f>
        <v>да</v>
      </c>
      <c r="Q7" s="36" t="str">
        <f>IF(O$8&gt;0,"да","нет")</f>
        <v>да</v>
      </c>
      <c r="R7" s="36" t="str">
        <f t="shared" ref="R7:CC7" si="2">IF(P$8&gt;0,"да","нет")</f>
        <v>да</v>
      </c>
      <c r="S7" s="36" t="str">
        <f t="shared" si="2"/>
        <v>да</v>
      </c>
      <c r="T7" s="36" t="str">
        <f t="shared" si="2"/>
        <v>да</v>
      </c>
      <c r="U7" s="36" t="str">
        <f t="shared" si="2"/>
        <v>да</v>
      </c>
      <c r="V7" s="36" t="str">
        <f t="shared" si="2"/>
        <v>да</v>
      </c>
      <c r="W7" s="36" t="str">
        <f t="shared" si="2"/>
        <v>да</v>
      </c>
      <c r="X7" s="36" t="str">
        <f t="shared" si="2"/>
        <v>да</v>
      </c>
      <c r="Y7" s="36" t="str">
        <f t="shared" si="2"/>
        <v>да</v>
      </c>
      <c r="Z7" s="36" t="str">
        <f t="shared" si="2"/>
        <v>да</v>
      </c>
      <c r="AA7" s="36" t="str">
        <f t="shared" si="2"/>
        <v>да</v>
      </c>
      <c r="AB7" s="36" t="str">
        <f t="shared" si="2"/>
        <v>да</v>
      </c>
      <c r="AC7" s="36" t="str">
        <f t="shared" si="2"/>
        <v>да</v>
      </c>
      <c r="AD7" s="36" t="str">
        <f t="shared" si="2"/>
        <v>да</v>
      </c>
      <c r="AE7" s="36" t="str">
        <f t="shared" si="2"/>
        <v>да</v>
      </c>
      <c r="AF7" s="36" t="str">
        <f t="shared" si="2"/>
        <v>нет</v>
      </c>
      <c r="AG7" s="36" t="str">
        <f t="shared" si="2"/>
        <v>нет</v>
      </c>
      <c r="AH7" s="36" t="str">
        <f t="shared" si="2"/>
        <v>да</v>
      </c>
      <c r="AI7" s="36" t="str">
        <f t="shared" si="2"/>
        <v>нет</v>
      </c>
      <c r="AJ7" s="36" t="str">
        <f t="shared" si="2"/>
        <v>нет</v>
      </c>
      <c r="AK7" s="36" t="str">
        <f t="shared" si="2"/>
        <v>да</v>
      </c>
      <c r="AL7" s="36" t="str">
        <f t="shared" si="2"/>
        <v>нет</v>
      </c>
      <c r="AM7" s="36" t="str">
        <f t="shared" si="2"/>
        <v>да</v>
      </c>
      <c r="AN7" s="36" t="str">
        <f t="shared" si="2"/>
        <v>да</v>
      </c>
      <c r="AO7" s="36" t="str">
        <f t="shared" si="2"/>
        <v>да</v>
      </c>
      <c r="AP7" s="36" t="str">
        <f t="shared" si="2"/>
        <v>нет</v>
      </c>
      <c r="AQ7" s="36" t="str">
        <f t="shared" si="2"/>
        <v>нет</v>
      </c>
      <c r="AR7" s="36" t="str">
        <f t="shared" si="2"/>
        <v>да</v>
      </c>
      <c r="AS7" s="36" t="str">
        <f t="shared" si="2"/>
        <v>да</v>
      </c>
      <c r="AT7" s="36" t="str">
        <f t="shared" si="2"/>
        <v>да</v>
      </c>
      <c r="AU7" s="36" t="str">
        <f t="shared" si="2"/>
        <v>да</v>
      </c>
      <c r="AV7" s="36" t="str">
        <f t="shared" si="2"/>
        <v>да</v>
      </c>
      <c r="AW7" s="36" t="str">
        <f t="shared" si="2"/>
        <v>нет</v>
      </c>
      <c r="AX7" s="36" t="str">
        <f t="shared" si="2"/>
        <v>да</v>
      </c>
      <c r="AY7" s="36" t="str">
        <f t="shared" si="2"/>
        <v>да</v>
      </c>
      <c r="AZ7" s="36" t="str">
        <f t="shared" si="2"/>
        <v>да</v>
      </c>
      <c r="BA7" s="36" t="str">
        <f t="shared" si="2"/>
        <v>нет</v>
      </c>
      <c r="BB7" s="36" t="str">
        <f t="shared" si="2"/>
        <v>да</v>
      </c>
      <c r="BC7" s="36" t="str">
        <f t="shared" si="2"/>
        <v>да</v>
      </c>
      <c r="BD7" s="36" t="str">
        <f t="shared" si="2"/>
        <v>нет</v>
      </c>
      <c r="BE7" s="36" t="str">
        <f t="shared" si="2"/>
        <v>да</v>
      </c>
      <c r="BF7" s="36" t="str">
        <f t="shared" si="2"/>
        <v>нет</v>
      </c>
      <c r="BG7" s="36" t="str">
        <f t="shared" si="2"/>
        <v>нет</v>
      </c>
      <c r="BH7" s="36" t="str">
        <f t="shared" si="2"/>
        <v>нет</v>
      </c>
      <c r="BI7" s="36" t="str">
        <f t="shared" si="2"/>
        <v>да</v>
      </c>
      <c r="BJ7" s="36" t="str">
        <f t="shared" si="2"/>
        <v>да</v>
      </c>
      <c r="BK7" s="36" t="str">
        <f t="shared" si="2"/>
        <v>да</v>
      </c>
      <c r="BL7" s="36" t="str">
        <f t="shared" si="2"/>
        <v>да</v>
      </c>
      <c r="BM7" s="36" t="str">
        <f t="shared" si="2"/>
        <v>да</v>
      </c>
      <c r="BN7" s="36" t="str">
        <f t="shared" si="2"/>
        <v>нет</v>
      </c>
      <c r="BO7" s="36" t="str">
        <f t="shared" si="2"/>
        <v>да</v>
      </c>
      <c r="BP7" s="36" t="str">
        <f t="shared" si="2"/>
        <v>да</v>
      </c>
      <c r="BQ7" s="36" t="str">
        <f t="shared" si="2"/>
        <v>да</v>
      </c>
      <c r="BR7" s="36" t="str">
        <f t="shared" si="2"/>
        <v>да</v>
      </c>
      <c r="BS7" s="36" t="str">
        <f t="shared" si="2"/>
        <v>нет</v>
      </c>
      <c r="BT7" s="36" t="str">
        <f t="shared" si="2"/>
        <v>да</v>
      </c>
      <c r="BU7" s="36" t="str">
        <f t="shared" si="2"/>
        <v>нет</v>
      </c>
      <c r="BV7" s="36" t="str">
        <f t="shared" si="2"/>
        <v>да</v>
      </c>
      <c r="BW7" s="36" t="str">
        <f t="shared" si="2"/>
        <v>да</v>
      </c>
      <c r="BX7" s="36" t="str">
        <f t="shared" si="2"/>
        <v>да</v>
      </c>
      <c r="BY7" s="36" t="str">
        <f t="shared" si="2"/>
        <v>да</v>
      </c>
      <c r="BZ7" s="36" t="str">
        <f t="shared" si="2"/>
        <v>да</v>
      </c>
      <c r="CA7" s="36" t="str">
        <f t="shared" si="2"/>
        <v>да</v>
      </c>
      <c r="CB7" s="36" t="str">
        <f t="shared" si="2"/>
        <v>да</v>
      </c>
      <c r="CC7" s="36" t="str">
        <f t="shared" si="2"/>
        <v>нет</v>
      </c>
      <c r="CD7" s="36" t="str">
        <f t="shared" ref="CD7:CV7" si="3">IF(CB$8&gt;0,"да","нет")</f>
        <v>нет</v>
      </c>
      <c r="CE7" s="36" t="str">
        <f t="shared" si="3"/>
        <v>да</v>
      </c>
      <c r="CF7" s="36" t="str">
        <f t="shared" si="3"/>
        <v>да</v>
      </c>
      <c r="CG7" s="36" t="str">
        <f t="shared" si="3"/>
        <v>да</v>
      </c>
      <c r="CH7" s="36" t="str">
        <f t="shared" si="3"/>
        <v>да</v>
      </c>
      <c r="CI7" s="36" t="str">
        <f t="shared" si="3"/>
        <v>да</v>
      </c>
      <c r="CJ7" s="36" t="str">
        <f t="shared" si="3"/>
        <v>да</v>
      </c>
      <c r="CK7" s="36" t="str">
        <f t="shared" si="3"/>
        <v>да</v>
      </c>
      <c r="CL7" s="36" t="str">
        <f t="shared" si="3"/>
        <v>нет</v>
      </c>
      <c r="CM7" s="36" t="str">
        <f t="shared" si="3"/>
        <v>да</v>
      </c>
      <c r="CN7" s="36" t="str">
        <f t="shared" si="3"/>
        <v>да</v>
      </c>
      <c r="CO7" s="36" t="str">
        <f t="shared" si="3"/>
        <v>да</v>
      </c>
      <c r="CP7" s="36" t="str">
        <f t="shared" si="3"/>
        <v>да</v>
      </c>
      <c r="CQ7" s="36" t="str">
        <f t="shared" si="3"/>
        <v>нет</v>
      </c>
      <c r="CR7" s="36" t="str">
        <f t="shared" si="3"/>
        <v>да</v>
      </c>
      <c r="CS7" s="36" t="str">
        <f t="shared" si="3"/>
        <v>нет</v>
      </c>
      <c r="CT7" s="36" t="str">
        <f t="shared" si="3"/>
        <v>нет</v>
      </c>
      <c r="CU7" s="36" t="str">
        <f t="shared" si="3"/>
        <v>да</v>
      </c>
      <c r="CV7" s="36" t="str">
        <f t="shared" si="3"/>
        <v>да</v>
      </c>
    </row>
    <row r="8" spans="1:100" s="178" customFormat="1" ht="42">
      <c r="A8" s="764"/>
      <c r="B8" s="767"/>
      <c r="C8" s="760"/>
      <c r="D8" s="209" t="s">
        <v>4949</v>
      </c>
      <c r="E8" s="209">
        <v>5</v>
      </c>
      <c r="F8" s="210" t="s">
        <v>4960</v>
      </c>
      <c r="G8" s="211" t="s">
        <v>5246</v>
      </c>
      <c r="H8" s="212" t="s">
        <v>4958</v>
      </c>
      <c r="I8" s="213" t="s">
        <v>4961</v>
      </c>
      <c r="M8" s="178" t="s">
        <v>5497</v>
      </c>
      <c r="N8" s="178">
        <v>102</v>
      </c>
      <c r="O8" s="225">
        <f>SUM(P8:CV8)</f>
        <v>102</v>
      </c>
      <c r="P8" s="178">
        <f>COUNTIFS('свод практик'!$J$6:$J$277,'свод субъектов ИБ+смежные'!P$1,'свод практик'!$G$6:$G$277,"суб")</f>
        <v>1</v>
      </c>
      <c r="Q8" s="178">
        <f>COUNTIFS('свод практик'!$J$6:$J$277,'свод субъектов ИБ+смежные'!Q$1,'свод практик'!$G$6:$G$277,"суб")</f>
        <v>3</v>
      </c>
      <c r="R8" s="178">
        <f>COUNTIFS('свод практик'!$J$6:$J$277,'свод субъектов ИБ+смежные'!R$1,'свод практик'!$G$6:$G$277,"суб")</f>
        <v>1</v>
      </c>
      <c r="S8" s="178">
        <f>COUNTIFS('свод практик'!$J$6:$J$277,'свод субъектов ИБ+смежные'!S$1,'свод практик'!$G$6:$G$277,"суб")</f>
        <v>1</v>
      </c>
      <c r="T8" s="178">
        <f>COUNTIFS('свод практик'!$J$6:$J$277,'свод субъектов ИБ+смежные'!T$1,'свод практик'!$G$6:$G$277,"суб")</f>
        <v>1</v>
      </c>
      <c r="U8" s="178">
        <f>COUNTIFS('свод практик'!$J$6:$J$277,'свод субъектов ИБ+смежные'!U$1,'свод практик'!$G$6:$G$277,"суб")</f>
        <v>1</v>
      </c>
      <c r="V8" s="178">
        <f>COUNTIFS('свод практик'!$J$6:$J$277,'свод субъектов ИБ+смежные'!V$1,'свод практик'!$G$6:$G$277,"суб")</f>
        <v>4</v>
      </c>
      <c r="W8" s="178">
        <f>COUNTIFS('свод практик'!$J$6:$J$277,'свод субъектов ИБ+смежные'!W$1,'свод практик'!$G$6:$G$277,"суб")</f>
        <v>2</v>
      </c>
      <c r="X8" s="178">
        <f>COUNTIFS('свод практик'!$J$6:$J$277,'свод субъектов ИБ+смежные'!X$1,'свод практик'!$G$6:$G$277,"суб")</f>
        <v>1</v>
      </c>
      <c r="Y8" s="178">
        <f>COUNTIFS('свод практик'!$J$6:$J$277,'свод субъектов ИБ+смежные'!Y$1,'свод практик'!$G$6:$G$277,"суб")</f>
        <v>1</v>
      </c>
      <c r="Z8" s="178">
        <f>COUNTIFS('свод практик'!$J$6:$J$277,'свод субъектов ИБ+смежные'!Z$1,'свод практик'!$G$6:$G$277,"суб")</f>
        <v>3</v>
      </c>
      <c r="AA8" s="178">
        <f>COUNTIFS('свод практик'!$J$6:$J$277,'свод субъектов ИБ+смежные'!AA$1,'свод практик'!$G$6:$G$277,"суб")</f>
        <v>1</v>
      </c>
      <c r="AB8" s="178">
        <f>COUNTIFS('свод практик'!$J$6:$J$277,'свод субъектов ИБ+смежные'!AB$1,'свод практик'!$G$6:$G$277,"суб")</f>
        <v>1</v>
      </c>
      <c r="AC8" s="178">
        <f>COUNTIFS('свод практик'!$J$6:$J$277,'свод субъектов ИБ+смежные'!AC$1,'свод практик'!$G$6:$G$277,"суб")</f>
        <v>3</v>
      </c>
      <c r="AD8" s="178">
        <f>COUNTIFS('свод практик'!$J$6:$J$277,'свод субъектов ИБ+смежные'!AD$1,'свод практик'!$G$6:$G$277,"суб")</f>
        <v>0</v>
      </c>
      <c r="AE8" s="178">
        <f>COUNTIFS('свод практик'!$J$6:$J$277,'свод субъектов ИБ+смежные'!AE$1,'свод практик'!$G$6:$G$277,"суб")</f>
        <v>0</v>
      </c>
      <c r="AF8" s="178">
        <f>COUNTIFS('свод практик'!$J$6:$J$277,'свод субъектов ИБ+смежные'!AF$1,'свод практик'!$G$6:$G$277,"суб")</f>
        <v>1</v>
      </c>
      <c r="AG8" s="178">
        <f>COUNTIFS('свод практик'!$J$6:$J$277,'свод субъектов ИБ+смежные'!AG$1,'свод практик'!$G$6:$G$277,"суб")</f>
        <v>0</v>
      </c>
      <c r="AH8" s="178">
        <f>COUNTIFS('свод практик'!$J$6:$J$277,'свод субъектов ИБ+смежные'!AH$1,'свод практик'!$G$6:$G$277,"суб")</f>
        <v>0</v>
      </c>
      <c r="AI8" s="178">
        <f>COUNTIFS('свод практик'!$J$6:$J$277,'свод субъектов ИБ+смежные'!AI$1,'свод практик'!$G$6:$G$277,"суб")</f>
        <v>1</v>
      </c>
      <c r="AJ8" s="178">
        <f>COUNTIFS('свод практик'!$J$6:$J$277,'свод субъектов ИБ+смежные'!AJ$1,'свод практик'!$G$6:$G$277,"суб")</f>
        <v>0</v>
      </c>
      <c r="AK8" s="178">
        <f>COUNTIFS('свод практик'!$J$6:$J$277,'свод субъектов ИБ+смежные'!AK$1,'свод практик'!$G$6:$G$277,"суб")</f>
        <v>2</v>
      </c>
      <c r="AL8" s="178">
        <f>COUNTIFS('свод практик'!$J$6:$J$277,'свод субъектов ИБ+смежные'!AL$1,'свод практик'!$G$6:$G$277,"суб")</f>
        <v>1</v>
      </c>
      <c r="AM8" s="178">
        <f>COUNTIFS('свод практик'!$J$6:$J$277,'свод субъектов ИБ+смежные'!AM$1,'свод практик'!$G$6:$G$277,"суб")</f>
        <v>1</v>
      </c>
      <c r="AN8" s="178">
        <f>COUNTIFS('свод практик'!$J$6:$J$277,'свод субъектов ИБ+смежные'!AN$1,'свод практик'!$G$6:$G$277,"суб")</f>
        <v>0</v>
      </c>
      <c r="AO8" s="178">
        <f>COUNTIFS('свод практик'!$J$6:$J$277,'свод субъектов ИБ+смежные'!AO$1,'свод практик'!$G$6:$G$277,"суб")</f>
        <v>0</v>
      </c>
      <c r="AP8" s="178">
        <f>COUNTIFS('свод практик'!$J$6:$J$277,'свод субъектов ИБ+смежные'!AP$1,'свод практик'!$G$6:$G$277,"суб")</f>
        <v>2</v>
      </c>
      <c r="AQ8" s="178">
        <f>COUNTIFS('свод практик'!$J$6:$J$277,'свод субъектов ИБ+смежные'!AQ$1,'свод практик'!$G$6:$G$277,"суб")</f>
        <v>1</v>
      </c>
      <c r="AR8" s="178">
        <f>COUNTIFS('свод практик'!$J$6:$J$277,'свод субъектов ИБ+смежные'!AR$1,'свод практик'!$G$6:$G$277,"суб")</f>
        <v>3</v>
      </c>
      <c r="AS8" s="178">
        <f>COUNTIFS('свод практик'!$J$6:$J$277,'свод субъектов ИБ+смежные'!AS$1,'свод практик'!$G$6:$G$277,"суб")</f>
        <v>1</v>
      </c>
      <c r="AT8" s="178">
        <f>COUNTIFS('свод практик'!$J$6:$J$277,'свод субъектов ИБ+смежные'!AT$1,'свод практик'!$G$6:$G$277,"суб")</f>
        <v>3</v>
      </c>
      <c r="AU8" s="178">
        <f>COUNTIFS('свод практик'!$J$6:$J$277,'свод субъектов ИБ+смежные'!AU$1,'свод практик'!$G$6:$G$277,"суб")</f>
        <v>0</v>
      </c>
      <c r="AV8" s="178">
        <f>COUNTIFS('свод практик'!$J$6:$J$277,'свод субъектов ИБ+смежные'!AV$1,'свод практик'!$G$6:$G$277,"суб")</f>
        <v>1</v>
      </c>
      <c r="AW8" s="178">
        <f>COUNTIFS('свод практик'!$J$6:$J$277,'свод субъектов ИБ+смежные'!AW$1,'свод практик'!$G$6:$G$277,"суб")</f>
        <v>3</v>
      </c>
      <c r="AX8" s="178">
        <f>COUNTIFS('свод практик'!$J$6:$J$277,'свод субъектов ИБ+смежные'!AX$1,'свод практик'!$G$6:$G$277,"суб")</f>
        <v>3</v>
      </c>
      <c r="AY8" s="178">
        <f>COUNTIFS('свод практик'!$J$6:$J$277,'свод субъектов ИБ+смежные'!AY$1,'свод практик'!$G$6:$G$277,"суб")</f>
        <v>0</v>
      </c>
      <c r="AZ8" s="178">
        <f>COUNTIFS('свод практик'!$J$6:$J$277,'свод субъектов ИБ+смежные'!AZ$1,'свод практик'!$G$6:$G$277,"суб")</f>
        <v>2</v>
      </c>
      <c r="BA8" s="178">
        <f>COUNTIFS('свод практик'!$J$6:$J$277,'свод субъектов ИБ+смежные'!BA$1,'свод практик'!$G$6:$G$277,"суб")</f>
        <v>2</v>
      </c>
      <c r="BB8" s="178">
        <f>COUNTIFS('свод практик'!$J$6:$J$277,'свод субъектов ИБ+смежные'!BB$1,'свод практик'!$G$6:$G$277,"суб")</f>
        <v>0</v>
      </c>
      <c r="BC8" s="178">
        <f>COUNTIFS('свод практик'!$J$6:$J$277,'свод субъектов ИБ+смежные'!BC$1,'свод практик'!$G$6:$G$277,"суб")</f>
        <v>1</v>
      </c>
      <c r="BD8" s="178">
        <f>COUNTIFS('свод практик'!$J$6:$J$277,'свод субъектов ИБ+смежные'!BD$1,'свод практик'!$G$6:$G$277,"суб")</f>
        <v>0</v>
      </c>
      <c r="BE8" s="178">
        <f>COUNTIFS('свод практик'!$J$6:$J$277,'свод субъектов ИБ+смежные'!BE$1,'свод практик'!$G$6:$G$277,"суб")</f>
        <v>0</v>
      </c>
      <c r="BF8" s="178">
        <f>COUNTIFS('свод практик'!$J$6:$J$277,'свод субъектов ИБ+смежные'!BF$1,'свод практик'!$G$6:$G$277,"суб")</f>
        <v>0</v>
      </c>
      <c r="BG8" s="178">
        <f>COUNTIFS('свод практик'!$J$6:$J$277,'свод субъектов ИБ+смежные'!BG$1,'свод практик'!$G$6:$G$277,"суб")</f>
        <v>1</v>
      </c>
      <c r="BH8" s="178">
        <f>COUNTIFS('свод практик'!$J$6:$J$277,'свод субъектов ИБ+смежные'!BH$1,'свод практик'!$G$6:$G$277,"суб")</f>
        <v>1</v>
      </c>
      <c r="BI8" s="178">
        <f>COUNTIFS('свод практик'!$J$6:$J$277,'свод субъектов ИБ+смежные'!BI$1,'свод практик'!$G$6:$G$277,"суб")</f>
        <v>1</v>
      </c>
      <c r="BJ8" s="178">
        <f>COUNTIFS('свод практик'!$J$6:$J$277,'свод субъектов ИБ+смежные'!BJ$1,'свод практик'!$G$6:$G$277,"суб")</f>
        <v>6</v>
      </c>
      <c r="BK8" s="178">
        <f>COUNTIFS('свод практик'!$J$6:$J$277,'свод субъектов ИБ+смежные'!BK$1,'свод практик'!$G$6:$G$277,"суб")</f>
        <v>1</v>
      </c>
      <c r="BL8" s="178">
        <f>COUNTIFS('свод практик'!$J$6:$J$277,'свод субъектов ИБ+смежные'!BL$1,'свод практик'!$G$6:$G$277,"суб")</f>
        <v>0</v>
      </c>
      <c r="BM8" s="178">
        <f>COUNTIFS('свод практик'!$J$6:$J$277,'свод субъектов ИБ+смежные'!BM$1,'свод практик'!$G$6:$G$277,"суб")</f>
        <v>1</v>
      </c>
      <c r="BN8" s="178">
        <f>COUNTIFS('свод практик'!$J$6:$J$277,'свод субъектов ИБ+смежные'!BN$1,'свод практик'!$G$6:$G$277,"суб")</f>
        <v>2</v>
      </c>
      <c r="BO8" s="178">
        <f>COUNTIFS('свод практик'!$J$6:$J$277,'свод субъектов ИБ+смежные'!BO$1,'свод практик'!$G$6:$G$277,"суб")</f>
        <v>1</v>
      </c>
      <c r="BP8" s="178">
        <f>COUNTIFS('свод практик'!$J$6:$J$277,'свод субъектов ИБ+смежные'!BP$1,'свод практик'!$G$6:$G$277,"суб")</f>
        <v>1</v>
      </c>
      <c r="BQ8" s="178">
        <f>COUNTIFS('свод практик'!$J$6:$J$277,'свод субъектов ИБ+смежные'!BQ$1,'свод практик'!$G$6:$G$277,"суб")</f>
        <v>0</v>
      </c>
      <c r="BR8" s="178">
        <f>COUNTIFS('свод практик'!$J$6:$J$277,'свод субъектов ИБ+смежные'!BR$1,'свод практик'!$G$6:$G$277,"суб")</f>
        <v>1</v>
      </c>
      <c r="BS8" s="178">
        <f>COUNTIFS('свод практик'!$J$6:$J$277,'свод субъектов ИБ+смежные'!BS$1,'свод практик'!$G$6:$G$277,"суб")</f>
        <v>0</v>
      </c>
      <c r="BT8" s="178">
        <f>COUNTIFS('свод практик'!$J$6:$J$277,'свод субъектов ИБ+смежные'!BT$1,'свод практик'!$G$6:$G$277,"суб")</f>
        <v>2</v>
      </c>
      <c r="BU8" s="178">
        <f>COUNTIFS('свод практик'!$J$6:$J$277,'свод субъектов ИБ+смежные'!BU$1,'свод практик'!$G$6:$G$277,"суб")</f>
        <v>1</v>
      </c>
      <c r="BV8" s="178">
        <f>COUNTIFS('свод практик'!$J$6:$J$277,'свод субъектов ИБ+смежные'!BV$1,'свод практик'!$G$6:$G$277,"суб")</f>
        <v>1</v>
      </c>
      <c r="BW8" s="178">
        <f>COUNTIFS('свод практик'!$J$6:$J$277,'свод субъектов ИБ+смежные'!BW$1,'свод практик'!$G$6:$G$277,"суб")</f>
        <v>1</v>
      </c>
      <c r="BX8" s="178">
        <f>COUNTIFS('свод практик'!$J$6:$J$277,'свод субъектов ИБ+смежные'!BX$1,'свод практик'!$G$6:$G$277,"суб")</f>
        <v>1</v>
      </c>
      <c r="BY8" s="178">
        <f>COUNTIFS('свод практик'!$J$6:$J$277,'свод субъектов ИБ+смежные'!BY$1,'свод практик'!$G$6:$G$277,"суб")</f>
        <v>3</v>
      </c>
      <c r="BZ8" s="178">
        <f>COUNTIFS('свод практик'!$J$6:$J$277,'свод субъектов ИБ+смежные'!BZ$1,'свод практик'!$G$6:$G$277,"суб")</f>
        <v>3</v>
      </c>
      <c r="CA8" s="178">
        <f>COUNTIFS('свод практик'!$J$6:$J$277,'свод субъектов ИБ+смежные'!CA$1,'свод практик'!$G$6:$G$277,"суб")</f>
        <v>0</v>
      </c>
      <c r="CB8" s="178">
        <f>COUNTIFS('свод практик'!$J$6:$J$277,'свод субъектов ИБ+смежные'!CB$1,'свод практик'!$G$6:$G$277,"суб")</f>
        <v>0</v>
      </c>
      <c r="CC8" s="178">
        <f>COUNTIFS('свод практик'!$J$6:$J$277,'свод субъектов ИБ+смежные'!CC$1,'свод практик'!$G$6:$G$277,"суб")</f>
        <v>1</v>
      </c>
      <c r="CD8" s="178">
        <f>COUNTIFS('свод практик'!$J$6:$J$277,'свод субъектов ИБ+смежные'!CD$1,'свод практик'!$G$6:$G$277,"суб")</f>
        <v>1</v>
      </c>
      <c r="CE8" s="178">
        <f>COUNTIFS('свод практик'!$J$6:$J$277,'свод субъектов ИБ+смежные'!CE$1,'свод практик'!$G$6:$G$277,"суб")</f>
        <v>2</v>
      </c>
      <c r="CF8" s="178">
        <f>COUNTIFS('свод практик'!$J$6:$J$277,'свод субъектов ИБ+смежные'!CF$1,'свод практик'!$G$6:$G$277,"суб")</f>
        <v>3</v>
      </c>
      <c r="CG8" s="178">
        <f>COUNTIFS('свод практик'!$J$6:$J$277,'свод субъектов ИБ+смежные'!CG$1,'свод практик'!$G$6:$G$277,"суб")</f>
        <v>1</v>
      </c>
      <c r="CH8" s="178">
        <f>COUNTIFS('свод практик'!$J$6:$J$277,'свод субъектов ИБ+смежные'!CH$1,'свод практик'!$G$6:$G$277,"суб")</f>
        <v>1</v>
      </c>
      <c r="CI8" s="178">
        <f>COUNTIFS('свод практик'!$J$6:$J$277,'свод субъектов ИБ+смежные'!CI$1,'свод практик'!$G$6:$G$277,"суб")</f>
        <v>1</v>
      </c>
      <c r="CJ8" s="178">
        <f>COUNTIFS('свод практик'!$J$6:$J$277,'свод субъектов ИБ+смежные'!CJ$1,'свод практик'!$G$6:$G$277,"суб")</f>
        <v>0</v>
      </c>
      <c r="CK8" s="178">
        <f>COUNTIFS('свод практик'!$J$6:$J$277,'свод субъектов ИБ+смежные'!CK$1,'свод практик'!$G$6:$G$277,"суб")</f>
        <v>2</v>
      </c>
      <c r="CL8" s="178">
        <f>COUNTIFS('свод практик'!$J$6:$J$277,'свод субъектов ИБ+смежные'!CL$1,'свод практик'!$G$6:$G$277,"суб")</f>
        <v>1</v>
      </c>
      <c r="CM8" s="178">
        <f>COUNTIFS('свод практик'!$J$6:$J$277,'свод субъектов ИБ+смежные'!CM$1,'свод практик'!$G$6:$G$277,"суб")</f>
        <v>1</v>
      </c>
      <c r="CN8" s="178">
        <f>COUNTIFS('свод практик'!$J$6:$J$277,'свод субъектов ИБ+смежные'!CN$1,'свод практик'!$G$6:$G$277,"суб")</f>
        <v>2</v>
      </c>
      <c r="CO8" s="178">
        <f>COUNTIFS('свод практик'!$J$6:$J$277,'свод субъектов ИБ+смежные'!CO$1,'свод практик'!$G$6:$G$277,"суб")</f>
        <v>0</v>
      </c>
      <c r="CP8" s="178">
        <f>COUNTIFS('свод практик'!$J$6:$J$277,'свод субъектов ИБ+смежные'!CP$1,'свод практик'!$G$6:$G$277,"суб")</f>
        <v>3</v>
      </c>
      <c r="CQ8" s="178">
        <f>COUNTIFS('свод практик'!$J$6:$J$277,'свод субъектов ИБ+смежные'!CQ$1,'свод практик'!$G$6:$G$277,"суб")</f>
        <v>0</v>
      </c>
      <c r="CR8" s="178">
        <f>COUNTIFS('свод практик'!$J$6:$J$277,'свод субъектов ИБ+смежные'!CR$1,'свод практик'!$G$6:$G$277,"суб")</f>
        <v>0</v>
      </c>
      <c r="CS8" s="178">
        <f>COUNTIFS('свод практик'!$J$6:$J$277,'свод субъектов ИБ+смежные'!CS$1,'свод практик'!$G$6:$G$277,"суб")</f>
        <v>1</v>
      </c>
      <c r="CT8" s="178">
        <f>COUNTIFS('свод практик'!$J$6:$J$277,'свод субъектов ИБ+смежные'!CT$1,'свод практик'!$G$6:$G$277,"суб")</f>
        <v>1</v>
      </c>
      <c r="CU8" s="178">
        <f>COUNTIFS('свод практик'!$J$6:$J$277,'свод субъектов ИБ+смежные'!CU$1,'свод практик'!$G$6:$G$277,"суб")</f>
        <v>0</v>
      </c>
      <c r="CV8" s="178">
        <f>COUNTIFS('свод практик'!$J$6:$J$277,'свод субъектов ИБ+смежные'!CV$1,'свод практик'!$G$6:$G$277,"суб")</f>
        <v>1</v>
      </c>
    </row>
    <row r="9" spans="1:100" ht="42">
      <c r="A9" s="764"/>
      <c r="B9" s="767"/>
      <c r="C9" s="760"/>
      <c r="D9" s="42" t="s">
        <v>4949</v>
      </c>
      <c r="E9" s="42">
        <v>6</v>
      </c>
      <c r="F9" s="48" t="s">
        <v>4962</v>
      </c>
      <c r="G9" s="44" t="s">
        <v>5247</v>
      </c>
      <c r="H9" s="45" t="s">
        <v>4952</v>
      </c>
      <c r="I9" s="46" t="s">
        <v>4956</v>
      </c>
      <c r="M9" s="36" t="s">
        <v>5497</v>
      </c>
      <c r="N9" s="36">
        <v>24</v>
      </c>
      <c r="O9" s="224">
        <f>COUNTIF(P9:CV9,"да")</f>
        <v>24</v>
      </c>
      <c r="P9" s="36" t="str">
        <f>IF(P$10&gt;0,"да","нет")</f>
        <v>нет</v>
      </c>
      <c r="Q9" s="36" t="str">
        <f>IF(Q$10&gt;0,"да","нет")</f>
        <v>нет</v>
      </c>
      <c r="R9" s="36" t="str">
        <f t="shared" ref="R9:CC9" si="4">IF(R$10&gt;0,"да","нет")</f>
        <v>нет</v>
      </c>
      <c r="S9" s="36" t="str">
        <f t="shared" si="4"/>
        <v>нет</v>
      </c>
      <c r="T9" s="36" t="str">
        <f t="shared" si="4"/>
        <v>да</v>
      </c>
      <c r="U9" s="36" t="str">
        <f t="shared" si="4"/>
        <v>да</v>
      </c>
      <c r="V9" s="36" t="str">
        <f t="shared" si="4"/>
        <v>да</v>
      </c>
      <c r="W9" s="36" t="str">
        <f t="shared" si="4"/>
        <v>да</v>
      </c>
      <c r="X9" s="36" t="str">
        <f t="shared" si="4"/>
        <v>нет</v>
      </c>
      <c r="Y9" s="36" t="str">
        <f t="shared" si="4"/>
        <v>нет</v>
      </c>
      <c r="Z9" s="36" t="str">
        <f t="shared" si="4"/>
        <v>нет</v>
      </c>
      <c r="AA9" s="36" t="str">
        <f t="shared" si="4"/>
        <v>нет</v>
      </c>
      <c r="AB9" s="36" t="str">
        <f t="shared" si="4"/>
        <v>да</v>
      </c>
      <c r="AC9" s="36" t="str">
        <f t="shared" si="4"/>
        <v>нет</v>
      </c>
      <c r="AD9" s="36" t="str">
        <f t="shared" si="4"/>
        <v>нет</v>
      </c>
      <c r="AE9" s="36" t="str">
        <f t="shared" si="4"/>
        <v>нет</v>
      </c>
      <c r="AF9" s="36" t="str">
        <f t="shared" si="4"/>
        <v>нет</v>
      </c>
      <c r="AG9" s="36" t="str">
        <f t="shared" si="4"/>
        <v>нет</v>
      </c>
      <c r="AH9" s="36" t="str">
        <f t="shared" si="4"/>
        <v>нет</v>
      </c>
      <c r="AI9" s="36" t="str">
        <f t="shared" si="4"/>
        <v>нет</v>
      </c>
      <c r="AJ9" s="36" t="str">
        <f t="shared" si="4"/>
        <v>да</v>
      </c>
      <c r="AK9" s="36" t="str">
        <f t="shared" si="4"/>
        <v>нет</v>
      </c>
      <c r="AL9" s="36" t="str">
        <f t="shared" si="4"/>
        <v>нет</v>
      </c>
      <c r="AM9" s="36" t="str">
        <f t="shared" si="4"/>
        <v>да</v>
      </c>
      <c r="AN9" s="36" t="str">
        <f t="shared" si="4"/>
        <v>нет</v>
      </c>
      <c r="AO9" s="36" t="str">
        <f t="shared" si="4"/>
        <v>нет</v>
      </c>
      <c r="AP9" s="36" t="str">
        <f t="shared" si="4"/>
        <v>нет</v>
      </c>
      <c r="AQ9" s="36" t="str">
        <f t="shared" si="4"/>
        <v>нет</v>
      </c>
      <c r="AR9" s="36" t="str">
        <f t="shared" si="4"/>
        <v>нет</v>
      </c>
      <c r="AS9" s="36" t="str">
        <f t="shared" si="4"/>
        <v>нет</v>
      </c>
      <c r="AT9" s="36" t="str">
        <f t="shared" si="4"/>
        <v>нет</v>
      </c>
      <c r="AU9" s="36" t="str">
        <f t="shared" si="4"/>
        <v>да</v>
      </c>
      <c r="AV9" s="36" t="str">
        <f t="shared" si="4"/>
        <v>да</v>
      </c>
      <c r="AW9" s="36" t="str">
        <f t="shared" si="4"/>
        <v>нет</v>
      </c>
      <c r="AX9" s="36" t="str">
        <f t="shared" si="4"/>
        <v>нет</v>
      </c>
      <c r="AY9" s="36" t="str">
        <f t="shared" si="4"/>
        <v>нет</v>
      </c>
      <c r="AZ9" s="36" t="str">
        <f t="shared" si="4"/>
        <v>да</v>
      </c>
      <c r="BA9" s="36" t="str">
        <f t="shared" si="4"/>
        <v>нет</v>
      </c>
      <c r="BB9" s="36" t="str">
        <f t="shared" si="4"/>
        <v>нет</v>
      </c>
      <c r="BC9" s="36" t="str">
        <f t="shared" si="4"/>
        <v>нет</v>
      </c>
      <c r="BD9" s="36" t="str">
        <f t="shared" si="4"/>
        <v>нет</v>
      </c>
      <c r="BE9" s="36" t="str">
        <f t="shared" si="4"/>
        <v>нет</v>
      </c>
      <c r="BF9" s="36" t="str">
        <f t="shared" si="4"/>
        <v>да</v>
      </c>
      <c r="BG9" s="36" t="str">
        <f t="shared" si="4"/>
        <v>нет</v>
      </c>
      <c r="BH9" s="36" t="str">
        <f t="shared" si="4"/>
        <v>нет</v>
      </c>
      <c r="BI9" s="36" t="str">
        <f t="shared" si="4"/>
        <v>нет</v>
      </c>
      <c r="BJ9" s="36" t="str">
        <f t="shared" si="4"/>
        <v>нет</v>
      </c>
      <c r="BK9" s="36" t="str">
        <f t="shared" si="4"/>
        <v>нет</v>
      </c>
      <c r="BL9" s="36" t="str">
        <f t="shared" si="4"/>
        <v>да</v>
      </c>
      <c r="BM9" s="36" t="str">
        <f t="shared" si="4"/>
        <v>да</v>
      </c>
      <c r="BN9" s="36" t="str">
        <f t="shared" si="4"/>
        <v>нет</v>
      </c>
      <c r="BO9" s="36" t="str">
        <f t="shared" si="4"/>
        <v>да</v>
      </c>
      <c r="BP9" s="36" t="str">
        <f t="shared" si="4"/>
        <v>нет</v>
      </c>
      <c r="BQ9" s="36" t="str">
        <f t="shared" si="4"/>
        <v>нет</v>
      </c>
      <c r="BR9" s="36" t="str">
        <f t="shared" si="4"/>
        <v>нет</v>
      </c>
      <c r="BS9" s="36" t="str">
        <f t="shared" si="4"/>
        <v>да</v>
      </c>
      <c r="BT9" s="36" t="str">
        <f t="shared" si="4"/>
        <v>нет</v>
      </c>
      <c r="BU9" s="36" t="str">
        <f t="shared" si="4"/>
        <v>да</v>
      </c>
      <c r="BV9" s="36" t="str">
        <f t="shared" si="4"/>
        <v>нет</v>
      </c>
      <c r="BW9" s="36" t="str">
        <f t="shared" si="4"/>
        <v>нет</v>
      </c>
      <c r="BX9" s="36" t="str">
        <f t="shared" si="4"/>
        <v>нет</v>
      </c>
      <c r="BY9" s="36" t="str">
        <f t="shared" si="4"/>
        <v>нет</v>
      </c>
      <c r="BZ9" s="36" t="str">
        <f t="shared" si="4"/>
        <v>да</v>
      </c>
      <c r="CA9" s="36" t="str">
        <f t="shared" si="4"/>
        <v>нет</v>
      </c>
      <c r="CB9" s="36" t="str">
        <f t="shared" si="4"/>
        <v>нет</v>
      </c>
      <c r="CC9" s="36" t="str">
        <f t="shared" si="4"/>
        <v>нет</v>
      </c>
      <c r="CD9" s="36" t="str">
        <f t="shared" ref="CD9:CV9" si="5">IF(CD$10&gt;0,"да","нет")</f>
        <v>да</v>
      </c>
      <c r="CE9" s="36" t="str">
        <f t="shared" si="5"/>
        <v>нет</v>
      </c>
      <c r="CF9" s="36" t="str">
        <f t="shared" si="5"/>
        <v>нет</v>
      </c>
      <c r="CG9" s="36" t="str">
        <f t="shared" si="5"/>
        <v>нет</v>
      </c>
      <c r="CH9" s="36" t="str">
        <f t="shared" si="5"/>
        <v>нет</v>
      </c>
      <c r="CI9" s="36" t="str">
        <f t="shared" si="5"/>
        <v>нет</v>
      </c>
      <c r="CJ9" s="36" t="str">
        <f t="shared" si="5"/>
        <v>нет</v>
      </c>
      <c r="CK9" s="36" t="str">
        <f t="shared" si="5"/>
        <v>нет</v>
      </c>
      <c r="CL9" s="36" t="str">
        <f t="shared" si="5"/>
        <v>да</v>
      </c>
      <c r="CM9" s="36" t="str">
        <f t="shared" si="5"/>
        <v>да</v>
      </c>
      <c r="CN9" s="36" t="str">
        <f t="shared" si="5"/>
        <v>нет</v>
      </c>
      <c r="CO9" s="36" t="str">
        <f t="shared" si="5"/>
        <v>нет</v>
      </c>
      <c r="CP9" s="36" t="str">
        <f t="shared" si="5"/>
        <v>да</v>
      </c>
      <c r="CQ9" s="36" t="str">
        <f t="shared" si="5"/>
        <v>да</v>
      </c>
      <c r="CR9" s="36" t="str">
        <f t="shared" si="5"/>
        <v>нет</v>
      </c>
      <c r="CS9" s="36" t="str">
        <f t="shared" si="5"/>
        <v>да</v>
      </c>
      <c r="CT9" s="36" t="str">
        <f t="shared" si="5"/>
        <v>нет</v>
      </c>
      <c r="CU9" s="36" t="str">
        <f t="shared" si="5"/>
        <v>да</v>
      </c>
      <c r="CV9" s="36" t="str">
        <f t="shared" si="5"/>
        <v>нет</v>
      </c>
    </row>
    <row r="10" spans="1:100" ht="43" thickBot="1">
      <c r="A10" s="765"/>
      <c r="B10" s="768"/>
      <c r="C10" s="722"/>
      <c r="D10" s="49" t="s">
        <v>4949</v>
      </c>
      <c r="E10" s="49">
        <v>7</v>
      </c>
      <c r="F10" s="50" t="s">
        <v>4963</v>
      </c>
      <c r="G10" s="51" t="s">
        <v>5248</v>
      </c>
      <c r="H10" s="52" t="s">
        <v>4958</v>
      </c>
      <c r="I10" s="53" t="s">
        <v>4961</v>
      </c>
      <c r="M10" s="36" t="s">
        <v>5497</v>
      </c>
      <c r="N10" s="36">
        <v>91</v>
      </c>
      <c r="O10" s="224">
        <f>SUM(P10:CV10)</f>
        <v>147</v>
      </c>
      <c r="P10" s="36">
        <f>COUNTIFS('свод практик'!$J$6:$J$277,'свод субъектов ИБ+смежные'!P$1,'свод практик'!$H$6:$H$277,"мун")</f>
        <v>0</v>
      </c>
      <c r="Q10" s="36">
        <f>COUNTIFS('свод практик'!$J$6:$J$277,'свод субъектов ИБ+смежные'!Q$1,'свод практик'!$H$6:$H$277,"мун")</f>
        <v>0</v>
      </c>
      <c r="R10" s="36">
        <f>COUNTIFS('свод практик'!$J$6:$J$277,'свод субъектов ИБ+смежные'!R$1,'свод практик'!$H$6:$H$277,"мун")</f>
        <v>0</v>
      </c>
      <c r="S10" s="36">
        <f>COUNTIFS('свод практик'!$J$6:$J$277,'свод субъектов ИБ+смежные'!S$1,'свод практик'!$H$6:$H$277,"мун")</f>
        <v>0</v>
      </c>
      <c r="T10" s="36">
        <f>COUNTIFS('свод практик'!$J$6:$J$277,'свод субъектов ИБ+смежные'!T$1,'свод практик'!$H$6:$H$277,"мун")</f>
        <v>1</v>
      </c>
      <c r="U10" s="36">
        <f>COUNTIFS('свод практик'!$J$6:$J$277,'свод субъектов ИБ+смежные'!U$1,'свод практик'!$H$6:$H$277,"мун")</f>
        <v>1</v>
      </c>
      <c r="V10" s="36">
        <f>COUNTIFS('свод практик'!$J$6:$J$277,'свод субъектов ИБ+смежные'!V$1,'свод практик'!$H$6:$H$277,"мун")</f>
        <v>6</v>
      </c>
      <c r="W10" s="36">
        <f>COUNTIFS('свод практик'!$J$6:$J$277,'свод субъектов ИБ+смежные'!W$1,'свод практик'!$H$6:$H$277,"мун")</f>
        <v>2</v>
      </c>
      <c r="X10" s="36">
        <f>COUNTIFS('свод практик'!$J$6:$J$277,'свод субъектов ИБ+смежные'!X$1,'свод практик'!$H$6:$H$277,"мун")</f>
        <v>0</v>
      </c>
      <c r="Y10" s="36">
        <f>COUNTIFS('свод практик'!$J$6:$J$277,'свод субъектов ИБ+смежные'!Y$1,'свод практик'!$H$6:$H$277,"мун")</f>
        <v>0</v>
      </c>
      <c r="Z10" s="36">
        <f>COUNTIFS('свод практик'!$J$6:$J$277,'свод субъектов ИБ+смежные'!Z$1,'свод практик'!$H$6:$H$277,"мун")</f>
        <v>0</v>
      </c>
      <c r="AA10" s="36">
        <f>COUNTIFS('свод практик'!$J$6:$J$277,'свод субъектов ИБ+смежные'!AA$1,'свод практик'!$H$6:$H$277,"мун")</f>
        <v>0</v>
      </c>
      <c r="AB10" s="36">
        <f>COUNTIFS('свод практик'!$J$6:$J$277,'свод субъектов ИБ+смежные'!AB$1,'свод практик'!$H$6:$H$277,"мун")</f>
        <v>2</v>
      </c>
      <c r="AC10" s="36">
        <f>COUNTIFS('свод практик'!$J$6:$J$277,'свод субъектов ИБ+смежные'!AC$1,'свод практик'!$H$6:$H$277,"мун")</f>
        <v>0</v>
      </c>
      <c r="AD10" s="160">
        <f>COUNTIFS('свод практик'!$J$6:$J$277,'свод субъектов ИБ+смежные'!AD$1,'свод практик'!$H$6:$H$277,"мун")</f>
        <v>0</v>
      </c>
      <c r="AE10" s="160">
        <f>COUNTIFS('свод практик'!$J$6:$J$277,'свод субъектов ИБ+смежные'!AE$1,'свод практик'!$H$6:$H$277,"мун")</f>
        <v>0</v>
      </c>
      <c r="AF10" s="36">
        <f>COUNTIFS('свод практик'!$J$6:$J$277,'свод субъектов ИБ+смежные'!AF$1,'свод практик'!$H$6:$H$277,"мун")</f>
        <v>0</v>
      </c>
      <c r="AG10" s="160">
        <f>COUNTIFS('свод практик'!$J$6:$J$277,'свод субъектов ИБ+смежные'!AG$1,'свод практик'!$H$6:$H$277,"мун")</f>
        <v>0</v>
      </c>
      <c r="AH10" s="160">
        <f>COUNTIFS('свод практик'!$J$6:$J$277,'свод субъектов ИБ+смежные'!AH$1,'свод практик'!$H$6:$H$277,"мун")</f>
        <v>0</v>
      </c>
      <c r="AI10" s="36">
        <f>COUNTIFS('свод практик'!$J$6:$J$277,'свод субъектов ИБ+смежные'!AI$1,'свод практик'!$H$6:$H$277,"мун")</f>
        <v>0</v>
      </c>
      <c r="AJ10" s="36">
        <f>COUNTIFS('свод практик'!$J$6:$J$277,'свод субъектов ИБ+смежные'!AJ$1,'свод практик'!$H$6:$H$277,"мун")</f>
        <v>1</v>
      </c>
      <c r="AK10" s="36">
        <f>COUNTIFS('свод практик'!$J$6:$J$277,'свод субъектов ИБ+смежные'!AK$1,'свод практик'!$H$6:$H$277,"мун")</f>
        <v>0</v>
      </c>
      <c r="AL10" s="36">
        <f>COUNTIFS('свод практик'!$J$6:$J$277,'свод субъектов ИБ+смежные'!AL$1,'свод практик'!$H$6:$H$277,"мун")</f>
        <v>0</v>
      </c>
      <c r="AM10" s="36">
        <f>COUNTIFS('свод практик'!$J$6:$J$277,'свод субъектов ИБ+смежные'!AM$1,'свод практик'!$H$6:$H$277,"мун")</f>
        <v>3</v>
      </c>
      <c r="AN10" s="160">
        <f>COUNTIFS('свод практик'!$J$6:$J$277,'свод субъектов ИБ+смежные'!AN$1,'свод практик'!$H$6:$H$277,"мун")</f>
        <v>0</v>
      </c>
      <c r="AO10" s="160">
        <f>COUNTIFS('свод практик'!$J$6:$J$277,'свод субъектов ИБ+смежные'!AO$1,'свод практик'!$H$6:$H$277,"мун")</f>
        <v>0</v>
      </c>
      <c r="AP10" s="36">
        <f>COUNTIFS('свод практик'!$J$6:$J$277,'свод субъектов ИБ+смежные'!AP$1,'свод практик'!$H$6:$H$277,"мун")</f>
        <v>0</v>
      </c>
      <c r="AQ10" s="36">
        <f>COUNTIFS('свод практик'!$J$6:$J$277,'свод субъектов ИБ+смежные'!AQ$1,'свод практик'!$H$6:$H$277,"мун")</f>
        <v>0</v>
      </c>
      <c r="AR10" s="36">
        <f>COUNTIFS('свод практик'!$J$6:$J$277,'свод субъектов ИБ+смежные'!AR$1,'свод практик'!$H$6:$H$277,"мун")</f>
        <v>0</v>
      </c>
      <c r="AS10" s="36">
        <f>COUNTIFS('свод практик'!$J$6:$J$277,'свод субъектов ИБ+смежные'!AS$1,'свод практик'!$H$6:$H$277,"мун")</f>
        <v>0</v>
      </c>
      <c r="AT10" s="36">
        <f>COUNTIFS('свод практик'!$J$6:$J$277,'свод субъектов ИБ+смежные'!AT$1,'свод практик'!$H$6:$H$277,"мун")</f>
        <v>0</v>
      </c>
      <c r="AU10" s="36">
        <f>COUNTIFS('свод практик'!$J$6:$J$277,'свод субъектов ИБ+смежные'!AU$1,'свод практик'!$H$6:$H$277,"мун")</f>
        <v>1</v>
      </c>
      <c r="AV10" s="36">
        <f>COUNTIFS('свод практик'!$J$6:$J$277,'свод субъектов ИБ+смежные'!AV$1,'свод практик'!$H$6:$H$277,"мун")</f>
        <v>1</v>
      </c>
      <c r="AW10" s="36">
        <f>COUNTIFS('свод практик'!$J$6:$J$277,'свод субъектов ИБ+смежные'!AW$1,'свод практик'!$H$6:$H$277,"мун")</f>
        <v>0</v>
      </c>
      <c r="AX10" s="36">
        <f>COUNTIFS('свод практик'!$J$6:$J$277,'свод субъектов ИБ+смежные'!AX$1,'свод практик'!$H$6:$H$277,"мун")</f>
        <v>0</v>
      </c>
      <c r="AY10" s="160">
        <f>COUNTIFS('свод практик'!$J$6:$J$277,'свод субъектов ИБ+смежные'!AY$1,'свод практик'!$H$6:$H$277,"мун")</f>
        <v>0</v>
      </c>
      <c r="AZ10" s="36">
        <f>COUNTIFS('свод практик'!$J$6:$J$277,'свод субъектов ИБ+смежные'!AZ$1,'свод практик'!$H$6:$H$277,"мун")</f>
        <v>1</v>
      </c>
      <c r="BA10" s="36">
        <f>COUNTIFS('свод практик'!$J$6:$J$277,'свод субъектов ИБ+смежные'!BA$1,'свод практик'!$H$6:$H$277,"мун")</f>
        <v>0</v>
      </c>
      <c r="BB10" s="160">
        <f>COUNTIFS('свод практик'!$J$6:$J$277,'свод субъектов ИБ+смежные'!BB$1,'свод практик'!$H$6:$H$277,"мун")</f>
        <v>0</v>
      </c>
      <c r="BC10" s="36">
        <f>COUNTIFS('свод практик'!$J$6:$J$277,'свод субъектов ИБ+смежные'!BC$1,'свод практик'!$H$6:$H$277,"мун")</f>
        <v>0</v>
      </c>
      <c r="BD10" s="160">
        <f>COUNTIFS('свод практик'!$J$6:$J$277,'свод субъектов ИБ+смежные'!BD$1,'свод практик'!$H$6:$H$277,"мун")</f>
        <v>0</v>
      </c>
      <c r="BE10" s="160">
        <f>COUNTIFS('свод практик'!$J$6:$J$277,'свод субъектов ИБ+смежные'!BE$1,'свод практик'!$H$6:$H$277,"мун")</f>
        <v>0</v>
      </c>
      <c r="BF10" s="36">
        <f>COUNTIFS('свод практик'!$J$6:$J$277,'свод субъектов ИБ+смежные'!BF$1,'свод практик'!$H$6:$H$277,"мун")</f>
        <v>1</v>
      </c>
      <c r="BG10" s="36">
        <f>COUNTIFS('свод практик'!$J$6:$J$277,'свод субъектов ИБ+смежные'!BG$1,'свод практик'!$H$6:$H$277,"мун")</f>
        <v>0</v>
      </c>
      <c r="BH10" s="36">
        <f>COUNTIFS('свод практик'!$J$6:$J$277,'свод субъектов ИБ+смежные'!BH$1,'свод практик'!$H$6:$H$277,"мун")</f>
        <v>0</v>
      </c>
      <c r="BI10" s="36">
        <f>COUNTIFS('свод практик'!$J$6:$J$277,'свод субъектов ИБ+смежные'!BI$1,'свод практик'!$H$6:$H$277,"мун")</f>
        <v>0</v>
      </c>
      <c r="BJ10" s="36">
        <f>COUNTIFS('свод практик'!$J$6:$J$277,'свод субъектов ИБ+смежные'!BJ$1,'свод практик'!$H$6:$H$277,"мун")</f>
        <v>0</v>
      </c>
      <c r="BK10" s="36">
        <f>COUNTIFS('свод практик'!$J$6:$J$277,'свод субъектов ИБ+смежные'!BK$1,'свод практик'!$H$6:$H$277,"мун")</f>
        <v>0</v>
      </c>
      <c r="BL10" s="36">
        <f>COUNTIFS('свод практик'!$J$6:$J$277,'свод субъектов ИБ+смежные'!BL$1,'свод практик'!$H$6:$H$277,"мун")</f>
        <v>1</v>
      </c>
      <c r="BM10" s="36">
        <f>COUNTIFS('свод практик'!$J$6:$J$277,'свод субъектов ИБ+смежные'!BM$1,'свод практик'!$H$6:$H$277,"мун")</f>
        <v>14</v>
      </c>
      <c r="BN10" s="36">
        <f>COUNTIFS('свод практик'!$J$6:$J$277,'свод субъектов ИБ+смежные'!BN$1,'свод практик'!$H$6:$H$277,"мун")</f>
        <v>0</v>
      </c>
      <c r="BO10" s="36">
        <f>COUNTIFS('свод практик'!$J$6:$J$277,'свод субъектов ИБ+смежные'!BO$1,'свод практик'!$H$6:$H$277,"мун")</f>
        <v>1</v>
      </c>
      <c r="BP10" s="36">
        <f>COUNTIFS('свод практик'!$J$6:$J$277,'свод субъектов ИБ+смежные'!BP$1,'свод практик'!$H$6:$H$277,"мун")</f>
        <v>0</v>
      </c>
      <c r="BQ10" s="160">
        <f>COUNTIFS('свод практик'!$J$6:$J$277,'свод субъектов ИБ+смежные'!BQ$1,'свод практик'!$H$6:$H$277,"мун")</f>
        <v>0</v>
      </c>
      <c r="BR10" s="36">
        <f>COUNTIFS('свод практик'!$J$6:$J$277,'свод субъектов ИБ+смежные'!BR$1,'свод практик'!$H$6:$H$277,"мун")</f>
        <v>0</v>
      </c>
      <c r="BS10" s="36">
        <f>COUNTIFS('свод практик'!$J$6:$J$277,'свод субъектов ИБ+смежные'!BS$1,'свод практик'!$H$6:$H$277,"мун")</f>
        <v>2</v>
      </c>
      <c r="BT10" s="36">
        <f>COUNTIFS('свод практик'!$J$6:$J$277,'свод субъектов ИБ+смежные'!BT$1,'свод практик'!$H$6:$H$277,"мун")</f>
        <v>0</v>
      </c>
      <c r="BU10" s="36">
        <f>COUNTIFS('свод практик'!$J$6:$J$277,'свод субъектов ИБ+смежные'!BU$1,'свод практик'!$H$6:$H$277,"мун")</f>
        <v>14</v>
      </c>
      <c r="BV10" s="36">
        <f>COUNTIFS('свод практик'!$J$6:$J$277,'свод субъектов ИБ+смежные'!BV$1,'свод практик'!$H$6:$H$277,"мун")</f>
        <v>0</v>
      </c>
      <c r="BW10" s="36">
        <f>COUNTIFS('свод практик'!$J$6:$J$277,'свод субъектов ИБ+смежные'!BW$1,'свод практик'!$H$6:$H$277,"мун")</f>
        <v>0</v>
      </c>
      <c r="BX10" s="36">
        <f>COUNTIFS('свод практик'!$J$6:$J$277,'свод субъектов ИБ+смежные'!BX$1,'свод практик'!$H$6:$H$277,"мун")</f>
        <v>0</v>
      </c>
      <c r="BY10" s="36">
        <f>COUNTIFS('свод практик'!$J$6:$J$277,'свод субъектов ИБ+смежные'!BY$1,'свод практик'!$H$6:$H$277,"мун")</f>
        <v>0</v>
      </c>
      <c r="BZ10" s="36">
        <f>COUNTIFS('свод практик'!$J$6:$J$277,'свод субъектов ИБ+смежные'!BZ$1,'свод практик'!$H$6:$H$277,"мун")</f>
        <v>3</v>
      </c>
      <c r="CA10" s="160">
        <f>COUNTIFS('свод практик'!$J$6:$J$277,'свод субъектов ИБ+смежные'!CA$1,'свод практик'!$H$6:$H$277,"мун")</f>
        <v>0</v>
      </c>
      <c r="CB10" s="160">
        <f>COUNTIFS('свод практик'!$J$6:$J$277,'свод субъектов ИБ+смежные'!CB$1,'свод практик'!$H$6:$H$277,"мун")</f>
        <v>0</v>
      </c>
      <c r="CC10" s="36">
        <f>COUNTIFS('свод практик'!$J$6:$J$277,'свод субъектов ИБ+смежные'!CC$1,'свод практик'!$H$6:$H$277,"мун")</f>
        <v>0</v>
      </c>
      <c r="CD10" s="36">
        <f>COUNTIFS('свод практик'!$J$6:$J$277,'свод субъектов ИБ+смежные'!CD$1,'свод практик'!$H$6:$H$277,"мун")</f>
        <v>2</v>
      </c>
      <c r="CE10" s="36">
        <f>COUNTIFS('свод практик'!$J$6:$J$277,'свод субъектов ИБ+смежные'!CE$1,'свод практик'!$H$6:$H$277,"мун")</f>
        <v>0</v>
      </c>
      <c r="CF10" s="36">
        <f>COUNTIFS('свод практик'!$J$6:$J$277,'свод субъектов ИБ+смежные'!CF$1,'свод практик'!$H$6:$H$277,"мун")</f>
        <v>0</v>
      </c>
      <c r="CG10" s="36">
        <f>COUNTIFS('свод практик'!$J$6:$J$277,'свод субъектов ИБ+смежные'!CG$1,'свод практик'!$H$6:$H$277,"мун")</f>
        <v>0</v>
      </c>
      <c r="CH10" s="36">
        <f>COUNTIFS('свод практик'!$J$6:$J$277,'свод субъектов ИБ+смежные'!CH$1,'свод практик'!$H$6:$H$277,"мун")</f>
        <v>0</v>
      </c>
      <c r="CI10" s="36">
        <f>COUNTIFS('свод практик'!$J$6:$J$277,'свод субъектов ИБ+смежные'!CI$1,'свод практик'!$H$6:$H$277,"мун")</f>
        <v>0</v>
      </c>
      <c r="CJ10" s="160">
        <f>COUNTIFS('свод практик'!$J$6:$J$277,'свод субъектов ИБ+смежные'!CJ$1,'свод практик'!$H$6:$H$277,"мун")</f>
        <v>0</v>
      </c>
      <c r="CK10" s="36">
        <f>COUNTIFS('свод практик'!$J$6:$J$277,'свод субъектов ИБ+смежные'!CK$1,'свод практик'!$H$6:$H$277,"мун")</f>
        <v>0</v>
      </c>
      <c r="CL10" s="36">
        <f>COUNTIFS('свод практик'!$J$6:$J$277,'свод субъектов ИБ+смежные'!CL$1,'свод практик'!$H$6:$H$277,"мун")</f>
        <v>5</v>
      </c>
      <c r="CM10" s="36">
        <f>COUNTIFS('свод практик'!$J$6:$J$277,'свод субъектов ИБ+смежные'!CM$1,'свод практик'!$H$6:$H$277,"мун")</f>
        <v>27</v>
      </c>
      <c r="CN10" s="36">
        <f>COUNTIFS('свод практик'!$J$6:$J$277,'свод субъектов ИБ+смежные'!CN$1,'свод практик'!$H$6:$H$277,"мун")</f>
        <v>0</v>
      </c>
      <c r="CO10" s="160">
        <f>COUNTIFS('свод практик'!$J$6:$J$277,'свод субъектов ИБ+смежные'!CO$1,'свод практик'!$H$6:$H$277,"мун")</f>
        <v>0</v>
      </c>
      <c r="CP10" s="36">
        <f>COUNTIFS('свод практик'!$J$6:$J$277,'свод субъектов ИБ+смежные'!CP$1,'свод практик'!$H$6:$H$277,"мун")</f>
        <v>30</v>
      </c>
      <c r="CQ10" s="36">
        <f>COUNTIFS('свод практик'!$J$6:$J$277,'свод субъектов ИБ+смежные'!CQ$1,'свод практик'!$H$6:$H$277,"мун")</f>
        <v>2</v>
      </c>
      <c r="CR10" s="160">
        <f>COUNTIFS('свод практик'!$J$6:$J$277,'свод субъектов ИБ+смежные'!CR$1,'свод практик'!$H$6:$H$277,"мун")</f>
        <v>0</v>
      </c>
      <c r="CS10" s="36">
        <f>COUNTIFS('свод практик'!$J$6:$J$277,'свод субъектов ИБ+смежные'!CS$1,'свод практик'!$H$6:$H$277,"мун")</f>
        <v>1</v>
      </c>
      <c r="CT10" s="36">
        <f>COUNTIFS('свод практик'!$J$6:$J$277,'свод субъектов ИБ+смежные'!CT$1,'свод практик'!$H$6:$H$277,"мун")</f>
        <v>0</v>
      </c>
      <c r="CU10" s="36">
        <f>COUNTIFS('свод практик'!$J$6:$J$277,'свод субъектов ИБ+смежные'!CU$1,'свод практик'!$H$6:$H$277,"мун")</f>
        <v>25</v>
      </c>
      <c r="CV10" s="36">
        <f>COUNTIFS('свод практик'!$J$6:$J$277,'свод субъектов ИБ+смежные'!CV$1,'свод практик'!$H$6:$H$277,"мун")</f>
        <v>0</v>
      </c>
    </row>
    <row r="11" spans="1:100" s="695" customFormat="1" ht="42">
      <c r="A11" s="727" t="s">
        <v>4964</v>
      </c>
      <c r="B11" s="730" t="s">
        <v>4947</v>
      </c>
      <c r="C11" s="733" t="s">
        <v>4965</v>
      </c>
      <c r="D11" s="690" t="s">
        <v>4949</v>
      </c>
      <c r="E11" s="690">
        <v>4</v>
      </c>
      <c r="F11" s="691" t="s">
        <v>4966</v>
      </c>
      <c r="G11" s="692" t="s">
        <v>5249</v>
      </c>
      <c r="H11" s="693" t="s">
        <v>4958</v>
      </c>
      <c r="I11" s="694" t="s">
        <v>4961</v>
      </c>
      <c r="L11" s="695" t="s">
        <v>278</v>
      </c>
      <c r="M11" s="695">
        <v>38</v>
      </c>
      <c r="N11" s="695">
        <v>107</v>
      </c>
      <c r="O11" s="696">
        <f>SUM(P11:CV11)</f>
        <v>180</v>
      </c>
      <c r="P11" s="695">
        <f>COUNTIFS('свод практик'!$J$6:$J$277,'свод субъектов ИБ+смежные'!P$1,'свод практик'!$B$6:$B$277,"ИБ")</f>
        <v>1</v>
      </c>
      <c r="Q11" s="695">
        <f>COUNTIFS('свод практик'!$J$6:$J$277,'свод субъектов ИБ+смежные'!Q$1,'свод практик'!$B$6:$B$277,"ИБ")</f>
        <v>1</v>
      </c>
      <c r="R11" s="695">
        <f>COUNTIFS('свод практик'!$J$6:$J$277,'свод субъектов ИБ+смежные'!R$1,'свод практик'!$B$6:$B$277,"ИБ")</f>
        <v>1</v>
      </c>
      <c r="S11" s="695">
        <f>COUNTIFS('свод практик'!$J$6:$J$277,'свод субъектов ИБ+смежные'!S$1,'свод практик'!$B$6:$B$277,"ИБ")</f>
        <v>1</v>
      </c>
      <c r="T11" s="695">
        <f>COUNTIFS('свод практик'!$J$6:$J$277,'свод субъектов ИБ+смежные'!T$1,'свод практик'!$B$6:$B$277,"ИБ")</f>
        <v>1</v>
      </c>
      <c r="U11" s="695">
        <f>COUNTIFS('свод практик'!$J$6:$J$277,'свод субъектов ИБ+смежные'!U$1,'свод практик'!$B$6:$B$277,"ИБ")</f>
        <v>1</v>
      </c>
      <c r="V11" s="695">
        <f>COUNTIFS('свод практик'!$J$6:$J$277,'свод субъектов ИБ+смежные'!V$1,'свод практик'!$B$6:$B$277,"ИБ")</f>
        <v>9</v>
      </c>
      <c r="W11" s="695">
        <f>COUNTIFS('свод практик'!$J$6:$J$277,'свод субъектов ИБ+смежные'!W$1,'свод практик'!$B$6:$B$277,"ИБ")</f>
        <v>1</v>
      </c>
      <c r="X11" s="695">
        <f>COUNTIFS('свод практик'!$J$6:$J$277,'свод субъектов ИБ+смежные'!X$1,'свод практик'!$B$6:$B$277,"ИБ")</f>
        <v>1</v>
      </c>
      <c r="Y11" s="695">
        <f>COUNTIFS('свод практик'!$J$6:$J$277,'свод субъектов ИБ+смежные'!Y$1,'свод практик'!$B$6:$B$277,"ИБ")</f>
        <v>0</v>
      </c>
      <c r="Z11" s="695">
        <f>COUNTIFS('свод практик'!$J$6:$J$277,'свод субъектов ИБ+смежные'!Z$1,'свод практик'!$B$6:$B$277,"ИБ")</f>
        <v>0</v>
      </c>
      <c r="AA11" s="695">
        <f>COUNTIFS('свод практик'!$J$6:$J$277,'свод субъектов ИБ+смежные'!AA$1,'свод практик'!$B$6:$B$277,"ИБ")</f>
        <v>1</v>
      </c>
      <c r="AB11" s="695">
        <f>COUNTIFS('свод практик'!$J$6:$J$277,'свод субъектов ИБ+смежные'!AB$1,'свод практик'!$B$6:$B$277,"ИБ")</f>
        <v>3</v>
      </c>
      <c r="AC11" s="695">
        <f>COUNTIFS('свод практик'!$J$6:$J$277,'свод субъектов ИБ+смежные'!AC$1,'свод практик'!$B$6:$B$277,"ИБ")</f>
        <v>1</v>
      </c>
      <c r="AD11" s="695">
        <f>COUNTIFS('свод практик'!$J$6:$J$277,'свод субъектов ИБ+смежные'!AD$1,'свод практик'!$B$6:$B$277,"ИБ")</f>
        <v>0</v>
      </c>
      <c r="AE11" s="695">
        <f>COUNTIFS('свод практик'!$J$6:$J$277,'свод субъектов ИБ+смежные'!AE$1,'свод практик'!$B$6:$B$277,"ИБ")</f>
        <v>0</v>
      </c>
      <c r="AF11" s="695">
        <f>COUNTIFS('свод практик'!$J$6:$J$277,'свод субъектов ИБ+смежные'!AF$1,'свод практик'!$B$6:$B$277,"ИБ")</f>
        <v>0</v>
      </c>
      <c r="AG11" s="695">
        <f>COUNTIFS('свод практик'!$J$6:$J$277,'свод субъектов ИБ+смежные'!AG$1,'свод практик'!$B$6:$B$277,"ИБ")</f>
        <v>0</v>
      </c>
      <c r="AH11" s="695">
        <f>COUNTIFS('свод практик'!$J$6:$J$277,'свод субъектов ИБ+смежные'!AH$1,'свод практик'!$B$6:$B$277,"ИБ")</f>
        <v>0</v>
      </c>
      <c r="AI11" s="695">
        <f>COUNTIFS('свод практик'!$J$6:$J$277,'свод субъектов ИБ+смежные'!AI$1,'свод практик'!$B$6:$B$277,"ИБ")</f>
        <v>0</v>
      </c>
      <c r="AJ11" s="695">
        <f>COUNTIFS('свод практик'!$J$6:$J$277,'свод субъектов ИБ+смежные'!AJ$1,'свод практик'!$B$6:$B$277,"ИБ")</f>
        <v>0</v>
      </c>
      <c r="AK11" s="695">
        <f>COUNTIFS('свод практик'!$J$6:$J$277,'свод субъектов ИБ+смежные'!AK$1,'свод практик'!$B$6:$B$277,"ИБ")</f>
        <v>0</v>
      </c>
      <c r="AL11" s="695">
        <f>COUNTIFS('свод практик'!$J$6:$J$277,'свод субъектов ИБ+смежные'!AL$1,'свод практик'!$B$6:$B$277,"ИБ")</f>
        <v>1</v>
      </c>
      <c r="AM11" s="695">
        <f>COUNTIFS('свод практик'!$J$6:$J$277,'свод субъектов ИБ+смежные'!AM$1,'свод практик'!$B$6:$B$277,"ИБ")</f>
        <v>4</v>
      </c>
      <c r="AN11" s="695">
        <f>COUNTIFS('свод практик'!$J$6:$J$277,'свод субъектов ИБ+смежные'!AN$1,'свод практик'!$B$6:$B$277,"ИБ")</f>
        <v>0</v>
      </c>
      <c r="AO11" s="695">
        <f>COUNTIFS('свод практик'!$J$6:$J$277,'свод субъектов ИБ+смежные'!AO$1,'свод практик'!$B$6:$B$277,"ИБ")</f>
        <v>0</v>
      </c>
      <c r="AP11" s="695">
        <f>COUNTIFS('свод практик'!$J$6:$J$277,'свод субъектов ИБ+смежные'!AP$1,'свод практик'!$B$6:$B$277,"ИБ")</f>
        <v>1</v>
      </c>
      <c r="AQ11" s="695">
        <f>COUNTIFS('свод практик'!$J$6:$J$277,'свод субъектов ИБ+смежные'!AQ$1,'свод практик'!$B$6:$B$277,"ИБ")</f>
        <v>1</v>
      </c>
      <c r="AR11" s="695">
        <f>COUNTIFS('свод практик'!$J$6:$J$277,'свод субъектов ИБ+смежные'!AR$1,'свод практик'!$B$6:$B$277,"ИБ")</f>
        <v>2</v>
      </c>
      <c r="AS11" s="695">
        <f>COUNTIFS('свод практик'!$J$6:$J$277,'свод субъектов ИБ+смежные'!AS$1,'свод практик'!$B$6:$B$277,"ИБ")</f>
        <v>1</v>
      </c>
      <c r="AT11" s="695">
        <f>COUNTIFS('свод практик'!$J$6:$J$277,'свод субъектов ИБ+смежные'!AT$1,'свод практик'!$B$6:$B$277,"ИБ")</f>
        <v>0</v>
      </c>
      <c r="AU11" s="695">
        <f>COUNTIFS('свод практик'!$J$6:$J$277,'свод субъектов ИБ+смежные'!AU$1,'свод практик'!$B$6:$B$277,"ИБ")</f>
        <v>0</v>
      </c>
      <c r="AV11" s="695">
        <f>COUNTIFS('свод практик'!$J$6:$J$277,'свод субъектов ИБ+смежные'!AV$1,'свод практик'!$B$6:$B$277,"ИБ")</f>
        <v>2</v>
      </c>
      <c r="AW11" s="695">
        <f>COUNTIFS('свод практик'!$J$6:$J$277,'свод субъектов ИБ+смежные'!AW$1,'свод практик'!$B$6:$B$277,"ИБ")</f>
        <v>0</v>
      </c>
      <c r="AX11" s="695">
        <f>COUNTIFS('свод практик'!$J$6:$J$277,'свод субъектов ИБ+смежные'!AX$1,'свод практик'!$B$6:$B$277,"ИБ")</f>
        <v>1</v>
      </c>
      <c r="AY11" s="695">
        <f>COUNTIFS('свод практик'!$J$6:$J$277,'свод субъектов ИБ+смежные'!AY$1,'свод практик'!$B$6:$B$277,"ИБ")</f>
        <v>0</v>
      </c>
      <c r="AZ11" s="695">
        <f>COUNTIFS('свод практик'!$J$6:$J$277,'свод субъектов ИБ+смежные'!AZ$1,'свод практик'!$B$6:$B$277,"ИБ")</f>
        <v>1</v>
      </c>
      <c r="BA11" s="695">
        <f>COUNTIFS('свод практик'!$J$6:$J$277,'свод субъектов ИБ+смежные'!BA$1,'свод практик'!$B$6:$B$277,"ИБ")</f>
        <v>0</v>
      </c>
      <c r="BB11" s="695">
        <f>COUNTIFS('свод практик'!$J$6:$J$277,'свод субъектов ИБ+смежные'!BB$1,'свод практик'!$B$6:$B$277,"ИБ")</f>
        <v>0</v>
      </c>
      <c r="BC11" s="695">
        <f>COUNTIFS('свод практик'!$J$6:$J$277,'свод субъектов ИБ+смежные'!BC$1,'свод практик'!$B$6:$B$277,"ИБ")</f>
        <v>1</v>
      </c>
      <c r="BD11" s="695">
        <f>COUNTIFS('свод практик'!$J$6:$J$277,'свод субъектов ИБ+смежные'!BD$1,'свод практик'!$B$6:$B$277,"ИБ")</f>
        <v>0</v>
      </c>
      <c r="BE11" s="695">
        <f>COUNTIFS('свод практик'!$J$6:$J$277,'свод субъектов ИБ+смежные'!BE$1,'свод практик'!$B$6:$B$277,"ИБ")</f>
        <v>0</v>
      </c>
      <c r="BF11" s="695">
        <f>COUNTIFS('свод практик'!$J$6:$J$277,'свод субъектов ИБ+смежные'!BF$1,'свод практик'!$B$6:$B$277,"ИБ")</f>
        <v>1</v>
      </c>
      <c r="BG11" s="695">
        <f>COUNTIFS('свод практик'!$J$6:$J$277,'свод субъектов ИБ+смежные'!BG$1,'свод практик'!$B$6:$B$277,"ИБ")</f>
        <v>1</v>
      </c>
      <c r="BH11" s="695">
        <f>COUNTIFS('свод практик'!$J$6:$J$277,'свод субъектов ИБ+смежные'!BH$1,'свод практик'!$B$6:$B$277,"ИБ")</f>
        <v>1</v>
      </c>
      <c r="BI11" s="695">
        <f>COUNTIFS('свод практик'!$J$6:$J$277,'свод субъектов ИБ+смежные'!BI$1,'свод практик'!$B$6:$B$277,"ИБ")</f>
        <v>1</v>
      </c>
      <c r="BJ11" s="695">
        <f>COUNTIFS('свод практик'!$J$6:$J$277,'свод субъектов ИБ+смежные'!BJ$1,'свод практик'!$B$6:$B$277,"ИБ")</f>
        <v>2</v>
      </c>
      <c r="BK11" s="695">
        <f>COUNTIFS('свод практик'!$J$6:$J$277,'свод субъектов ИБ+смежные'!BK$1,'свод практик'!$B$6:$B$277,"ИБ")</f>
        <v>1</v>
      </c>
      <c r="BL11" s="695">
        <f>COUNTIFS('свод практик'!$J$6:$J$277,'свод субъектов ИБ+смежные'!BL$1,'свод практик'!$B$6:$B$277,"ИБ")</f>
        <v>0</v>
      </c>
      <c r="BM11" s="695">
        <f>COUNTIFS('свод практик'!$J$6:$J$277,'свод субъектов ИБ+смежные'!BM$1,'свод практик'!$B$6:$B$277,"ИБ")</f>
        <v>15</v>
      </c>
      <c r="BN11" s="695">
        <f>COUNTIFS('свод практик'!$J$6:$J$277,'свод субъектов ИБ+смежные'!BN$1,'свод практик'!$B$6:$B$277,"ИБ")</f>
        <v>1</v>
      </c>
      <c r="BO11" s="695">
        <f>COUNTIFS('свод практик'!$J$6:$J$277,'свод субъектов ИБ+смежные'!BO$1,'свод практик'!$B$6:$B$277,"ИБ")</f>
        <v>0</v>
      </c>
      <c r="BP11" s="695">
        <f>COUNTIFS('свод практик'!$J$6:$J$277,'свод субъектов ИБ+смежные'!BP$1,'свод практик'!$B$6:$B$277,"ИБ")</f>
        <v>1</v>
      </c>
      <c r="BQ11" s="695">
        <f>COUNTIFS('свод практик'!$J$6:$J$277,'свод субъектов ИБ+смежные'!BQ$1,'свод практик'!$B$6:$B$277,"ИБ")</f>
        <v>0</v>
      </c>
      <c r="BR11" s="695">
        <f>COUNTIFS('свод практик'!$J$6:$J$277,'свод субъектов ИБ+смежные'!BR$1,'свод практик'!$B$6:$B$277,"ИБ")</f>
        <v>0</v>
      </c>
      <c r="BS11" s="695">
        <f>COUNTIFS('свод практик'!$J$6:$J$277,'свод субъектов ИБ+смежные'!BS$1,'свод практик'!$B$6:$B$277,"ИБ")</f>
        <v>1</v>
      </c>
      <c r="BT11" s="695">
        <f>COUNTIFS('свод практик'!$J$6:$J$277,'свод субъектов ИБ+смежные'!BT$1,'свод практик'!$B$6:$B$277,"ИБ")</f>
        <v>1</v>
      </c>
      <c r="BU11" s="695">
        <f>COUNTIFS('свод практик'!$J$6:$J$277,'свод субъектов ИБ+смежные'!BU$1,'свод практик'!$B$6:$B$277,"ИБ")</f>
        <v>10</v>
      </c>
      <c r="BV11" s="695">
        <f>COUNTIFS('свод практик'!$J$6:$J$277,'свод субъектов ИБ+смежные'!BV$1,'свод практик'!$B$6:$B$277,"ИБ")</f>
        <v>1</v>
      </c>
      <c r="BW11" s="695">
        <f>COUNTIFS('свод практик'!$J$6:$J$277,'свод субъектов ИБ+смежные'!BW$1,'свод практик'!$B$6:$B$277,"ИБ")</f>
        <v>1</v>
      </c>
      <c r="BX11" s="695">
        <f>COUNTIFS('свод практик'!$J$6:$J$277,'свод субъектов ИБ+смежные'!BX$1,'свод практик'!$B$6:$B$277,"ИБ")</f>
        <v>1</v>
      </c>
      <c r="BY11" s="695">
        <f>COUNTIFS('свод практик'!$J$6:$J$277,'свод субъектов ИБ+смежные'!BY$1,'свод практик'!$B$6:$B$277,"ИБ")</f>
        <v>3</v>
      </c>
      <c r="BZ11" s="695">
        <f>COUNTIFS('свод практик'!$J$6:$J$277,'свод субъектов ИБ+смежные'!BZ$1,'свод практик'!$B$6:$B$277,"ИБ")</f>
        <v>4</v>
      </c>
      <c r="CA11" s="695">
        <f>COUNTIFS('свод практик'!$J$6:$J$277,'свод субъектов ИБ+смежные'!CA$1,'свод практик'!$B$6:$B$277,"ИБ")</f>
        <v>0</v>
      </c>
      <c r="CB11" s="695">
        <f>COUNTIFS('свод практик'!$J$6:$J$277,'свод субъектов ИБ+смежные'!CB$1,'свод практик'!$B$6:$B$277,"ИБ")</f>
        <v>0</v>
      </c>
      <c r="CC11" s="695">
        <f>COUNTIFS('свод практик'!$J$6:$J$277,'свод субъектов ИБ+смежные'!CC$1,'свод практик'!$B$6:$B$277,"ИБ")</f>
        <v>0</v>
      </c>
      <c r="CD11" s="695">
        <f>COUNTIFS('свод практик'!$J$6:$J$277,'свод субъектов ИБ+смежные'!CD$1,'свод практик'!$B$6:$B$277,"ИБ")</f>
        <v>2</v>
      </c>
      <c r="CE11" s="695">
        <f>COUNTIFS('свод практик'!$J$6:$J$277,'свод субъектов ИБ+смежные'!CE$1,'свод практик'!$B$6:$B$277,"ИБ")</f>
        <v>1</v>
      </c>
      <c r="CF11" s="695">
        <f>COUNTIFS('свод практик'!$J$6:$J$277,'свод субъектов ИБ+смежные'!CF$1,'свод практик'!$B$6:$B$277,"ИБ")</f>
        <v>0</v>
      </c>
      <c r="CG11" s="695">
        <f>COUNTIFS('свод практик'!$J$6:$J$277,'свод субъектов ИБ+смежные'!CG$1,'свод практик'!$B$6:$B$277,"ИБ")</f>
        <v>1</v>
      </c>
      <c r="CH11" s="695">
        <f>COUNTIFS('свод практик'!$J$6:$J$277,'свод субъектов ИБ+смежные'!CH$1,'свод практик'!$B$6:$B$277,"ИБ")</f>
        <v>1</v>
      </c>
      <c r="CI11" s="695">
        <f>COUNTIFS('свод практик'!$J$6:$J$277,'свод субъектов ИБ+смежные'!CI$1,'свод практик'!$B$6:$B$277,"ИБ")</f>
        <v>1</v>
      </c>
      <c r="CJ11" s="695">
        <f>COUNTIFS('свод практик'!$J$6:$J$277,'свод субъектов ИБ+смежные'!CJ$1,'свод практик'!$B$6:$B$277,"ИБ")</f>
        <v>0</v>
      </c>
      <c r="CK11" s="695">
        <f>COUNTIFS('свод практик'!$J$6:$J$277,'свод субъектов ИБ+смежные'!CK$1,'свод практик'!$B$6:$B$277,"ИБ")</f>
        <v>0</v>
      </c>
      <c r="CL11" s="695">
        <f>COUNTIFS('свод практик'!$J$6:$J$277,'свод субъектов ИБ+смежные'!CL$1,'свод практик'!$B$6:$B$277,"ИБ")</f>
        <v>6</v>
      </c>
      <c r="CM11" s="695">
        <f>COUNTIFS('свод практик'!$J$6:$J$277,'свод субъектов ИБ+смежные'!CM$1,'свод практик'!$B$6:$B$277,"ИБ")</f>
        <v>28</v>
      </c>
      <c r="CN11" s="695">
        <f>COUNTIFS('свод практик'!$J$6:$J$277,'свод субъектов ИБ+смежные'!CN$1,'свод практик'!$B$6:$B$277,"ИБ")</f>
        <v>1</v>
      </c>
      <c r="CO11" s="695">
        <f>COUNTIFS('свод практик'!$J$6:$J$277,'свод субъектов ИБ+смежные'!CO$1,'свод практик'!$B$6:$B$277,"ИБ")</f>
        <v>0</v>
      </c>
      <c r="CP11" s="695">
        <f>COUNTIFS('свод практик'!$J$6:$J$277,'свод субъектов ИБ+смежные'!CP$1,'свод практик'!$B$6:$B$277,"ИБ")</f>
        <v>27</v>
      </c>
      <c r="CQ11" s="695">
        <f>COUNTIFS('свод практик'!$J$6:$J$277,'свод субъектов ИБ+смежные'!CQ$1,'свод практик'!$B$6:$B$277,"ИБ")</f>
        <v>1</v>
      </c>
      <c r="CR11" s="695">
        <f>COUNTIFS('свод практик'!$J$6:$J$277,'свод субъектов ИБ+смежные'!CR$1,'свод практик'!$B$6:$B$277,"ИБ")</f>
        <v>0</v>
      </c>
      <c r="CS11" s="695">
        <f>COUNTIFS('свод практик'!$J$6:$J$277,'свод субъектов ИБ+смежные'!CS$1,'свод практик'!$B$6:$B$277,"ИБ")</f>
        <v>1</v>
      </c>
      <c r="CT11" s="695">
        <f>COUNTIFS('свод практик'!$J$6:$J$277,'свод субъектов ИБ+смежные'!CT$1,'свод практик'!$B$6:$B$277,"ИБ")</f>
        <v>1</v>
      </c>
      <c r="CU11" s="695">
        <f>COUNTIFS('свод практик'!$J$6:$J$277,'свод субъектов ИБ+смежные'!CU$1,'свод практик'!$B$6:$B$277,"ИБ")</f>
        <v>25</v>
      </c>
      <c r="CV11" s="695">
        <f>COUNTIFS('свод практик'!$J$6:$J$277,'свод субъектов ИБ+смежные'!CV$1,'свод практик'!$B$6:$B$277,"ИБ")</f>
        <v>1</v>
      </c>
    </row>
    <row r="12" spans="1:100" s="695" customFormat="1" ht="56">
      <c r="A12" s="728"/>
      <c r="B12" s="731"/>
      <c r="C12" s="734"/>
      <c r="D12" s="697" t="s">
        <v>4949</v>
      </c>
      <c r="E12" s="697">
        <v>5</v>
      </c>
      <c r="F12" s="698" t="s">
        <v>4967</v>
      </c>
      <c r="G12" s="699" t="s">
        <v>5250</v>
      </c>
      <c r="H12" s="700" t="s">
        <v>4958</v>
      </c>
      <c r="I12" s="701" t="s">
        <v>4961</v>
      </c>
      <c r="M12" s="695">
        <v>74</v>
      </c>
      <c r="N12" s="695">
        <v>86</v>
      </c>
      <c r="O12" s="696">
        <f>SUM(P12:CV12)</f>
        <v>69</v>
      </c>
      <c r="P12" s="695">
        <f>COUNTIFS('свод практик'!$J$6:$J$277,'свод субъектов ИБ+смежные'!P$1,'свод практик'!$B$6:$B$277,"смежная")</f>
        <v>0</v>
      </c>
      <c r="Q12" s="695">
        <f>COUNTIFS('свод практик'!$J$6:$J$277,'свод субъектов ИБ+смежные'!Q$1,'свод практик'!$B$6:$B$277,"смежная")</f>
        <v>2</v>
      </c>
      <c r="R12" s="695">
        <f>COUNTIFS('свод практик'!$J$6:$J$277,'свод субъектов ИБ+смежные'!R$1,'свод практик'!$B$6:$B$277,"смежная")</f>
        <v>0</v>
      </c>
      <c r="S12" s="695">
        <f>COUNTIFS('свод практик'!$J$6:$J$277,'свод субъектов ИБ+смежные'!S$1,'свод практик'!$B$6:$B$277,"смежная")</f>
        <v>0</v>
      </c>
      <c r="T12" s="695">
        <f>COUNTIFS('свод практик'!$J$6:$J$277,'свод субъектов ИБ+смежные'!T$1,'свод практик'!$B$6:$B$277,"смежная")</f>
        <v>1</v>
      </c>
      <c r="U12" s="695">
        <f>COUNTIFS('свод практик'!$J$6:$J$277,'свод субъектов ИБ+смежные'!U$1,'свод практик'!$B$6:$B$277,"смежная")</f>
        <v>1</v>
      </c>
      <c r="V12" s="695">
        <f>COUNTIFS('свод практик'!$J$6:$J$277,'свод субъектов ИБ+смежные'!V$1,'свод практик'!$B$6:$B$277,"смежная")</f>
        <v>1</v>
      </c>
      <c r="W12" s="695">
        <f>COUNTIFS('свод практик'!$J$6:$J$277,'свод субъектов ИБ+смежные'!W$1,'свод практик'!$B$6:$B$277,"смежная")</f>
        <v>3</v>
      </c>
      <c r="X12" s="695">
        <f>COUNTIFS('свод практик'!$J$6:$J$277,'свод субъектов ИБ+смежные'!X$1,'свод практик'!$B$6:$B$277,"смежная")</f>
        <v>0</v>
      </c>
      <c r="Y12" s="695">
        <f>COUNTIFS('свод практик'!$J$6:$J$277,'свод субъектов ИБ+смежные'!Y$1,'свод практик'!$B$6:$B$277,"смежная")</f>
        <v>1</v>
      </c>
      <c r="Z12" s="695">
        <f>COUNTIFS('свод практик'!$J$6:$J$277,'свод субъектов ИБ+смежные'!Z$1,'свод практик'!$B$6:$B$277,"смежная")</f>
        <v>3</v>
      </c>
      <c r="AA12" s="695">
        <f>COUNTIFS('свод практик'!$J$6:$J$277,'свод субъектов ИБ+смежные'!AA$1,'свод практик'!$B$6:$B$277,"смежная")</f>
        <v>0</v>
      </c>
      <c r="AB12" s="695">
        <f>COUNTIFS('свод практик'!$J$6:$J$277,'свод субъектов ИБ+смежные'!AB$1,'свод практик'!$B$6:$B$277,"смежная")</f>
        <v>0</v>
      </c>
      <c r="AC12" s="695">
        <f>COUNTIFS('свод практик'!$J$6:$J$277,'свод субъектов ИБ+смежные'!AC$1,'свод практик'!$B$6:$B$277,"смежная")</f>
        <v>2</v>
      </c>
      <c r="AD12" s="695">
        <f>COUNTIFS('свод практик'!$J$6:$J$277,'свод субъектов ИБ+смежные'!AD$1,'свод практик'!$B$6:$B$277,"смежная")</f>
        <v>0</v>
      </c>
      <c r="AE12" s="695">
        <f>COUNTIFS('свод практик'!$J$6:$J$277,'свод субъектов ИБ+смежные'!AE$1,'свод практик'!$B$6:$B$277,"смежная")</f>
        <v>0</v>
      </c>
      <c r="AF12" s="695">
        <f>COUNTIFS('свод практик'!$J$6:$J$277,'свод субъектов ИБ+смежные'!AF$1,'свод практик'!$B$6:$B$277,"смежная")</f>
        <v>1</v>
      </c>
      <c r="AG12" s="695">
        <f>COUNTIFS('свод практик'!$J$6:$J$277,'свод субъектов ИБ+смежные'!AG$1,'свод практик'!$B$6:$B$277,"смежная")</f>
        <v>0</v>
      </c>
      <c r="AH12" s="695">
        <f>COUNTIFS('свод практик'!$J$6:$J$277,'свод субъектов ИБ+смежные'!AH$1,'свод практик'!$B$6:$B$277,"смежная")</f>
        <v>0</v>
      </c>
      <c r="AI12" s="695">
        <f>COUNTIFS('свод практик'!$J$6:$J$277,'свод субъектов ИБ+смежные'!AI$1,'свод практик'!$B$6:$B$277,"смежная")</f>
        <v>1</v>
      </c>
      <c r="AJ12" s="695">
        <f>COUNTIFS('свод практик'!$J$6:$J$277,'свод субъектов ИБ+смежные'!AJ$1,'свод практик'!$B$6:$B$277,"смежная")</f>
        <v>1</v>
      </c>
      <c r="AK12" s="695">
        <f>COUNTIFS('свод практик'!$J$6:$J$277,'свод субъектов ИБ+смежные'!AK$1,'свод практик'!$B$6:$B$277,"смежная")</f>
        <v>2</v>
      </c>
      <c r="AL12" s="695">
        <f>COUNTIFS('свод практик'!$J$6:$J$277,'свод субъектов ИБ+смежные'!AL$1,'свод практик'!$B$6:$B$277,"смежная")</f>
        <v>0</v>
      </c>
      <c r="AM12" s="695">
        <f>COUNTIFS('свод практик'!$J$6:$J$277,'свод субъектов ИБ+смежные'!AM$1,'свод практик'!$B$6:$B$277,"смежная")</f>
        <v>0</v>
      </c>
      <c r="AN12" s="695">
        <f>COUNTIFS('свод практик'!$J$6:$J$277,'свод субъектов ИБ+смежные'!AN$1,'свод практик'!$B$6:$B$277,"смежная")</f>
        <v>0</v>
      </c>
      <c r="AO12" s="695">
        <f>COUNTIFS('свод практик'!$J$6:$J$277,'свод субъектов ИБ+смежные'!AO$1,'свод практик'!$B$6:$B$277,"смежная")</f>
        <v>0</v>
      </c>
      <c r="AP12" s="695">
        <f>COUNTIFS('свод практик'!$J$6:$J$277,'свод субъектов ИБ+смежные'!AP$1,'свод практик'!$B$6:$B$277,"смежная")</f>
        <v>1</v>
      </c>
      <c r="AQ12" s="695">
        <f>COUNTIFS('свод практик'!$J$6:$J$277,'свод субъектов ИБ+смежные'!AQ$1,'свод практик'!$B$6:$B$277,"смежная")</f>
        <v>0</v>
      </c>
      <c r="AR12" s="695">
        <f>COUNTIFS('свод практик'!$J$6:$J$277,'свод субъектов ИБ+смежные'!AR$1,'свод практик'!$B$6:$B$277,"смежная")</f>
        <v>1</v>
      </c>
      <c r="AS12" s="695">
        <f>COUNTIFS('свод практик'!$J$6:$J$277,'свод субъектов ИБ+смежные'!AS$1,'свод практик'!$B$6:$B$277,"смежная")</f>
        <v>0</v>
      </c>
      <c r="AT12" s="695">
        <f>COUNTIFS('свод практик'!$J$6:$J$277,'свод субъектов ИБ+смежные'!AT$1,'свод практик'!$B$6:$B$277,"смежная")</f>
        <v>3</v>
      </c>
      <c r="AU12" s="695">
        <f>COUNTIFS('свод практик'!$J$6:$J$277,'свод субъектов ИБ+смежные'!AU$1,'свод практик'!$B$6:$B$277,"смежная")</f>
        <v>1</v>
      </c>
      <c r="AV12" s="695">
        <f>COUNTIFS('свод практик'!$J$6:$J$277,'свод субъектов ИБ+смежные'!AV$1,'свод практик'!$B$6:$B$277,"смежная")</f>
        <v>0</v>
      </c>
      <c r="AW12" s="695">
        <f>COUNTIFS('свод практик'!$J$6:$J$277,'свод субъектов ИБ+смежные'!AW$1,'свод практик'!$B$6:$B$277,"смежная")</f>
        <v>3</v>
      </c>
      <c r="AX12" s="695">
        <f>COUNTIFS('свод практик'!$J$6:$J$277,'свод субъектов ИБ+смежные'!AX$1,'свод практик'!$B$6:$B$277,"смежная")</f>
        <v>2</v>
      </c>
      <c r="AY12" s="695">
        <f>COUNTIFS('свод практик'!$J$6:$J$277,'свод субъектов ИБ+смежные'!AY$1,'свод практик'!$B$6:$B$277,"смежная")</f>
        <v>0</v>
      </c>
      <c r="AZ12" s="695">
        <f>COUNTIFS('свод практик'!$J$6:$J$277,'свод субъектов ИБ+смежные'!AZ$1,'свод практик'!$B$6:$B$277,"смежная")</f>
        <v>2</v>
      </c>
      <c r="BA12" s="695">
        <f>COUNTIFS('свод практик'!$J$6:$J$277,'свод субъектов ИБ+смежные'!BA$1,'свод практик'!$B$6:$B$277,"смежная")</f>
        <v>2</v>
      </c>
      <c r="BB12" s="695">
        <f>COUNTIFS('свод практик'!$J$6:$J$277,'свод субъектов ИБ+смежные'!BB$1,'свод практик'!$B$6:$B$277,"смежная")</f>
        <v>0</v>
      </c>
      <c r="BC12" s="695">
        <f>COUNTIFS('свод практик'!$J$6:$J$277,'свод субъектов ИБ+смежные'!BC$1,'свод практик'!$B$6:$B$277,"смежная")</f>
        <v>0</v>
      </c>
      <c r="BD12" s="695">
        <f>COUNTIFS('свод практик'!$J$6:$J$277,'свод субъектов ИБ+смежные'!BD$1,'свод практик'!$B$6:$B$277,"смежная")</f>
        <v>0</v>
      </c>
      <c r="BE12" s="695">
        <f>COUNTIFS('свод практик'!$J$6:$J$277,'свод субъектов ИБ+смежные'!BE$1,'свод практик'!$B$6:$B$277,"смежная")</f>
        <v>0</v>
      </c>
      <c r="BF12" s="695">
        <f>COUNTIFS('свод практик'!$J$6:$J$277,'свод субъектов ИБ+смежные'!BF$1,'свод практик'!$B$6:$B$277,"смежная")</f>
        <v>0</v>
      </c>
      <c r="BG12" s="695">
        <f>COUNTIFS('свод практик'!$J$6:$J$277,'свод субъектов ИБ+смежные'!BG$1,'свод практик'!$B$6:$B$277,"смежная")</f>
        <v>0</v>
      </c>
      <c r="BH12" s="695">
        <f>COUNTIFS('свод практик'!$J$6:$J$277,'свод субъектов ИБ+смежные'!BH$1,'свод практик'!$B$6:$B$277,"смежная")</f>
        <v>0</v>
      </c>
      <c r="BI12" s="695">
        <f>COUNTIFS('свод практик'!$J$6:$J$277,'свод субъектов ИБ+смежные'!BI$1,'свод практик'!$B$6:$B$277,"смежная")</f>
        <v>0</v>
      </c>
      <c r="BJ12" s="695">
        <f>COUNTIFS('свод практик'!$J$6:$J$277,'свод субъектов ИБ+смежные'!BJ$1,'свод практик'!$B$6:$B$277,"смежная")</f>
        <v>4</v>
      </c>
      <c r="BK12" s="695">
        <f>COUNTIFS('свод практик'!$J$6:$J$277,'свод субъектов ИБ+смежные'!BK$1,'свод практик'!$B$6:$B$277,"смежная")</f>
        <v>0</v>
      </c>
      <c r="BL12" s="695">
        <f>COUNTIFS('свод практик'!$J$6:$J$277,'свод субъектов ИБ+смежные'!BL$1,'свод практик'!$B$6:$B$277,"смежная")</f>
        <v>1</v>
      </c>
      <c r="BM12" s="695">
        <f>COUNTIFS('свод практик'!$J$6:$J$277,'свод субъектов ИБ+смежные'!BM$1,'свод практик'!$B$6:$B$277,"смежная")</f>
        <v>0</v>
      </c>
      <c r="BN12" s="695">
        <f>COUNTIFS('свод практик'!$J$6:$J$277,'свод субъектов ИБ+смежные'!BN$1,'свод практик'!$B$6:$B$277,"смежная")</f>
        <v>1</v>
      </c>
      <c r="BO12" s="695">
        <f>COUNTIFS('свод практик'!$J$6:$J$277,'свод субъектов ИБ+смежные'!BO$1,'свод практик'!$B$6:$B$277,"смежная")</f>
        <v>2</v>
      </c>
      <c r="BP12" s="695">
        <f>COUNTIFS('свод практик'!$J$6:$J$277,'свод субъектов ИБ+смежные'!BP$1,'свод практик'!$B$6:$B$277,"смежная")</f>
        <v>0</v>
      </c>
      <c r="BQ12" s="695">
        <f>COUNTIFS('свод практик'!$J$6:$J$277,'свод субъектов ИБ+смежные'!BQ$1,'свод практик'!$B$6:$B$277,"смежная")</f>
        <v>0</v>
      </c>
      <c r="BR12" s="695">
        <f>COUNTIFS('свод практик'!$J$6:$J$277,'свод субъектов ИБ+смежные'!BR$1,'свод практик'!$B$6:$B$277,"смежная")</f>
        <v>1</v>
      </c>
      <c r="BS12" s="695">
        <f>COUNTIFS('свод практик'!$J$6:$J$277,'свод субъектов ИБ+смежные'!BS$1,'свод практик'!$B$6:$B$277,"смежная")</f>
        <v>1</v>
      </c>
      <c r="BT12" s="695">
        <f>COUNTIFS('свод практик'!$J$6:$J$277,'свод субъектов ИБ+смежные'!BT$1,'свод практик'!$B$6:$B$277,"смежная")</f>
        <v>1</v>
      </c>
      <c r="BU12" s="695">
        <f>COUNTIFS('свод практик'!$J$6:$J$277,'свод субъектов ИБ+смежные'!BU$1,'свод практик'!$B$6:$B$277,"смежная")</f>
        <v>5</v>
      </c>
      <c r="BV12" s="695">
        <f>COUNTIFS('свод практик'!$J$6:$J$277,'свод субъектов ИБ+смежные'!BV$1,'свод практик'!$B$6:$B$277,"смежная")</f>
        <v>0</v>
      </c>
      <c r="BW12" s="695">
        <f>COUNTIFS('свод практик'!$J$6:$J$277,'свод субъектов ИБ+смежные'!BW$1,'свод практик'!$B$6:$B$277,"смежная")</f>
        <v>0</v>
      </c>
      <c r="BX12" s="695">
        <f>COUNTIFS('свод практик'!$J$6:$J$277,'свод субъектов ИБ+смежные'!BX$1,'свод практик'!$B$6:$B$277,"смежная")</f>
        <v>0</v>
      </c>
      <c r="BY12" s="695">
        <f>COUNTIFS('свод практик'!$J$6:$J$277,'свод субъектов ИБ+смежные'!BY$1,'свод практик'!$B$6:$B$277,"смежная")</f>
        <v>0</v>
      </c>
      <c r="BZ12" s="695">
        <f>COUNTIFS('свод практик'!$J$6:$J$277,'свод субъектов ИБ+смежные'!BZ$1,'свод практик'!$B$6:$B$277,"смежная")</f>
        <v>2</v>
      </c>
      <c r="CA12" s="695">
        <f>COUNTIFS('свод практик'!$J$6:$J$277,'свод субъектов ИБ+смежные'!CA$1,'свод практик'!$B$6:$B$277,"смежная")</f>
        <v>0</v>
      </c>
      <c r="CB12" s="695">
        <f>COUNTIFS('свод практик'!$J$6:$J$277,'свод субъектов ИБ+смежные'!CB$1,'свод практик'!$B$6:$B$277,"смежная")</f>
        <v>0</v>
      </c>
      <c r="CC12" s="695">
        <f>COUNTIFS('свод практик'!$J$6:$J$277,'свод субъектов ИБ+смежные'!CC$1,'свод практик'!$B$6:$B$277,"смежная")</f>
        <v>1</v>
      </c>
      <c r="CD12" s="695">
        <f>COUNTIFS('свод практик'!$J$6:$J$277,'свод субъектов ИБ+смежные'!CD$1,'свод практик'!$B$6:$B$277,"смежная")</f>
        <v>1</v>
      </c>
      <c r="CE12" s="695">
        <f>COUNTIFS('свод практик'!$J$6:$J$277,'свод субъектов ИБ+смежные'!CE$1,'свод практик'!$B$6:$B$277,"смежная")</f>
        <v>1</v>
      </c>
      <c r="CF12" s="695">
        <f>COUNTIFS('свод практик'!$J$6:$J$277,'свод субъектов ИБ+смежные'!CF$1,'свод практик'!$B$6:$B$277,"смежная")</f>
        <v>3</v>
      </c>
      <c r="CG12" s="695">
        <f>COUNTIFS('свод практик'!$J$6:$J$277,'свод субъектов ИБ+смежные'!CG$1,'свод практик'!$B$6:$B$277,"смежная")</f>
        <v>0</v>
      </c>
      <c r="CH12" s="695">
        <f>COUNTIFS('свод практик'!$J$6:$J$277,'свод субъектов ИБ+смежные'!CH$1,'свод практик'!$B$6:$B$277,"смежная")</f>
        <v>0</v>
      </c>
      <c r="CI12" s="695">
        <f>COUNTIFS('свод практик'!$J$6:$J$277,'свод субъектов ИБ+смежные'!CI$1,'свод практик'!$B$6:$B$277,"смежная")</f>
        <v>0</v>
      </c>
      <c r="CJ12" s="695">
        <f>COUNTIFS('свод практик'!$J$6:$J$277,'свод субъектов ИБ+смежные'!CJ$1,'свод практик'!$B$6:$B$277,"смежная")</f>
        <v>0</v>
      </c>
      <c r="CK12" s="695">
        <f>COUNTIFS('свод практик'!$J$6:$J$277,'свод субъектов ИБ+смежные'!CK$1,'свод практик'!$B$6:$B$277,"смежная")</f>
        <v>2</v>
      </c>
      <c r="CL12" s="695">
        <f>COUNTIFS('свод практик'!$J$6:$J$277,'свод субъектов ИБ+смежные'!CL$1,'свод практик'!$B$6:$B$277,"смежная")</f>
        <v>0</v>
      </c>
      <c r="CM12" s="695">
        <f>COUNTIFS('свод практик'!$J$6:$J$277,'свод субъектов ИБ+смежные'!CM$1,'свод практик'!$B$6:$B$277,"смежная")</f>
        <v>0</v>
      </c>
      <c r="CN12" s="695">
        <f>COUNTIFS('свод практик'!$J$6:$J$277,'свод субъектов ИБ+смежные'!CN$1,'свод практик'!$B$6:$B$277,"смежная")</f>
        <v>1</v>
      </c>
      <c r="CO12" s="695">
        <f>COUNTIFS('свод практик'!$J$6:$J$277,'свод субъектов ИБ+смежные'!CO$1,'свод практик'!$B$6:$B$277,"смежная")</f>
        <v>0</v>
      </c>
      <c r="CP12" s="695">
        <f>COUNTIFS('свод практик'!$J$6:$J$277,'свод субъектов ИБ+смежные'!CP$1,'свод практик'!$B$6:$B$277,"смежная")</f>
        <v>6</v>
      </c>
      <c r="CQ12" s="695">
        <f>COUNTIFS('свод практик'!$J$6:$J$277,'свод субъектов ИБ+смежные'!CQ$1,'свод практик'!$B$6:$B$277,"смежная")</f>
        <v>1</v>
      </c>
      <c r="CR12" s="695">
        <f>COUNTIFS('свод практик'!$J$6:$J$277,'свод субъектов ИБ+смежные'!CR$1,'свод практик'!$B$6:$B$277,"смежная")</f>
        <v>0</v>
      </c>
      <c r="CS12" s="695">
        <f>COUNTIFS('свод практик'!$J$6:$J$277,'свод субъектов ИБ+смежные'!CS$1,'свод практик'!$B$6:$B$277,"смежная")</f>
        <v>1</v>
      </c>
      <c r="CT12" s="695">
        <f>COUNTIFS('свод практик'!$J$6:$J$277,'свод субъектов ИБ+смежные'!CT$1,'свод практик'!$B$6:$B$277,"смежная")</f>
        <v>0</v>
      </c>
      <c r="CU12" s="695">
        <f>COUNTIFS('свод практик'!$J$6:$J$277,'свод субъектов ИБ+смежные'!CU$1,'свод практик'!$B$6:$B$277,"смежная")</f>
        <v>0</v>
      </c>
      <c r="CV12" s="695">
        <f>COUNTIFS('свод практик'!$J$6:$J$277,'свод субъектов ИБ+смежные'!CV$1,'свод практик'!$B$6:$B$277,"смежная")</f>
        <v>0</v>
      </c>
    </row>
    <row r="13" spans="1:100" s="695" customFormat="1" ht="28">
      <c r="A13" s="728"/>
      <c r="B13" s="731"/>
      <c r="C13" s="734"/>
      <c r="D13" s="697" t="s">
        <v>4949</v>
      </c>
      <c r="E13" s="697">
        <v>6</v>
      </c>
      <c r="F13" s="698" t="s">
        <v>4968</v>
      </c>
      <c r="G13" s="702" t="s">
        <v>4969</v>
      </c>
      <c r="H13" s="700" t="s">
        <v>63</v>
      </c>
      <c r="I13" s="701" t="s">
        <v>4956</v>
      </c>
      <c r="M13" s="695">
        <v>33</v>
      </c>
      <c r="N13" s="695">
        <v>44</v>
      </c>
      <c r="O13" s="696">
        <f>COUNTIF($P13:$CV13,"да")</f>
        <v>53</v>
      </c>
      <c r="P13" s="695" t="str">
        <f>IF(P$11&gt;0,"да","нет")</f>
        <v>да</v>
      </c>
      <c r="Q13" s="695" t="str">
        <f t="shared" ref="Q13:CB13" si="6">IF(Q$11&gt;0,"да","нет")</f>
        <v>да</v>
      </c>
      <c r="R13" s="695" t="str">
        <f t="shared" si="6"/>
        <v>да</v>
      </c>
      <c r="S13" s="695" t="str">
        <f t="shared" si="6"/>
        <v>да</v>
      </c>
      <c r="T13" s="695" t="str">
        <f t="shared" si="6"/>
        <v>да</v>
      </c>
      <c r="U13" s="695" t="str">
        <f t="shared" si="6"/>
        <v>да</v>
      </c>
      <c r="V13" s="695" t="str">
        <f t="shared" si="6"/>
        <v>да</v>
      </c>
      <c r="W13" s="695" t="str">
        <f t="shared" si="6"/>
        <v>да</v>
      </c>
      <c r="X13" s="695" t="str">
        <f t="shared" si="6"/>
        <v>да</v>
      </c>
      <c r="Y13" s="695" t="str">
        <f t="shared" si="6"/>
        <v>нет</v>
      </c>
      <c r="Z13" s="695" t="str">
        <f t="shared" si="6"/>
        <v>нет</v>
      </c>
      <c r="AA13" s="695" t="str">
        <f t="shared" si="6"/>
        <v>да</v>
      </c>
      <c r="AB13" s="695" t="str">
        <f t="shared" si="6"/>
        <v>да</v>
      </c>
      <c r="AC13" s="695" t="str">
        <f t="shared" si="6"/>
        <v>да</v>
      </c>
      <c r="AD13" s="695" t="str">
        <f t="shared" si="6"/>
        <v>нет</v>
      </c>
      <c r="AE13" s="695" t="str">
        <f t="shared" si="6"/>
        <v>нет</v>
      </c>
      <c r="AF13" s="695" t="str">
        <f t="shared" si="6"/>
        <v>нет</v>
      </c>
      <c r="AG13" s="695" t="str">
        <f t="shared" si="6"/>
        <v>нет</v>
      </c>
      <c r="AH13" s="695" t="str">
        <f t="shared" si="6"/>
        <v>нет</v>
      </c>
      <c r="AI13" s="695" t="str">
        <f t="shared" si="6"/>
        <v>нет</v>
      </c>
      <c r="AJ13" s="695" t="str">
        <f t="shared" si="6"/>
        <v>нет</v>
      </c>
      <c r="AK13" s="695" t="str">
        <f t="shared" si="6"/>
        <v>нет</v>
      </c>
      <c r="AL13" s="695" t="str">
        <f t="shared" si="6"/>
        <v>да</v>
      </c>
      <c r="AM13" s="695" t="str">
        <f t="shared" si="6"/>
        <v>да</v>
      </c>
      <c r="AN13" s="695" t="str">
        <f t="shared" si="6"/>
        <v>нет</v>
      </c>
      <c r="AO13" s="695" t="str">
        <f t="shared" si="6"/>
        <v>нет</v>
      </c>
      <c r="AP13" s="695" t="str">
        <f t="shared" si="6"/>
        <v>да</v>
      </c>
      <c r="AQ13" s="695" t="str">
        <f t="shared" si="6"/>
        <v>да</v>
      </c>
      <c r="AR13" s="695" t="str">
        <f t="shared" si="6"/>
        <v>да</v>
      </c>
      <c r="AS13" s="695" t="str">
        <f t="shared" si="6"/>
        <v>да</v>
      </c>
      <c r="AT13" s="695" t="str">
        <f t="shared" si="6"/>
        <v>нет</v>
      </c>
      <c r="AU13" s="695" t="str">
        <f t="shared" si="6"/>
        <v>нет</v>
      </c>
      <c r="AV13" s="695" t="str">
        <f t="shared" si="6"/>
        <v>да</v>
      </c>
      <c r="AW13" s="695" t="str">
        <f t="shared" si="6"/>
        <v>нет</v>
      </c>
      <c r="AX13" s="695" t="str">
        <f t="shared" si="6"/>
        <v>да</v>
      </c>
      <c r="AY13" s="695" t="str">
        <f t="shared" si="6"/>
        <v>нет</v>
      </c>
      <c r="AZ13" s="695" t="str">
        <f t="shared" si="6"/>
        <v>да</v>
      </c>
      <c r="BA13" s="695" t="str">
        <f t="shared" si="6"/>
        <v>нет</v>
      </c>
      <c r="BB13" s="695" t="str">
        <f t="shared" si="6"/>
        <v>нет</v>
      </c>
      <c r="BC13" s="695" t="str">
        <f t="shared" si="6"/>
        <v>да</v>
      </c>
      <c r="BD13" s="695" t="str">
        <f t="shared" si="6"/>
        <v>нет</v>
      </c>
      <c r="BE13" s="695" t="str">
        <f t="shared" si="6"/>
        <v>нет</v>
      </c>
      <c r="BF13" s="695" t="str">
        <f t="shared" si="6"/>
        <v>да</v>
      </c>
      <c r="BG13" s="695" t="str">
        <f t="shared" si="6"/>
        <v>да</v>
      </c>
      <c r="BH13" s="695" t="str">
        <f t="shared" si="6"/>
        <v>да</v>
      </c>
      <c r="BI13" s="695" t="str">
        <f t="shared" si="6"/>
        <v>да</v>
      </c>
      <c r="BJ13" s="695" t="str">
        <f t="shared" si="6"/>
        <v>да</v>
      </c>
      <c r="BK13" s="695" t="str">
        <f t="shared" si="6"/>
        <v>да</v>
      </c>
      <c r="BL13" s="695" t="str">
        <f t="shared" si="6"/>
        <v>нет</v>
      </c>
      <c r="BM13" s="695" t="str">
        <f t="shared" si="6"/>
        <v>да</v>
      </c>
      <c r="BN13" s="695" t="str">
        <f t="shared" si="6"/>
        <v>да</v>
      </c>
      <c r="BO13" s="695" t="str">
        <f t="shared" si="6"/>
        <v>нет</v>
      </c>
      <c r="BP13" s="695" t="str">
        <f t="shared" si="6"/>
        <v>да</v>
      </c>
      <c r="BQ13" s="695" t="str">
        <f t="shared" si="6"/>
        <v>нет</v>
      </c>
      <c r="BR13" s="695" t="str">
        <f t="shared" si="6"/>
        <v>нет</v>
      </c>
      <c r="BS13" s="695" t="str">
        <f t="shared" si="6"/>
        <v>да</v>
      </c>
      <c r="BT13" s="695" t="str">
        <f t="shared" si="6"/>
        <v>да</v>
      </c>
      <c r="BU13" s="695" t="str">
        <f t="shared" si="6"/>
        <v>да</v>
      </c>
      <c r="BV13" s="695" t="str">
        <f t="shared" si="6"/>
        <v>да</v>
      </c>
      <c r="BW13" s="695" t="str">
        <f t="shared" si="6"/>
        <v>да</v>
      </c>
      <c r="BX13" s="695" t="str">
        <f t="shared" si="6"/>
        <v>да</v>
      </c>
      <c r="BY13" s="695" t="str">
        <f t="shared" si="6"/>
        <v>да</v>
      </c>
      <c r="BZ13" s="695" t="str">
        <f t="shared" si="6"/>
        <v>да</v>
      </c>
      <c r="CA13" s="695" t="str">
        <f t="shared" si="6"/>
        <v>нет</v>
      </c>
      <c r="CB13" s="695" t="str">
        <f t="shared" si="6"/>
        <v>нет</v>
      </c>
      <c r="CC13" s="695" t="str">
        <f t="shared" ref="CC13:CV13" si="7">IF(CC$11&gt;0,"да","нет")</f>
        <v>нет</v>
      </c>
      <c r="CD13" s="695" t="str">
        <f t="shared" si="7"/>
        <v>да</v>
      </c>
      <c r="CE13" s="695" t="str">
        <f t="shared" si="7"/>
        <v>да</v>
      </c>
      <c r="CF13" s="695" t="str">
        <f t="shared" si="7"/>
        <v>нет</v>
      </c>
      <c r="CG13" s="695" t="str">
        <f t="shared" si="7"/>
        <v>да</v>
      </c>
      <c r="CH13" s="695" t="str">
        <f t="shared" si="7"/>
        <v>да</v>
      </c>
      <c r="CI13" s="695" t="str">
        <f t="shared" si="7"/>
        <v>да</v>
      </c>
      <c r="CJ13" s="695" t="str">
        <f t="shared" si="7"/>
        <v>нет</v>
      </c>
      <c r="CK13" s="695" t="str">
        <f t="shared" si="7"/>
        <v>нет</v>
      </c>
      <c r="CL13" s="695" t="str">
        <f t="shared" si="7"/>
        <v>да</v>
      </c>
      <c r="CM13" s="695" t="str">
        <f t="shared" si="7"/>
        <v>да</v>
      </c>
      <c r="CN13" s="695" t="str">
        <f t="shared" si="7"/>
        <v>да</v>
      </c>
      <c r="CO13" s="695" t="str">
        <f t="shared" si="7"/>
        <v>нет</v>
      </c>
      <c r="CP13" s="695" t="str">
        <f t="shared" si="7"/>
        <v>да</v>
      </c>
      <c r="CQ13" s="695" t="str">
        <f t="shared" si="7"/>
        <v>да</v>
      </c>
      <c r="CR13" s="695" t="str">
        <f t="shared" si="7"/>
        <v>нет</v>
      </c>
      <c r="CS13" s="695" t="str">
        <f t="shared" si="7"/>
        <v>да</v>
      </c>
      <c r="CT13" s="695" t="str">
        <f t="shared" si="7"/>
        <v>да</v>
      </c>
      <c r="CU13" s="695" t="str">
        <f t="shared" si="7"/>
        <v>да</v>
      </c>
      <c r="CV13" s="695" t="str">
        <f t="shared" si="7"/>
        <v>да</v>
      </c>
    </row>
    <row r="14" spans="1:100" s="695" customFormat="1" ht="40.5" customHeight="1">
      <c r="A14" s="728"/>
      <c r="B14" s="731"/>
      <c r="C14" s="734"/>
      <c r="D14" s="697" t="s">
        <v>4949</v>
      </c>
      <c r="E14" s="697">
        <v>7</v>
      </c>
      <c r="F14" s="698" t="s">
        <v>4970</v>
      </c>
      <c r="G14" s="702" t="s">
        <v>4971</v>
      </c>
      <c r="H14" s="700" t="s">
        <v>63</v>
      </c>
      <c r="I14" s="701" t="s">
        <v>4956</v>
      </c>
      <c r="M14" s="695">
        <v>33</v>
      </c>
      <c r="N14" s="695">
        <v>40</v>
      </c>
      <c r="O14" s="696">
        <f>COUNTIF($P14:$CV14,"да")</f>
        <v>38</v>
      </c>
      <c r="P14" s="695" t="str">
        <f>IF(P$12&gt;0,"да","нет")</f>
        <v>нет</v>
      </c>
      <c r="Q14" s="695" t="str">
        <f t="shared" ref="Q14:CB14" si="8">IF(Q$12&gt;0,"да","нет")</f>
        <v>да</v>
      </c>
      <c r="R14" s="695" t="str">
        <f t="shared" si="8"/>
        <v>нет</v>
      </c>
      <c r="S14" s="695" t="str">
        <f t="shared" si="8"/>
        <v>нет</v>
      </c>
      <c r="T14" s="695" t="str">
        <f t="shared" si="8"/>
        <v>да</v>
      </c>
      <c r="U14" s="695" t="str">
        <f t="shared" si="8"/>
        <v>да</v>
      </c>
      <c r="V14" s="695" t="str">
        <f t="shared" si="8"/>
        <v>да</v>
      </c>
      <c r="W14" s="695" t="str">
        <f t="shared" si="8"/>
        <v>да</v>
      </c>
      <c r="X14" s="695" t="str">
        <f t="shared" si="8"/>
        <v>нет</v>
      </c>
      <c r="Y14" s="695" t="str">
        <f t="shared" si="8"/>
        <v>да</v>
      </c>
      <c r="Z14" s="695" t="str">
        <f t="shared" si="8"/>
        <v>да</v>
      </c>
      <c r="AA14" s="695" t="str">
        <f t="shared" si="8"/>
        <v>нет</v>
      </c>
      <c r="AB14" s="695" t="str">
        <f t="shared" si="8"/>
        <v>нет</v>
      </c>
      <c r="AC14" s="695" t="str">
        <f t="shared" si="8"/>
        <v>да</v>
      </c>
      <c r="AD14" s="695" t="str">
        <f t="shared" si="8"/>
        <v>нет</v>
      </c>
      <c r="AE14" s="695" t="str">
        <f t="shared" si="8"/>
        <v>нет</v>
      </c>
      <c r="AF14" s="695" t="str">
        <f t="shared" si="8"/>
        <v>да</v>
      </c>
      <c r="AG14" s="695" t="str">
        <f t="shared" si="8"/>
        <v>нет</v>
      </c>
      <c r="AH14" s="695" t="str">
        <f t="shared" si="8"/>
        <v>нет</v>
      </c>
      <c r="AI14" s="695" t="str">
        <f t="shared" si="8"/>
        <v>да</v>
      </c>
      <c r="AJ14" s="695" t="str">
        <f t="shared" si="8"/>
        <v>да</v>
      </c>
      <c r="AK14" s="695" t="str">
        <f t="shared" si="8"/>
        <v>да</v>
      </c>
      <c r="AL14" s="695" t="str">
        <f t="shared" si="8"/>
        <v>нет</v>
      </c>
      <c r="AM14" s="695" t="str">
        <f t="shared" si="8"/>
        <v>нет</v>
      </c>
      <c r="AN14" s="695" t="str">
        <f t="shared" si="8"/>
        <v>нет</v>
      </c>
      <c r="AO14" s="695" t="str">
        <f t="shared" si="8"/>
        <v>нет</v>
      </c>
      <c r="AP14" s="695" t="str">
        <f t="shared" si="8"/>
        <v>да</v>
      </c>
      <c r="AQ14" s="695" t="str">
        <f t="shared" si="8"/>
        <v>нет</v>
      </c>
      <c r="AR14" s="695" t="str">
        <f t="shared" si="8"/>
        <v>да</v>
      </c>
      <c r="AS14" s="695" t="str">
        <f t="shared" si="8"/>
        <v>нет</v>
      </c>
      <c r="AT14" s="695" t="str">
        <f t="shared" si="8"/>
        <v>да</v>
      </c>
      <c r="AU14" s="695" t="str">
        <f t="shared" si="8"/>
        <v>да</v>
      </c>
      <c r="AV14" s="695" t="str">
        <f t="shared" si="8"/>
        <v>нет</v>
      </c>
      <c r="AW14" s="695" t="str">
        <f t="shared" si="8"/>
        <v>да</v>
      </c>
      <c r="AX14" s="695" t="str">
        <f t="shared" si="8"/>
        <v>да</v>
      </c>
      <c r="AY14" s="695" t="str">
        <f t="shared" si="8"/>
        <v>нет</v>
      </c>
      <c r="AZ14" s="695" t="str">
        <f t="shared" si="8"/>
        <v>да</v>
      </c>
      <c r="BA14" s="695" t="str">
        <f t="shared" si="8"/>
        <v>да</v>
      </c>
      <c r="BB14" s="695" t="str">
        <f t="shared" si="8"/>
        <v>нет</v>
      </c>
      <c r="BC14" s="695" t="str">
        <f t="shared" si="8"/>
        <v>нет</v>
      </c>
      <c r="BD14" s="695" t="str">
        <f t="shared" si="8"/>
        <v>нет</v>
      </c>
      <c r="BE14" s="695" t="str">
        <f t="shared" si="8"/>
        <v>нет</v>
      </c>
      <c r="BF14" s="695" t="str">
        <f t="shared" si="8"/>
        <v>нет</v>
      </c>
      <c r="BG14" s="695" t="str">
        <f t="shared" si="8"/>
        <v>нет</v>
      </c>
      <c r="BH14" s="695" t="str">
        <f t="shared" si="8"/>
        <v>нет</v>
      </c>
      <c r="BI14" s="695" t="str">
        <f t="shared" si="8"/>
        <v>нет</v>
      </c>
      <c r="BJ14" s="695" t="str">
        <f t="shared" si="8"/>
        <v>да</v>
      </c>
      <c r="BK14" s="695" t="str">
        <f t="shared" si="8"/>
        <v>нет</v>
      </c>
      <c r="BL14" s="695" t="str">
        <f t="shared" si="8"/>
        <v>да</v>
      </c>
      <c r="BM14" s="695" t="str">
        <f t="shared" si="8"/>
        <v>нет</v>
      </c>
      <c r="BN14" s="695" t="str">
        <f t="shared" si="8"/>
        <v>да</v>
      </c>
      <c r="BO14" s="695" t="str">
        <f t="shared" si="8"/>
        <v>да</v>
      </c>
      <c r="BP14" s="695" t="str">
        <f t="shared" si="8"/>
        <v>нет</v>
      </c>
      <c r="BQ14" s="695" t="str">
        <f t="shared" si="8"/>
        <v>нет</v>
      </c>
      <c r="BR14" s="695" t="str">
        <f t="shared" si="8"/>
        <v>да</v>
      </c>
      <c r="BS14" s="695" t="str">
        <f t="shared" si="8"/>
        <v>да</v>
      </c>
      <c r="BT14" s="695" t="str">
        <f t="shared" si="8"/>
        <v>да</v>
      </c>
      <c r="BU14" s="695" t="str">
        <f t="shared" si="8"/>
        <v>да</v>
      </c>
      <c r="BV14" s="695" t="str">
        <f t="shared" si="8"/>
        <v>нет</v>
      </c>
      <c r="BW14" s="695" t="str">
        <f t="shared" si="8"/>
        <v>нет</v>
      </c>
      <c r="BX14" s="695" t="str">
        <f t="shared" si="8"/>
        <v>нет</v>
      </c>
      <c r="BY14" s="695" t="str">
        <f t="shared" si="8"/>
        <v>нет</v>
      </c>
      <c r="BZ14" s="695" t="str">
        <f t="shared" si="8"/>
        <v>да</v>
      </c>
      <c r="CA14" s="695" t="str">
        <f t="shared" si="8"/>
        <v>нет</v>
      </c>
      <c r="CB14" s="695" t="str">
        <f t="shared" si="8"/>
        <v>нет</v>
      </c>
      <c r="CC14" s="695" t="str">
        <f t="shared" ref="CC14:CV14" si="9">IF(CC$12&gt;0,"да","нет")</f>
        <v>да</v>
      </c>
      <c r="CD14" s="695" t="str">
        <f t="shared" si="9"/>
        <v>да</v>
      </c>
      <c r="CE14" s="695" t="str">
        <f t="shared" si="9"/>
        <v>да</v>
      </c>
      <c r="CF14" s="695" t="str">
        <f t="shared" si="9"/>
        <v>да</v>
      </c>
      <c r="CG14" s="695" t="str">
        <f t="shared" si="9"/>
        <v>нет</v>
      </c>
      <c r="CH14" s="695" t="str">
        <f t="shared" si="9"/>
        <v>нет</v>
      </c>
      <c r="CI14" s="695" t="str">
        <f t="shared" si="9"/>
        <v>нет</v>
      </c>
      <c r="CJ14" s="695" t="str">
        <f t="shared" si="9"/>
        <v>нет</v>
      </c>
      <c r="CK14" s="695" t="str">
        <f t="shared" si="9"/>
        <v>да</v>
      </c>
      <c r="CL14" s="695" t="str">
        <f t="shared" si="9"/>
        <v>нет</v>
      </c>
      <c r="CM14" s="695" t="str">
        <f t="shared" si="9"/>
        <v>нет</v>
      </c>
      <c r="CN14" s="695" t="str">
        <f t="shared" si="9"/>
        <v>да</v>
      </c>
      <c r="CO14" s="695" t="str">
        <f t="shared" si="9"/>
        <v>нет</v>
      </c>
      <c r="CP14" s="695" t="str">
        <f t="shared" si="9"/>
        <v>да</v>
      </c>
      <c r="CQ14" s="695" t="str">
        <f t="shared" si="9"/>
        <v>да</v>
      </c>
      <c r="CR14" s="695" t="str">
        <f t="shared" si="9"/>
        <v>нет</v>
      </c>
      <c r="CS14" s="695" t="str">
        <f t="shared" si="9"/>
        <v>да</v>
      </c>
      <c r="CT14" s="695" t="str">
        <f t="shared" si="9"/>
        <v>нет</v>
      </c>
      <c r="CU14" s="695" t="str">
        <f t="shared" si="9"/>
        <v>нет</v>
      </c>
      <c r="CV14" s="695" t="str">
        <f t="shared" si="9"/>
        <v>нет</v>
      </c>
    </row>
    <row r="15" spans="1:100" s="695" customFormat="1" ht="43" thickBot="1">
      <c r="A15" s="729"/>
      <c r="B15" s="732"/>
      <c r="C15" s="735"/>
      <c r="D15" s="703" t="s">
        <v>4949</v>
      </c>
      <c r="E15" s="703">
        <v>8</v>
      </c>
      <c r="F15" s="704" t="s">
        <v>4972</v>
      </c>
      <c r="G15" s="705" t="s">
        <v>4973</v>
      </c>
      <c r="H15" s="706" t="s">
        <v>63</v>
      </c>
      <c r="I15" s="707" t="s">
        <v>4956</v>
      </c>
      <c r="M15" s="695" t="s">
        <v>5497</v>
      </c>
      <c r="N15" s="695">
        <v>16</v>
      </c>
      <c r="O15" s="696">
        <f>COUNTIF($P15:$CV15,"да")</f>
        <v>22</v>
      </c>
      <c r="P15" s="695" t="str">
        <f t="shared" ref="P15:AU15" si="10">IF((P$11&gt;0)*AND(P$12&gt;0),"да","нет")</f>
        <v>нет</v>
      </c>
      <c r="Q15" s="695" t="str">
        <f t="shared" si="10"/>
        <v>да</v>
      </c>
      <c r="R15" s="695" t="str">
        <f t="shared" si="10"/>
        <v>нет</v>
      </c>
      <c r="S15" s="695" t="str">
        <f t="shared" si="10"/>
        <v>нет</v>
      </c>
      <c r="T15" s="695" t="str">
        <f t="shared" si="10"/>
        <v>да</v>
      </c>
      <c r="U15" s="695" t="str">
        <f t="shared" si="10"/>
        <v>да</v>
      </c>
      <c r="V15" s="695" t="str">
        <f t="shared" si="10"/>
        <v>да</v>
      </c>
      <c r="W15" s="695" t="str">
        <f t="shared" si="10"/>
        <v>да</v>
      </c>
      <c r="X15" s="695" t="str">
        <f t="shared" si="10"/>
        <v>нет</v>
      </c>
      <c r="Y15" s="695" t="str">
        <f t="shared" si="10"/>
        <v>нет</v>
      </c>
      <c r="Z15" s="695" t="str">
        <f t="shared" si="10"/>
        <v>нет</v>
      </c>
      <c r="AA15" s="695" t="str">
        <f t="shared" si="10"/>
        <v>нет</v>
      </c>
      <c r="AB15" s="695" t="str">
        <f t="shared" si="10"/>
        <v>нет</v>
      </c>
      <c r="AC15" s="695" t="str">
        <f t="shared" si="10"/>
        <v>да</v>
      </c>
      <c r="AD15" s="695" t="str">
        <f t="shared" si="10"/>
        <v>нет</v>
      </c>
      <c r="AE15" s="695" t="str">
        <f t="shared" si="10"/>
        <v>нет</v>
      </c>
      <c r="AF15" s="695" t="str">
        <f t="shared" si="10"/>
        <v>нет</v>
      </c>
      <c r="AG15" s="695" t="str">
        <f t="shared" si="10"/>
        <v>нет</v>
      </c>
      <c r="AH15" s="695" t="str">
        <f t="shared" si="10"/>
        <v>нет</v>
      </c>
      <c r="AI15" s="695" t="str">
        <f t="shared" si="10"/>
        <v>нет</v>
      </c>
      <c r="AJ15" s="695" t="str">
        <f t="shared" si="10"/>
        <v>нет</v>
      </c>
      <c r="AK15" s="695" t="str">
        <f t="shared" si="10"/>
        <v>нет</v>
      </c>
      <c r="AL15" s="695" t="str">
        <f t="shared" si="10"/>
        <v>нет</v>
      </c>
      <c r="AM15" s="695" t="str">
        <f t="shared" si="10"/>
        <v>нет</v>
      </c>
      <c r="AN15" s="695" t="str">
        <f t="shared" si="10"/>
        <v>нет</v>
      </c>
      <c r="AO15" s="695" t="str">
        <f t="shared" si="10"/>
        <v>нет</v>
      </c>
      <c r="AP15" s="695" t="str">
        <f t="shared" si="10"/>
        <v>да</v>
      </c>
      <c r="AQ15" s="695" t="str">
        <f t="shared" si="10"/>
        <v>нет</v>
      </c>
      <c r="AR15" s="695" t="str">
        <f t="shared" si="10"/>
        <v>да</v>
      </c>
      <c r="AS15" s="695" t="str">
        <f t="shared" si="10"/>
        <v>нет</v>
      </c>
      <c r="AT15" s="695" t="str">
        <f t="shared" si="10"/>
        <v>нет</v>
      </c>
      <c r="AU15" s="695" t="str">
        <f t="shared" si="10"/>
        <v>нет</v>
      </c>
      <c r="AV15" s="695" t="str">
        <f t="shared" ref="AV15:CA15" si="11">IF((AV$11&gt;0)*AND(AV$12&gt;0),"да","нет")</f>
        <v>нет</v>
      </c>
      <c r="AW15" s="695" t="str">
        <f t="shared" si="11"/>
        <v>нет</v>
      </c>
      <c r="AX15" s="695" t="str">
        <f t="shared" si="11"/>
        <v>да</v>
      </c>
      <c r="AY15" s="695" t="str">
        <f t="shared" si="11"/>
        <v>нет</v>
      </c>
      <c r="AZ15" s="695" t="str">
        <f t="shared" si="11"/>
        <v>да</v>
      </c>
      <c r="BA15" s="695" t="str">
        <f t="shared" si="11"/>
        <v>нет</v>
      </c>
      <c r="BB15" s="695" t="str">
        <f t="shared" si="11"/>
        <v>нет</v>
      </c>
      <c r="BC15" s="695" t="str">
        <f t="shared" si="11"/>
        <v>нет</v>
      </c>
      <c r="BD15" s="695" t="str">
        <f t="shared" si="11"/>
        <v>нет</v>
      </c>
      <c r="BE15" s="695" t="str">
        <f t="shared" si="11"/>
        <v>нет</v>
      </c>
      <c r="BF15" s="695" t="str">
        <f t="shared" si="11"/>
        <v>нет</v>
      </c>
      <c r="BG15" s="695" t="str">
        <f t="shared" si="11"/>
        <v>нет</v>
      </c>
      <c r="BH15" s="695" t="str">
        <f t="shared" si="11"/>
        <v>нет</v>
      </c>
      <c r="BI15" s="695" t="str">
        <f t="shared" si="11"/>
        <v>нет</v>
      </c>
      <c r="BJ15" s="695" t="str">
        <f t="shared" si="11"/>
        <v>да</v>
      </c>
      <c r="BK15" s="695" t="str">
        <f t="shared" si="11"/>
        <v>нет</v>
      </c>
      <c r="BL15" s="695" t="str">
        <f t="shared" si="11"/>
        <v>нет</v>
      </c>
      <c r="BM15" s="695" t="str">
        <f t="shared" si="11"/>
        <v>нет</v>
      </c>
      <c r="BN15" s="695" t="str">
        <f t="shared" si="11"/>
        <v>да</v>
      </c>
      <c r="BO15" s="695" t="str">
        <f t="shared" si="11"/>
        <v>нет</v>
      </c>
      <c r="BP15" s="695" t="str">
        <f t="shared" si="11"/>
        <v>нет</v>
      </c>
      <c r="BQ15" s="695" t="str">
        <f t="shared" si="11"/>
        <v>нет</v>
      </c>
      <c r="BR15" s="695" t="str">
        <f t="shared" si="11"/>
        <v>нет</v>
      </c>
      <c r="BS15" s="695" t="str">
        <f t="shared" si="11"/>
        <v>да</v>
      </c>
      <c r="BT15" s="695" t="str">
        <f t="shared" si="11"/>
        <v>да</v>
      </c>
      <c r="BU15" s="695" t="str">
        <f t="shared" si="11"/>
        <v>да</v>
      </c>
      <c r="BV15" s="695" t="str">
        <f t="shared" si="11"/>
        <v>нет</v>
      </c>
      <c r="BW15" s="695" t="str">
        <f t="shared" si="11"/>
        <v>нет</v>
      </c>
      <c r="BX15" s="695" t="str">
        <f t="shared" si="11"/>
        <v>нет</v>
      </c>
      <c r="BY15" s="695" t="str">
        <f t="shared" si="11"/>
        <v>нет</v>
      </c>
      <c r="BZ15" s="695" t="str">
        <f t="shared" si="11"/>
        <v>да</v>
      </c>
      <c r="CA15" s="695" t="str">
        <f t="shared" si="11"/>
        <v>нет</v>
      </c>
      <c r="CB15" s="695" t="str">
        <f t="shared" ref="CB15:CV15" si="12">IF((CB$11&gt;0)*AND(CB$12&gt;0),"да","нет")</f>
        <v>нет</v>
      </c>
      <c r="CC15" s="695" t="str">
        <f t="shared" si="12"/>
        <v>нет</v>
      </c>
      <c r="CD15" s="695" t="str">
        <f t="shared" si="12"/>
        <v>да</v>
      </c>
      <c r="CE15" s="695" t="str">
        <f t="shared" si="12"/>
        <v>да</v>
      </c>
      <c r="CF15" s="695" t="str">
        <f t="shared" si="12"/>
        <v>нет</v>
      </c>
      <c r="CG15" s="695" t="str">
        <f t="shared" si="12"/>
        <v>нет</v>
      </c>
      <c r="CH15" s="695" t="str">
        <f t="shared" si="12"/>
        <v>нет</v>
      </c>
      <c r="CI15" s="695" t="str">
        <f t="shared" si="12"/>
        <v>нет</v>
      </c>
      <c r="CJ15" s="695" t="str">
        <f t="shared" si="12"/>
        <v>нет</v>
      </c>
      <c r="CK15" s="695" t="str">
        <f t="shared" si="12"/>
        <v>нет</v>
      </c>
      <c r="CL15" s="695" t="str">
        <f t="shared" si="12"/>
        <v>нет</v>
      </c>
      <c r="CM15" s="695" t="str">
        <f t="shared" si="12"/>
        <v>нет</v>
      </c>
      <c r="CN15" s="695" t="str">
        <f t="shared" si="12"/>
        <v>да</v>
      </c>
      <c r="CO15" s="695" t="str">
        <f t="shared" si="12"/>
        <v>нет</v>
      </c>
      <c r="CP15" s="695" t="str">
        <f t="shared" si="12"/>
        <v>да</v>
      </c>
      <c r="CQ15" s="695" t="str">
        <f t="shared" si="12"/>
        <v>да</v>
      </c>
      <c r="CR15" s="695" t="str">
        <f t="shared" si="12"/>
        <v>нет</v>
      </c>
      <c r="CS15" s="695" t="str">
        <f t="shared" si="12"/>
        <v>да</v>
      </c>
      <c r="CT15" s="695" t="str">
        <f t="shared" si="12"/>
        <v>нет</v>
      </c>
      <c r="CU15" s="695" t="str">
        <f t="shared" si="12"/>
        <v>нет</v>
      </c>
      <c r="CV15" s="695" t="str">
        <f t="shared" si="12"/>
        <v>нет</v>
      </c>
    </row>
    <row r="16" spans="1:100" ht="42">
      <c r="A16" s="720" t="s">
        <v>4974</v>
      </c>
      <c r="B16" s="715" t="s">
        <v>4947</v>
      </c>
      <c r="C16" s="717" t="s">
        <v>4975</v>
      </c>
      <c r="D16" s="37" t="s">
        <v>4949</v>
      </c>
      <c r="E16" s="37">
        <v>8</v>
      </c>
      <c r="F16" s="38" t="s">
        <v>4976</v>
      </c>
      <c r="G16" s="57" t="s">
        <v>5242</v>
      </c>
      <c r="H16" s="40" t="s">
        <v>4958</v>
      </c>
      <c r="I16" s="55" t="s">
        <v>4977</v>
      </c>
      <c r="L16" s="36" t="s">
        <v>278</v>
      </c>
      <c r="M16" s="36">
        <v>50</v>
      </c>
      <c r="N16" s="36">
        <v>66</v>
      </c>
      <c r="O16" s="224">
        <f>SUM(P16:CV16)</f>
        <v>74</v>
      </c>
      <c r="P16" s="36">
        <f>COUNTIFS('свод практик'!$J$6:$J$277,'свод субъектов ИБ+смежные'!P$1,'свод практик'!$D$6:$D$277,"суб")</f>
        <v>1</v>
      </c>
      <c r="Q16" s="36">
        <f>COUNTIFS('свод практик'!$J$6:$J$277,'свод субъектов ИБ+смежные'!Q$1,'свод практик'!$D$6:$D$277,"суб")</f>
        <v>1</v>
      </c>
      <c r="R16" s="36">
        <f>COUNTIFS('свод практик'!$J$6:$J$277,'свод субъектов ИБ+смежные'!R$1,'свод практик'!$D$6:$D$277,"суб")</f>
        <v>1</v>
      </c>
      <c r="S16" s="36">
        <f>COUNTIFS('свод практик'!$J$6:$J$277,'свод субъектов ИБ+смежные'!S$1,'свод практик'!$D$6:$D$277,"суб")</f>
        <v>1</v>
      </c>
      <c r="T16" s="36">
        <f>COUNTIFS('свод практик'!$J$6:$J$277,'свод субъектов ИБ+смежные'!T$1,'свод практик'!$D$6:$D$277,"суб")</f>
        <v>1</v>
      </c>
      <c r="U16" s="36">
        <f>COUNTIFS('свод практик'!$J$6:$J$277,'свод субъектов ИБ+смежные'!U$1,'свод практик'!$D$6:$D$277,"суб")</f>
        <v>1</v>
      </c>
      <c r="V16" s="36">
        <f>COUNTIFS('свод практик'!$J$6:$J$277,'свод субъектов ИБ+смежные'!V$1,'свод практик'!$D$6:$D$277,"суб")</f>
        <v>4</v>
      </c>
      <c r="W16" s="36">
        <f>COUNTIFS('свод практик'!$J$6:$J$277,'свод субъектов ИБ+смежные'!W$1,'свод практик'!$D$6:$D$277,"суб")</f>
        <v>2</v>
      </c>
      <c r="X16" s="36">
        <f>COUNTIFS('свод практик'!$J$6:$J$277,'свод субъектов ИБ+смежные'!X$1,'свод практик'!$D$6:$D$277,"суб")</f>
        <v>1</v>
      </c>
      <c r="Y16" s="36">
        <f>COUNTIFS('свод практик'!$J$6:$J$277,'свод субъектов ИБ+смежные'!Y$1,'свод практик'!$D$6:$D$277,"суб")</f>
        <v>1</v>
      </c>
      <c r="Z16" s="36">
        <f>COUNTIFS('свод практик'!$J$6:$J$277,'свод субъектов ИБ+смежные'!Z$1,'свод практик'!$D$6:$D$277,"суб")</f>
        <v>1</v>
      </c>
      <c r="AA16" s="36">
        <f>COUNTIFS('свод практик'!$J$6:$J$277,'свод субъектов ИБ+смежные'!AA$1,'свод практик'!$D$6:$D$277,"суб")</f>
        <v>1</v>
      </c>
      <c r="AB16" s="36">
        <f>COUNTIFS('свод практик'!$J$6:$J$277,'свод субъектов ИБ+смежные'!AB$1,'свод практик'!$D$6:$D$277,"суб")</f>
        <v>1</v>
      </c>
      <c r="AC16" s="36">
        <f>COUNTIFS('свод практик'!$J$6:$J$277,'свод субъектов ИБ+смежные'!AC$1,'свод практик'!$D$6:$D$277,"суб")</f>
        <v>2</v>
      </c>
      <c r="AD16" s="36">
        <f>COUNTIFS('свод практик'!$J$6:$J$277,'свод субъектов ИБ+смежные'!AD$1,'свод практик'!$D$6:$D$277,"суб")</f>
        <v>0</v>
      </c>
      <c r="AE16" s="36">
        <f>COUNTIFS('свод практик'!$J$6:$J$277,'свод субъектов ИБ+смежные'!AE$1,'свод практик'!$D$6:$D$277,"суб")</f>
        <v>0</v>
      </c>
      <c r="AF16" s="36">
        <f>COUNTIFS('свод практик'!$J$6:$J$277,'свод субъектов ИБ+смежные'!AF$1,'свод практик'!$D$6:$D$277,"суб")</f>
        <v>1</v>
      </c>
      <c r="AG16" s="36">
        <f>COUNTIFS('свод практик'!$J$6:$J$277,'свод субъектов ИБ+смежные'!AG$1,'свод практик'!$D$6:$D$277,"суб")</f>
        <v>0</v>
      </c>
      <c r="AH16" s="36">
        <f>COUNTIFS('свод практик'!$J$6:$J$277,'свод субъектов ИБ+смежные'!AH$1,'свод практик'!$D$6:$D$277,"суб")</f>
        <v>0</v>
      </c>
      <c r="AI16" s="36">
        <f>COUNTIFS('свод практик'!$J$6:$J$277,'свод субъектов ИБ+смежные'!AI$1,'свод практик'!$D$6:$D$277,"суб")</f>
        <v>1</v>
      </c>
      <c r="AJ16" s="36">
        <f>COUNTIFS('свод практик'!$J$6:$J$277,'свод субъектов ИБ+смежные'!AJ$1,'свод практик'!$D$6:$D$277,"суб")</f>
        <v>0</v>
      </c>
      <c r="AK16" s="36">
        <f>COUNTIFS('свод практик'!$J$6:$J$277,'свод субъектов ИБ+смежные'!AK$1,'свод практик'!$D$6:$D$277,"суб")</f>
        <v>1</v>
      </c>
      <c r="AL16" s="36">
        <f>COUNTIFS('свод практик'!$J$6:$J$277,'свод субъектов ИБ+смежные'!AL$1,'свод практик'!$D$6:$D$277,"суб")</f>
        <v>1</v>
      </c>
      <c r="AM16" s="36">
        <f>COUNTIFS('свод практик'!$J$6:$J$277,'свод субъектов ИБ+смежные'!AM$1,'свод практик'!$D$6:$D$277,"суб")</f>
        <v>1</v>
      </c>
      <c r="AN16" s="36">
        <f>COUNTIFS('свод практик'!$J$6:$J$277,'свод субъектов ИБ+смежные'!AN$1,'свод практик'!$D$6:$D$277,"суб")</f>
        <v>0</v>
      </c>
      <c r="AO16" s="36">
        <f>COUNTIFS('свод практик'!$J$6:$J$277,'свод субъектов ИБ+смежные'!AO$1,'свод практик'!$D$6:$D$277,"суб")</f>
        <v>0</v>
      </c>
      <c r="AP16" s="36">
        <f>COUNTIFS('свод практик'!$J$6:$J$277,'свод субъектов ИБ+смежные'!AP$1,'свод практик'!$D$6:$D$277,"суб")</f>
        <v>2</v>
      </c>
      <c r="AQ16" s="36">
        <f>COUNTIFS('свод практик'!$J$6:$J$277,'свод субъектов ИБ+смежные'!AQ$1,'свод практик'!$D$6:$D$277,"суб")</f>
        <v>1</v>
      </c>
      <c r="AR16" s="36">
        <f>COUNTIFS('свод практик'!$J$6:$J$277,'свод субъектов ИБ+смежные'!AR$1,'свод практик'!$D$6:$D$277,"суб")</f>
        <v>3</v>
      </c>
      <c r="AS16" s="36">
        <f>COUNTIFS('свод практик'!$J$6:$J$277,'свод субъектов ИБ+смежные'!AS$1,'свод практик'!$D$6:$D$277,"суб")</f>
        <v>1</v>
      </c>
      <c r="AT16" s="36">
        <f>COUNTIFS('свод практик'!$J$6:$J$277,'свод субъектов ИБ+смежные'!AT$1,'свод практик'!$D$6:$D$277,"суб")</f>
        <v>2</v>
      </c>
      <c r="AU16" s="36">
        <f>COUNTIFS('свод практик'!$J$6:$J$277,'свод субъектов ИБ+смежные'!AU$1,'свод практик'!$D$6:$D$277,"суб")</f>
        <v>0</v>
      </c>
      <c r="AV16" s="36">
        <f>COUNTIFS('свод практик'!$J$6:$J$277,'свод субъектов ИБ+смежные'!AV$1,'свод практик'!$D$6:$D$277,"суб")</f>
        <v>1</v>
      </c>
      <c r="AW16" s="36">
        <f>COUNTIFS('свод практик'!$J$6:$J$277,'свод субъектов ИБ+смежные'!AW$1,'свод практик'!$D$6:$D$277,"суб")</f>
        <v>1</v>
      </c>
      <c r="AX16" s="36">
        <f>COUNTIFS('свод практик'!$J$6:$J$277,'свод субъектов ИБ+смежные'!AX$1,'свод практик'!$D$6:$D$277,"суб")</f>
        <v>1</v>
      </c>
      <c r="AY16" s="160">
        <f>COUNTIFS('свод практик'!$J$6:$J$277,'свод субъектов ИБ+смежные'!AY$1,'свод практик'!$D$6:$D$277,"суб")</f>
        <v>0</v>
      </c>
      <c r="AZ16" s="36">
        <f>COUNTIFS('свод практик'!$J$6:$J$277,'свод субъектов ИБ+смежные'!AZ$1,'свод практик'!$D$6:$D$277,"суб")</f>
        <v>2</v>
      </c>
      <c r="BA16" s="36">
        <f>COUNTIFS('свод практик'!$J$6:$J$277,'свод субъектов ИБ+смежные'!BA$1,'свод практик'!$D$6:$D$277,"суб")</f>
        <v>1</v>
      </c>
      <c r="BB16" s="160">
        <f>COUNTIFS('свод практик'!$J$6:$J$277,'свод субъектов ИБ+смежные'!BB$1,'свод практик'!$D$6:$D$277,"суб")</f>
        <v>0</v>
      </c>
      <c r="BC16" s="36">
        <f>COUNTIFS('свод практик'!$J$6:$J$277,'свод субъектов ИБ+смежные'!BC$1,'свод практик'!$D$6:$D$277,"суб")</f>
        <v>1</v>
      </c>
      <c r="BD16" s="160">
        <f>COUNTIFS('свод практик'!$J$6:$J$277,'свод субъектов ИБ+смежные'!BD$1,'свод практик'!$D$6:$D$277,"суб")</f>
        <v>0</v>
      </c>
      <c r="BE16" s="160">
        <f>COUNTIFS('свод практик'!$J$6:$J$277,'свод субъектов ИБ+смежные'!BE$1,'свод практик'!$D$6:$D$277,"суб")</f>
        <v>0</v>
      </c>
      <c r="BF16" s="36">
        <f>COUNTIFS('свод практик'!$J$6:$J$277,'свод субъектов ИБ+смежные'!BF$1,'свод практик'!$D$6:$D$277,"суб")</f>
        <v>0</v>
      </c>
      <c r="BG16" s="36">
        <f>COUNTIFS('свод практик'!$J$6:$J$277,'свод субъектов ИБ+смежные'!BG$1,'свод практик'!$D$6:$D$277,"суб")</f>
        <v>1</v>
      </c>
      <c r="BH16" s="36">
        <f>COUNTIFS('свод практик'!$J$6:$J$277,'свод субъектов ИБ+смежные'!BH$1,'свод практик'!$D$6:$D$277,"суб")</f>
        <v>1</v>
      </c>
      <c r="BI16" s="36">
        <f>COUNTIFS('свод практик'!$J$6:$J$277,'свод субъектов ИБ+смежные'!BI$1,'свод практик'!$D$6:$D$277,"суб")</f>
        <v>1</v>
      </c>
      <c r="BJ16" s="36">
        <f>COUNTIFS('свод практик'!$J$6:$J$277,'свод субъектов ИБ+смежные'!BJ$1,'свод практик'!$D$6:$D$277,"суб")</f>
        <v>4</v>
      </c>
      <c r="BK16" s="36">
        <f>COUNTIFS('свод практик'!$J$6:$J$277,'свод субъектов ИБ+смежные'!BK$1,'свод практик'!$D$6:$D$277,"суб")</f>
        <v>1</v>
      </c>
      <c r="BL16" s="36">
        <f>COUNTIFS('свод практик'!$J$6:$J$277,'свод субъектов ИБ+смежные'!BL$1,'свод практик'!$D$6:$D$277,"суб")</f>
        <v>0</v>
      </c>
      <c r="BM16" s="36">
        <f>COUNTIFS('свод практик'!$J$6:$J$277,'свод субъектов ИБ+смежные'!BM$1,'свод практик'!$D$6:$D$277,"суб")</f>
        <v>1</v>
      </c>
      <c r="BN16" s="36">
        <f>COUNTIFS('свод практик'!$J$6:$J$277,'свод субъектов ИБ+смежные'!BN$1,'свод практик'!$D$6:$D$277,"суб")</f>
        <v>1</v>
      </c>
      <c r="BO16" s="36">
        <f>COUNTIFS('свод практик'!$J$6:$J$277,'свод субъектов ИБ+смежные'!BO$1,'свод практик'!$D$6:$D$277,"суб")</f>
        <v>0</v>
      </c>
      <c r="BP16" s="36">
        <f>COUNTIFS('свод практик'!$J$6:$J$277,'свод субъектов ИБ+смежные'!BP$1,'свод практик'!$D$6:$D$277,"суб")</f>
        <v>1</v>
      </c>
      <c r="BQ16" s="36">
        <f>COUNTIFS('свод практик'!$J$6:$J$277,'свод субъектов ИБ+смежные'!BQ$1,'свод практик'!$D$6:$D$277,"суб")</f>
        <v>0</v>
      </c>
      <c r="BR16" s="36">
        <f>COUNTIFS('свод практик'!$J$6:$J$277,'свод субъектов ИБ+смежные'!BR$1,'свод практик'!$D$6:$D$277,"суб")</f>
        <v>1</v>
      </c>
      <c r="BS16" s="36">
        <f>COUNTIFS('свод практик'!$J$6:$J$277,'свод субъектов ИБ+смежные'!BS$1,'свод практик'!$D$6:$D$277,"суб")</f>
        <v>0</v>
      </c>
      <c r="BT16" s="36">
        <f>COUNTIFS('свод практик'!$J$6:$J$277,'свод субъектов ИБ+смежные'!BT$1,'свод практик'!$D$6:$D$277,"суб")</f>
        <v>0</v>
      </c>
      <c r="BU16" s="36">
        <f>COUNTIFS('свод практик'!$J$6:$J$277,'свод субъектов ИБ+смежные'!BU$1,'свод практик'!$D$6:$D$277,"суб")</f>
        <v>1</v>
      </c>
      <c r="BV16" s="36">
        <f>COUNTIFS('свод практик'!$J$6:$J$277,'свод субъектов ИБ+смежные'!BV$1,'свод практик'!$D$6:$D$277,"суб")</f>
        <v>1</v>
      </c>
      <c r="BW16" s="36">
        <f>COUNTIFS('свод практик'!$J$6:$J$277,'свод субъектов ИБ+смежные'!BW$1,'свод практик'!$D$6:$D$277,"суб")</f>
        <v>1</v>
      </c>
      <c r="BX16" s="36">
        <f>COUNTIFS('свод практик'!$J$6:$J$277,'свод субъектов ИБ+смежные'!BX$1,'свод практик'!$D$6:$D$277,"суб")</f>
        <v>1</v>
      </c>
      <c r="BY16" s="36">
        <f>COUNTIFS('свод практик'!$J$6:$J$277,'свод субъектов ИБ+смежные'!BY$1,'свод практик'!$D$6:$D$277,"суб")</f>
        <v>3</v>
      </c>
      <c r="BZ16" s="36">
        <f>COUNTIFS('свод практик'!$J$6:$J$277,'свод субъектов ИБ+смежные'!BZ$1,'свод практик'!$D$6:$D$277,"суб")</f>
        <v>0</v>
      </c>
      <c r="CA16" s="36">
        <f>COUNTIFS('свод практик'!$J$6:$J$277,'свод субъектов ИБ+смежные'!CA$1,'свод практик'!$D$6:$D$277,"суб")</f>
        <v>0</v>
      </c>
      <c r="CB16" s="36">
        <f>COUNTIFS('свод практик'!$J$6:$J$277,'свод субъектов ИБ+смежные'!CB$1,'свод практик'!$D$6:$D$277,"суб")</f>
        <v>0</v>
      </c>
      <c r="CC16" s="36">
        <f>COUNTIFS('свод практик'!$J$6:$J$277,'свод субъектов ИБ+смежные'!CC$1,'свод практик'!$D$6:$D$277,"суб")</f>
        <v>1</v>
      </c>
      <c r="CD16" s="36">
        <f>COUNTIFS('свод практик'!$J$6:$J$277,'свод субъектов ИБ+смежные'!CD$1,'свод практик'!$D$6:$D$277,"суб")</f>
        <v>1</v>
      </c>
      <c r="CE16" s="36">
        <f>COUNTIFS('свод практик'!$J$6:$J$277,'свод субъектов ИБ+смежные'!CE$1,'свод практик'!$D$6:$D$277,"суб")</f>
        <v>1</v>
      </c>
      <c r="CF16" s="36">
        <f>COUNTIFS('свод практик'!$J$6:$J$277,'свод субъектов ИБ+смежные'!CF$1,'свод практик'!$D$6:$D$277,"суб")</f>
        <v>3</v>
      </c>
      <c r="CG16" s="36">
        <f>COUNTIFS('свод практик'!$J$6:$J$277,'свод субъектов ИБ+смежные'!CG$1,'свод практик'!$D$6:$D$277,"суб")</f>
        <v>1</v>
      </c>
      <c r="CH16" s="36">
        <f>COUNTIFS('свод практик'!$J$6:$J$277,'свод субъектов ИБ+смежные'!CH$1,'свод практик'!$D$6:$D$277,"суб")</f>
        <v>1</v>
      </c>
      <c r="CI16" s="36">
        <f>COUNTIFS('свод практик'!$J$6:$J$277,'свод субъектов ИБ+смежные'!CI$1,'свод практик'!$D$6:$D$277,"суб")</f>
        <v>1</v>
      </c>
      <c r="CJ16" s="36">
        <f>COUNTIFS('свод практик'!$J$6:$J$277,'свод субъектов ИБ+смежные'!CJ$1,'свод практик'!$D$6:$D$277,"суб")</f>
        <v>0</v>
      </c>
      <c r="CK16" s="36">
        <f>COUNTIFS('свод практик'!$J$6:$J$277,'свод субъектов ИБ+смежные'!CK$1,'свод практик'!$D$6:$D$277,"суб")</f>
        <v>0</v>
      </c>
      <c r="CL16" s="36">
        <f>COUNTIFS('свод практик'!$J$6:$J$277,'свод субъектов ИБ+смежные'!CL$1,'свод практик'!$D$6:$D$277,"суб")</f>
        <v>1</v>
      </c>
      <c r="CM16" s="36">
        <f>COUNTIFS('свод практик'!$J$6:$J$277,'свод субъектов ИБ+смежные'!CM$1,'свод практик'!$D$6:$D$277,"суб")</f>
        <v>1</v>
      </c>
      <c r="CN16" s="36">
        <f>COUNTIFS('свод практик'!$J$6:$J$277,'свод субъектов ИБ+смежные'!CN$1,'свод практик'!$D$6:$D$277,"суб")</f>
        <v>1</v>
      </c>
      <c r="CO16" s="36">
        <f>COUNTIFS('свод практик'!$J$6:$J$277,'свод субъектов ИБ+смежные'!CO$1,'свод практик'!$D$6:$D$277,"суб")</f>
        <v>0</v>
      </c>
      <c r="CP16" s="36">
        <f>COUNTIFS('свод практик'!$J$6:$J$277,'свод субъектов ИБ+смежные'!CP$1,'свод практик'!$D$6:$D$277,"суб")</f>
        <v>1</v>
      </c>
      <c r="CQ16" s="36">
        <f>COUNTIFS('свод практик'!$J$6:$J$277,'свод субъектов ИБ+смежные'!CQ$1,'свод практик'!$D$6:$D$277,"суб")</f>
        <v>0</v>
      </c>
      <c r="CR16" s="36">
        <f>COUNTIFS('свод практик'!$J$6:$J$277,'свод субъектов ИБ+смежные'!CR$1,'свод практик'!$D$6:$D$277,"суб")</f>
        <v>0</v>
      </c>
      <c r="CS16" s="36">
        <f>COUNTIFS('свод практик'!$J$6:$J$277,'свод субъектов ИБ+смежные'!CS$1,'свод практик'!$D$6:$D$277,"суб")</f>
        <v>1</v>
      </c>
      <c r="CT16" s="36">
        <f>COUNTIFS('свод практик'!$J$6:$J$277,'свод субъектов ИБ+смежные'!CT$1,'свод практик'!$D$6:$D$277,"суб")</f>
        <v>1</v>
      </c>
      <c r="CU16" s="36">
        <f>COUNTIFS('свод практик'!$J$6:$J$277,'свод субъектов ИБ+смежные'!CU$1,'свод практик'!$D$6:$D$277,"суб")</f>
        <v>0</v>
      </c>
      <c r="CV16" s="36">
        <f>COUNTIFS('свод практик'!$J$6:$J$277,'свод субъектов ИБ+смежные'!CV$1,'свод практик'!$D$6:$D$277,"суб")</f>
        <v>0</v>
      </c>
    </row>
    <row r="17" spans="1:100" ht="83.5" customHeight="1">
      <c r="A17" s="761"/>
      <c r="B17" s="760"/>
      <c r="C17" s="760"/>
      <c r="D17" s="42" t="s">
        <v>4949</v>
      </c>
      <c r="E17" s="42">
        <v>9</v>
      </c>
      <c r="F17" s="43" t="s">
        <v>4978</v>
      </c>
      <c r="G17" s="58" t="s">
        <v>5243</v>
      </c>
      <c r="H17" s="45" t="s">
        <v>4958</v>
      </c>
      <c r="I17" s="46" t="s">
        <v>4977</v>
      </c>
      <c r="M17" s="36">
        <v>25</v>
      </c>
      <c r="N17" s="36">
        <v>91</v>
      </c>
      <c r="O17" s="224">
        <f>SUM(P17:CV17)</f>
        <v>147</v>
      </c>
      <c r="P17" s="36">
        <f>COUNTIFS('свод практик'!$J$6:$J$277,'свод субъектов ИБ+смежные'!P$1,'свод практик'!$D$6:$D$277,"мун")</f>
        <v>0</v>
      </c>
      <c r="Q17" s="36">
        <f>COUNTIFS('свод практик'!$J$6:$J$277,'свод субъектов ИБ+смежные'!Q$1,'свод практик'!$D$6:$D$277,"мун")</f>
        <v>0</v>
      </c>
      <c r="R17" s="36">
        <f>COUNTIFS('свод практик'!$J$6:$J$277,'свод субъектов ИБ+смежные'!R$1,'свод практик'!$D$6:$D$277,"мун")</f>
        <v>0</v>
      </c>
      <c r="S17" s="36">
        <f>COUNTIFS('свод практик'!$J$6:$J$277,'свод субъектов ИБ+смежные'!S$1,'свод практик'!$D$6:$D$277,"мун")</f>
        <v>0</v>
      </c>
      <c r="T17" s="36">
        <f>COUNTIFS('свод практик'!$J$6:$J$277,'свод субъектов ИБ+смежные'!T$1,'свод практик'!$D$6:$D$277,"мун")</f>
        <v>1</v>
      </c>
      <c r="U17" s="36">
        <f>COUNTIFS('свод практик'!$J$6:$J$277,'свод субъектов ИБ+смежные'!U$1,'свод практик'!$D$6:$D$277,"мун")</f>
        <v>1</v>
      </c>
      <c r="V17" s="36">
        <f>COUNTIFS('свод практик'!$J$6:$J$277,'свод субъектов ИБ+смежные'!V$1,'свод практик'!$D$6:$D$277,"мун")</f>
        <v>6</v>
      </c>
      <c r="W17" s="36">
        <f>COUNTIFS('свод практик'!$J$6:$J$277,'свод субъектов ИБ+смежные'!W$1,'свод практик'!$D$6:$D$277,"мун")</f>
        <v>2</v>
      </c>
      <c r="X17" s="36">
        <f>COUNTIFS('свод практик'!$J$6:$J$277,'свод субъектов ИБ+смежные'!X$1,'свод практик'!$D$6:$D$277,"мун")</f>
        <v>0</v>
      </c>
      <c r="Y17" s="36">
        <f>COUNTIFS('свод практик'!$J$6:$J$277,'свод субъектов ИБ+смежные'!Y$1,'свод практик'!$D$6:$D$277,"мун")</f>
        <v>0</v>
      </c>
      <c r="Z17" s="36">
        <f>COUNTIFS('свод практик'!$J$6:$J$277,'свод субъектов ИБ+смежные'!Z$1,'свод практик'!$D$6:$D$277,"мун")</f>
        <v>0</v>
      </c>
      <c r="AA17" s="36">
        <f>COUNTIFS('свод практик'!$J$6:$J$277,'свод субъектов ИБ+смежные'!AA$1,'свод практик'!$D$6:$D$277,"мун")</f>
        <v>0</v>
      </c>
      <c r="AB17" s="36">
        <f>COUNTIFS('свод практик'!$J$6:$J$277,'свод субъектов ИБ+смежные'!AB$1,'свод практик'!$D$6:$D$277,"мун")</f>
        <v>2</v>
      </c>
      <c r="AC17" s="36">
        <f>COUNTIFS('свод практик'!$J$6:$J$277,'свод субъектов ИБ+смежные'!AC$1,'свод практик'!$D$6:$D$277,"мун")</f>
        <v>0</v>
      </c>
      <c r="AD17" s="36">
        <f>COUNTIFS('свод практик'!$J$6:$J$277,'свод субъектов ИБ+смежные'!AD$1,'свод практик'!$D$6:$D$277,"мун")</f>
        <v>0</v>
      </c>
      <c r="AE17" s="36">
        <f>COUNTIFS('свод практик'!$J$6:$J$277,'свод субъектов ИБ+смежные'!AE$1,'свод практик'!$D$6:$D$277,"мун")</f>
        <v>0</v>
      </c>
      <c r="AF17" s="36">
        <f>COUNTIFS('свод практик'!$J$6:$J$277,'свод субъектов ИБ+смежные'!AF$1,'свод практик'!$D$6:$D$277,"мун")</f>
        <v>0</v>
      </c>
      <c r="AG17" s="36">
        <f>COUNTIFS('свод практик'!$J$6:$J$277,'свод субъектов ИБ+смежные'!AG$1,'свод практик'!$D$6:$D$277,"мун")</f>
        <v>0</v>
      </c>
      <c r="AH17" s="36">
        <f>COUNTIFS('свод практик'!$J$6:$J$277,'свод субъектов ИБ+смежные'!AH$1,'свод практик'!$D$6:$D$277,"мун")</f>
        <v>0</v>
      </c>
      <c r="AI17" s="36">
        <f>COUNTIFS('свод практик'!$J$6:$J$277,'свод субъектов ИБ+смежные'!AI$1,'свод практик'!$D$6:$D$277,"мун")</f>
        <v>0</v>
      </c>
      <c r="AJ17" s="36">
        <f>COUNTIFS('свод практик'!$J$6:$J$277,'свод субъектов ИБ+смежные'!AJ$1,'свод практик'!$D$6:$D$277,"мун")</f>
        <v>1</v>
      </c>
      <c r="AK17" s="36">
        <f>COUNTIFS('свод практик'!$J$6:$J$277,'свод субъектов ИБ+смежные'!AK$1,'свод практик'!$D$6:$D$277,"мун")</f>
        <v>0</v>
      </c>
      <c r="AL17" s="36">
        <f>COUNTIFS('свод практик'!$J$6:$J$277,'свод субъектов ИБ+смежные'!AL$1,'свод практик'!$D$6:$D$277,"мун")</f>
        <v>0</v>
      </c>
      <c r="AM17" s="36">
        <f>COUNTIFS('свод практик'!$J$6:$J$277,'свод субъектов ИБ+смежные'!AM$1,'свод практик'!$D$6:$D$277,"мун")</f>
        <v>3</v>
      </c>
      <c r="AN17" s="36">
        <f>COUNTIFS('свод практик'!$J$6:$J$277,'свод субъектов ИБ+смежные'!AN$1,'свод практик'!$D$6:$D$277,"мун")</f>
        <v>0</v>
      </c>
      <c r="AO17" s="36">
        <f>COUNTIFS('свод практик'!$J$6:$J$277,'свод субъектов ИБ+смежные'!AO$1,'свод практик'!$D$6:$D$277,"мун")</f>
        <v>0</v>
      </c>
      <c r="AP17" s="36">
        <f>COUNTIFS('свод практик'!$J$6:$J$277,'свод субъектов ИБ+смежные'!AP$1,'свод практик'!$D$6:$D$277,"мун")</f>
        <v>0</v>
      </c>
      <c r="AQ17" s="36">
        <f>COUNTIFS('свод практик'!$J$6:$J$277,'свод субъектов ИБ+смежные'!AQ$1,'свод практик'!$D$6:$D$277,"мун")</f>
        <v>0</v>
      </c>
      <c r="AR17" s="36">
        <f>COUNTIFS('свод практик'!$J$6:$J$277,'свод субъектов ИБ+смежные'!AR$1,'свод практик'!$D$6:$D$277,"мун")</f>
        <v>0</v>
      </c>
      <c r="AS17" s="36">
        <f>COUNTIFS('свод практик'!$J$6:$J$277,'свод субъектов ИБ+смежные'!AS$1,'свод практик'!$D$6:$D$277,"мун")</f>
        <v>0</v>
      </c>
      <c r="AT17" s="36">
        <f>COUNTIFS('свод практик'!$J$6:$J$277,'свод субъектов ИБ+смежные'!AT$1,'свод практик'!$D$6:$D$277,"мун")</f>
        <v>0</v>
      </c>
      <c r="AU17" s="36">
        <f>COUNTIFS('свод практик'!$J$6:$J$277,'свод субъектов ИБ+смежные'!AU$1,'свод практик'!$D$6:$D$277,"мун")</f>
        <v>1</v>
      </c>
      <c r="AV17" s="36">
        <f>COUNTIFS('свод практик'!$J$6:$J$277,'свод субъектов ИБ+смежные'!AV$1,'свод практик'!$D$6:$D$277,"мун")</f>
        <v>1</v>
      </c>
      <c r="AW17" s="36">
        <f>COUNTIFS('свод практик'!$J$6:$J$277,'свод субъектов ИБ+смежные'!AW$1,'свод практик'!$D$6:$D$277,"мун")</f>
        <v>0</v>
      </c>
      <c r="AX17" s="36">
        <f>COUNTIFS('свод практик'!$J$6:$J$277,'свод субъектов ИБ+смежные'!AX$1,'свод практик'!$D$6:$D$277,"мун")</f>
        <v>0</v>
      </c>
      <c r="AY17" s="160">
        <f>COUNTIFS('свод практик'!$J$6:$J$277,'свод субъектов ИБ+смежные'!AY$1,'свод практик'!$D$6:$D$277,"мун")</f>
        <v>0</v>
      </c>
      <c r="AZ17" s="36">
        <f>COUNTIFS('свод практик'!$J$6:$J$277,'свод субъектов ИБ+смежные'!AZ$1,'свод практик'!$D$6:$D$277,"мун")</f>
        <v>1</v>
      </c>
      <c r="BA17" s="36">
        <f>COUNTIFS('свод практик'!$J$6:$J$277,'свод субъектов ИБ+смежные'!BA$1,'свод практик'!$D$6:$D$277,"мун")</f>
        <v>0</v>
      </c>
      <c r="BB17" s="160">
        <f>COUNTIFS('свод практик'!$J$6:$J$277,'свод субъектов ИБ+смежные'!BB$1,'свод практик'!$D$6:$D$277,"мун")</f>
        <v>0</v>
      </c>
      <c r="BC17" s="36">
        <f>COUNTIFS('свод практик'!$J$6:$J$277,'свод субъектов ИБ+смежные'!BC$1,'свод практик'!$D$6:$D$277,"мун")</f>
        <v>0</v>
      </c>
      <c r="BD17" s="160">
        <f>COUNTIFS('свод практик'!$J$6:$J$277,'свод субъектов ИБ+смежные'!BD$1,'свод практик'!$D$6:$D$277,"мун")</f>
        <v>0</v>
      </c>
      <c r="BE17" s="160">
        <f>COUNTIFS('свод практик'!$J$6:$J$277,'свод субъектов ИБ+смежные'!BE$1,'свод практик'!$D$6:$D$277,"мун")</f>
        <v>0</v>
      </c>
      <c r="BF17" s="36">
        <f>COUNTIFS('свод практик'!$J$6:$J$277,'свод субъектов ИБ+смежные'!BF$1,'свод практик'!$D$6:$D$277,"мун")</f>
        <v>1</v>
      </c>
      <c r="BG17" s="36">
        <f>COUNTIFS('свод практик'!$J$6:$J$277,'свод субъектов ИБ+смежные'!BG$1,'свод практик'!$D$6:$D$277,"мун")</f>
        <v>0</v>
      </c>
      <c r="BH17" s="36">
        <f>COUNTIFS('свод практик'!$J$6:$J$277,'свод субъектов ИБ+смежные'!BH$1,'свод практик'!$D$6:$D$277,"мун")</f>
        <v>0</v>
      </c>
      <c r="BI17" s="36">
        <f>COUNTIFS('свод практик'!$J$6:$J$277,'свод субъектов ИБ+смежные'!BI$1,'свод практик'!$D$6:$D$277,"мун")</f>
        <v>0</v>
      </c>
      <c r="BJ17" s="36">
        <f>COUNTIFS('свод практик'!$J$6:$J$277,'свод субъектов ИБ+смежные'!BJ$1,'свод практик'!$D$6:$D$277,"мун")</f>
        <v>0</v>
      </c>
      <c r="BK17" s="36">
        <f>COUNTIFS('свод практик'!$J$6:$J$277,'свод субъектов ИБ+смежные'!BK$1,'свод практик'!$D$6:$D$277,"мун")</f>
        <v>0</v>
      </c>
      <c r="BL17" s="36">
        <f>COUNTIFS('свод практик'!$J$6:$J$277,'свод субъектов ИБ+смежные'!BL$1,'свод практик'!$D$6:$D$277,"мун")</f>
        <v>1</v>
      </c>
      <c r="BM17" s="36">
        <f>COUNTIFS('свод практик'!$J$6:$J$277,'свод субъектов ИБ+смежные'!BM$1,'свод практик'!$D$6:$D$277,"мун")</f>
        <v>14</v>
      </c>
      <c r="BN17" s="36">
        <f>COUNTIFS('свод практик'!$J$6:$J$277,'свод субъектов ИБ+смежные'!BN$1,'свод практик'!$D$6:$D$277,"мун")</f>
        <v>0</v>
      </c>
      <c r="BO17" s="36">
        <f>COUNTIFS('свод практик'!$J$6:$J$277,'свод субъектов ИБ+смежные'!BO$1,'свод практик'!$D$6:$D$277,"мун")</f>
        <v>1</v>
      </c>
      <c r="BP17" s="36">
        <f>COUNTIFS('свод практик'!$J$6:$J$277,'свод субъектов ИБ+смежные'!BP$1,'свод практик'!$D$6:$D$277,"мун")</f>
        <v>0</v>
      </c>
      <c r="BQ17" s="36">
        <f>COUNTIFS('свод практик'!$J$6:$J$277,'свод субъектов ИБ+смежные'!BQ$1,'свод практик'!$D$6:$D$277,"мун")</f>
        <v>0</v>
      </c>
      <c r="BR17" s="36">
        <f>COUNTIFS('свод практик'!$J$6:$J$277,'свод субъектов ИБ+смежные'!BR$1,'свод практик'!$D$6:$D$277,"мун")</f>
        <v>0</v>
      </c>
      <c r="BS17" s="36">
        <f>COUNTIFS('свод практик'!$J$6:$J$277,'свод субъектов ИБ+смежные'!BS$1,'свод практик'!$D$6:$D$277,"мун")</f>
        <v>2</v>
      </c>
      <c r="BT17" s="36">
        <f>COUNTIFS('свод практик'!$J$6:$J$277,'свод субъектов ИБ+смежные'!BT$1,'свод практик'!$D$6:$D$277,"мун")</f>
        <v>0</v>
      </c>
      <c r="BU17" s="36">
        <f>COUNTIFS('свод практик'!$J$6:$J$277,'свод субъектов ИБ+смежные'!BU$1,'свод практик'!$D$6:$D$277,"мун")</f>
        <v>14</v>
      </c>
      <c r="BV17" s="36">
        <f>COUNTIFS('свод практик'!$J$6:$J$277,'свод субъектов ИБ+смежные'!BV$1,'свод практик'!$D$6:$D$277,"мун")</f>
        <v>0</v>
      </c>
      <c r="BW17" s="36">
        <f>COUNTIFS('свод практик'!$J$6:$J$277,'свод субъектов ИБ+смежные'!BW$1,'свод практик'!$D$6:$D$277,"мун")</f>
        <v>0</v>
      </c>
      <c r="BX17" s="36">
        <f>COUNTIFS('свод практик'!$J$6:$J$277,'свод субъектов ИБ+смежные'!BX$1,'свод практик'!$D$6:$D$277,"мун")</f>
        <v>0</v>
      </c>
      <c r="BY17" s="36">
        <f>COUNTIFS('свод практик'!$J$6:$J$277,'свод субъектов ИБ+смежные'!BY$1,'свод практик'!$D$6:$D$277,"мун")</f>
        <v>0</v>
      </c>
      <c r="BZ17" s="36">
        <f>COUNTIFS('свод практик'!$J$6:$J$277,'свод субъектов ИБ+смежные'!BZ$1,'свод практик'!$D$6:$D$277,"мун")</f>
        <v>3</v>
      </c>
      <c r="CA17" s="36">
        <f>COUNTIFS('свод практик'!$J$6:$J$277,'свод субъектов ИБ+смежные'!CA$1,'свод практик'!$D$6:$D$277,"мун")</f>
        <v>0</v>
      </c>
      <c r="CB17" s="36">
        <f>COUNTIFS('свод практик'!$J$6:$J$277,'свод субъектов ИБ+смежные'!CB$1,'свод практик'!$D$6:$D$277,"мун")</f>
        <v>0</v>
      </c>
      <c r="CC17" s="36">
        <f>COUNTIFS('свод практик'!$J$6:$J$277,'свод субъектов ИБ+смежные'!CC$1,'свод практик'!$D$6:$D$277,"мун")</f>
        <v>0</v>
      </c>
      <c r="CD17" s="36">
        <f>COUNTIFS('свод практик'!$J$6:$J$277,'свод субъектов ИБ+смежные'!CD$1,'свод практик'!$D$6:$D$277,"мун")</f>
        <v>2</v>
      </c>
      <c r="CE17" s="36">
        <f>COUNTIFS('свод практик'!$J$6:$J$277,'свод субъектов ИБ+смежные'!CE$1,'свод практик'!$D$6:$D$277,"мун")</f>
        <v>0</v>
      </c>
      <c r="CF17" s="36">
        <f>COUNTIFS('свод практик'!$J$6:$J$277,'свод субъектов ИБ+смежные'!CF$1,'свод практик'!$D$6:$D$277,"мун")</f>
        <v>0</v>
      </c>
      <c r="CG17" s="36">
        <f>COUNTIFS('свод практик'!$J$6:$J$277,'свод субъектов ИБ+смежные'!CG$1,'свод практик'!$D$6:$D$277,"мун")</f>
        <v>0</v>
      </c>
      <c r="CH17" s="36">
        <f>COUNTIFS('свод практик'!$J$6:$J$277,'свод субъектов ИБ+смежные'!CH$1,'свод практик'!$D$6:$D$277,"мун")</f>
        <v>0</v>
      </c>
      <c r="CI17" s="36">
        <f>COUNTIFS('свод практик'!$J$6:$J$277,'свод субъектов ИБ+смежные'!CI$1,'свод практик'!$D$6:$D$277,"мун")</f>
        <v>0</v>
      </c>
      <c r="CJ17" s="36">
        <f>COUNTIFS('свод практик'!$J$6:$J$277,'свод субъектов ИБ+смежные'!CJ$1,'свод практик'!$D$6:$D$277,"мун")</f>
        <v>0</v>
      </c>
      <c r="CK17" s="36">
        <f>COUNTIFS('свод практик'!$J$6:$J$277,'свод субъектов ИБ+смежные'!CK$1,'свод практик'!$D$6:$D$277,"мун")</f>
        <v>0</v>
      </c>
      <c r="CL17" s="36">
        <f>COUNTIFS('свод практик'!$J$6:$J$277,'свод субъектов ИБ+смежные'!CL$1,'свод практик'!$D$6:$D$277,"мун")</f>
        <v>5</v>
      </c>
      <c r="CM17" s="36">
        <f>COUNTIFS('свод практик'!$J$6:$J$277,'свод субъектов ИБ+смежные'!CM$1,'свод практик'!$D$6:$D$277,"мун")</f>
        <v>27</v>
      </c>
      <c r="CN17" s="36">
        <f>COUNTIFS('свод практик'!$J$6:$J$277,'свод субъектов ИБ+смежные'!CN$1,'свод практик'!$D$6:$D$277,"мун")</f>
        <v>0</v>
      </c>
      <c r="CO17" s="36">
        <f>COUNTIFS('свод практик'!$J$6:$J$277,'свод субъектов ИБ+смежные'!CO$1,'свод практик'!$D$6:$D$277,"мун")</f>
        <v>0</v>
      </c>
      <c r="CP17" s="36">
        <f>COUNTIFS('свод практик'!$J$6:$J$277,'свод субъектов ИБ+смежные'!CP$1,'свод практик'!$D$6:$D$277,"мун")</f>
        <v>30</v>
      </c>
      <c r="CQ17" s="36">
        <f>COUNTIFS('свод практик'!$J$6:$J$277,'свод субъектов ИБ+смежные'!CQ$1,'свод практик'!$D$6:$D$277,"мун")</f>
        <v>2</v>
      </c>
      <c r="CR17" s="36">
        <f>COUNTIFS('свод практик'!$J$6:$J$277,'свод субъектов ИБ+смежные'!CR$1,'свод практик'!$D$6:$D$277,"мун")</f>
        <v>0</v>
      </c>
      <c r="CS17" s="36">
        <f>COUNTIFS('свод практик'!$J$6:$J$277,'свод субъектов ИБ+смежные'!CS$1,'свод практик'!$D$6:$D$277,"мун")</f>
        <v>1</v>
      </c>
      <c r="CT17" s="36">
        <f>COUNTIFS('свод практик'!$J$6:$J$277,'свод субъектов ИБ+смежные'!CT$1,'свод практик'!$D$6:$D$277,"мун")</f>
        <v>0</v>
      </c>
      <c r="CU17" s="36">
        <f>COUNTIFS('свод практик'!$J$6:$J$277,'свод субъектов ИБ+смежные'!CU$1,'свод практик'!$D$6:$D$277,"мун")</f>
        <v>25</v>
      </c>
      <c r="CV17" s="36">
        <f>COUNTIFS('свод практик'!$J$6:$J$277,'свод субъектов ИБ+смежные'!CV$1,'свод практик'!$D$6:$D$277,"мун")</f>
        <v>0</v>
      </c>
    </row>
    <row r="18" spans="1:100" ht="92" customHeight="1" thickBot="1">
      <c r="A18" s="721"/>
      <c r="B18" s="722"/>
      <c r="C18" s="722"/>
      <c r="D18" s="49" t="s">
        <v>4949</v>
      </c>
      <c r="E18" s="49">
        <v>10</v>
      </c>
      <c r="F18" s="59" t="s">
        <v>4979</v>
      </c>
      <c r="G18" s="60" t="s">
        <v>4980</v>
      </c>
      <c r="H18" s="52" t="s">
        <v>4958</v>
      </c>
      <c r="I18" s="53" t="s">
        <v>4977</v>
      </c>
      <c r="M18" s="36">
        <v>36</v>
      </c>
      <c r="N18" s="36">
        <v>36</v>
      </c>
      <c r="O18" s="224">
        <f>SUM(P18:CV18)</f>
        <v>27</v>
      </c>
      <c r="P18" s="36">
        <f>COUNTIFS('свод практик'!$J$6:$J$277,'свод субъектов ИБ+смежные'!P$1,'свод практик'!$D$6:$D$277,"суб/фед")</f>
        <v>0</v>
      </c>
      <c r="Q18" s="36">
        <f>COUNTIFS('свод практик'!$J$6:$J$277,'свод субъектов ИБ+смежные'!Q$1,'свод практик'!$D$6:$D$277,"суб/фед")</f>
        <v>2</v>
      </c>
      <c r="R18" s="36">
        <f>COUNTIFS('свод практик'!$J$6:$J$277,'свод субъектов ИБ+смежные'!R$1,'свод практик'!$D$6:$D$277,"суб/фед")</f>
        <v>0</v>
      </c>
      <c r="S18" s="36">
        <f>COUNTIFS('свод практик'!$J$6:$J$277,'свод субъектов ИБ+смежные'!S$1,'свод практик'!$D$6:$D$277,"суб/фед")</f>
        <v>0</v>
      </c>
      <c r="T18" s="36">
        <f>COUNTIFS('свод практик'!$J$6:$J$277,'свод субъектов ИБ+смежные'!T$1,'свод практик'!$D$6:$D$277,"суб/фед")</f>
        <v>0</v>
      </c>
      <c r="U18" s="36">
        <f>COUNTIFS('свод практик'!$J$6:$J$277,'свод субъектов ИБ+смежные'!U$1,'свод практик'!$D$6:$D$277,"суб/фед")</f>
        <v>0</v>
      </c>
      <c r="V18" s="36">
        <f>COUNTIFS('свод практик'!$J$6:$J$277,'свод субъектов ИБ+смежные'!V$1,'свод практик'!$D$6:$D$277,"суб/фед")</f>
        <v>0</v>
      </c>
      <c r="W18" s="36">
        <f>COUNTIFS('свод практик'!$J$6:$J$277,'свод субъектов ИБ+смежные'!W$1,'свод практик'!$D$6:$D$277,"суб/фед")</f>
        <v>0</v>
      </c>
      <c r="X18" s="36">
        <f>COUNTIFS('свод практик'!$J$6:$J$277,'свод субъектов ИБ+смежные'!X$1,'свод практик'!$D$6:$D$277,"суб/фед")</f>
        <v>0</v>
      </c>
      <c r="Y18" s="36">
        <f>COUNTIFS('свод практик'!$J$6:$J$277,'свод субъектов ИБ+смежные'!Y$1,'свод практик'!$D$6:$D$277,"суб/фед")</f>
        <v>0</v>
      </c>
      <c r="Z18" s="36">
        <f>COUNTIFS('свод практик'!$J$6:$J$277,'свод субъектов ИБ+смежные'!Z$1,'свод практик'!$D$6:$D$277,"суб/фед")</f>
        <v>2</v>
      </c>
      <c r="AA18" s="36">
        <f>COUNTIFS('свод практик'!$J$6:$J$277,'свод субъектов ИБ+смежные'!AA$1,'свод практик'!$D$6:$D$277,"суб/фед")</f>
        <v>0</v>
      </c>
      <c r="AB18" s="36">
        <f>COUNTIFS('свод практик'!$J$6:$J$277,'свод субъектов ИБ+смежные'!AB$1,'свод практик'!$D$6:$D$277,"суб/фед")</f>
        <v>0</v>
      </c>
      <c r="AC18" s="36">
        <f>COUNTIFS('свод практик'!$J$6:$J$277,'свод субъектов ИБ+смежные'!AC$1,'свод практик'!$D$6:$D$277,"суб/фед")</f>
        <v>1</v>
      </c>
      <c r="AD18" s="36">
        <f>COUNTIFS('свод практик'!$J$6:$J$277,'свод субъектов ИБ+смежные'!AD$1,'свод практик'!$D$6:$D$277,"суб/фед")</f>
        <v>0</v>
      </c>
      <c r="AE18" s="36">
        <f>COUNTIFS('свод практик'!$J$6:$J$277,'свод субъектов ИБ+смежные'!AE$1,'свод практик'!$D$6:$D$277,"суб/фед")</f>
        <v>0</v>
      </c>
      <c r="AF18" s="36">
        <f>COUNTIFS('свод практик'!$J$6:$J$277,'свод субъектов ИБ+смежные'!AF$1,'свод практик'!$D$6:$D$277,"суб/фед")</f>
        <v>0</v>
      </c>
      <c r="AG18" s="36">
        <f>COUNTIFS('свод практик'!$J$6:$J$277,'свод субъектов ИБ+смежные'!AG$1,'свод практик'!$D$6:$D$277,"суб/фед")</f>
        <v>0</v>
      </c>
      <c r="AH18" s="36">
        <f>COUNTIFS('свод практик'!$J$6:$J$277,'свод субъектов ИБ+смежные'!AH$1,'свод практик'!$D$6:$D$277,"суб/фед")</f>
        <v>0</v>
      </c>
      <c r="AI18" s="36">
        <f>COUNTIFS('свод практик'!$J$6:$J$277,'свод субъектов ИБ+смежные'!AI$1,'свод практик'!$D$6:$D$277,"суб/фед")</f>
        <v>0</v>
      </c>
      <c r="AJ18" s="36">
        <f>COUNTIFS('свод практик'!$J$6:$J$277,'свод субъектов ИБ+смежные'!AJ$1,'свод практик'!$D$6:$D$277,"суб/фед")</f>
        <v>0</v>
      </c>
      <c r="AK18" s="36">
        <f>COUNTIFS('свод практик'!$J$6:$J$277,'свод субъектов ИБ+смежные'!AK$1,'свод практик'!$D$6:$D$277,"суб/фед")</f>
        <v>1</v>
      </c>
      <c r="AL18" s="36">
        <f>COUNTIFS('свод практик'!$J$6:$J$277,'свод субъектов ИБ+смежные'!AL$1,'свод практик'!$D$6:$D$277,"суб/фед")</f>
        <v>0</v>
      </c>
      <c r="AM18" s="36">
        <f>COUNTIFS('свод практик'!$J$6:$J$277,'свод субъектов ИБ+смежные'!AM$1,'свод практик'!$D$6:$D$277,"суб/фед")</f>
        <v>0</v>
      </c>
      <c r="AN18" s="36">
        <f>COUNTIFS('свод практик'!$J$6:$J$277,'свод субъектов ИБ+смежные'!AN$1,'свод практик'!$D$6:$D$277,"суб/фед")</f>
        <v>0</v>
      </c>
      <c r="AO18" s="36">
        <f>COUNTIFS('свод практик'!$J$6:$J$277,'свод субъектов ИБ+смежные'!AO$1,'свод практик'!$D$6:$D$277,"суб/фед")</f>
        <v>0</v>
      </c>
      <c r="AP18" s="36">
        <f>COUNTIFS('свод практик'!$J$6:$J$277,'свод субъектов ИБ+смежные'!AP$1,'свод практик'!$D$6:$D$277,"суб/фед")</f>
        <v>0</v>
      </c>
      <c r="AQ18" s="36">
        <f>COUNTIFS('свод практик'!$J$6:$J$277,'свод субъектов ИБ+смежные'!AQ$1,'свод практик'!$D$6:$D$277,"суб/фед")</f>
        <v>0</v>
      </c>
      <c r="AR18" s="36">
        <f>COUNTIFS('свод практик'!$J$6:$J$277,'свод субъектов ИБ+смежные'!AR$1,'свод практик'!$D$6:$D$277,"суб/фед")</f>
        <v>0</v>
      </c>
      <c r="AS18" s="36">
        <f>COUNTIFS('свод практик'!$J$6:$J$277,'свод субъектов ИБ+смежные'!AS$1,'свод практик'!$D$6:$D$277,"суб/фед")</f>
        <v>0</v>
      </c>
      <c r="AT18" s="36">
        <f>COUNTIFS('свод практик'!$J$6:$J$277,'свод субъектов ИБ+смежные'!AT$1,'свод практик'!$D$6:$D$277,"суб/фед")</f>
        <v>1</v>
      </c>
      <c r="AU18" s="36">
        <f>COUNTIFS('свод практик'!$J$6:$J$277,'свод субъектов ИБ+смежные'!AU$1,'свод практик'!$D$6:$D$277,"суб/фед")</f>
        <v>0</v>
      </c>
      <c r="AV18" s="36">
        <f>COUNTIFS('свод практик'!$J$6:$J$277,'свод субъектов ИБ+смежные'!AV$1,'свод практик'!$D$6:$D$277,"суб/фед")</f>
        <v>0</v>
      </c>
      <c r="AW18" s="36">
        <f>COUNTIFS('свод практик'!$J$6:$J$277,'свод субъектов ИБ+смежные'!AW$1,'свод практик'!$D$6:$D$277,"суб/фед")</f>
        <v>2</v>
      </c>
      <c r="AX18" s="36">
        <f>COUNTIFS('свод практик'!$J$6:$J$277,'свод субъектов ИБ+смежные'!AX$1,'свод практик'!$D$6:$D$277,"суб/фед")</f>
        <v>2</v>
      </c>
      <c r="AY18" s="160">
        <f>COUNTIFS('свод практик'!$J$6:$J$277,'свод субъектов ИБ+смежные'!AY$1,'свод практик'!$D$6:$D$277,"суб/фед")</f>
        <v>0</v>
      </c>
      <c r="AZ18" s="36">
        <f>COUNTIFS('свод практик'!$J$6:$J$277,'свод субъектов ИБ+смежные'!AZ$1,'свод практик'!$D$6:$D$277,"суб/фед")</f>
        <v>0</v>
      </c>
      <c r="BA18" s="36">
        <f>COUNTIFS('свод практик'!$J$6:$J$277,'свод субъектов ИБ+смежные'!BA$1,'свод практик'!$D$6:$D$277,"суб/фед")</f>
        <v>1</v>
      </c>
      <c r="BB18" s="160">
        <f>COUNTIFS('свод практик'!$J$6:$J$277,'свод субъектов ИБ+смежные'!BB$1,'свод практик'!$D$6:$D$277,"суб/фед")</f>
        <v>0</v>
      </c>
      <c r="BC18" s="36">
        <f>COUNTIFS('свод практик'!$J$6:$J$277,'свод субъектов ИБ+смежные'!BC$1,'свод практик'!$D$6:$D$277,"суб/фед")</f>
        <v>0</v>
      </c>
      <c r="BD18" s="160">
        <f>COUNTIFS('свод практик'!$J$6:$J$277,'свод субъектов ИБ+смежные'!BD$1,'свод практик'!$D$6:$D$277,"суб/фед")</f>
        <v>0</v>
      </c>
      <c r="BE18" s="160">
        <f>COUNTIFS('свод практик'!$J$6:$J$277,'свод субъектов ИБ+смежные'!BE$1,'свод практик'!$D$6:$D$277,"суб/фед")</f>
        <v>0</v>
      </c>
      <c r="BF18" s="36">
        <f>COUNTIFS('свод практик'!$J$6:$J$277,'свод субъектов ИБ+смежные'!BF$1,'свод практик'!$D$6:$D$277,"суб/фед")</f>
        <v>0</v>
      </c>
      <c r="BG18" s="36">
        <f>COUNTIFS('свод практик'!$J$6:$J$277,'свод субъектов ИБ+смежные'!BG$1,'свод практик'!$D$6:$D$277,"суб/фед")</f>
        <v>0</v>
      </c>
      <c r="BH18" s="36">
        <f>COUNTIFS('свод практик'!$J$6:$J$277,'свод субъектов ИБ+смежные'!BH$1,'свод практик'!$D$6:$D$277,"суб/фед")</f>
        <v>0</v>
      </c>
      <c r="BI18" s="36">
        <f>COUNTIFS('свод практик'!$J$6:$J$277,'свод субъектов ИБ+смежные'!BI$1,'свод практик'!$D$6:$D$277,"суб/фед")</f>
        <v>0</v>
      </c>
      <c r="BJ18" s="36">
        <f>COUNTIFS('свод практик'!$J$6:$J$277,'свод субъектов ИБ+смежные'!BJ$1,'свод практик'!$D$6:$D$277,"суб/фед")</f>
        <v>2</v>
      </c>
      <c r="BK18" s="36">
        <f>COUNTIFS('свод практик'!$J$6:$J$277,'свод субъектов ИБ+смежные'!BK$1,'свод практик'!$D$6:$D$277,"суб/фед")</f>
        <v>0</v>
      </c>
      <c r="BL18" s="36">
        <f>COUNTIFS('свод практик'!$J$6:$J$277,'свод субъектов ИБ+смежные'!BL$1,'свод практик'!$D$6:$D$277,"суб/фед")</f>
        <v>0</v>
      </c>
      <c r="BM18" s="36">
        <f>COUNTIFS('свод практик'!$J$6:$J$277,'свод субъектов ИБ+смежные'!BM$1,'свод практик'!$D$6:$D$277,"суб/фед")</f>
        <v>0</v>
      </c>
      <c r="BN18" s="36">
        <f>COUNTIFS('свод практик'!$J$6:$J$277,'свод субъектов ИБ+смежные'!BN$1,'свод практик'!$D$6:$D$277,"суб/фед")</f>
        <v>1</v>
      </c>
      <c r="BO18" s="36">
        <f>COUNTIFS('свод практик'!$J$6:$J$277,'свод субъектов ИБ+смежные'!BO$1,'свод практик'!$D$6:$D$277,"суб/фед")</f>
        <v>1</v>
      </c>
      <c r="BP18" s="36">
        <f>COUNTIFS('свод практик'!$J$6:$J$277,'свод субъектов ИБ+смежные'!BP$1,'свод практик'!$D$6:$D$277,"суб/фед")</f>
        <v>0</v>
      </c>
      <c r="BQ18" s="36">
        <f>COUNTIFS('свод практик'!$J$6:$J$277,'свод субъектов ИБ+смежные'!BQ$1,'свод практик'!$D$6:$D$277,"суб/фед")</f>
        <v>0</v>
      </c>
      <c r="BR18" s="36">
        <f>COUNTIFS('свод практик'!$J$6:$J$277,'свод субъектов ИБ+смежные'!BR$1,'свод практик'!$D$6:$D$277,"суб/фед")</f>
        <v>0</v>
      </c>
      <c r="BS18" s="36">
        <f>COUNTIFS('свод практик'!$J$6:$J$277,'свод субъектов ИБ+смежные'!BS$1,'свод практик'!$D$6:$D$277,"суб/фед")</f>
        <v>0</v>
      </c>
      <c r="BT18" s="36">
        <f>COUNTIFS('свод практик'!$J$6:$J$277,'свод субъектов ИБ+смежные'!BT$1,'свод практик'!$D$6:$D$277,"суб/фед")</f>
        <v>2</v>
      </c>
      <c r="BU18" s="36">
        <f>COUNTIFS('свод практик'!$J$6:$J$277,'свод субъектов ИБ+смежные'!BU$1,'свод практик'!$D$6:$D$277,"суб/фед")</f>
        <v>0</v>
      </c>
      <c r="BV18" s="36">
        <f>COUNTIFS('свод практик'!$J$6:$J$277,'свод субъектов ИБ+смежные'!BV$1,'свод практик'!$D$6:$D$277,"суб/фед")</f>
        <v>0</v>
      </c>
      <c r="BW18" s="36">
        <f>COUNTIFS('свод практик'!$J$6:$J$277,'свод субъектов ИБ+смежные'!BW$1,'свод практик'!$D$6:$D$277,"суб/фед")</f>
        <v>0</v>
      </c>
      <c r="BX18" s="36">
        <f>COUNTIFS('свод практик'!$J$6:$J$277,'свод субъектов ИБ+смежные'!BX$1,'свод практик'!$D$6:$D$277,"суб/фед")</f>
        <v>0</v>
      </c>
      <c r="BY18" s="36">
        <f>COUNTIFS('свод практик'!$J$6:$J$277,'свод субъектов ИБ+смежные'!BY$1,'свод практик'!$D$6:$D$277,"суб/фед")</f>
        <v>0</v>
      </c>
      <c r="BZ18" s="36">
        <f>COUNTIFS('свод практик'!$J$6:$J$277,'свод субъектов ИБ+смежные'!BZ$1,'свод практик'!$D$6:$D$277,"суб/фед")</f>
        <v>2</v>
      </c>
      <c r="CA18" s="36">
        <f>COUNTIFS('свод практик'!$J$6:$J$277,'свод субъектов ИБ+смежные'!CA$1,'свод практик'!$D$6:$D$277,"суб/фед")</f>
        <v>0</v>
      </c>
      <c r="CB18" s="36">
        <f>COUNTIFS('свод практик'!$J$6:$J$277,'свод субъектов ИБ+смежные'!CB$1,'свод практик'!$D$6:$D$277,"суб/фед")</f>
        <v>0</v>
      </c>
      <c r="CC18" s="36">
        <f>COUNTIFS('свод практик'!$J$6:$J$277,'свод субъектов ИБ+смежные'!CC$1,'свод практик'!$D$6:$D$277,"суб/фед")</f>
        <v>0</v>
      </c>
      <c r="CD18" s="36">
        <f>COUNTIFS('свод практик'!$J$6:$J$277,'свод субъектов ИБ+смежные'!CD$1,'свод практик'!$D$6:$D$277,"суб/фед")</f>
        <v>0</v>
      </c>
      <c r="CE18" s="36">
        <f>COUNTIFS('свод практик'!$J$6:$J$277,'свод субъектов ИБ+смежные'!CE$1,'свод практик'!$D$6:$D$277,"суб/фед")</f>
        <v>1</v>
      </c>
      <c r="CF18" s="36">
        <f>COUNTIFS('свод практик'!$J$6:$J$277,'свод субъектов ИБ+смежные'!CF$1,'свод практик'!$D$6:$D$277,"суб/фед")</f>
        <v>0</v>
      </c>
      <c r="CG18" s="36">
        <f>COUNTIFS('свод практик'!$J$6:$J$277,'свод субъектов ИБ+смежные'!CG$1,'свод практик'!$D$6:$D$277,"суб/фед")</f>
        <v>0</v>
      </c>
      <c r="CH18" s="36">
        <f>COUNTIFS('свод практик'!$J$6:$J$277,'свод субъектов ИБ+смежные'!CH$1,'свод практик'!$D$6:$D$277,"суб/фед")</f>
        <v>0</v>
      </c>
      <c r="CI18" s="36">
        <f>COUNTIFS('свод практик'!$J$6:$J$277,'свод субъектов ИБ+смежные'!CI$1,'свод практик'!$D$6:$D$277,"суб/фед")</f>
        <v>0</v>
      </c>
      <c r="CJ18" s="36">
        <f>COUNTIFS('свод практик'!$J$6:$J$277,'свод субъектов ИБ+смежные'!CJ$1,'свод практик'!$D$6:$D$277,"суб/фед")</f>
        <v>0</v>
      </c>
      <c r="CK18" s="36">
        <f>COUNTIFS('свод практик'!$J$6:$J$277,'свод субъектов ИБ+смежные'!CK$1,'свод практик'!$D$6:$D$277,"суб/фед")</f>
        <v>2</v>
      </c>
      <c r="CL18" s="36">
        <f>COUNTIFS('свод практик'!$J$6:$J$277,'свод субъектов ИБ+смежные'!CL$1,'свод практик'!$D$6:$D$277,"суб/фед")</f>
        <v>0</v>
      </c>
      <c r="CM18" s="36">
        <f>COUNTIFS('свод практик'!$J$6:$J$277,'свод субъектов ИБ+смежные'!CM$1,'свод практик'!$D$6:$D$277,"суб/фед")</f>
        <v>0</v>
      </c>
      <c r="CN18" s="36">
        <f>COUNTIFS('свод практик'!$J$6:$J$277,'свод субъектов ИБ+смежные'!CN$1,'свод практик'!$D$6:$D$277,"суб/фед")</f>
        <v>1</v>
      </c>
      <c r="CO18" s="36">
        <f>COUNTIFS('свод практик'!$J$6:$J$277,'свод субъектов ИБ+смежные'!CO$1,'свод практик'!$D$6:$D$277,"суб/фед")</f>
        <v>0</v>
      </c>
      <c r="CP18" s="36">
        <f>COUNTIFS('свод практик'!$J$6:$J$277,'свод субъектов ИБ+смежные'!CP$1,'свод практик'!$D$6:$D$277,"суб/фед")</f>
        <v>2</v>
      </c>
      <c r="CQ18" s="36">
        <f>COUNTIFS('свод практик'!$J$6:$J$277,'свод субъектов ИБ+смежные'!CQ$1,'свод практик'!$D$6:$D$277,"суб/фед")</f>
        <v>0</v>
      </c>
      <c r="CR18" s="36">
        <f>COUNTIFS('свод практик'!$J$6:$J$277,'свод субъектов ИБ+смежные'!CR$1,'свод практик'!$D$6:$D$277,"суб/фед")</f>
        <v>0</v>
      </c>
      <c r="CS18" s="36">
        <f>COUNTIFS('свод практик'!$J$6:$J$277,'свод субъектов ИБ+смежные'!CS$1,'свод практик'!$D$6:$D$277,"суб/фед")</f>
        <v>0</v>
      </c>
      <c r="CT18" s="36">
        <f>COUNTIFS('свод практик'!$J$6:$J$277,'свод субъектов ИБ+смежные'!CT$1,'свод практик'!$D$6:$D$277,"суб/фед")</f>
        <v>0</v>
      </c>
      <c r="CU18" s="36">
        <f>COUNTIFS('свод практик'!$J$6:$J$277,'свод субъектов ИБ+смежные'!CU$1,'свод практик'!$D$6:$D$277,"суб/фед")</f>
        <v>0</v>
      </c>
      <c r="CV18" s="36">
        <f>COUNTIFS('свод практик'!$J$6:$J$277,'свод субъектов ИБ+смежные'!CV$1,'свод практик'!$D$6:$D$277,"суб/фед")</f>
        <v>1</v>
      </c>
    </row>
    <row r="19" spans="1:100" ht="14">
      <c r="A19" s="720" t="s">
        <v>4981</v>
      </c>
      <c r="B19" s="25" t="s">
        <v>4947</v>
      </c>
      <c r="C19" s="717" t="s">
        <v>4982</v>
      </c>
      <c r="D19" s="37" t="s">
        <v>4949</v>
      </c>
      <c r="E19" s="37">
        <v>13</v>
      </c>
      <c r="F19" s="38" t="s">
        <v>4983</v>
      </c>
      <c r="G19" s="57" t="s">
        <v>4984</v>
      </c>
      <c r="H19" s="40" t="s">
        <v>4985</v>
      </c>
      <c r="I19" s="55" t="s">
        <v>4986</v>
      </c>
      <c r="M19" s="36">
        <v>21</v>
      </c>
      <c r="N19" s="208" t="s">
        <v>5708</v>
      </c>
      <c r="O19" s="226" t="s">
        <v>5708</v>
      </c>
    </row>
    <row r="20" spans="1:100" ht="71" thickBot="1">
      <c r="A20" s="759"/>
      <c r="B20" s="26" t="s">
        <v>4947</v>
      </c>
      <c r="C20" s="719"/>
      <c r="D20" s="49" t="s">
        <v>4949</v>
      </c>
      <c r="E20" s="49">
        <v>14</v>
      </c>
      <c r="F20" s="59" t="s">
        <v>4987</v>
      </c>
      <c r="G20" s="60" t="s">
        <v>4988</v>
      </c>
      <c r="H20" s="52" t="s">
        <v>60</v>
      </c>
      <c r="I20" s="53" t="s">
        <v>4956</v>
      </c>
      <c r="M20" s="36">
        <v>0.24705882352941178</v>
      </c>
      <c r="N20" s="208" t="s">
        <v>5708</v>
      </c>
      <c r="O20" s="226" t="s">
        <v>5708</v>
      </c>
    </row>
    <row r="21" spans="1:100" ht="56">
      <c r="A21" s="10" t="s">
        <v>4989</v>
      </c>
      <c r="B21" s="11" t="s">
        <v>4990</v>
      </c>
      <c r="C21" s="61" t="s">
        <v>4991</v>
      </c>
      <c r="D21" s="37" t="s">
        <v>4949</v>
      </c>
      <c r="E21" s="37">
        <v>11</v>
      </c>
      <c r="F21" s="38" t="s">
        <v>4992</v>
      </c>
      <c r="G21" s="57" t="s">
        <v>4993</v>
      </c>
      <c r="H21" s="40" t="s">
        <v>57</v>
      </c>
      <c r="I21" s="62" t="s">
        <v>4994</v>
      </c>
      <c r="L21" s="36" t="s">
        <v>579</v>
      </c>
      <c r="M21" s="36" t="s">
        <v>5497</v>
      </c>
      <c r="N21" s="36" t="s">
        <v>5497</v>
      </c>
      <c r="O21" s="36" t="s">
        <v>5497</v>
      </c>
      <c r="P21" s="221">
        <f>'свод практик'!O6</f>
        <v>2018</v>
      </c>
      <c r="Q21" s="221">
        <f>'свод практик'!O7</f>
        <v>2017</v>
      </c>
      <c r="R21" s="221">
        <f>'свод практик'!O10</f>
        <v>2017</v>
      </c>
      <c r="S21" s="221">
        <f>'свод практик'!O11</f>
        <v>2018</v>
      </c>
      <c r="T21" s="221">
        <f>'свод практик'!O12</f>
        <v>1998</v>
      </c>
      <c r="U21" s="221">
        <f>'свод практик'!O14</f>
        <v>2019</v>
      </c>
      <c r="V21" s="221">
        <f>'свод практик'!O19</f>
        <v>2014</v>
      </c>
      <c r="W21" s="36">
        <f>'свод практик'!O27</f>
        <v>2018</v>
      </c>
      <c r="X21" s="221">
        <f>'свод практик'!O30</f>
        <v>2018</v>
      </c>
      <c r="Y21" s="221">
        <f>'свод практик'!O31</f>
        <v>2013</v>
      </c>
      <c r="Z21" s="221">
        <f>'свод практик'!O33</f>
        <v>2013</v>
      </c>
      <c r="AA21" s="221">
        <f>'свод практик'!O35</f>
        <v>2019</v>
      </c>
      <c r="AB21" s="221">
        <f>'свод практик'!O36</f>
        <v>2015</v>
      </c>
      <c r="AC21" s="221">
        <f>'свод практик'!O40</f>
        <v>2015</v>
      </c>
      <c r="AF21" s="221">
        <f>'свод практик'!O44</f>
        <v>2018</v>
      </c>
      <c r="AI21" s="221">
        <f>'свод практик'!O47</f>
        <v>2011</v>
      </c>
      <c r="AJ21" s="221">
        <f>'свод практик'!O49</f>
        <v>2019</v>
      </c>
      <c r="AK21" s="221">
        <f>'свод практик'!O51</f>
        <v>2011</v>
      </c>
      <c r="AL21" s="221">
        <f>'свод практик'!O52</f>
        <v>2019</v>
      </c>
      <c r="AM21" s="36">
        <f>'свод практик'!O53</f>
        <v>2017</v>
      </c>
      <c r="AP21" s="221">
        <f>'свод практик'!O60</f>
        <v>2014</v>
      </c>
      <c r="AQ21" s="221">
        <f>'свод практик'!O61</f>
        <v>2019</v>
      </c>
      <c r="AR21" s="221">
        <f>'свод практик'!O63</f>
        <v>2010</v>
      </c>
      <c r="AS21" s="36">
        <f>'свод практик'!O65</f>
        <v>2017</v>
      </c>
      <c r="AT21" s="221">
        <f>'свод практик'!O68</f>
        <v>2015</v>
      </c>
      <c r="AU21" s="221">
        <f>'свод практик'!O70</f>
        <v>2019</v>
      </c>
      <c r="AV21" s="221">
        <f>'свод практик'!O71</f>
        <v>2017</v>
      </c>
      <c r="AW21" s="221">
        <f>'свод практик'!O75</f>
        <v>2016</v>
      </c>
      <c r="AX21" s="221">
        <f>'свод практик'!O76</f>
        <v>2016</v>
      </c>
      <c r="AZ21" s="221">
        <f>'свод практик'!O81</f>
        <v>2013</v>
      </c>
      <c r="BA21" s="221">
        <f>'свод практик'!O84</f>
        <v>2015</v>
      </c>
      <c r="BC21" s="221">
        <f>'свод практик'!O86</f>
        <v>2015</v>
      </c>
      <c r="BF21" s="221">
        <f>'свод практик'!O90</f>
        <v>2018</v>
      </c>
      <c r="BG21" s="221">
        <f>'свод практик'!O91</f>
        <v>2017</v>
      </c>
      <c r="BH21" s="221">
        <f>'свод практик'!O92</f>
        <v>2017</v>
      </c>
      <c r="BI21" s="221">
        <f>'свод практик'!O93</f>
        <v>2013</v>
      </c>
      <c r="BJ21" s="221">
        <f>'свод практик'!O98</f>
        <v>2014</v>
      </c>
      <c r="BK21" s="221">
        <f>'свод практик'!O100</f>
        <v>2017</v>
      </c>
      <c r="BL21" s="221">
        <f>'свод практик'!O102</f>
        <v>2006</v>
      </c>
      <c r="BM21" s="221">
        <f>'свод практик'!O103</f>
        <v>2017</v>
      </c>
      <c r="BN21" s="221">
        <f>'свод практик'!O119</f>
        <v>2014</v>
      </c>
      <c r="BO21" s="221">
        <f>'свод практик'!O120</f>
        <v>2017</v>
      </c>
      <c r="BP21" s="221">
        <f>'свод практик'!O122</f>
        <v>2017</v>
      </c>
      <c r="BR21" s="221">
        <f>'свод практик'!O124</f>
        <v>2019</v>
      </c>
      <c r="BS21" s="221">
        <f>'свод практик'!O126</f>
        <v>2017</v>
      </c>
      <c r="BT21" s="221">
        <f>'свод практик'!O129</f>
        <v>2017</v>
      </c>
      <c r="BU21" s="221">
        <f>'свод практик'!O130</f>
        <v>2017</v>
      </c>
      <c r="BV21" s="221">
        <f>'свод практик'!O145</f>
        <v>2016</v>
      </c>
      <c r="BW21" s="221">
        <f>'свод практик'!O146</f>
        <v>2017</v>
      </c>
      <c r="BX21" s="221">
        <f>'свод практик'!O147</f>
        <v>2017</v>
      </c>
      <c r="BY21" s="221">
        <f>'свод практик'!O150</f>
        <v>2017</v>
      </c>
      <c r="BZ21" s="221">
        <f>'свод практик'!O153</f>
        <v>2017</v>
      </c>
      <c r="CC21" s="221">
        <f>'свод практик'!O159</f>
        <v>2018</v>
      </c>
      <c r="CD21" s="221">
        <f>'свод практик'!O160</f>
        <v>2007</v>
      </c>
      <c r="CE21" s="221">
        <f>'свод практик'!O163</f>
        <v>2012</v>
      </c>
      <c r="CF21" s="221">
        <f>'свод практик'!O166</f>
        <v>2010</v>
      </c>
      <c r="CG21" s="221">
        <f>'свод практик'!O168</f>
        <v>2013</v>
      </c>
      <c r="CH21" s="221">
        <f>'свод практик'!O169</f>
        <v>2018</v>
      </c>
      <c r="CI21" s="221">
        <f>'свод практик'!O170</f>
        <v>2013</v>
      </c>
      <c r="CK21" s="221">
        <f>'свод практик'!O172</f>
        <v>2017</v>
      </c>
      <c r="CL21" s="221">
        <f>'свод практик'!O174</f>
        <v>2019</v>
      </c>
      <c r="CM21" s="221">
        <f>'свод практик'!O180</f>
        <v>2015</v>
      </c>
      <c r="CN21" s="221">
        <f>'свод практик'!O209</f>
        <v>2014</v>
      </c>
      <c r="CP21" s="221">
        <f>'свод практик'!O212</f>
        <v>2014</v>
      </c>
      <c r="CQ21" s="221">
        <f>'свод практик'!O245</f>
        <v>2018</v>
      </c>
      <c r="CS21" s="221">
        <f>'свод практик'!O248</f>
        <v>2017</v>
      </c>
      <c r="CT21" s="221">
        <f>'свод практик'!O250</f>
        <v>2019</v>
      </c>
      <c r="CU21" s="221">
        <f>'свод практик'!O274</f>
        <v>2018</v>
      </c>
      <c r="CV21" s="221">
        <f>'свод практик'!O277</f>
        <v>2017</v>
      </c>
    </row>
    <row r="22" spans="1:100" ht="43" thickBot="1">
      <c r="A22" s="12" t="s">
        <v>4995</v>
      </c>
      <c r="B22" s="13" t="s">
        <v>4947</v>
      </c>
      <c r="C22" s="63" t="s">
        <v>4996</v>
      </c>
      <c r="D22" s="49" t="s">
        <v>4949</v>
      </c>
      <c r="E22" s="49">
        <v>12</v>
      </c>
      <c r="F22" s="59" t="s">
        <v>4997</v>
      </c>
      <c r="G22" s="60" t="s">
        <v>4998</v>
      </c>
      <c r="H22" s="52" t="s">
        <v>4999</v>
      </c>
      <c r="I22" s="53" t="s">
        <v>5000</v>
      </c>
      <c r="M22" s="232">
        <v>333.35210659223816</v>
      </c>
      <c r="N22" s="232">
        <v>343.51835528226104</v>
      </c>
      <c r="O22" s="233">
        <f>AVERAGE(P22:CV22)</f>
        <v>409.04981680155589</v>
      </c>
      <c r="P22" s="36">
        <f>SUMIFS('свод практик'!$R$6:$R$277,'свод практик'!$J$6:$J$277,'свод субъектов ИБ+смежные'!P$1)/'свод субъектов ИБ+смежные'!P$6</f>
        <v>278</v>
      </c>
      <c r="Q22" s="36">
        <f>SUMIFS('свод практик'!$R$6:$R$277,'свод практик'!$J$6:$J$277,'свод субъектов ИБ+смежные'!Q$1)/'свод субъектов ИБ+смежные'!Q$6</f>
        <v>393.33333333333331</v>
      </c>
      <c r="R22" s="36">
        <f>SUMIFS('свод практик'!$R$6:$R$277,'свод практик'!$J$6:$J$277,'свод субъектов ИБ+смежные'!R$1)/'свод субъектов ИБ+смежные'!R$6</f>
        <v>578</v>
      </c>
      <c r="S22" s="36">
        <f>SUMIFS('свод практик'!$R$6:$R$277,'свод практик'!$J$6:$J$277,'свод субъектов ИБ+смежные'!S$1)/'свод субъектов ИБ+смежные'!S$6</f>
        <v>548</v>
      </c>
      <c r="T22" s="36">
        <f>SUMIFS('свод практик'!$R$6:$R$277,'свод практик'!$J$6:$J$277,'свод субъектов ИБ+смежные'!T$1)/'свод субъектов ИБ+смежные'!T$6</f>
        <v>470.5</v>
      </c>
      <c r="U22" s="36">
        <f>SUMIFS('свод практик'!$R$6:$R$277,'свод практик'!$J$6:$J$277,'свод субъектов ИБ+смежные'!U$1)/'свод субъектов ИБ+смежные'!U$6</f>
        <v>232.5</v>
      </c>
      <c r="V22" s="36">
        <f>SUMIFS('свод практик'!$R$6:$R$277,'свод практик'!$J$6:$J$277,'свод субъектов ИБ+смежные'!V$1)/'свод субъектов ИБ+смежные'!V$6</f>
        <v>264.60000000000002</v>
      </c>
      <c r="W22" s="36">
        <f>SUMIFS('свод практик'!$R$6:$R$277,'свод практик'!$J$6:$J$277,'свод субъектов ИБ+смежные'!W$1)/'свод субъектов ИБ+смежные'!W$6</f>
        <v>172.75</v>
      </c>
      <c r="X22" s="36">
        <f>SUMIFS('свод практик'!$R$6:$R$277,'свод практик'!$J$6:$J$277,'свод субъектов ИБ+смежные'!X$1)/'свод субъектов ИБ+смежные'!X$6</f>
        <v>364</v>
      </c>
      <c r="Y22" s="36">
        <f>SUMIFS('свод практик'!$R$6:$R$277,'свод практик'!$J$6:$J$277,'свод субъектов ИБ+смежные'!Y$1)/'свод субъектов ИБ+смежные'!Y$6</f>
        <v>365</v>
      </c>
      <c r="Z22" s="36">
        <f>SUMIFS('свод практик'!$R$6:$R$277,'свод практик'!$J$6:$J$277,'свод субъектов ИБ+смежные'!Z$1)/'свод субъектов ИБ+смежные'!Z$6</f>
        <v>328.33333333333331</v>
      </c>
      <c r="AA22" s="36">
        <f>SUMIFS('свод практик'!$R$6:$R$277,'свод практик'!$J$6:$J$277,'свод субъектов ИБ+смежные'!AA$1)/'свод субъектов ИБ+смежные'!AA$6</f>
        <v>230</v>
      </c>
      <c r="AB22" s="36">
        <f>SUMIFS('свод практик'!$R$6:$R$277,'свод практик'!$J$6:$J$277,'свод субъектов ИБ+смежные'!AB$1)/'свод субъектов ИБ+смежные'!AB$6</f>
        <v>499.66666666666669</v>
      </c>
      <c r="AC22" s="36">
        <f>SUMIFS('свод практик'!$R$6:$R$277,'свод практик'!$J$6:$J$277,'свод субъектов ИБ+смежные'!AC$1)/'свод субъектов ИБ+смежные'!AC$6</f>
        <v>308.33333333333331</v>
      </c>
      <c r="AD22" s="36"/>
      <c r="AE22" s="36"/>
      <c r="AF22" s="36">
        <f>SUMIFS('свод практик'!$R$6:$R$277,'свод практик'!$J$6:$J$277,'свод субъектов ИБ+смежные'!AF$1)/'свод субъектов ИБ+смежные'!AF$6</f>
        <v>729</v>
      </c>
      <c r="AG22" s="36"/>
      <c r="AH22" s="36"/>
      <c r="AI22" s="36">
        <f>SUMIFS('свод практик'!$R$6:$R$277,'свод практик'!$J$6:$J$277,'свод субъектов ИБ+смежные'!AI$1)/'свод субъектов ИБ+смежные'!AI$6</f>
        <v>319</v>
      </c>
      <c r="AJ22" s="36">
        <f>SUMIFS('свод практик'!$R$6:$R$277,'свод практик'!$J$6:$J$277,'свод субъектов ИБ+смежные'!AJ$1)/'свод субъектов ИБ+смежные'!AJ$6</f>
        <v>183</v>
      </c>
      <c r="AK22" s="36">
        <f>SUMIFS('свод практик'!$R$6:$R$277,'свод практик'!$J$6:$J$277,'свод субъектов ИБ+смежные'!AK$1)/'свод субъектов ИБ+смежные'!AK$6</f>
        <v>364</v>
      </c>
      <c r="AL22" s="36">
        <f>SUMIFS('свод практик'!$R$6:$R$277,'свод практик'!$J$6:$J$277,'свод субъектов ИБ+смежные'!AL$1)/'свод субъектов ИБ+смежные'!AL$6</f>
        <v>356</v>
      </c>
      <c r="AM22" s="36">
        <f>SUMIFS('свод практик'!$R$6:$R$277,'свод практик'!$J$6:$J$277,'свод субъектов ИБ+смежные'!AM$1)/'свод субъектов ИБ+смежные'!AM$6</f>
        <v>394.75</v>
      </c>
      <c r="AN22" s="36"/>
      <c r="AO22" s="36"/>
      <c r="AP22" s="36">
        <f>SUMIFS('свод практик'!$R$6:$R$277,'свод практик'!$J$6:$J$277,'свод субъектов ИБ+смежные'!AP$1)/'свод субъектов ИБ+смежные'!AP$6</f>
        <v>317</v>
      </c>
      <c r="AQ22" s="36">
        <f>SUMIFS('свод практик'!$R$6:$R$277,'свод практик'!$J$6:$J$277,'свод субъектов ИБ+смежные'!AQ$1)/'свод субъектов ИБ+смежные'!AQ$6</f>
        <v>254</v>
      </c>
      <c r="AR22" s="36">
        <f>SUMIFS('свод практик'!$R$6:$R$277,'свод практик'!$J$6:$J$277,'свод субъектов ИБ+смежные'!AR$1)/'свод субъектов ИБ+смежные'!AR$6</f>
        <v>972</v>
      </c>
      <c r="AS22" s="36">
        <f>SUMIFS('свод практик'!$R$6:$R$277,'свод практик'!$J$6:$J$277,'свод субъектов ИБ+смежные'!AS$1)/'свод субъектов ИБ+смежные'!AS$6</f>
        <v>626</v>
      </c>
      <c r="AT22" s="36">
        <f>SUMIFS('свод практик'!$R$6:$R$277,'свод практик'!$J$6:$J$277,'свод субъектов ИБ+смежные'!AT$1)/'свод субъектов ИБ+смежные'!AT$6</f>
        <v>237.33333333333334</v>
      </c>
      <c r="AU22" s="36">
        <f>SUMIFS('свод практик'!$R$6:$R$277,'свод практик'!$J$6:$J$277,'свод субъектов ИБ+смежные'!AU$1)/'свод субъектов ИБ+смежные'!AU$6</f>
        <v>364</v>
      </c>
      <c r="AV22" s="36">
        <f>SUMIFS('свод практик'!$R$6:$R$277,'свод практик'!$J$6:$J$277,'свод субъектов ИБ+смежные'!AV$1)/'свод субъектов ИБ+смежные'!AV$6</f>
        <v>524</v>
      </c>
      <c r="AW22" s="36">
        <f>SUMIFS('свод практик'!$R$6:$R$277,'свод практик'!$J$6:$J$277,'свод субъектов ИБ+смежные'!AW$1)/'свод субъектов ИБ+смежные'!AW$6</f>
        <v>407.66666666666669</v>
      </c>
      <c r="AX22" s="36">
        <f>SUMIFS('свод практик'!$R$6:$R$277,'свод практик'!$J$6:$J$277,'свод субъектов ИБ+смежные'!AX$1)/'свод субъектов ИБ+смежные'!AX$6</f>
        <v>418.66666666666669</v>
      </c>
      <c r="AY22" s="36"/>
      <c r="AZ22" s="36">
        <f>SUMIFS('свод практик'!$R$6:$R$277,'свод практик'!$J$6:$J$277,'свод субъектов ИБ+смежные'!AZ$1)/'свод субъектов ИБ+смежные'!AZ$6</f>
        <v>440.66666666666669</v>
      </c>
      <c r="BA22" s="36">
        <f>SUMIFS('свод практик'!$R$6:$R$277,'свод практик'!$J$6:$J$277,'свод субъектов ИБ+смежные'!BA$1)/'свод субъектов ИБ+смежные'!BA$6</f>
        <v>339</v>
      </c>
      <c r="BB22" s="36"/>
      <c r="BC22" s="36">
        <f>SUMIFS('свод практик'!$R$6:$R$277,'свод практик'!$J$6:$J$277,'свод субъектов ИБ+смежные'!BC$1)/'свод субъектов ИБ+смежные'!BC$6</f>
        <v>273</v>
      </c>
      <c r="BD22" s="36"/>
      <c r="BE22" s="36"/>
      <c r="BF22" s="36">
        <f>SUMIFS('свод практик'!$R$6:$R$277,'свод практик'!$J$6:$J$277,'свод субъектов ИБ+смежные'!BF$1)/'свод субъектов ИБ+смежные'!BF$6</f>
        <v>211</v>
      </c>
      <c r="BG22" s="36">
        <f>SUMIFS('свод практик'!$R$6:$R$277,'свод практик'!$J$6:$J$277,'свод субъектов ИБ+смежные'!BG$1)/'свод субъектов ИБ+смежные'!BG$6</f>
        <v>364</v>
      </c>
      <c r="BH22" s="36">
        <f>SUMIFS('свод практик'!$R$6:$R$277,'свод практик'!$J$6:$J$277,'свод субъектов ИБ+смежные'!BH$1)/'свод субъектов ИБ+смежные'!BH$6</f>
        <v>350</v>
      </c>
      <c r="BI22" s="36">
        <f>SUMIFS('свод практик'!$R$6:$R$277,'свод практик'!$J$6:$J$277,'свод субъектов ИБ+смежные'!BI$1)/'свод субъектов ИБ+смежные'!BI$6</f>
        <v>286</v>
      </c>
      <c r="BJ22" s="36">
        <f>SUMIFS('свод практик'!$R$6:$R$277,'свод практик'!$J$6:$J$277,'свод субъектов ИБ+смежные'!BJ$1)/'свод субъектов ИБ+смежные'!BJ$6</f>
        <v>375.5</v>
      </c>
      <c r="BK22" s="36">
        <f>SUMIFS('свод практик'!$R$6:$R$277,'свод практик'!$J$6:$J$277,'свод субъектов ИБ+смежные'!BK$1)/'свод субъектов ИБ+смежные'!BK$6</f>
        <v>305</v>
      </c>
      <c r="BL22" s="36">
        <f>SUMIFS('свод практик'!$R$6:$R$277,'свод практик'!$J$6:$J$277,'свод субъектов ИБ+смежные'!BL$1)/'свод субъектов ИБ+смежные'!BL$6</f>
        <v>278</v>
      </c>
      <c r="BM22" s="36">
        <f>SUMIFS('свод практик'!$R$6:$R$277,'свод практик'!$J$6:$J$277,'свод субъектов ИБ+смежные'!BM$1)/'свод субъектов ИБ+смежные'!BM$6</f>
        <v>2494</v>
      </c>
      <c r="BN22" s="36">
        <f>SUMIFS('свод практик'!$R$6:$R$277,'свод практик'!$J$6:$J$277,'свод субъектов ИБ+смежные'!BN$1)/'свод субъектов ИБ+смежные'!BN$6</f>
        <v>182</v>
      </c>
      <c r="BO22" s="36">
        <f>SUMIFS('свод практик'!$R$6:$R$277,'свод практик'!$J$6:$J$277,'свод субъектов ИБ+смежные'!BO$1)/'свод субъектов ИБ+смежные'!BO$6</f>
        <v>300.5</v>
      </c>
      <c r="BP22" s="36">
        <f>SUMIFS('свод практик'!$R$6:$R$277,'свод практик'!$J$6:$J$277,'свод субъектов ИБ+смежные'!BP$1)/'свод субъектов ИБ+смежные'!BP$6</f>
        <v>486</v>
      </c>
      <c r="BQ22" s="36"/>
      <c r="BR22" s="36">
        <f>SUMIFS('свод практик'!$R$6:$R$277,'свод практик'!$J$6:$J$277,'свод субъектов ИБ+смежные'!BR$1)/'свод субъектов ИБ+смежные'!BR$6</f>
        <v>291</v>
      </c>
      <c r="BS22" s="36">
        <f>SUMIFS('свод практик'!$R$6:$R$277,'свод практик'!$J$6:$J$277,'свод субъектов ИБ+смежные'!BS$1)/'свод субъектов ИБ+смежные'!BS$6</f>
        <v>364</v>
      </c>
      <c r="BT22" s="36">
        <f>SUMIFS('свод практик'!$R$6:$R$277,'свод практик'!$J$6:$J$277,'свод субъектов ИБ+смежные'!BT$1)/'свод субъектов ИБ+смежные'!BT$6</f>
        <v>303</v>
      </c>
      <c r="BU22" s="36">
        <f>SUMIFS('свод практик'!$R$6:$R$277,'свод практик'!$J$6:$J$277,'свод субъектов ИБ+смежные'!BU$1)/'свод субъектов ИБ+смежные'!BU$6</f>
        <v>415.06666666666666</v>
      </c>
      <c r="BV22" s="36">
        <f>SUMIFS('свод практик'!$R$6:$R$277,'свод практик'!$J$6:$J$277,'свод субъектов ИБ+смежные'!BV$1)/'свод субъектов ИБ+смежные'!BV$6</f>
        <v>698</v>
      </c>
      <c r="BW22" s="36">
        <f>SUMIFS('свод практик'!$R$6:$R$277,'свод практик'!$J$6:$J$277,'свод субъектов ИБ+смежные'!BW$1)/'свод субъектов ИБ+смежные'!BW$6</f>
        <v>340</v>
      </c>
      <c r="BX22" s="36">
        <f>SUMIFS('свод практик'!$R$6:$R$277,'свод практик'!$J$6:$J$277,'свод субъектов ИБ+смежные'!BX$1)/'свод субъектов ИБ+смежные'!BX$6</f>
        <v>364</v>
      </c>
      <c r="BY22" s="36">
        <f>SUMIFS('свод практик'!$R$6:$R$277,'свод практик'!$J$6:$J$277,'свод субъектов ИБ+смежные'!BY$1)/'свод субъектов ИБ+смежные'!BY$6</f>
        <v>699.33333333333337</v>
      </c>
      <c r="BZ22" s="36">
        <f>SUMIFS('свод практик'!$R$6:$R$277,'свод практик'!$J$6:$J$277,'свод субъектов ИБ+смежные'!BZ$1)/'свод субъектов ИБ+смежные'!BZ$6</f>
        <v>370</v>
      </c>
      <c r="CA22" s="36"/>
      <c r="CB22" s="36"/>
      <c r="CC22" s="36">
        <f>SUMIFS('свод практик'!$R$6:$R$277,'свод практик'!$J$6:$J$277,'свод субъектов ИБ+смежные'!CC$1)/'свод субъектов ИБ+смежные'!CC$6</f>
        <v>244</v>
      </c>
      <c r="CD22" s="36">
        <f>SUMIFS('свод практик'!$R$6:$R$277,'свод практик'!$J$6:$J$277,'свод субъектов ИБ+смежные'!CD$1)/'свод субъектов ИБ+смежные'!CD$6</f>
        <v>425.33333333333331</v>
      </c>
      <c r="CE22" s="36">
        <f>SUMIFS('свод практик'!$R$6:$R$277,'свод практик'!$J$6:$J$277,'свод субъектов ИБ+смежные'!CE$1)/'свод субъектов ИБ+смежные'!CE$6</f>
        <v>252.5</v>
      </c>
      <c r="CF22" s="36">
        <f>SUMIFS('свод практик'!$R$6:$R$277,'свод практик'!$J$6:$J$277,'свод субъектов ИБ+смежные'!CF$1)/'свод субъектов ИБ+смежные'!CF$6</f>
        <v>835.66666666666663</v>
      </c>
      <c r="CG22" s="36">
        <f>SUMIFS('свод практик'!$R$6:$R$277,'свод практик'!$J$6:$J$277,'свод субъектов ИБ+смежные'!CG$1)/'свод субъектов ИБ+смежные'!CG$6</f>
        <v>456</v>
      </c>
      <c r="CH22" s="36">
        <f>SUMIFS('свод практик'!$R$6:$R$277,'свод практик'!$J$6:$J$277,'свод субъектов ИБ+смежные'!CH$1)/'свод субъектов ИБ+смежные'!CH$6</f>
        <v>467</v>
      </c>
      <c r="CI22" s="36">
        <f>SUMIFS('свод практик'!$R$6:$R$277,'свод практик'!$J$6:$J$277,'свод субъектов ИБ+смежные'!CI$1)/'свод субъектов ИБ+смежные'!CI$6</f>
        <v>417</v>
      </c>
      <c r="CJ22" s="36"/>
      <c r="CK22" s="36">
        <f>SUMIFS('свод практик'!$R$6:$R$277,'свод практик'!$J$6:$J$277,'свод субъектов ИБ+смежные'!CK$1)/'свод субъектов ИБ+смежные'!CK$6</f>
        <v>357</v>
      </c>
      <c r="CL22" s="36">
        <f>SUMIFS('свод практик'!$R$6:$R$277,'свод практик'!$J$6:$J$277,'свод субъектов ИБ+смежные'!CL$1)/'свод субъектов ИБ+смежные'!CL$6</f>
        <v>237.83333333333334</v>
      </c>
      <c r="CM22" s="36">
        <f>SUMIFS('свод практик'!$R$6:$R$277,'свод практик'!$J$6:$J$277,'свод субъектов ИБ+смежные'!CM$1)/'свод субъектов ИБ+смежные'!CM$6</f>
        <v>288.67857142857144</v>
      </c>
      <c r="CN22" s="36">
        <f>SUMIFS('свод практик'!$R$6:$R$277,'свод практик'!$J$6:$J$277,'свод субъектов ИБ+смежные'!CN$1)/'свод субъектов ИБ+смежные'!CN$6</f>
        <v>211.5</v>
      </c>
      <c r="CO22" s="36"/>
      <c r="CP22" s="36">
        <f>SUMIFS('свод практик'!$R$6:$R$277,'свод практик'!$J$6:$J$277,'свод субъектов ИБ+смежные'!CP$1)/'свод субъектов ИБ+смежные'!CP$6</f>
        <v>239.54545454545453</v>
      </c>
      <c r="CQ22" s="36">
        <f>SUMIFS('свод практик'!$R$6:$R$277,'свод практик'!$J$6:$J$277,'свод субъектов ИБ+смежные'!CQ$1)/'свод субъектов ИБ+смежные'!CQ$6</f>
        <v>541.5</v>
      </c>
      <c r="CR22" s="36"/>
      <c r="CS22" s="36">
        <f>SUMIFS('свод практик'!$R$6:$R$277,'свод практик'!$J$6:$J$277,'свод субъектов ИБ+смежные'!CS$1)/'свод субъектов ИБ+смежные'!CS$6</f>
        <v>272.5</v>
      </c>
      <c r="CT22" s="36">
        <f>SUMIFS('свод практик'!$R$6:$R$277,'свод практик'!$J$6:$J$277,'свод субъектов ИБ+смежные'!CT$1)/'свод субъектов ИБ+смежные'!CT$6</f>
        <v>356</v>
      </c>
      <c r="CU22" s="36">
        <f>SUMIFS('свод практик'!$R$6:$R$277,'свод практик'!$J$6:$J$277,'свод субъектов ИБ+смежные'!CU$1)/'свод субъектов ИБ+смежные'!CU$6</f>
        <v>242.88</v>
      </c>
      <c r="CV22" s="36">
        <f>SUMIFS('свод практик'!$R$6:$R$277,'свод практик'!$J$6:$J$277,'свод субъектов ИБ+смежные'!CV$1)/'свод субъектов ИБ+смежные'!CV$6</f>
        <v>351</v>
      </c>
    </row>
    <row r="23" spans="1:100" ht="15" thickBot="1">
      <c r="A23" s="736" t="s">
        <v>5001</v>
      </c>
      <c r="B23" s="715" t="s">
        <v>4990</v>
      </c>
      <c r="C23" s="739" t="s">
        <v>5002</v>
      </c>
      <c r="D23" s="37" t="s">
        <v>4949</v>
      </c>
      <c r="E23" s="37">
        <v>15</v>
      </c>
      <c r="F23" s="38" t="s">
        <v>5003</v>
      </c>
      <c r="G23" s="57" t="s">
        <v>5251</v>
      </c>
      <c r="H23" s="40" t="s">
        <v>63</v>
      </c>
      <c r="I23" s="53" t="s">
        <v>5004</v>
      </c>
      <c r="M23" s="36">
        <v>20</v>
      </c>
      <c r="N23" s="36">
        <v>14</v>
      </c>
      <c r="O23" s="224">
        <f>COUNTIF(P23:CV23,"да")</f>
        <v>20</v>
      </c>
      <c r="P23" s="36" t="str">
        <f>'свод практик'!DC6</f>
        <v>нет</v>
      </c>
      <c r="Q23" s="36" t="str">
        <f>'свод практик'!DC9</f>
        <v>нет</v>
      </c>
      <c r="R23" s="36" t="str">
        <f>'свод практик'!DC10</f>
        <v>да</v>
      </c>
      <c r="S23" s="36" t="str">
        <f>'свод практик'!DC11</f>
        <v>нет</v>
      </c>
      <c r="T23" s="36" t="str">
        <f>'свод практик'!DC13</f>
        <v>да</v>
      </c>
      <c r="U23" s="36" t="str">
        <f>'свод практик'!DC15</f>
        <v>нет</v>
      </c>
      <c r="V23" s="36" t="str">
        <f>'свод практик'!DC16</f>
        <v>да</v>
      </c>
      <c r="W23" s="36" t="str">
        <f>'свод практик'!DC29</f>
        <v>нет</v>
      </c>
      <c r="X23" s="36" t="str">
        <f>'свод практик'!DC30</f>
        <v>нет</v>
      </c>
      <c r="Y23" s="36" t="str">
        <f>'свод практик'!DC31</f>
        <v>да</v>
      </c>
      <c r="Z23" s="36" t="str">
        <f>'свод практик'!DC32</f>
        <v>нет</v>
      </c>
      <c r="AA23" s="36" t="str">
        <f>'свод практик'!DC35</f>
        <v>да</v>
      </c>
      <c r="AB23" s="36">
        <f>'свод практик'!DV37</f>
        <v>0</v>
      </c>
      <c r="AC23" s="36" t="str">
        <f>'свод практик'!DC40</f>
        <v>да</v>
      </c>
      <c r="AF23" s="36" t="str">
        <f>'свод практик'!DC44</f>
        <v>нет</v>
      </c>
      <c r="AI23" s="36">
        <f>'свод практик'!DC47</f>
        <v>0</v>
      </c>
      <c r="AJ23" s="36" t="str">
        <f>'свод практик'!DC49</f>
        <v>нет</v>
      </c>
      <c r="AK23" s="36" t="str">
        <f>'свод практик'!DC50</f>
        <v>нет</v>
      </c>
      <c r="AL23" s="36" t="str">
        <f>'свод практик'!DC52</f>
        <v>нет</v>
      </c>
      <c r="AM23" s="36" t="str">
        <f>'свод практик'!DC56</f>
        <v>нет</v>
      </c>
      <c r="AP23" s="36" t="str">
        <f>'свод практик'!DC59</f>
        <v>нет</v>
      </c>
      <c r="AQ23" s="36" t="str">
        <f>'свод практик'!DC61</f>
        <v>нет</v>
      </c>
      <c r="AR23" s="36" t="str">
        <f>'свод практик'!DC62</f>
        <v>нет</v>
      </c>
      <c r="AS23" s="36" t="str">
        <f>'свод практик'!DC65</f>
        <v>да</v>
      </c>
      <c r="AT23" s="36" t="str">
        <f>'свод практик'!DC66</f>
        <v>нет</v>
      </c>
      <c r="AU23" s="36" t="str">
        <f>'свод практик'!DC70</f>
        <v>нет</v>
      </c>
      <c r="AV23" s="36" t="str">
        <f>'свод практик'!DC71</f>
        <v>да</v>
      </c>
      <c r="AW23" s="36" t="str">
        <f>'свод практик'!DC75</f>
        <v>нет</v>
      </c>
      <c r="AX23" s="36" t="str">
        <f>'свод практик'!DC78</f>
        <v>нет</v>
      </c>
      <c r="AZ23" s="36" t="str">
        <f>'свод практик'!DC81</f>
        <v>нет</v>
      </c>
      <c r="BA23" s="36" t="str">
        <f>'свод практик'!DC84</f>
        <v>нет</v>
      </c>
      <c r="BC23" s="36" t="str">
        <f>'свод практик'!DC86</f>
        <v>нет</v>
      </c>
      <c r="BF23" s="36" t="str">
        <f>'свод практик'!DC90</f>
        <v>Нет</v>
      </c>
      <c r="BG23" s="36" t="str">
        <f>'свод практик'!DC91</f>
        <v>нет</v>
      </c>
      <c r="BH23" s="36" t="str">
        <f>'свод практик'!DC92</f>
        <v>Нет</v>
      </c>
      <c r="BI23" s="36" t="str">
        <f>'свод практик'!DC93</f>
        <v>нет</v>
      </c>
      <c r="BJ23" s="36" t="str">
        <f>'свод практик'!DC95</f>
        <v>да</v>
      </c>
      <c r="BK23" s="36" t="str">
        <f>'свод практик'!DC100</f>
        <v>да</v>
      </c>
      <c r="BL23" s="36" t="str">
        <f>'свод практик'!DC102</f>
        <v>нет</v>
      </c>
      <c r="BM23" s="36" t="str">
        <f>'свод практик'!DC103</f>
        <v>да</v>
      </c>
      <c r="BN23" s="36" t="str">
        <f>'свод практик'!DC118</f>
        <v>да</v>
      </c>
      <c r="BO23" s="36" t="str">
        <f>'свод практик'!DC121</f>
        <v>нет</v>
      </c>
      <c r="BP23" s="36" t="str">
        <f>'свод практик'!DC122</f>
        <v>нет</v>
      </c>
      <c r="BR23" s="36" t="str">
        <f>'свод практик'!DC124</f>
        <v>нет</v>
      </c>
      <c r="BS23" s="36">
        <f>'свод практик'!DC125</f>
        <v>0</v>
      </c>
      <c r="BT23" s="36" t="str">
        <f>'свод практик'!DC128</f>
        <v>нет</v>
      </c>
      <c r="BU23" s="36" t="str">
        <f>'свод практик'!DC140</f>
        <v>да</v>
      </c>
      <c r="BV23" s="36" t="str">
        <f>'свод практик'!DC145</f>
        <v>да</v>
      </c>
      <c r="BW23" s="36" t="str">
        <f>'свод практик'!DC146</f>
        <v>нет</v>
      </c>
      <c r="BX23" s="36">
        <f>'свод практик'!DC147</f>
        <v>0</v>
      </c>
      <c r="BY23" s="36" t="str">
        <f>'свод практик'!DC150</f>
        <v>нет</v>
      </c>
      <c r="BZ23" s="36" t="str">
        <f>'свод практик'!DC156</f>
        <v>да</v>
      </c>
      <c r="CC23" s="36" t="str">
        <f>'свод практик'!DC159</f>
        <v>нет</v>
      </c>
      <c r="CD23" s="36" t="str">
        <f>'свод практик'!DC160</f>
        <v>да</v>
      </c>
      <c r="CE23" s="36" t="str">
        <f>'свод практик'!DC163</f>
        <v>нет</v>
      </c>
      <c r="CF23" s="36" t="str">
        <f>'свод практик'!DC166</f>
        <v>нет</v>
      </c>
      <c r="CG23" s="36" t="str">
        <f>'свод практик'!DC168</f>
        <v>нет</v>
      </c>
      <c r="CH23" s="36" t="str">
        <f>'свод практик'!DC169</f>
        <v>нет</v>
      </c>
      <c r="CI23" s="36" t="str">
        <f>'свод практик'!DC170</f>
        <v>нет</v>
      </c>
      <c r="CK23" s="36" t="str">
        <f>'свод практик'!DC172</f>
        <v>нет</v>
      </c>
      <c r="CL23" s="36" t="str">
        <f>'свод практик'!DC174</f>
        <v>да</v>
      </c>
      <c r="CM23" s="36" t="str">
        <f>'свод практик'!DC180</f>
        <v>нет</v>
      </c>
      <c r="CN23" s="36" t="str">
        <f>'свод практик'!DC208</f>
        <v>да</v>
      </c>
      <c r="CP23" s="36" t="str">
        <f>'свод практик'!DC212</f>
        <v>нет</v>
      </c>
      <c r="CQ23" s="36" t="str">
        <f>'свод практик'!DC245</f>
        <v>нет</v>
      </c>
      <c r="CS23" s="36">
        <f>'свод практик'!DC248</f>
        <v>0</v>
      </c>
      <c r="CT23" s="36" t="str">
        <f>'свод практик'!DC250</f>
        <v>нет</v>
      </c>
      <c r="CU23" s="36" t="str">
        <f>'свод практик'!DC252</f>
        <v>да</v>
      </c>
      <c r="CV23" s="36" t="str">
        <f>'свод практик'!DC277</f>
        <v>да</v>
      </c>
    </row>
    <row r="24" spans="1:100" ht="70">
      <c r="A24" s="737"/>
      <c r="B24" s="760"/>
      <c r="C24" s="740"/>
      <c r="D24" s="42" t="s">
        <v>4949</v>
      </c>
      <c r="E24" s="42">
        <v>16</v>
      </c>
      <c r="F24" s="43" t="s">
        <v>5005</v>
      </c>
      <c r="G24" s="58" t="s">
        <v>5006</v>
      </c>
      <c r="H24" s="45" t="s">
        <v>5007</v>
      </c>
      <c r="I24" s="46" t="s">
        <v>4961</v>
      </c>
      <c r="M24" s="36">
        <v>189</v>
      </c>
      <c r="N24" s="36">
        <v>168</v>
      </c>
      <c r="O24" s="224">
        <f>SUM(P24:CV24)</f>
        <v>390</v>
      </c>
      <c r="P24" s="36">
        <f>SUMIFS('свод практик'!$DF$6:$DF$277,'свод практик'!$J$6:$J$277,'свод субъектов ИБ+смежные'!P$1)</f>
        <v>0</v>
      </c>
      <c r="Q24" s="36">
        <f>SUMIFS('свод практик'!$DF$6:$DF$277,'свод практик'!$J$6:$J$277,'свод субъектов ИБ+смежные'!Q$1)</f>
        <v>0</v>
      </c>
      <c r="R24" s="36">
        <f>SUMIFS('свод практик'!$DF$6:$DF$277,'свод практик'!$J$6:$J$277,'свод субъектов ИБ+смежные'!R$1)</f>
        <v>5</v>
      </c>
      <c r="S24" s="36">
        <f>SUMIFS('свод практик'!$DF$6:$DF$277,'свод практик'!$J$6:$J$277,'свод субъектов ИБ+смежные'!S$1)</f>
        <v>0</v>
      </c>
      <c r="T24" s="36">
        <f>SUMIFS('свод практик'!$DF$6:$DF$277,'свод практик'!$J$6:$J$277,'свод субъектов ИБ+смежные'!T$1)</f>
        <v>6</v>
      </c>
      <c r="U24" s="36">
        <f>SUMIFS('свод практик'!$DF$6:$DF$277,'свод практик'!$J$6:$J$277,'свод субъектов ИБ+смежные'!U$1)</f>
        <v>0</v>
      </c>
      <c r="V24" s="36">
        <f>SUMIFS('свод практик'!$DF$6:$DF$277,'свод практик'!$J$6:$J$277,'свод субъектов ИБ+смежные'!V$1)</f>
        <v>29</v>
      </c>
      <c r="W24" s="36">
        <f>SUMIFS('свод практик'!$DF$6:$DF$277,'свод практик'!$J$6:$J$277,'свод субъектов ИБ+смежные'!W$1)</f>
        <v>0</v>
      </c>
      <c r="X24" s="36">
        <f>SUMIFS('свод практик'!$DF$6:$DF$277,'свод практик'!$J$6:$J$277,'свод субъектов ИБ+смежные'!X$1)</f>
        <v>0</v>
      </c>
      <c r="Y24" s="36">
        <f>SUMIFS('свод практик'!$DF$6:$DF$277,'свод практик'!$J$6:$J$277,'свод субъектов ИБ+смежные'!Y$1)</f>
        <v>7</v>
      </c>
      <c r="Z24" s="36">
        <f>SUMIFS('свод практик'!$DF$6:$DF$277,'свод практик'!$J$6:$J$277,'свод субъектов ИБ+смежные'!Z$1)</f>
        <v>0</v>
      </c>
      <c r="AA24" s="36">
        <f>SUMIFS('свод практик'!$DF$6:$DF$277,'свод практик'!$J$6:$J$277,'свод субъектов ИБ+смежные'!AA$1)</f>
        <v>20</v>
      </c>
      <c r="AB24" s="36">
        <f>SUMIFS('свод практик'!$DF$6:$DF$277,'свод практик'!$J$6:$J$277,'свод субъектов ИБ+смежные'!AB$1)</f>
        <v>0</v>
      </c>
      <c r="AC24" s="36">
        <f>SUMIFS('свод практик'!$DF$6:$DF$277,'свод практик'!$J$6:$J$277,'свод субъектов ИБ+смежные'!AC$1)</f>
        <v>7</v>
      </c>
      <c r="AD24" s="36">
        <f>SUMIFS('свод практик'!$DF$6:$DF$277,'свод практик'!$J$6:$J$277,'свод субъектов ИБ+смежные'!AD$1)</f>
        <v>0</v>
      </c>
      <c r="AE24" s="36">
        <f>SUMIFS('свод практик'!$DF$6:$DF$277,'свод практик'!$J$6:$J$277,'свод субъектов ИБ+смежные'!AE$1)</f>
        <v>0</v>
      </c>
      <c r="AF24" s="36">
        <f>SUMIFS('свод практик'!$DF$6:$DF$277,'свод практик'!$J$6:$J$277,'свод субъектов ИБ+смежные'!AF$1)</f>
        <v>0</v>
      </c>
      <c r="AG24" s="36">
        <f>SUMIFS('свод практик'!$DF$6:$DF$277,'свод практик'!$J$6:$J$277,'свод субъектов ИБ+смежные'!AG$1)</f>
        <v>0</v>
      </c>
      <c r="AH24" s="36">
        <f>SUMIFS('свод практик'!$DF$6:$DF$277,'свод практик'!$J$6:$J$277,'свод субъектов ИБ+смежные'!AH$1)</f>
        <v>0</v>
      </c>
      <c r="AI24" s="36">
        <f>SUMIFS('свод практик'!$DF$6:$DF$277,'свод практик'!$J$6:$J$277,'свод субъектов ИБ+смежные'!AI$1)</f>
        <v>0</v>
      </c>
      <c r="AJ24" s="36">
        <f>SUMIFS('свод практик'!$DF$6:$DF$277,'свод практик'!$J$6:$J$277,'свод субъектов ИБ+смежные'!AJ$1)</f>
        <v>0</v>
      </c>
      <c r="AK24" s="36">
        <f>SUMIFS('свод практик'!$DF$6:$DF$277,'свод практик'!$J$6:$J$277,'свод субъектов ИБ+смежные'!AK$1)</f>
        <v>0</v>
      </c>
      <c r="AL24" s="36">
        <f>SUMIFS('свод практик'!$DF$6:$DF$277,'свод практик'!$J$6:$J$277,'свод субъектов ИБ+смежные'!AL$1)</f>
        <v>0</v>
      </c>
      <c r="AM24" s="36">
        <f>SUMIFS('свод практик'!$DF$6:$DF$277,'свод практик'!$J$6:$J$277,'свод субъектов ИБ+смежные'!AM$1)</f>
        <v>0</v>
      </c>
      <c r="AN24" s="36">
        <f>SUMIFS('свод практик'!$DF$6:$DF$277,'свод практик'!$J$6:$J$277,'свод субъектов ИБ+смежные'!AN$1)</f>
        <v>0</v>
      </c>
      <c r="AO24" s="36">
        <f>SUMIFS('свод практик'!$DF$6:$DF$277,'свод практик'!$J$6:$J$277,'свод субъектов ИБ+смежные'!AO$1)</f>
        <v>0</v>
      </c>
      <c r="AP24" s="36">
        <f>SUMIFS('свод практик'!$DF$6:$DF$277,'свод практик'!$J$6:$J$277,'свод субъектов ИБ+смежные'!AP$1)</f>
        <v>0</v>
      </c>
      <c r="AQ24" s="36">
        <f>SUMIFS('свод практик'!$DF$6:$DF$277,'свод практик'!$J$6:$J$277,'свод субъектов ИБ+смежные'!AQ$1)</f>
        <v>0</v>
      </c>
      <c r="AR24" s="36">
        <f>SUMIFS('свод практик'!$DF$6:$DF$277,'свод практик'!$J$6:$J$277,'свод субъектов ИБ+смежные'!AR$1)</f>
        <v>0</v>
      </c>
      <c r="AS24" s="36">
        <f>SUMIFS('свод практик'!$DF$6:$DF$277,'свод практик'!$J$6:$J$277,'свод субъектов ИБ+смежные'!AS$1)</f>
        <v>4</v>
      </c>
      <c r="AT24" s="36">
        <f>SUMIFS('свод практик'!$DF$6:$DF$277,'свод практик'!$J$6:$J$277,'свод субъектов ИБ+смежные'!AT$1)</f>
        <v>0</v>
      </c>
      <c r="AU24" s="36">
        <f>SUMIFS('свод практик'!$DF$6:$DF$277,'свод практик'!$J$6:$J$277,'свод субъектов ИБ+смежные'!AU$1)</f>
        <v>0</v>
      </c>
      <c r="AV24" s="36">
        <f>SUMIFS('свод практик'!$DF$6:$DF$277,'свод практик'!$J$6:$J$277,'свод субъектов ИБ+смежные'!AV$1)</f>
        <v>8</v>
      </c>
      <c r="AW24" s="36">
        <f>SUMIFS('свод практик'!$DF$6:$DF$277,'свод практик'!$J$6:$J$277,'свод субъектов ИБ+смежные'!AW$1)</f>
        <v>0</v>
      </c>
      <c r="AX24" s="36">
        <f>SUMIFS('свод практик'!$DF$6:$DF$277,'свод практик'!$J$6:$J$277,'свод субъектов ИБ+смежные'!AX$1)</f>
        <v>0</v>
      </c>
      <c r="AY24" s="36">
        <f>SUMIFS('свод практик'!$DF$6:$DF$277,'свод практик'!$J$6:$J$277,'свод субъектов ИБ+смежные'!AY$1)</f>
        <v>0</v>
      </c>
      <c r="AZ24" s="36">
        <f>SUMIFS('свод практик'!$DF$6:$DF$277,'свод практик'!$J$6:$J$277,'свод субъектов ИБ+смежные'!AZ$1)</f>
        <v>0</v>
      </c>
      <c r="BA24" s="36">
        <f>SUMIFS('свод практик'!$DF$6:$DF$277,'свод практик'!$J$6:$J$277,'свод субъектов ИБ+смежные'!BA$1)</f>
        <v>5</v>
      </c>
      <c r="BB24" s="36">
        <f>SUMIFS('свод практик'!$DF$6:$DF$277,'свод практик'!$J$6:$J$277,'свод субъектов ИБ+смежные'!BB$1)</f>
        <v>0</v>
      </c>
      <c r="BC24" s="36">
        <f>SUMIFS('свод практик'!$DF$6:$DF$277,'свод практик'!$J$6:$J$277,'свод субъектов ИБ+смежные'!BC$1)</f>
        <v>0</v>
      </c>
      <c r="BD24" s="36">
        <f>SUMIFS('свод практик'!$DF$6:$DF$277,'свод практик'!$J$6:$J$277,'свод субъектов ИБ+смежные'!BD$1)</f>
        <v>0</v>
      </c>
      <c r="BE24" s="36">
        <f>SUMIFS('свод практик'!$DF$6:$DF$277,'свод практик'!$J$6:$J$277,'свод субъектов ИБ+смежные'!BE$1)</f>
        <v>0</v>
      </c>
      <c r="BF24" s="36">
        <f>SUMIFS('свод практик'!$DF$6:$DF$277,'свод практик'!$J$6:$J$277,'свод субъектов ИБ+смежные'!BF$1)</f>
        <v>0</v>
      </c>
      <c r="BG24" s="36">
        <f>SUMIFS('свод практик'!$DF$6:$DF$277,'свод практик'!$J$6:$J$277,'свод субъектов ИБ+смежные'!BG$1)</f>
        <v>0</v>
      </c>
      <c r="BH24" s="36">
        <f>SUMIFS('свод практик'!$DF$6:$DF$277,'свод практик'!$J$6:$J$277,'свод субъектов ИБ+смежные'!BH$1)</f>
        <v>0</v>
      </c>
      <c r="BI24" s="36">
        <f>SUMIFS('свод практик'!$DF$6:$DF$277,'свод практик'!$J$6:$J$277,'свод субъектов ИБ+смежные'!BI$1)</f>
        <v>0</v>
      </c>
      <c r="BJ24" s="36">
        <f>SUMIFS('свод практик'!$DF$6:$DF$277,'свод практик'!$J$6:$J$277,'свод субъектов ИБ+смежные'!BJ$1)</f>
        <v>15</v>
      </c>
      <c r="BK24" s="36">
        <f>SUMIFS('свод практик'!$DF$6:$DF$277,'свод практик'!$J$6:$J$277,'свод субъектов ИБ+смежные'!BK$1)</f>
        <v>4</v>
      </c>
      <c r="BL24" s="36">
        <f>SUMIFS('свод практик'!$DF$6:$DF$277,'свод практик'!$J$6:$J$277,'свод субъектов ИБ+смежные'!BL$1)</f>
        <v>0</v>
      </c>
      <c r="BM24" s="36">
        <f>SUMIFS('свод практик'!$DF$6:$DF$277,'свод практик'!$J$6:$J$277,'свод субъектов ИБ+смежные'!BM$1)</f>
        <v>10</v>
      </c>
      <c r="BN24" s="36">
        <f>SUMIFS('свод практик'!$DF$6:$DF$277,'свод практик'!$J$6:$J$277,'свод субъектов ИБ+смежные'!BN$1)</f>
        <v>3</v>
      </c>
      <c r="BO24" s="36">
        <f>SUMIFS('свод практик'!$DF$6:$DF$277,'свод практик'!$J$6:$J$277,'свод субъектов ИБ+смежные'!BO$1)</f>
        <v>0</v>
      </c>
      <c r="BP24" s="36">
        <f>SUMIFS('свод практик'!$DF$6:$DF$277,'свод практик'!$J$6:$J$277,'свод субъектов ИБ+смежные'!BP$1)</f>
        <v>0</v>
      </c>
      <c r="BQ24" s="36">
        <f>SUMIFS('свод практик'!$DF$6:$DF$277,'свод практик'!$J$6:$J$277,'свод субъектов ИБ+смежные'!BQ$1)</f>
        <v>0</v>
      </c>
      <c r="BR24" s="36">
        <f>SUMIFS('свод практик'!$DF$6:$DF$277,'свод практик'!$J$6:$J$277,'свод субъектов ИБ+смежные'!BR$1)</f>
        <v>0</v>
      </c>
      <c r="BS24" s="36">
        <f>SUMIFS('свод практик'!$DF$6:$DF$277,'свод практик'!$J$6:$J$277,'свод субъектов ИБ+смежные'!BS$1)</f>
        <v>0</v>
      </c>
      <c r="BT24" s="36">
        <f>SUMIFS('свод практик'!$DF$6:$DF$277,'свод практик'!$J$6:$J$277,'свод субъектов ИБ+смежные'!BT$1)</f>
        <v>0</v>
      </c>
      <c r="BU24" s="36">
        <f>SUMIFS('свод практик'!$DF$6:$DF$277,'свод практик'!$J$6:$J$277,'свод субъектов ИБ+смежные'!BU$1)</f>
        <v>19</v>
      </c>
      <c r="BV24" s="36">
        <f>SUMIFS('свод практик'!$DF$6:$DF$277,'свод практик'!$J$6:$J$277,'свод субъектов ИБ+смежные'!BV$1)</f>
        <v>9</v>
      </c>
      <c r="BW24" s="36">
        <f>SUMIFS('свод практик'!$DF$6:$DF$277,'свод практик'!$J$6:$J$277,'свод субъектов ИБ+смежные'!BW$1)</f>
        <v>0</v>
      </c>
      <c r="BX24" s="36">
        <f>SUMIFS('свод практик'!$DF$6:$DF$277,'свод практик'!$J$6:$J$277,'свод субъектов ИБ+смежные'!BX$1)</f>
        <v>1</v>
      </c>
      <c r="BY24" s="36">
        <f>SUMIFS('свод практик'!$DF$6:$DF$277,'свод практик'!$J$6:$J$277,'свод субъектов ИБ+смежные'!BY$1)</f>
        <v>0</v>
      </c>
      <c r="BZ24" s="36">
        <f>SUMIFS('свод практик'!$DF$6:$DF$277,'свод практик'!$J$6:$J$277,'свод субъектов ИБ+смежные'!BZ$1)</f>
        <v>78</v>
      </c>
      <c r="CA24" s="36">
        <f>SUMIFS('свод практик'!$DF$6:$DF$277,'свод практик'!$J$6:$J$277,'свод субъектов ИБ+смежные'!CA$1)</f>
        <v>0</v>
      </c>
      <c r="CB24" s="36">
        <f>SUMIFS('свод практик'!$DF$6:$DF$277,'свод практик'!$J$6:$J$277,'свод субъектов ИБ+смежные'!CB$1)</f>
        <v>0</v>
      </c>
      <c r="CC24" s="36">
        <f>SUMIFS('свод практик'!$DF$6:$DF$277,'свод практик'!$J$6:$J$277,'свод субъектов ИБ+смежные'!CC$1)</f>
        <v>0</v>
      </c>
      <c r="CD24" s="36">
        <f>SUMIFS('свод практик'!$DF$6:$DF$277,'свод практик'!$J$6:$J$277,'свод субъектов ИБ+смежные'!CD$1)</f>
        <v>5</v>
      </c>
      <c r="CE24" s="36">
        <f>SUMIFS('свод практик'!$DF$6:$DF$277,'свод практик'!$J$6:$J$277,'свод субъектов ИБ+смежные'!CE$1)</f>
        <v>0</v>
      </c>
      <c r="CF24" s="36">
        <f>SUMIFS('свод практик'!$DF$6:$DF$277,'свод практик'!$J$6:$J$277,'свод субъектов ИБ+смежные'!CF$1)</f>
        <v>0</v>
      </c>
      <c r="CG24" s="36">
        <f>SUMIFS('свод практик'!$DF$6:$DF$277,'свод практик'!$J$6:$J$277,'свод субъектов ИБ+смежные'!CG$1)</f>
        <v>0</v>
      </c>
      <c r="CH24" s="36">
        <f>SUMIFS('свод практик'!$DF$6:$DF$277,'свод практик'!$J$6:$J$277,'свод субъектов ИБ+смежные'!CH$1)</f>
        <v>0</v>
      </c>
      <c r="CI24" s="36">
        <f>SUMIFS('свод практик'!$DF$6:$DF$277,'свод практик'!$J$6:$J$277,'свод субъектов ИБ+смежные'!CI$1)</f>
        <v>0</v>
      </c>
      <c r="CJ24" s="36">
        <f>SUMIFS('свод практик'!$DF$6:$DF$277,'свод практик'!$J$6:$J$277,'свод субъектов ИБ+смежные'!CJ$1)</f>
        <v>0</v>
      </c>
      <c r="CK24" s="36">
        <f>SUMIFS('свод практик'!$DF$6:$DF$277,'свод практик'!$J$6:$J$277,'свод субъектов ИБ+смежные'!CK$1)</f>
        <v>0</v>
      </c>
      <c r="CL24" s="36">
        <f>SUMIFS('свод практик'!$DF$6:$DF$277,'свод практик'!$J$6:$J$277,'свод субъектов ИБ+смежные'!CL$1)</f>
        <v>6</v>
      </c>
      <c r="CM24" s="36">
        <f>SUMIFS('свод практик'!$DF$6:$DF$277,'свод практик'!$J$6:$J$277,'свод субъектов ИБ+смежные'!CM$1)</f>
        <v>0</v>
      </c>
      <c r="CN24" s="36">
        <f>SUMIFS('свод практик'!$DF$6:$DF$277,'свод практик'!$J$6:$J$277,'свод субъектов ИБ+смежные'!CN$1)</f>
        <v>6</v>
      </c>
      <c r="CO24" s="36">
        <f>SUMIFS('свод практик'!$DF$6:$DF$277,'свод практик'!$J$6:$J$277,'свод субъектов ИБ+смежные'!CO$1)</f>
        <v>0</v>
      </c>
      <c r="CP24" s="36">
        <f>SUMIFS('свод практик'!$DF$6:$DF$277,'свод практик'!$J$6:$J$277,'свод субъектов ИБ+смежные'!CP$1)</f>
        <v>11</v>
      </c>
      <c r="CQ24" s="36">
        <f>SUMIFS('свод практик'!$DF$6:$DF$277,'свод практик'!$J$6:$J$277,'свод субъектов ИБ+смежные'!CQ$1)</f>
        <v>0</v>
      </c>
      <c r="CR24" s="36">
        <f>SUMIFS('свод практик'!$DF$6:$DF$277,'свод практик'!$J$6:$J$277,'свод субъектов ИБ+смежные'!CR$1)</f>
        <v>0</v>
      </c>
      <c r="CS24" s="36">
        <f>SUMIFS('свод практик'!$DF$6:$DF$277,'свод практик'!$J$6:$J$277,'свод субъектов ИБ+смежные'!CS$1)</f>
        <v>0</v>
      </c>
      <c r="CT24" s="36">
        <f>SUMIFS('свод практик'!$DF$6:$DF$277,'свод практик'!$J$6:$J$277,'свод субъектов ИБ+смежные'!CT$1)</f>
        <v>0</v>
      </c>
      <c r="CU24" s="36">
        <f>SUMIFS('свод практик'!$DF$6:$DF$277,'свод практик'!$J$6:$J$277,'свод субъектов ИБ+смежные'!CU$1)</f>
        <v>128</v>
      </c>
      <c r="CV24" s="36">
        <f>SUMIFS('свод практик'!$DF$6:$DF$277,'свод практик'!$J$6:$J$277,'свод субъектов ИБ+смежные'!CV$1)</f>
        <v>4</v>
      </c>
    </row>
    <row r="25" spans="1:100" ht="42">
      <c r="A25" s="737"/>
      <c r="B25" s="27" t="s">
        <v>4947</v>
      </c>
      <c r="C25" s="740"/>
      <c r="D25" s="42" t="s">
        <v>4949</v>
      </c>
      <c r="E25" s="42">
        <v>17</v>
      </c>
      <c r="F25" s="43" t="s">
        <v>5008</v>
      </c>
      <c r="G25" s="58" t="s">
        <v>5252</v>
      </c>
      <c r="H25" s="45" t="s">
        <v>5007</v>
      </c>
      <c r="I25" s="46" t="s">
        <v>4956</v>
      </c>
      <c r="M25" s="36">
        <v>10.5</v>
      </c>
      <c r="N25" s="36">
        <v>10.5</v>
      </c>
      <c r="O25" s="324">
        <f>AVERAGEIF(P24:CV24,"&gt;0")</f>
        <v>16.956521739130434</v>
      </c>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row>
    <row r="26" spans="1:100" ht="70">
      <c r="A26" s="737"/>
      <c r="B26" s="27"/>
      <c r="C26" s="740"/>
      <c r="D26" s="42" t="s">
        <v>4949</v>
      </c>
      <c r="E26" s="42">
        <v>18</v>
      </c>
      <c r="F26" s="48" t="s">
        <v>5009</v>
      </c>
      <c r="G26" s="58" t="s">
        <v>5010</v>
      </c>
      <c r="H26" s="45" t="s">
        <v>5011</v>
      </c>
      <c r="I26" s="46" t="s">
        <v>4961</v>
      </c>
      <c r="M26" s="36" t="s">
        <v>5497</v>
      </c>
      <c r="N26" s="36">
        <v>710</v>
      </c>
      <c r="O26" s="224">
        <f>SUM(P26:CV26)</f>
        <v>844</v>
      </c>
      <c r="P26" s="36">
        <f>SUMIFS('свод практик'!$DH$6:$DH$277,'свод практик'!$J$6:$J$277,'свод субъектов ИБ+смежные'!P$1)</f>
        <v>1</v>
      </c>
      <c r="Q26" s="36">
        <f>SUMIFS('свод практик'!$DH$6:$DH$277,'свод практик'!$J$6:$J$277,'свод субъектов ИБ+смежные'!Q$1)</f>
        <v>0</v>
      </c>
      <c r="R26" s="36">
        <f>SUMIFS('свод практик'!$DH$6:$DH$277,'свод практик'!$J$6:$J$277,'свод субъектов ИБ+смежные'!R$1)</f>
        <v>0</v>
      </c>
      <c r="S26" s="36">
        <f>SUMIFS('свод практик'!$DH$6:$DH$277,'свод практик'!$J$6:$J$277,'свод субъектов ИБ+смежные'!S$1)</f>
        <v>5</v>
      </c>
      <c r="T26" s="36">
        <f>SUMIFS('свод практик'!$DH$6:$DH$277,'свод практик'!$J$6:$J$277,'свод субъектов ИБ+смежные'!T$1)</f>
        <v>5</v>
      </c>
      <c r="U26" s="36">
        <f>SUMIFS('свод практик'!$DH$6:$DH$277,'свод практик'!$J$6:$J$277,'свод субъектов ИБ+смежные'!U$1)</f>
        <v>32</v>
      </c>
      <c r="V26" s="36">
        <f>SUMIFS('свод практик'!$DH$6:$DH$277,'свод практик'!$J$6:$J$277,'свод субъектов ИБ+смежные'!V$1)</f>
        <v>19</v>
      </c>
      <c r="W26" s="36">
        <f>SUMIFS('свод практик'!$DH$6:$DH$277,'свод практик'!$J$6:$J$277,'свод субъектов ИБ+смежные'!W$1)</f>
        <v>31</v>
      </c>
      <c r="X26" s="36">
        <f>SUMIFS('свод практик'!$DH$6:$DH$277,'свод практик'!$J$6:$J$277,'свод субъектов ИБ+смежные'!X$1)</f>
        <v>0</v>
      </c>
      <c r="Y26" s="36">
        <f>SUMIFS('свод практик'!$DH$6:$DH$277,'свод практик'!$J$6:$J$277,'свод субъектов ИБ+смежные'!Y$1)</f>
        <v>0</v>
      </c>
      <c r="Z26" s="36">
        <f>SUMIFS('свод практик'!$DH$6:$DH$277,'свод практик'!$J$6:$J$277,'свод субъектов ИБ+смежные'!Z$1)</f>
        <v>7</v>
      </c>
      <c r="AA26" s="36">
        <f>SUMIFS('свод практик'!$DH$6:$DH$277,'свод практик'!$J$6:$J$277,'свод субъектов ИБ+смежные'!AA$1)</f>
        <v>0</v>
      </c>
      <c r="AB26" s="36">
        <f>SUMIFS('свод практик'!$DH$6:$DH$277,'свод практик'!$J$6:$J$277,'свод субъектов ИБ+смежные'!AB$1)</f>
        <v>23</v>
      </c>
      <c r="AC26" s="36">
        <f>SUMIFS('свод практик'!$DH$6:$DH$277,'свод практик'!$J$6:$J$277,'свод субъектов ИБ+смежные'!AC$1)</f>
        <v>0</v>
      </c>
      <c r="AD26" s="36">
        <f>SUMIFS('свод практик'!$DH$6:$DH$277,'свод практик'!$J$6:$J$277,'свод субъектов ИБ+смежные'!AD$1)</f>
        <v>0</v>
      </c>
      <c r="AE26" s="36">
        <f>SUMIFS('свод практик'!$DH$6:$DH$277,'свод практик'!$J$6:$J$277,'свод субъектов ИБ+смежные'!AE$1)</f>
        <v>0</v>
      </c>
      <c r="AF26" s="36">
        <f>SUMIFS('свод практик'!$DH$6:$DH$277,'свод практик'!$J$6:$J$277,'свод субъектов ИБ+смежные'!AF$1)</f>
        <v>0</v>
      </c>
      <c r="AG26" s="36">
        <f>SUMIFS('свод практик'!$DH$6:$DH$277,'свод практик'!$J$6:$J$277,'свод субъектов ИБ+смежные'!AG$1)</f>
        <v>0</v>
      </c>
      <c r="AH26" s="36">
        <f>SUMIFS('свод практик'!$DH$6:$DH$277,'свод практик'!$J$6:$J$277,'свод субъектов ИБ+смежные'!AH$1)</f>
        <v>0</v>
      </c>
      <c r="AI26" s="36">
        <f>SUMIFS('свод практик'!$DH$6:$DH$277,'свод практик'!$J$6:$J$277,'свод субъектов ИБ+смежные'!AI$1)</f>
        <v>6</v>
      </c>
      <c r="AJ26" s="36">
        <f>SUMIFS('свод практик'!$DH$6:$DH$277,'свод практик'!$J$6:$J$277,'свод субъектов ИБ+смежные'!AJ$1)</f>
        <v>0</v>
      </c>
      <c r="AK26" s="36">
        <f>SUMIFS('свод практик'!$DH$6:$DH$277,'свод практик'!$J$6:$J$277,'свод субъектов ИБ+смежные'!AK$1)</f>
        <v>0</v>
      </c>
      <c r="AL26" s="36">
        <f>SUMIFS('свод практик'!$DH$6:$DH$277,'свод практик'!$J$6:$J$277,'свод субъектов ИБ+смежные'!AL$1)</f>
        <v>4</v>
      </c>
      <c r="AM26" s="36">
        <f>SUMIFS('свод практик'!$DH$6:$DH$277,'свод практик'!$J$6:$J$277,'свод субъектов ИБ+смежные'!AM$1)</f>
        <v>41</v>
      </c>
      <c r="AN26" s="36">
        <f>SUMIFS('свод практик'!$DH$6:$DH$277,'свод практик'!$J$6:$J$277,'свод субъектов ИБ+смежные'!AN$1)</f>
        <v>0</v>
      </c>
      <c r="AO26" s="36">
        <f>SUMIFS('свод практик'!$DH$6:$DH$277,'свод практик'!$J$6:$J$277,'свод субъектов ИБ+смежные'!AO$1)</f>
        <v>0</v>
      </c>
      <c r="AP26" s="36">
        <f>SUMIFS('свод практик'!$DH$6:$DH$277,'свод практик'!$J$6:$J$277,'свод субъектов ИБ+смежные'!AP$1)</f>
        <v>2</v>
      </c>
      <c r="AQ26" s="36">
        <f>SUMIFS('свод практик'!$DH$6:$DH$277,'свод практик'!$J$6:$J$277,'свод субъектов ИБ+смежные'!AQ$1)</f>
        <v>7</v>
      </c>
      <c r="AR26" s="36">
        <f>SUMIFS('свод практик'!$DH$6:$DH$277,'свод практик'!$J$6:$J$277,'свод субъектов ИБ+смежные'!AR$1)</f>
        <v>8</v>
      </c>
      <c r="AS26" s="36">
        <f>SUMIFS('свод практик'!$DH$6:$DH$277,'свод практик'!$J$6:$J$277,'свод субъектов ИБ+смежные'!AS$1)</f>
        <v>0</v>
      </c>
      <c r="AT26" s="36">
        <f>SUMIFS('свод практик'!$DH$6:$DH$277,'свод практик'!$J$6:$J$277,'свод субъектов ИБ+смежные'!AT$1)</f>
        <v>6</v>
      </c>
      <c r="AU26" s="36">
        <f>SUMIFS('свод практик'!$DH$6:$DH$277,'свод практик'!$J$6:$J$277,'свод субъектов ИБ+смежные'!AU$1)</f>
        <v>6</v>
      </c>
      <c r="AV26" s="36">
        <f>SUMIFS('свод практик'!$DH$6:$DH$277,'свод практик'!$J$6:$J$277,'свод субъектов ИБ+смежные'!AV$1)</f>
        <v>5</v>
      </c>
      <c r="AW26" s="36">
        <f>SUMIFS('свод практик'!$DH$6:$DH$277,'свод практик'!$J$6:$J$277,'свод субъектов ИБ+смежные'!AW$1)</f>
        <v>0</v>
      </c>
      <c r="AX26" s="36">
        <f>SUMIFS('свод практик'!$DH$6:$DH$277,'свод практик'!$J$6:$J$277,'свод субъектов ИБ+смежные'!AX$1)</f>
        <v>13</v>
      </c>
      <c r="AY26" s="36">
        <f>SUMIFS('свод практик'!$DH$6:$DH$277,'свод практик'!$J$6:$J$277,'свод субъектов ИБ+смежные'!AY$1)</f>
        <v>0</v>
      </c>
      <c r="AZ26" s="36">
        <f>SUMIFS('свод практик'!$DH$6:$DH$277,'свод практик'!$J$6:$J$277,'свод субъектов ИБ+смежные'!AZ$1)</f>
        <v>0</v>
      </c>
      <c r="BA26" s="36">
        <f>SUMIFS('свод практик'!$DH$6:$DH$277,'свод практик'!$J$6:$J$277,'свод субъектов ИБ+смежные'!BA$1)</f>
        <v>3</v>
      </c>
      <c r="BB26" s="36">
        <f>SUMIFS('свод практик'!$DH$6:$DH$277,'свод практик'!$J$6:$J$277,'свод субъектов ИБ+смежные'!BB$1)</f>
        <v>0</v>
      </c>
      <c r="BC26" s="36">
        <f>SUMIFS('свод практик'!$DH$6:$DH$277,'свод практик'!$J$6:$J$277,'свод субъектов ИБ+смежные'!BC$1)</f>
        <v>0</v>
      </c>
      <c r="BD26" s="36">
        <f>SUMIFS('свод практик'!$DH$6:$DH$277,'свод практик'!$J$6:$J$277,'свод субъектов ИБ+смежные'!BD$1)</f>
        <v>0</v>
      </c>
      <c r="BE26" s="36">
        <f>SUMIFS('свод практик'!$DH$6:$DH$277,'свод практик'!$J$6:$J$277,'свод субъектов ИБ+смежные'!BE$1)</f>
        <v>0</v>
      </c>
      <c r="BF26" s="36">
        <f>SUMIFS('свод практик'!$DH$6:$DH$277,'свод практик'!$J$6:$J$277,'свод субъектов ИБ+смежные'!BF$1)</f>
        <v>0</v>
      </c>
      <c r="BG26" s="36">
        <f>SUMIFS('свод практик'!$DH$6:$DH$277,'свод практик'!$J$6:$J$277,'свод субъектов ИБ+смежные'!BG$1)</f>
        <v>0</v>
      </c>
      <c r="BH26" s="36">
        <f>SUMIFS('свод практик'!$DH$6:$DH$277,'свод практик'!$J$6:$J$277,'свод субъектов ИБ+смежные'!BH$1)</f>
        <v>1</v>
      </c>
      <c r="BI26" s="36">
        <f>SUMIFS('свод практик'!$DH$6:$DH$277,'свод практик'!$J$6:$J$277,'свод субъектов ИБ+смежные'!BI$1)</f>
        <v>4</v>
      </c>
      <c r="BJ26" s="36">
        <f>SUMIFS('свод практик'!$DH$6:$DH$277,'свод практик'!$J$6:$J$277,'свод субъектов ИБ+смежные'!BJ$1)</f>
        <v>4</v>
      </c>
      <c r="BK26" s="36">
        <f>SUMIFS('свод практик'!$DH$6:$DH$277,'свод практик'!$J$6:$J$277,'свод субъектов ИБ+смежные'!BK$1)</f>
        <v>0</v>
      </c>
      <c r="BL26" s="36">
        <f>SUMIFS('свод практик'!$DH$6:$DH$277,'свод практик'!$J$6:$J$277,'свод субъектов ИБ+смежные'!BL$1)</f>
        <v>3</v>
      </c>
      <c r="BM26" s="36">
        <f>SUMIFS('свод практик'!$DH$6:$DH$277,'свод практик'!$J$6:$J$277,'свод субъектов ИБ+смежные'!BM$1)</f>
        <v>27</v>
      </c>
      <c r="BN26" s="36">
        <f>SUMIFS('свод практик'!$DH$6:$DH$277,'свод практик'!$J$6:$J$277,'свод субъектов ИБ+смежные'!BN$1)</f>
        <v>3</v>
      </c>
      <c r="BO26" s="36">
        <f>SUMIFS('свод практик'!$DH$6:$DH$277,'свод практик'!$J$6:$J$277,'свод субъектов ИБ+смежные'!BO$1)</f>
        <v>3</v>
      </c>
      <c r="BP26" s="36">
        <f>SUMIFS('свод практик'!$DH$6:$DH$277,'свод практик'!$J$6:$J$277,'свод субъектов ИБ+смежные'!BP$1)</f>
        <v>5</v>
      </c>
      <c r="BQ26" s="36">
        <f>SUMIFS('свод практик'!$DH$6:$DH$277,'свод практик'!$J$6:$J$277,'свод субъектов ИБ+смежные'!BQ$1)</f>
        <v>0</v>
      </c>
      <c r="BR26" s="36">
        <f>SUMIFS('свод практик'!$DH$6:$DH$277,'свод практик'!$J$6:$J$277,'свод субъектов ИБ+смежные'!BR$1)</f>
        <v>0</v>
      </c>
      <c r="BS26" s="36">
        <f>SUMIFS('свод практик'!$DH$6:$DH$277,'свод практик'!$J$6:$J$277,'свод субъектов ИБ+смежные'!BS$1)</f>
        <v>6</v>
      </c>
      <c r="BT26" s="36">
        <f>SUMIFS('свод практик'!$DH$6:$DH$277,'свод практик'!$J$6:$J$277,'свод субъектов ИБ+смежные'!BT$1)</f>
        <v>17</v>
      </c>
      <c r="BU26" s="36">
        <f>SUMIFS('свод практик'!$DH$6:$DH$277,'свод практик'!$J$6:$J$277,'свод субъектов ИБ+смежные'!BU$1)</f>
        <v>130</v>
      </c>
      <c r="BV26" s="36">
        <f>SUMIFS('свод практик'!$DH$6:$DH$277,'свод практик'!$J$6:$J$277,'свод субъектов ИБ+смежные'!BV$1)</f>
        <v>0</v>
      </c>
      <c r="BW26" s="36">
        <f>SUMIFS('свод практик'!$DH$6:$DH$277,'свод практик'!$J$6:$J$277,'свод субъектов ИБ+смежные'!BW$1)</f>
        <v>5</v>
      </c>
      <c r="BX26" s="36">
        <f>SUMIFS('свод практик'!$DH$6:$DH$277,'свод практик'!$J$6:$J$277,'свод субъектов ИБ+смежные'!BX$1)</f>
        <v>0</v>
      </c>
      <c r="BY26" s="36">
        <f>SUMIFS('свод практик'!$DH$6:$DH$277,'свод практик'!$J$6:$J$277,'свод субъектов ИБ+смежные'!BY$1)</f>
        <v>24</v>
      </c>
      <c r="BZ26" s="36">
        <f>SUMIFS('свод практик'!$DH$6:$DH$277,'свод практик'!$J$6:$J$277,'свод субъектов ИБ+смежные'!BZ$1)</f>
        <v>8</v>
      </c>
      <c r="CA26" s="36">
        <f>SUMIFS('свод практик'!$DH$6:$DH$277,'свод практик'!$J$6:$J$277,'свод субъектов ИБ+смежные'!CA$1)</f>
        <v>0</v>
      </c>
      <c r="CB26" s="36">
        <f>SUMIFS('свод практик'!$DH$6:$DH$277,'свод практик'!$J$6:$J$277,'свод субъектов ИБ+смежные'!CB$1)</f>
        <v>0</v>
      </c>
      <c r="CC26" s="36">
        <f>SUMIFS('свод практик'!$DH$6:$DH$277,'свод практик'!$J$6:$J$277,'свод субъектов ИБ+смежные'!CC$1)</f>
        <v>0</v>
      </c>
      <c r="CD26" s="36">
        <f>SUMIFS('свод практик'!$DH$6:$DH$277,'свод практик'!$J$6:$J$277,'свод субъектов ИБ+смежные'!CD$1)</f>
        <v>7</v>
      </c>
      <c r="CE26" s="36">
        <f>SUMIFS('свод практик'!$DH$6:$DH$277,'свод практик'!$J$6:$J$277,'свод субъектов ИБ+смежные'!CE$1)</f>
        <v>8</v>
      </c>
      <c r="CF26" s="36">
        <f>SUMIFS('свод практик'!$DH$6:$DH$277,'свод практик'!$J$6:$J$277,'свод субъектов ИБ+смежные'!CF$1)</f>
        <v>5</v>
      </c>
      <c r="CG26" s="36">
        <f>SUMIFS('свод практик'!$DH$6:$DH$277,'свод практик'!$J$6:$J$277,'свод субъектов ИБ+смежные'!CG$1)</f>
        <v>4</v>
      </c>
      <c r="CH26" s="36">
        <f>SUMIFS('свод практик'!$DH$6:$DH$277,'свод практик'!$J$6:$J$277,'свод субъектов ИБ+смежные'!CH$1)</f>
        <v>3</v>
      </c>
      <c r="CI26" s="36">
        <f>SUMIFS('свод практик'!$DH$6:$DH$277,'свод практик'!$J$6:$J$277,'свод субъектов ИБ+смежные'!CI$1)</f>
        <v>0</v>
      </c>
      <c r="CJ26" s="36">
        <f>SUMIFS('свод практик'!$DH$6:$DH$277,'свод практик'!$J$6:$J$277,'свод субъектов ИБ+смежные'!CJ$1)</f>
        <v>0</v>
      </c>
      <c r="CK26" s="36">
        <f>SUMIFS('свод практик'!$DH$6:$DH$277,'свод практик'!$J$6:$J$277,'свод субъектов ИБ+смежные'!CK$1)</f>
        <v>3</v>
      </c>
      <c r="CL26" s="36">
        <f>SUMIFS('свод практик'!$DH$6:$DH$277,'свод практик'!$J$6:$J$277,'свод субъектов ИБ+смежные'!CL$1)</f>
        <v>43</v>
      </c>
      <c r="CM26" s="36">
        <f>SUMIFS('свод практик'!$DH$6:$DH$277,'свод практик'!$J$6:$J$277,'свод субъектов ИБ+смежные'!CM$1)</f>
        <v>95</v>
      </c>
      <c r="CN26" s="36">
        <f>SUMIFS('свод практик'!$DH$6:$DH$277,'свод практик'!$J$6:$J$277,'свод субъектов ИБ+смежные'!CN$1)</f>
        <v>3</v>
      </c>
      <c r="CO26" s="36">
        <f>SUMIFS('свод практик'!$DH$6:$DH$277,'свод практик'!$J$6:$J$277,'свод субъектов ИБ+смежные'!CO$1)</f>
        <v>0</v>
      </c>
      <c r="CP26" s="36">
        <f>SUMIFS('свод практик'!$DH$6:$DH$277,'свод практик'!$J$6:$J$277,'свод субъектов ИБ+смежные'!CP$1)</f>
        <v>129</v>
      </c>
      <c r="CQ26" s="36">
        <f>SUMIFS('свод практик'!$DH$6:$DH$277,'свод практик'!$J$6:$J$277,'свод субъектов ИБ+смежные'!CQ$1)</f>
        <v>7</v>
      </c>
      <c r="CR26" s="36">
        <f>SUMIFS('свод практик'!$DH$6:$DH$277,'свод практик'!$J$6:$J$277,'свод субъектов ИБ+смежные'!CR$1)</f>
        <v>0</v>
      </c>
      <c r="CS26" s="36">
        <f>SUMIFS('свод практик'!$DH$6:$DH$277,'свод практик'!$J$6:$J$277,'свод субъектов ИБ+смежные'!CS$1)</f>
        <v>30</v>
      </c>
      <c r="CT26" s="36">
        <f>SUMIFS('свод практик'!$DH$6:$DH$277,'свод практик'!$J$6:$J$277,'свод субъектов ИБ+смежные'!CT$1)</f>
        <v>1</v>
      </c>
      <c r="CU26" s="36">
        <f>SUMIFS('свод практик'!$DH$6:$DH$277,'свод практик'!$J$6:$J$277,'свод субъектов ИБ+смежные'!CU$1)</f>
        <v>42</v>
      </c>
      <c r="CV26" s="36">
        <f>SUMIFS('свод практик'!$DH$6:$DH$277,'свод практик'!$J$6:$J$277,'свод субъектов ИБ+смежные'!CV$1)</f>
        <v>0</v>
      </c>
    </row>
    <row r="27" spans="1:100" ht="43" thickBot="1">
      <c r="A27" s="738"/>
      <c r="B27" s="26"/>
      <c r="C27" s="741"/>
      <c r="D27" s="49" t="s">
        <v>4949</v>
      </c>
      <c r="E27" s="49">
        <v>19</v>
      </c>
      <c r="F27" s="50" t="s">
        <v>5012</v>
      </c>
      <c r="G27" s="60" t="s">
        <v>5253</v>
      </c>
      <c r="H27" s="52" t="s">
        <v>5011</v>
      </c>
      <c r="I27" s="53" t="s">
        <v>4956</v>
      </c>
      <c r="M27" s="36" t="s">
        <v>5497</v>
      </c>
      <c r="N27" s="36">
        <v>14.2</v>
      </c>
      <c r="O27" s="324">
        <f>AVERAGEIF(P26:CV26,"&gt;0")</f>
        <v>17.957446808510639</v>
      </c>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Q27" s="325"/>
      <c r="BR27" s="325"/>
      <c r="BS27" s="325"/>
      <c r="BT27" s="325"/>
      <c r="BU27" s="325"/>
      <c r="BV27" s="325"/>
      <c r="BW27" s="325"/>
      <c r="BX27" s="325"/>
      <c r="BY27" s="325"/>
      <c r="BZ27" s="325"/>
      <c r="CA27" s="325"/>
      <c r="CB27" s="325"/>
      <c r="CC27" s="325"/>
      <c r="CD27" s="325"/>
      <c r="CE27" s="325"/>
      <c r="CF27" s="325"/>
      <c r="CG27" s="325"/>
      <c r="CH27" s="325"/>
      <c r="CI27" s="325"/>
      <c r="CJ27" s="325"/>
      <c r="CK27" s="325"/>
      <c r="CL27" s="325"/>
      <c r="CM27" s="325"/>
      <c r="CN27" s="325"/>
      <c r="CO27" s="325"/>
      <c r="CP27" s="325"/>
      <c r="CQ27" s="325"/>
      <c r="CR27" s="325"/>
      <c r="CS27" s="325"/>
      <c r="CT27" s="325"/>
      <c r="CU27" s="325"/>
      <c r="CV27" s="325"/>
    </row>
    <row r="28" spans="1:100" ht="28">
      <c r="A28" s="725">
        <v>34</v>
      </c>
      <c r="B28" s="28"/>
      <c r="C28" s="28"/>
      <c r="D28" s="64" t="s">
        <v>4949</v>
      </c>
      <c r="E28" s="64">
        <v>33</v>
      </c>
      <c r="F28" s="65" t="s">
        <v>5013</v>
      </c>
      <c r="G28" s="66" t="s">
        <v>5254</v>
      </c>
      <c r="H28" s="67" t="s">
        <v>5014</v>
      </c>
      <c r="I28" s="68" t="s">
        <v>4961</v>
      </c>
      <c r="M28" s="36" t="s">
        <v>5497</v>
      </c>
      <c r="N28" s="36">
        <v>0</v>
      </c>
      <c r="O28" s="224">
        <f>COUNTIF(P28:CV28,"да")</f>
        <v>23</v>
      </c>
      <c r="P28" s="36" t="s">
        <v>279</v>
      </c>
      <c r="Q28" s="36" t="s">
        <v>279</v>
      </c>
      <c r="R28" s="36" t="s">
        <v>278</v>
      </c>
      <c r="S28" s="36" t="s">
        <v>278</v>
      </c>
      <c r="T28" s="36" t="s">
        <v>278</v>
      </c>
      <c r="V28" s="36" t="s">
        <v>278</v>
      </c>
      <c r="AA28" s="36" t="s">
        <v>278</v>
      </c>
      <c r="AR28" s="36" t="s">
        <v>278</v>
      </c>
      <c r="AV28" s="36" t="s">
        <v>278</v>
      </c>
      <c r="AZ28" s="36" t="s">
        <v>278</v>
      </c>
      <c r="BC28" s="36" t="s">
        <v>278</v>
      </c>
      <c r="BM28" s="36" t="s">
        <v>278</v>
      </c>
      <c r="BP28" s="36" t="s">
        <v>278</v>
      </c>
      <c r="BU28" s="36" t="s">
        <v>278</v>
      </c>
      <c r="BV28" s="36" t="s">
        <v>278</v>
      </c>
      <c r="BX28" s="36" t="s">
        <v>278</v>
      </c>
      <c r="BY28" s="36" t="s">
        <v>278</v>
      </c>
      <c r="BZ28" s="36" t="s">
        <v>278</v>
      </c>
      <c r="CD28" s="36" t="s">
        <v>278</v>
      </c>
      <c r="CI28" s="36" t="s">
        <v>278</v>
      </c>
      <c r="CK28" s="36" t="s">
        <v>278</v>
      </c>
      <c r="CL28" s="36" t="s">
        <v>278</v>
      </c>
      <c r="CM28" s="36" t="s">
        <v>278</v>
      </c>
      <c r="CP28" s="36" t="s">
        <v>278</v>
      </c>
      <c r="CU28" s="36" t="s">
        <v>278</v>
      </c>
    </row>
    <row r="29" spans="1:100" ht="57" thickBot="1">
      <c r="A29" s="726"/>
      <c r="B29" s="29"/>
      <c r="C29" s="29"/>
      <c r="D29" s="69" t="s">
        <v>4949</v>
      </c>
      <c r="E29" s="69">
        <v>34</v>
      </c>
      <c r="F29" s="70" t="s">
        <v>5015</v>
      </c>
      <c r="G29" s="71" t="s">
        <v>5016</v>
      </c>
      <c r="H29" s="72" t="s">
        <v>60</v>
      </c>
      <c r="I29" s="73" t="s">
        <v>4956</v>
      </c>
      <c r="M29" s="36" t="s">
        <v>5497</v>
      </c>
      <c r="O29" s="228">
        <f>O28/O5</f>
        <v>0.33333333333333331</v>
      </c>
    </row>
    <row r="30" spans="1:100" ht="28">
      <c r="A30" s="742" t="s">
        <v>5017</v>
      </c>
      <c r="B30" s="25"/>
      <c r="C30" s="739" t="s">
        <v>5018</v>
      </c>
      <c r="D30" s="37" t="s">
        <v>4949</v>
      </c>
      <c r="E30" s="37">
        <v>26</v>
      </c>
      <c r="F30" s="74" t="s">
        <v>5019</v>
      </c>
      <c r="G30" s="57" t="s">
        <v>5255</v>
      </c>
      <c r="H30" s="40" t="s">
        <v>63</v>
      </c>
      <c r="I30" s="55" t="s">
        <v>5004</v>
      </c>
      <c r="M30" s="36" t="s">
        <v>5497</v>
      </c>
      <c r="N30" s="36">
        <v>33</v>
      </c>
      <c r="O30" s="224">
        <f t="shared" ref="O30:O35" si="13">COUNTIF(P30:CV30,"да")</f>
        <v>30</v>
      </c>
      <c r="P30" s="36" t="str">
        <f>'свод практик'!DI6</f>
        <v>да</v>
      </c>
      <c r="Q30" s="36" t="str">
        <f>'свод практик'!DI9</f>
        <v>нет</v>
      </c>
      <c r="R30" s="36" t="str">
        <f>'свод практик'!DI10</f>
        <v>да</v>
      </c>
      <c r="S30" s="36" t="str">
        <f>'свод практик'!DI11</f>
        <v>да</v>
      </c>
      <c r="T30" s="36" t="str">
        <f>'свод практик'!DI13</f>
        <v>Нет</v>
      </c>
      <c r="U30" s="36" t="str">
        <f>'свод практик'!DI14</f>
        <v>нет</v>
      </c>
      <c r="V30" s="36" t="str">
        <f>'свод практик'!DI16</f>
        <v>да</v>
      </c>
      <c r="W30" s="36" t="str">
        <f>'свод практик'!DI28</f>
        <v>да</v>
      </c>
      <c r="X30" s="36">
        <f>'свод практик'!DI30</f>
        <v>0</v>
      </c>
      <c r="Y30" s="36">
        <f>'свод практик'!DI31</f>
        <v>0</v>
      </c>
      <c r="Z30" s="266" t="str">
        <f>'свод практик'!DI32</f>
        <v>да</v>
      </c>
      <c r="AA30" s="36">
        <f>'свод практик'!DI35</f>
        <v>0</v>
      </c>
      <c r="AB30" s="36" t="str">
        <f>'свод практик'!DI36</f>
        <v>Нет</v>
      </c>
      <c r="AC30" s="36" t="str">
        <f>'свод практик'!DI39</f>
        <v>да</v>
      </c>
      <c r="AF30" s="36" t="str">
        <f>'свод практик'!DI44</f>
        <v>нет</v>
      </c>
      <c r="AI30" s="36" t="str">
        <f>'свод практик'!DI47</f>
        <v>да</v>
      </c>
      <c r="AJ30" s="36" t="str">
        <f>'свод практик'!DI49</f>
        <v>нет</v>
      </c>
      <c r="AK30" s="36" t="str">
        <f>'свод практик'!DI50</f>
        <v>да</v>
      </c>
      <c r="AL30" s="36" t="str">
        <f>'свод практик'!DI52</f>
        <v>нет</v>
      </c>
      <c r="AM30" s="266" t="str">
        <f>'свод практик'!DI53</f>
        <v>да</v>
      </c>
      <c r="AP30" s="36" t="str">
        <f>'свод практик'!DI60</f>
        <v xml:space="preserve">да </v>
      </c>
      <c r="AQ30" s="36" t="str">
        <f>'свод практик'!DI61</f>
        <v>нет</v>
      </c>
      <c r="AR30" s="36" t="str">
        <f>'свод практик'!DI62</f>
        <v>нет</v>
      </c>
      <c r="AS30" s="36" t="str">
        <f>'свод практик'!DI65</f>
        <v>нет</v>
      </c>
      <c r="AT30" s="36" t="str">
        <f>'свод практик'!DI67</f>
        <v>да</v>
      </c>
      <c r="AU30" s="36" t="str">
        <f>'свод практик'!DI70</f>
        <v>нет</v>
      </c>
      <c r="AV30" s="36" t="str">
        <f>'свод практик'!DI71</f>
        <v>да</v>
      </c>
      <c r="AW30" s="36" t="str">
        <f>'свод практик'!DI73</f>
        <v>да</v>
      </c>
      <c r="AX30" s="36" t="str">
        <f>'свод практик'!DI76</f>
        <v>нет</v>
      </c>
      <c r="AZ30" s="36" t="str">
        <f>'свод практик'!DI80</f>
        <v>нет</v>
      </c>
      <c r="BA30" s="36" t="str">
        <f>'свод практик'!DI83</f>
        <v>да</v>
      </c>
      <c r="BC30" s="36" t="str">
        <f>'свод практик'!DI86</f>
        <v>да</v>
      </c>
      <c r="BF30" s="36" t="str">
        <f>'свод практик'!DI90</f>
        <v>Нет</v>
      </c>
      <c r="BG30" s="36" t="str">
        <f>'свод практик'!DI91</f>
        <v>нет</v>
      </c>
      <c r="BH30" s="36" t="str">
        <f>'свод практик'!DI92</f>
        <v>да</v>
      </c>
      <c r="BI30" s="36" t="str">
        <f>'свод практик'!DI93</f>
        <v>нет</v>
      </c>
      <c r="BJ30" s="36" t="str">
        <f>'свод практик'!DI94</f>
        <v>нет</v>
      </c>
      <c r="BK30" s="36" t="str">
        <f>'свод практик'!DI100</f>
        <v>да</v>
      </c>
      <c r="BL30" s="36" t="str">
        <f>'свод практик'!DI102</f>
        <v>нет</v>
      </c>
      <c r="BM30" s="36" t="str">
        <f>'свод практик'!DI103</f>
        <v>да</v>
      </c>
      <c r="BN30" s="36" t="str">
        <f>'свод практик'!DI118</f>
        <v>-</v>
      </c>
      <c r="BO30" s="36" t="str">
        <f>'свод практик'!DI120</f>
        <v>нет</v>
      </c>
      <c r="BP30" s="36" t="str">
        <f>'свод практик'!DI122</f>
        <v>да</v>
      </c>
      <c r="BR30" s="36" t="str">
        <f>'свод практик'!DI124</f>
        <v>нет</v>
      </c>
      <c r="BS30" s="266">
        <f>'свод практик'!DI125</f>
        <v>0</v>
      </c>
      <c r="BT30" s="36" t="str">
        <f>'свод практик'!DI128</f>
        <v>нет</v>
      </c>
      <c r="BU30" s="36" t="str">
        <f>'свод практик'!DI130</f>
        <v>да</v>
      </c>
      <c r="BV30" s="36" t="str">
        <f>'свод практик'!DI145</f>
        <v>нет</v>
      </c>
      <c r="BW30" s="36">
        <f>'свод практик'!DI146</f>
        <v>0</v>
      </c>
      <c r="BX30" s="36" t="str">
        <f>'свод практик'!DI147</f>
        <v>да</v>
      </c>
      <c r="BY30" s="36" t="str">
        <f>'свод практик'!DI148</f>
        <v>да</v>
      </c>
      <c r="BZ30" s="36" t="str">
        <f>'свод практик'!DI151</f>
        <v>да</v>
      </c>
      <c r="CC30" s="36" t="str">
        <f>'свод практик'!DI159</f>
        <v>нет</v>
      </c>
      <c r="CD30" s="36" t="str">
        <f>'свод практик'!DI160</f>
        <v>да</v>
      </c>
      <c r="CE30" s="36" t="str">
        <f>'свод практик'!DI163</f>
        <v>нет</v>
      </c>
      <c r="CF30" s="36" t="str">
        <f>'свод практик'!DI166</f>
        <v>нет</v>
      </c>
      <c r="CG30" s="36" t="str">
        <f>'свод практик'!DI168</f>
        <v>да</v>
      </c>
      <c r="CH30" s="36" t="str">
        <f>'свод практик'!DI169</f>
        <v>да</v>
      </c>
      <c r="CI30" s="36" t="str">
        <f>'свод практик'!DI170</f>
        <v>нет</v>
      </c>
      <c r="CK30" s="36" t="str">
        <f>'свод практик'!DI173</f>
        <v>нет</v>
      </c>
      <c r="CL30" s="36" t="str">
        <f>'свод практик'!DI174</f>
        <v>да</v>
      </c>
      <c r="CM30" s="36" t="str">
        <f>'свод практик'!DI180</f>
        <v>нет</v>
      </c>
      <c r="CN30" s="36" t="str">
        <f>'свод практик'!DI209</f>
        <v>да</v>
      </c>
      <c r="CP30" s="36" t="str">
        <f>'свод практик'!DI211</f>
        <v>да</v>
      </c>
      <c r="CQ30" s="36" t="str">
        <f>'свод практик'!DI246</f>
        <v>нет</v>
      </c>
      <c r="CS30" s="36" t="str">
        <f>'свод практик'!DI248</f>
        <v>нет</v>
      </c>
      <c r="CT30" s="36" t="str">
        <f>'свод практик'!DI250</f>
        <v xml:space="preserve">да </v>
      </c>
      <c r="CU30" s="36" t="str">
        <f>'свод практик'!DI253</f>
        <v>да</v>
      </c>
      <c r="CV30" s="36" t="str">
        <f>'свод практик'!DI277</f>
        <v>нет</v>
      </c>
    </row>
    <row r="31" spans="1:100" ht="42">
      <c r="A31" s="743"/>
      <c r="B31" s="27"/>
      <c r="C31" s="740"/>
      <c r="D31" s="42" t="s">
        <v>4949</v>
      </c>
      <c r="E31" s="42">
        <v>27</v>
      </c>
      <c r="F31" s="48" t="s">
        <v>5020</v>
      </c>
      <c r="G31" s="58" t="s">
        <v>5021</v>
      </c>
      <c r="H31" s="45" t="s">
        <v>63</v>
      </c>
      <c r="I31" s="46" t="s">
        <v>5004</v>
      </c>
      <c r="M31" s="36" t="s">
        <v>5497</v>
      </c>
      <c r="N31" s="36">
        <v>52</v>
      </c>
      <c r="O31" s="224">
        <f t="shared" si="13"/>
        <v>53</v>
      </c>
      <c r="P31" s="36" t="str">
        <f>'свод практик'!DL6</f>
        <v>да</v>
      </c>
      <c r="Q31" s="36" t="str">
        <f>'свод практик'!DL7</f>
        <v>да</v>
      </c>
      <c r="R31" s="36" t="str">
        <f>'свод практик'!DL10</f>
        <v>да</v>
      </c>
      <c r="S31" s="36" t="str">
        <f>'свод практик'!DL11</f>
        <v>да</v>
      </c>
      <c r="T31" s="36" t="str">
        <f>'свод практик'!DL13</f>
        <v>Нет</v>
      </c>
      <c r="U31" s="36" t="str">
        <f>'свод практик'!DL14</f>
        <v>да</v>
      </c>
      <c r="V31" s="36" t="str">
        <f>'свод практик'!DL16</f>
        <v>да</v>
      </c>
      <c r="W31" s="36" t="str">
        <f>'свод практик'!DL28</f>
        <v>да</v>
      </c>
      <c r="X31" s="36" t="str">
        <f>'свод практик'!DL30</f>
        <v>да</v>
      </c>
      <c r="Y31" s="36">
        <f>'свод практик'!DL31</f>
        <v>0</v>
      </c>
      <c r="Z31" s="36" t="str">
        <f>'свод практик'!DL34</f>
        <v>нет</v>
      </c>
      <c r="AA31" s="36" t="str">
        <f>'свод практик'!DL35</f>
        <v>да</v>
      </c>
      <c r="AB31" s="36" t="str">
        <f>'свод практик'!DL36</f>
        <v>да</v>
      </c>
      <c r="AC31" s="36" t="str">
        <f>'свод практик'!DL39</f>
        <v>да</v>
      </c>
      <c r="AF31" s="36" t="str">
        <f>'свод практик'!DL44</f>
        <v>да</v>
      </c>
      <c r="AI31" s="36" t="str">
        <f>'свод практик'!DL47</f>
        <v>да</v>
      </c>
      <c r="AJ31" s="36" t="str">
        <f>'свод практик'!DL49</f>
        <v>да</v>
      </c>
      <c r="AK31" s="36" t="str">
        <f>'свод практик'!DL50</f>
        <v>да</v>
      </c>
      <c r="AL31" s="36" t="str">
        <f>'свод практик'!DL52</f>
        <v>да</v>
      </c>
      <c r="AM31" s="266" t="str">
        <f>'свод практик'!DL53</f>
        <v>да</v>
      </c>
      <c r="AP31" s="36" t="str">
        <f>'свод практик'!DL59</f>
        <v>да</v>
      </c>
      <c r="AQ31" s="36" t="str">
        <f>'свод практик'!DL61</f>
        <v>да</v>
      </c>
      <c r="AR31" s="36" t="str">
        <f>'свод практик'!DL62</f>
        <v>да</v>
      </c>
      <c r="AS31" s="36" t="str">
        <f>'свод практик'!DL65</f>
        <v>да</v>
      </c>
      <c r="AT31" s="36" t="str">
        <f>'свод практик'!DL66</f>
        <v>да</v>
      </c>
      <c r="AU31" s="36" t="str">
        <f>'свод практик'!DL70</f>
        <v>да</v>
      </c>
      <c r="AV31" s="36" t="str">
        <f>'свод практик'!DL71</f>
        <v>да</v>
      </c>
      <c r="AW31" s="36" t="str">
        <f>'свод практик'!DL74</f>
        <v>нет</v>
      </c>
      <c r="AX31" s="36" t="str">
        <f>'свод практик'!DL76</f>
        <v>да</v>
      </c>
      <c r="AZ31" s="36" t="str">
        <f>'свод практик'!DL80</f>
        <v>да</v>
      </c>
      <c r="BA31" s="36" t="str">
        <f>'свод практик'!DL83</f>
        <v>нет</v>
      </c>
      <c r="BC31" s="36" t="str">
        <f>'свод практик'!DL86</f>
        <v>да</v>
      </c>
      <c r="BF31" s="36" t="str">
        <f>'свод практик'!DL90</f>
        <v>да</v>
      </c>
      <c r="BG31" s="36" t="str">
        <f>'свод практик'!DL91</f>
        <v>да</v>
      </c>
      <c r="BH31" s="36" t="str">
        <f>'свод практик'!DL92</f>
        <v>Нет</v>
      </c>
      <c r="BI31" s="36" t="str">
        <f>'свод практик'!DL93</f>
        <v xml:space="preserve">да </v>
      </c>
      <c r="BJ31" s="36" t="str">
        <f>'свод практик'!DL94</f>
        <v>да</v>
      </c>
      <c r="BK31" s="36">
        <f>'свод практик'!DL100</f>
        <v>0</v>
      </c>
      <c r="BL31" s="36" t="str">
        <f>'свод практик'!DL102</f>
        <v>нет</v>
      </c>
      <c r="BM31" s="36" t="str">
        <f>'свод практик'!DL103</f>
        <v>да</v>
      </c>
      <c r="BN31" s="36" t="str">
        <f>'свод практик'!DL118</f>
        <v>да</v>
      </c>
      <c r="BO31" s="36" t="str">
        <f>'свод практик'!DL120</f>
        <v>да</v>
      </c>
      <c r="BP31" s="36" t="str">
        <f>'свод практик'!DL122</f>
        <v>да</v>
      </c>
      <c r="BR31" s="36" t="str">
        <f>'свод практик'!DL124</f>
        <v>нет</v>
      </c>
      <c r="BS31" s="36" t="str">
        <f>'свод практик'!DL126</f>
        <v>да</v>
      </c>
      <c r="BT31" s="36" t="str">
        <f>'свод практик'!DL129</f>
        <v>да</v>
      </c>
      <c r="BU31" s="36" t="str">
        <f>'свод практик'!DL131</f>
        <v>да</v>
      </c>
      <c r="BV31" s="36" t="str">
        <f>'свод практик'!DL145</f>
        <v>нет</v>
      </c>
      <c r="BW31" s="36">
        <f>'свод практик'!DL146</f>
        <v>0</v>
      </c>
      <c r="BX31" s="36" t="str">
        <f>'свод практик'!DL147</f>
        <v>да</v>
      </c>
      <c r="BY31" s="36" t="str">
        <f>'свод практик'!DL148</f>
        <v>да</v>
      </c>
      <c r="BZ31" s="36" t="str">
        <f>'свод практик'!DL152</f>
        <v>да</v>
      </c>
      <c r="CC31" s="36" t="str">
        <f>'свод практик'!DL159</f>
        <v>да</v>
      </c>
      <c r="CD31" s="36" t="str">
        <f>'свод практик'!DL160</f>
        <v>да</v>
      </c>
      <c r="CE31" s="36" t="str">
        <f>'свод практик'!DL164</f>
        <v>да</v>
      </c>
      <c r="CF31" s="36" t="str">
        <f>'свод практик'!DL166</f>
        <v>нет</v>
      </c>
      <c r="CG31" s="36" t="str">
        <f>'свод практик'!DL168</f>
        <v>да</v>
      </c>
      <c r="CH31" s="36" t="str">
        <f>'свод практик'!DL169</f>
        <v>да</v>
      </c>
      <c r="CI31" s="36" t="str">
        <f>'свод практик'!DL170</f>
        <v xml:space="preserve">да </v>
      </c>
      <c r="CK31" s="36" t="str">
        <f>'свод практик'!DL173</f>
        <v>нет</v>
      </c>
      <c r="CL31" s="36" t="str">
        <f>'свод практик'!DL174</f>
        <v>да</v>
      </c>
      <c r="CM31" s="36" t="str">
        <f>'свод практик'!DL180</f>
        <v>да</v>
      </c>
      <c r="CN31" s="36" t="str">
        <f>'свод практик'!DL208</f>
        <v>да</v>
      </c>
      <c r="CP31" s="36" t="str">
        <f>'свод практик'!DL211</f>
        <v>да</v>
      </c>
      <c r="CQ31" s="36" t="str">
        <f>'свод практик'!DL245</f>
        <v>нет</v>
      </c>
      <c r="CS31" s="36" t="str">
        <f>'свод практик'!DL248</f>
        <v>да</v>
      </c>
      <c r="CT31" s="36" t="str">
        <f>'свод практик'!DL250</f>
        <v>да</v>
      </c>
      <c r="CU31" s="36" t="str">
        <f>'свод практик'!DL252</f>
        <v>да</v>
      </c>
      <c r="CV31" s="36" t="str">
        <f>'свод практик'!DL277</f>
        <v>да</v>
      </c>
    </row>
    <row r="32" spans="1:100" ht="28">
      <c r="A32" s="743"/>
      <c r="B32" s="27"/>
      <c r="C32" s="740"/>
      <c r="D32" s="42" t="s">
        <v>4949</v>
      </c>
      <c r="E32" s="42">
        <v>28</v>
      </c>
      <c r="F32" s="48" t="s">
        <v>5022</v>
      </c>
      <c r="G32" s="58" t="s">
        <v>5023</v>
      </c>
      <c r="H32" s="45" t="s">
        <v>63</v>
      </c>
      <c r="I32" s="46" t="s">
        <v>5004</v>
      </c>
      <c r="M32" s="36" t="s">
        <v>5497</v>
      </c>
      <c r="N32" s="36">
        <v>12</v>
      </c>
      <c r="O32" s="224">
        <f t="shared" si="13"/>
        <v>10</v>
      </c>
      <c r="P32" s="36" t="str">
        <f>'свод практик'!DO6</f>
        <v>нет</v>
      </c>
      <c r="Q32" s="36" t="str">
        <f>'свод практик'!DO7</f>
        <v>нет</v>
      </c>
      <c r="R32" s="36" t="str">
        <f>'свод практик'!DO10</f>
        <v xml:space="preserve">Нет </v>
      </c>
      <c r="S32" s="36" t="str">
        <f>'свод практик'!DO11</f>
        <v>нет</v>
      </c>
      <c r="T32" s="36" t="str">
        <f>'свод практик'!DO13</f>
        <v>Нет</v>
      </c>
      <c r="U32" s="36" t="str">
        <f>'свод практик'!DO14</f>
        <v>нет</v>
      </c>
      <c r="V32" s="36" t="str">
        <f>'свод практик'!DO24</f>
        <v>Нет</v>
      </c>
      <c r="W32" s="36" t="str">
        <f>'свод практик'!DO28</f>
        <v>да</v>
      </c>
      <c r="X32" s="36">
        <f>'свод практик'!DO30</f>
        <v>0</v>
      </c>
      <c r="Y32" s="36">
        <f>'свод практик'!DO31</f>
        <v>0</v>
      </c>
      <c r="Z32" s="36" t="str">
        <f>'свод практик'!DO34</f>
        <v>нет</v>
      </c>
      <c r="AA32" s="36">
        <f>'свод практик'!DO35</f>
        <v>0</v>
      </c>
      <c r="AB32" s="36" t="str">
        <f>'свод практик'!DO36</f>
        <v>Нет</v>
      </c>
      <c r="AC32" s="36" t="str">
        <f>'свод практик'!DO39</f>
        <v xml:space="preserve">нет </v>
      </c>
      <c r="AF32" s="36" t="str">
        <f>'свод практик'!DO44</f>
        <v>нет</v>
      </c>
      <c r="AI32" s="36" t="str">
        <f>'свод практик'!DO47</f>
        <v>да</v>
      </c>
      <c r="AJ32" s="36" t="str">
        <f>'свод практик'!DO49</f>
        <v>нет</v>
      </c>
      <c r="AK32" s="36" t="str">
        <f>'свод практик'!DO50</f>
        <v>да</v>
      </c>
      <c r="AL32" s="36" t="str">
        <f>'свод практик'!DO52</f>
        <v>нет</v>
      </c>
      <c r="AM32" s="36" t="str">
        <f>'свод практик'!DO56</f>
        <v>нет</v>
      </c>
      <c r="AP32" s="36" t="str">
        <f>'свод практик'!DO59</f>
        <v>нет</v>
      </c>
      <c r="AQ32" s="36" t="str">
        <f>'свод практик'!DO61</f>
        <v>нет</v>
      </c>
      <c r="AR32" s="36" t="str">
        <f>'свод практик'!DO62</f>
        <v>нет</v>
      </c>
      <c r="AS32" s="36" t="str">
        <f>'свод практик'!DO65</f>
        <v>нет</v>
      </c>
      <c r="AT32" s="36" t="str">
        <f>'свод практик'!DO66</f>
        <v>да</v>
      </c>
      <c r="AU32" s="36" t="str">
        <f>'свод практик'!DO70</f>
        <v>нет</v>
      </c>
      <c r="AV32" s="36" t="str">
        <f>'свод практик'!DO72</f>
        <v>нет</v>
      </c>
      <c r="AW32" s="36" t="str">
        <f>'свод практик'!DO74</f>
        <v>нет</v>
      </c>
      <c r="AX32" s="36" t="str">
        <f>'свод практик'!DO77</f>
        <v>нет</v>
      </c>
      <c r="AZ32" s="36" t="str">
        <f>'свод практик'!DO81</f>
        <v>нет</v>
      </c>
      <c r="BA32" s="36" t="str">
        <f>'свод практик'!DO83</f>
        <v>нет</v>
      </c>
      <c r="BC32" s="36" t="str">
        <f>'свод практик'!DO86</f>
        <v>нет</v>
      </c>
      <c r="BF32" s="36" t="str">
        <f>'свод практик'!DO90</f>
        <v>Нет</v>
      </c>
      <c r="BG32" s="36" t="str">
        <f>'свод практик'!DO91</f>
        <v>нет</v>
      </c>
      <c r="BH32" s="36" t="str">
        <f>'свод практик'!DO92</f>
        <v>Нет</v>
      </c>
      <c r="BI32" s="36" t="str">
        <f>'свод практик'!DO93</f>
        <v>нет</v>
      </c>
      <c r="BJ32" s="36" t="str">
        <f>'свод практик'!DO96</f>
        <v>да</v>
      </c>
      <c r="BK32" s="36" t="str">
        <f>'свод практик'!DO100</f>
        <v>-</v>
      </c>
      <c r="BL32" s="36" t="str">
        <f>'свод практик'!DO102</f>
        <v>нет</v>
      </c>
      <c r="BM32" s="36" t="str">
        <f>'свод практик'!DO117</f>
        <v>нет</v>
      </c>
      <c r="BN32" s="36" t="str">
        <f>'свод практик'!DO118</f>
        <v>-</v>
      </c>
      <c r="BO32" s="36" t="str">
        <f>'свод практик'!DO120</f>
        <v>нет</v>
      </c>
      <c r="BP32" s="36" t="str">
        <f>'свод практик'!DO122</f>
        <v>нет</v>
      </c>
      <c r="BR32" s="36" t="str">
        <f>'свод практик'!DO124</f>
        <v>нет</v>
      </c>
      <c r="BS32" s="36" t="str">
        <f>'свод практик'!DO127</f>
        <v>да</v>
      </c>
      <c r="BT32" s="36" t="str">
        <f>'свод практик'!DO129</f>
        <v>нет</v>
      </c>
      <c r="BU32" s="36" t="str">
        <f>'свод практик'!DO143</f>
        <v>нет</v>
      </c>
      <c r="BV32" s="36" t="str">
        <f>'свод практик'!DO145</f>
        <v>нет</v>
      </c>
      <c r="BW32" s="36">
        <f>'свод практик'!DO146</f>
        <v>0</v>
      </c>
      <c r="BX32" s="36" t="str">
        <f>'свод практик'!DO147</f>
        <v>нет</v>
      </c>
      <c r="BY32" s="36" t="str">
        <f>'свод практик'!DO148</f>
        <v>да</v>
      </c>
      <c r="BZ32" s="36" t="str">
        <f>'свод практик'!DO151</f>
        <v>да</v>
      </c>
      <c r="CC32" s="36" t="str">
        <f>'свод практик'!DO159</f>
        <v>нет</v>
      </c>
      <c r="CD32" s="36" t="str">
        <f>'свод практик'!DO162</f>
        <v>нет</v>
      </c>
      <c r="CE32" s="36" t="str">
        <f>'свод практик'!DO164</f>
        <v>нет</v>
      </c>
      <c r="CF32" s="36" t="str">
        <f>'свод практик'!DO166</f>
        <v>нет</v>
      </c>
      <c r="CG32" s="36" t="str">
        <f>'свод практик'!DO168</f>
        <v>нет</v>
      </c>
      <c r="CH32" s="36" t="str">
        <f>'свод практик'!DO169</f>
        <v>нет</v>
      </c>
      <c r="CI32" s="36" t="str">
        <f>'свод практик'!DO170</f>
        <v>нет</v>
      </c>
      <c r="CK32" s="36" t="str">
        <f>'свод практик'!DO173</f>
        <v>нет</v>
      </c>
      <c r="CL32" s="36" t="str">
        <f>'свод практик'!DO179</f>
        <v>нет</v>
      </c>
      <c r="CM32" s="36" t="str">
        <f>'свод практик'!DO207</f>
        <v>нет</v>
      </c>
      <c r="CN32" s="36" t="str">
        <f>'свод практик'!DO209</f>
        <v>нет</v>
      </c>
      <c r="CP32" s="36" t="str">
        <f>'свод практик'!DO213</f>
        <v>да</v>
      </c>
      <c r="CQ32" s="36" t="str">
        <f>'свод практик'!DO245</f>
        <v>нет</v>
      </c>
      <c r="CS32" s="36" t="str">
        <f>'свод практик'!DO249</f>
        <v>нет</v>
      </c>
      <c r="CT32" s="36" t="str">
        <f>'свод практик'!DO250</f>
        <v>нет</v>
      </c>
      <c r="CU32" s="36" t="str">
        <f>'свод практик'!DO253</f>
        <v>да</v>
      </c>
      <c r="CV32" s="36" t="str">
        <f>'свод практик'!DO277</f>
        <v>нет</v>
      </c>
    </row>
    <row r="33" spans="1:100" ht="42">
      <c r="A33" s="743"/>
      <c r="B33" s="27"/>
      <c r="C33" s="740"/>
      <c r="D33" s="42" t="s">
        <v>4949</v>
      </c>
      <c r="E33" s="42">
        <v>29</v>
      </c>
      <c r="F33" s="48" t="s">
        <v>5024</v>
      </c>
      <c r="G33" s="58" t="s">
        <v>5025</v>
      </c>
      <c r="H33" s="45" t="s">
        <v>63</v>
      </c>
      <c r="I33" s="46" t="s">
        <v>5004</v>
      </c>
      <c r="M33" s="36" t="s">
        <v>5497</v>
      </c>
      <c r="N33" s="36">
        <v>19</v>
      </c>
      <c r="O33" s="224">
        <f t="shared" si="13"/>
        <v>21</v>
      </c>
      <c r="P33" s="36" t="str">
        <f>'свод практик'!DR6</f>
        <v>нет</v>
      </c>
      <c r="Q33" s="36" t="str">
        <f>'свод практик'!DR7</f>
        <v>нет</v>
      </c>
      <c r="R33" s="36" t="str">
        <f>'свод практик'!DR10</f>
        <v xml:space="preserve">Нет </v>
      </c>
      <c r="S33" s="36" t="str">
        <f>'свод практик'!DR11</f>
        <v>нет</v>
      </c>
      <c r="T33" s="36" t="str">
        <f>'свод практик'!DR13</f>
        <v>да</v>
      </c>
      <c r="U33" s="36" t="str">
        <f>'свод практик'!DR14</f>
        <v>нет</v>
      </c>
      <c r="V33" s="36" t="str">
        <f>'свод практик'!DR19</f>
        <v>Нет</v>
      </c>
      <c r="W33" s="36" t="str">
        <f>'свод практик'!DR29</f>
        <v>нет</v>
      </c>
      <c r="X33" s="36">
        <f>'свод практик'!DR30</f>
        <v>0</v>
      </c>
      <c r="Y33" s="36">
        <f>'свод практик'!DR31</f>
        <v>0</v>
      </c>
      <c r="Z33" s="266" t="str">
        <f>'свод практик'!DR32</f>
        <v>да</v>
      </c>
      <c r="AA33" s="36">
        <f>'свод практик'!DR35</f>
        <v>0</v>
      </c>
      <c r="AB33" s="36" t="str">
        <f>'свод практик'!DR36</f>
        <v>Нет</v>
      </c>
      <c r="AC33" s="36" t="str">
        <f>'свод практик'!DR41</f>
        <v>нет</v>
      </c>
      <c r="AF33" s="36" t="str">
        <f>'свод практик'!DR44</f>
        <v>нет</v>
      </c>
      <c r="AI33" s="36" t="str">
        <f>'свод практик'!DR47</f>
        <v>да</v>
      </c>
      <c r="AJ33" s="36" t="str">
        <f>'свод практик'!DR49</f>
        <v>нет</v>
      </c>
      <c r="AK33" s="36" t="str">
        <f>'свод практик'!DR50</f>
        <v>да</v>
      </c>
      <c r="AL33" s="36" t="str">
        <f>'свод практик'!DR52</f>
        <v>нет</v>
      </c>
      <c r="AM33" s="266" t="str">
        <f>'свод практик'!DR53</f>
        <v>нет</v>
      </c>
      <c r="AP33" s="36" t="str">
        <f>'свод практик'!DR60</f>
        <v>да</v>
      </c>
      <c r="AQ33" s="36" t="str">
        <f>'свод практик'!DR61</f>
        <v>нет</v>
      </c>
      <c r="AR33" s="36" t="str">
        <f>'свод практик'!DR62</f>
        <v>нет</v>
      </c>
      <c r="AS33" s="36" t="str">
        <f>'свод практик'!DR65</f>
        <v>нет</v>
      </c>
      <c r="AT33" s="36" t="str">
        <f>'свод практик'!DR67</f>
        <v>да</v>
      </c>
      <c r="AU33" s="36" t="str">
        <f>'свод практик'!DR70</f>
        <v>нет</v>
      </c>
      <c r="AV33" s="36" t="str">
        <f>'свод практик'!DR71</f>
        <v>да</v>
      </c>
      <c r="AW33" s="36" t="str">
        <f>'свод практик'!DR74</f>
        <v>нет</v>
      </c>
      <c r="AX33" s="36" t="str">
        <f>'свод практик'!DR78</f>
        <v>нет</v>
      </c>
      <c r="AZ33" s="36" t="str">
        <f>'свод практик'!DR82</f>
        <v>нет</v>
      </c>
      <c r="BA33" s="36" t="str">
        <f>'свод практик'!DR84</f>
        <v>нет</v>
      </c>
      <c r="BC33" s="36" t="str">
        <f>'свод практик'!DR86</f>
        <v>да</v>
      </c>
      <c r="BF33" s="36" t="str">
        <f>'свод практик'!DR90</f>
        <v>Нет</v>
      </c>
      <c r="BG33" s="36" t="str">
        <f>'свод практик'!DR91</f>
        <v>нет</v>
      </c>
      <c r="BH33" s="36" t="str">
        <f>'свод практик'!DR92</f>
        <v>Нет</v>
      </c>
      <c r="BI33" s="36" t="str">
        <f>'свод практик'!DR93</f>
        <v>нет</v>
      </c>
      <c r="BJ33" s="36" t="str">
        <f>'свод практик'!DR95</f>
        <v>да</v>
      </c>
      <c r="BK33" s="266">
        <f>'свод практик'!DR100</f>
        <v>0</v>
      </c>
      <c r="BL33" s="36" t="str">
        <f>'свод практик'!DR102</f>
        <v>нет</v>
      </c>
      <c r="BM33" s="36" t="str">
        <f>'свод практик'!DR111</f>
        <v>да</v>
      </c>
      <c r="BN33" s="36" t="str">
        <f>'свод практик'!DR118</f>
        <v>да</v>
      </c>
      <c r="BO33" s="36" t="str">
        <f>'свод практик'!DR120</f>
        <v>нет</v>
      </c>
      <c r="BP33" s="36" t="str">
        <f>'свод практик'!DR122</f>
        <v>нет</v>
      </c>
      <c r="BR33" s="36" t="str">
        <f>'свод практик'!DR124</f>
        <v>нет</v>
      </c>
      <c r="BS33" s="36" t="str">
        <f>'свод практик'!DR127</f>
        <v>Нет</v>
      </c>
      <c r="BT33" s="36" t="str">
        <f>'свод практик'!DR129</f>
        <v>нет</v>
      </c>
      <c r="BU33" s="36" t="str">
        <f>'свод практик'!DR130</f>
        <v>да</v>
      </c>
      <c r="BV33" s="36" t="str">
        <f>'свод практик'!DR145</f>
        <v>да</v>
      </c>
      <c r="BW33" s="36">
        <f>'свод практик'!DR146</f>
        <v>0</v>
      </c>
      <c r="BX33" s="36" t="str">
        <f>'свод практик'!DR147</f>
        <v>да</v>
      </c>
      <c r="BY33" s="36" t="str">
        <f>'свод практик'!DR150</f>
        <v>да</v>
      </c>
      <c r="BZ33" s="36" t="str">
        <f>'свод практик'!DR155</f>
        <v>да</v>
      </c>
      <c r="CC33" s="36" t="str">
        <f>'свод практик'!DR159</f>
        <v>нет</v>
      </c>
      <c r="CD33" s="36" t="str">
        <f>'свод практик'!DR162</f>
        <v>нет</v>
      </c>
      <c r="CE33" s="36" t="str">
        <f>'свод практик'!DR163</f>
        <v>да</v>
      </c>
      <c r="CF33" s="36" t="str">
        <f>'свод практик'!DR166</f>
        <v>нет</v>
      </c>
      <c r="CG33" s="36" t="str">
        <f>'свод практик'!DR168</f>
        <v>нет</v>
      </c>
      <c r="CH33" s="36" t="str">
        <f>'свод практик'!DR169</f>
        <v>нет</v>
      </c>
      <c r="CI33" s="36" t="str">
        <f>'свод практик'!DR170</f>
        <v>нет</v>
      </c>
      <c r="CK33" s="36" t="str">
        <f>'свод практик'!DR173</f>
        <v>нет</v>
      </c>
      <c r="CL33" s="36" t="str">
        <f>'свод практик'!DR179</f>
        <v>нет</v>
      </c>
      <c r="CM33" s="36" t="str">
        <f>'свод практик'!DR195</f>
        <v>да</v>
      </c>
      <c r="CN33" s="36" t="str">
        <f>'свод практик'!DR209</f>
        <v>нет</v>
      </c>
      <c r="CP33" s="36" t="str">
        <f>'свод практик'!DR213</f>
        <v>да</v>
      </c>
      <c r="CQ33" s="36" t="str">
        <f>'свод практик'!DR245</f>
        <v>да</v>
      </c>
      <c r="CS33" s="36" t="str">
        <f>'свод практик'!DR249</f>
        <v>нет</v>
      </c>
      <c r="CT33" s="36" t="str">
        <f>'свод практик'!DR250</f>
        <v>нет</v>
      </c>
      <c r="CU33" s="36" t="str">
        <f>'свод практик'!DR255</f>
        <v>да</v>
      </c>
      <c r="CV33" s="36" t="str">
        <f>'свод практик'!DR277</f>
        <v>нет</v>
      </c>
    </row>
    <row r="34" spans="1:100" ht="28">
      <c r="A34" s="743"/>
      <c r="B34" s="27"/>
      <c r="C34" s="740"/>
      <c r="D34" s="42" t="s">
        <v>4949</v>
      </c>
      <c r="E34" s="42">
        <v>30</v>
      </c>
      <c r="F34" s="48" t="s">
        <v>5026</v>
      </c>
      <c r="G34" s="58" t="s">
        <v>5027</v>
      </c>
      <c r="H34" s="45" t="s">
        <v>63</v>
      </c>
      <c r="I34" s="46" t="s">
        <v>5004</v>
      </c>
      <c r="M34" s="36" t="s">
        <v>5497</v>
      </c>
      <c r="N34" s="36">
        <v>10</v>
      </c>
      <c r="O34" s="224">
        <f t="shared" si="13"/>
        <v>10</v>
      </c>
      <c r="P34" s="36" t="str">
        <f>'свод практик'!DU6</f>
        <v>нет</v>
      </c>
      <c r="Q34" s="36" t="str">
        <f>'свод практик'!DU7</f>
        <v>нет</v>
      </c>
      <c r="R34" s="36" t="str">
        <f>'свод практик'!DU9</f>
        <v>нет</v>
      </c>
      <c r="S34" s="36" t="str">
        <f>'свод практик'!DU11</f>
        <v>нет</v>
      </c>
      <c r="T34" s="36" t="str">
        <f>'свод практик'!DU13</f>
        <v>Нет</v>
      </c>
      <c r="U34" s="36" t="str">
        <f>'свод практик'!DU14</f>
        <v>нет</v>
      </c>
      <c r="V34" s="36" t="str">
        <f>'свод практик'!DU25</f>
        <v>Нет</v>
      </c>
      <c r="W34" s="36" t="str">
        <f>'свод практик'!DU28</f>
        <v>нет</v>
      </c>
      <c r="X34" s="36">
        <f>'свод практик'!DU30</f>
        <v>0</v>
      </c>
      <c r="Y34" s="36">
        <f>'свод практик'!DU31</f>
        <v>0</v>
      </c>
      <c r="Z34" s="36" t="str">
        <f>'свод практик'!DU34</f>
        <v>нет</v>
      </c>
      <c r="AA34" s="36">
        <f>'свод практик'!DU35</f>
        <v>0</v>
      </c>
      <c r="AB34" s="36" t="str">
        <f>'свод практик'!DU36</f>
        <v>Нет</v>
      </c>
      <c r="AC34" s="36" t="str">
        <f>'свод практик'!DU41</f>
        <v>нет</v>
      </c>
      <c r="AF34" s="36" t="str">
        <f>'свод практик'!DU44</f>
        <v>нет</v>
      </c>
      <c r="AI34" s="36" t="str">
        <f>'свод практик'!DU47</f>
        <v>нет</v>
      </c>
      <c r="AJ34" s="36" t="str">
        <f>'свод практик'!DU49</f>
        <v>нет</v>
      </c>
      <c r="AK34" s="36" t="str">
        <f>'свод практик'!DU50</f>
        <v>да</v>
      </c>
      <c r="AL34" s="36" t="str">
        <f>'свод практик'!DU52</f>
        <v>нет</v>
      </c>
      <c r="AM34" s="36" t="str">
        <f>'свод практик'!DU56</f>
        <v>нет</v>
      </c>
      <c r="AP34" s="36" t="str">
        <f>'свод практик'!DU59</f>
        <v>нет</v>
      </c>
      <c r="AQ34" s="36" t="str">
        <f>'свод практик'!DU61</f>
        <v>нет</v>
      </c>
      <c r="AR34" s="36" t="str">
        <f>'свод практик'!DU62</f>
        <v>нет</v>
      </c>
      <c r="AS34" s="36" t="str">
        <f>'свод практик'!DU65</f>
        <v>нет</v>
      </c>
      <c r="AT34" s="36" t="str">
        <f>'свод практик'!DU68</f>
        <v>нет</v>
      </c>
      <c r="AU34" s="36" t="str">
        <f>'свод практик'!DU70</f>
        <v>нет</v>
      </c>
      <c r="AV34" s="36" t="str">
        <f>'свод практик'!DU71</f>
        <v>нет</v>
      </c>
      <c r="AW34" s="36" t="str">
        <f>'свод практик'!DU74</f>
        <v>нет</v>
      </c>
      <c r="AX34" s="36" t="str">
        <f>'свод практик'!DU78</f>
        <v>нет</v>
      </c>
      <c r="AZ34" s="36" t="str">
        <f>'свод практик'!DU82</f>
        <v>нет</v>
      </c>
      <c r="BA34" s="36" t="str">
        <f>'свод практик'!DU83</f>
        <v>да</v>
      </c>
      <c r="BC34" s="36" t="str">
        <f>'свод практик'!DU86</f>
        <v>да</v>
      </c>
      <c r="BF34" s="36" t="str">
        <f>'свод практик'!DU90</f>
        <v>Нет</v>
      </c>
      <c r="BG34" s="36" t="str">
        <f>'свод практик'!DU91</f>
        <v xml:space="preserve">нет </v>
      </c>
      <c r="BH34" s="36" t="str">
        <f>'свод практик'!DU92</f>
        <v>Нет</v>
      </c>
      <c r="BI34" s="36" t="str">
        <f>'свод практик'!DU93</f>
        <v>нет</v>
      </c>
      <c r="BJ34" s="36" t="str">
        <f>'свод практик'!DU98</f>
        <v>нет</v>
      </c>
      <c r="BK34" s="36" t="str">
        <f>'свод практик'!DU100</f>
        <v>-</v>
      </c>
      <c r="BL34" s="36" t="str">
        <f>'свод практик'!DU102</f>
        <v>нет</v>
      </c>
      <c r="BM34" s="36" t="str">
        <f>'свод практик'!DU117</f>
        <v>нет</v>
      </c>
      <c r="BN34" s="36" t="str">
        <f>'свод практик'!DU119</f>
        <v>-</v>
      </c>
      <c r="BO34" s="36">
        <f>'свод практик'!DU121</f>
        <v>0</v>
      </c>
      <c r="BP34" s="36" t="str">
        <f>'свод практик'!DU122</f>
        <v>нет</v>
      </c>
      <c r="BR34" s="36" t="str">
        <f>'свод практик'!DU124</f>
        <v>нет</v>
      </c>
      <c r="BS34" s="36" t="str">
        <f>'свод практик'!DU127</f>
        <v>Да</v>
      </c>
      <c r="BT34" s="36" t="str">
        <f>'свод практик'!DU129</f>
        <v>нет</v>
      </c>
      <c r="BU34" s="36" t="str">
        <f>'свод практик'!DU144</f>
        <v>да</v>
      </c>
      <c r="BV34" s="36" t="str">
        <f>'свод практик'!DU145</f>
        <v>нет</v>
      </c>
      <c r="BW34" s="36">
        <f>'свод практик'!DU146</f>
        <v>0</v>
      </c>
      <c r="BX34" s="36" t="str">
        <f>'свод практик'!DU147</f>
        <v>Да</v>
      </c>
      <c r="BY34" s="36" t="str">
        <f>'свод практик'!DU150</f>
        <v>нет</v>
      </c>
      <c r="BZ34" s="36" t="str">
        <f>'свод практик'!DU153</f>
        <v>Да</v>
      </c>
      <c r="CC34" s="36" t="str">
        <f>'свод практик'!DU159</f>
        <v>нет</v>
      </c>
      <c r="CD34" s="36" t="str">
        <f>'свод практик'!DU162</f>
        <v>да</v>
      </c>
      <c r="CE34" s="36" t="str">
        <f>'свод практик'!DU164</f>
        <v>нет</v>
      </c>
      <c r="CF34" s="36" t="str">
        <f>'свод практик'!DU166</f>
        <v>нет</v>
      </c>
      <c r="CG34" s="36" t="str">
        <f>'свод практик'!DU168</f>
        <v>нет</v>
      </c>
      <c r="CH34" s="36" t="str">
        <f>'свод практик'!DU169</f>
        <v>нет</v>
      </c>
      <c r="CI34" s="36" t="str">
        <f>'свод практик'!DU170</f>
        <v>нет</v>
      </c>
      <c r="CK34" s="36" t="str">
        <f>'свод практик'!DU173</f>
        <v>нет</v>
      </c>
      <c r="CL34" s="36" t="str">
        <f>'свод практик'!DU179</f>
        <v>нет</v>
      </c>
      <c r="CM34" s="36" t="str">
        <f>'свод практик'!DU207</f>
        <v>нет</v>
      </c>
      <c r="CN34" s="36" t="str">
        <f>'свод практик'!DU209</f>
        <v>нет</v>
      </c>
      <c r="CP34" s="36" t="str">
        <f>'свод практик'!DU213</f>
        <v>да</v>
      </c>
      <c r="CQ34" s="36" t="str">
        <f>'свод практик'!DU246</f>
        <v>нет</v>
      </c>
      <c r="CS34" s="36" t="str">
        <f>'свод практик'!DU249</f>
        <v>нет</v>
      </c>
      <c r="CT34" s="36" t="str">
        <f>'свод практик'!DU250</f>
        <v>нет</v>
      </c>
      <c r="CU34" s="36" t="str">
        <f>'свод практик'!DU253</f>
        <v>да</v>
      </c>
      <c r="CV34" s="36" t="str">
        <f>'свод практик'!DU277</f>
        <v>нет</v>
      </c>
    </row>
    <row r="35" spans="1:100" ht="28">
      <c r="A35" s="743"/>
      <c r="B35" s="27"/>
      <c r="C35" s="740"/>
      <c r="D35" s="42" t="s">
        <v>4949</v>
      </c>
      <c r="E35" s="42">
        <v>31</v>
      </c>
      <c r="F35" s="48" t="s">
        <v>5028</v>
      </c>
      <c r="G35" s="58" t="s">
        <v>5029</v>
      </c>
      <c r="H35" s="45" t="s">
        <v>63</v>
      </c>
      <c r="I35" s="46" t="s">
        <v>5004</v>
      </c>
      <c r="M35" s="36" t="s">
        <v>5497</v>
      </c>
      <c r="N35" s="36">
        <v>24</v>
      </c>
      <c r="O35" s="224">
        <f t="shared" si="13"/>
        <v>26</v>
      </c>
      <c r="P35" s="36" t="str">
        <f>'свод практик'!DX6</f>
        <v>нет</v>
      </c>
      <c r="Q35" s="36" t="str">
        <f>'свод практик'!DX7</f>
        <v>нет</v>
      </c>
      <c r="R35" s="36" t="str">
        <f>'свод практик'!DX10</f>
        <v xml:space="preserve">Нет </v>
      </c>
      <c r="S35" s="36" t="str">
        <f>'свод практик'!DX11</f>
        <v>нет</v>
      </c>
      <c r="T35" s="36" t="str">
        <f>'свод практик'!DX12</f>
        <v>Да</v>
      </c>
      <c r="U35" s="36" t="str">
        <f>'свод практик'!DX14</f>
        <v>нет</v>
      </c>
      <c r="V35" s="36" t="str">
        <f>'свод практик'!DX16</f>
        <v>Да</v>
      </c>
      <c r="W35" s="36" t="str">
        <f>'свод практик'!DX28</f>
        <v>нет</v>
      </c>
      <c r="X35" s="36">
        <f>'свод практик'!DX30</f>
        <v>0</v>
      </c>
      <c r="Y35" s="36" t="str">
        <f>'свод практик'!DX31</f>
        <v>да</v>
      </c>
      <c r="Z35" s="266" t="str">
        <f>'свод практик'!DX32</f>
        <v>да</v>
      </c>
      <c r="AA35" s="36">
        <f>'свод практик'!DX35</f>
        <v>0</v>
      </c>
      <c r="AB35" s="36" t="str">
        <f>'свод практик'!DX36</f>
        <v>Нет</v>
      </c>
      <c r="AC35" s="36" t="str">
        <f>'свод практик'!DX39</f>
        <v>да</v>
      </c>
      <c r="AF35" s="36" t="str">
        <f>'свод практик'!DX44</f>
        <v>нет</v>
      </c>
      <c r="AI35" s="36" t="str">
        <f>'свод практик'!DX47</f>
        <v>нет</v>
      </c>
      <c r="AJ35" s="36" t="str">
        <f>'свод практик'!DX49</f>
        <v>нет</v>
      </c>
      <c r="AK35" s="36" t="str">
        <f>'свод практик'!DX50</f>
        <v>да</v>
      </c>
      <c r="AL35" s="36" t="str">
        <f>'свод практик'!DX52</f>
        <v>нет</v>
      </c>
      <c r="AM35" s="36" t="str">
        <f>'свод практик'!DX56</f>
        <v>да</v>
      </c>
      <c r="AP35" s="36" t="str">
        <f>'свод практик'!DX60</f>
        <v>нет</v>
      </c>
      <c r="AQ35" s="36" t="str">
        <f>'свод практик'!DX61</f>
        <v>нет</v>
      </c>
      <c r="AR35" s="36" t="str">
        <f>'свод практик'!DX63</f>
        <v>да</v>
      </c>
      <c r="AS35" s="36" t="str">
        <f>'свод практик'!DX65</f>
        <v>нет</v>
      </c>
      <c r="AT35" s="36" t="str">
        <f>'свод практик'!DX67</f>
        <v>нет</v>
      </c>
      <c r="AU35" s="36" t="str">
        <f>'свод практик'!DX70</f>
        <v>нет</v>
      </c>
      <c r="AV35" s="36" t="str">
        <f>'свод практик'!DX71</f>
        <v>да</v>
      </c>
      <c r="AW35" s="36" t="str">
        <f>'свод практик'!DX75</f>
        <v>да</v>
      </c>
      <c r="AX35" s="36" t="str">
        <f>'свод практик'!DX77</f>
        <v>нет</v>
      </c>
      <c r="AZ35" s="36" t="str">
        <f>'свод практик'!DX82</f>
        <v>да</v>
      </c>
      <c r="BA35" s="36" t="str">
        <f>'свод практик'!DX84</f>
        <v>нет</v>
      </c>
      <c r="BC35" s="36" t="str">
        <f>'свод практик'!DX86</f>
        <v>да</v>
      </c>
      <c r="BF35" s="36">
        <f>'свод практик'!DX90</f>
        <v>0</v>
      </c>
      <c r="BG35" s="36" t="str">
        <f>'свод практик'!DX91</f>
        <v>да</v>
      </c>
      <c r="BH35" s="36" t="str">
        <f>'свод практик'!DX92</f>
        <v>Нет</v>
      </c>
      <c r="BI35" s="36" t="str">
        <f>'свод практик'!DX93</f>
        <v>нет</v>
      </c>
      <c r="BJ35" s="36" t="str">
        <f>'свод практик'!DX98</f>
        <v>Да</v>
      </c>
      <c r="BK35" s="36" t="str">
        <f>'свод практик'!DX100</f>
        <v>-</v>
      </c>
      <c r="BL35" s="36" t="str">
        <f>'свод практик'!DX102</f>
        <v>да</v>
      </c>
      <c r="BM35" s="36" t="str">
        <f>'свод практик'!DX116</f>
        <v>нет</v>
      </c>
      <c r="BN35" s="36" t="str">
        <f>'свод практик'!DX119</f>
        <v>-</v>
      </c>
      <c r="BO35" s="36" t="str">
        <f>'свод практик'!DX121</f>
        <v xml:space="preserve"> да</v>
      </c>
      <c r="BP35" s="36" t="str">
        <f>'свод практик'!DX122</f>
        <v>да</v>
      </c>
      <c r="BR35" s="36" t="str">
        <f>'свод практик'!DX124</f>
        <v>да</v>
      </c>
      <c r="BS35" s="36" t="str">
        <f>'свод практик'!DX127</f>
        <v>Да</v>
      </c>
      <c r="BT35" s="36" t="str">
        <f>'свод практик'!DX129</f>
        <v>нет</v>
      </c>
      <c r="BU35" s="36" t="str">
        <f>'свод практик'!DX131</f>
        <v>да</v>
      </c>
      <c r="BV35" s="36" t="str">
        <f>'свод практик'!DX145</f>
        <v>нет</v>
      </c>
      <c r="BW35" s="36">
        <f>'свод практик'!DX146</f>
        <v>0</v>
      </c>
      <c r="BX35" s="36" t="str">
        <f>'свод практик'!DX147</f>
        <v>Да</v>
      </c>
      <c r="BY35" s="36" t="str">
        <f>'свод практик'!DX149</f>
        <v>нет</v>
      </c>
      <c r="BZ35" s="36" t="str">
        <f>'свод практик'!DX156</f>
        <v>да</v>
      </c>
      <c r="CC35" s="36" t="str">
        <f>'свод практик'!DX159</f>
        <v>нет</v>
      </c>
      <c r="CD35" s="36" t="str">
        <f>'свод практик'!DX162</f>
        <v>нет</v>
      </c>
      <c r="CE35" s="36" t="str">
        <f>'свод практик'!DX164</f>
        <v>нет</v>
      </c>
      <c r="CF35" s="36" t="str">
        <f>'свод практик'!DX166</f>
        <v>нет</v>
      </c>
      <c r="CG35" s="36" t="str">
        <f>'свод практик'!DX168</f>
        <v>да</v>
      </c>
      <c r="CH35" s="36" t="str">
        <f>'свод практик'!DX169</f>
        <v>нет</v>
      </c>
      <c r="CI35" s="36" t="str">
        <f>'свод практик'!DX170</f>
        <v>нет</v>
      </c>
      <c r="CK35" s="36" t="str">
        <f>'свод практик'!DX173</f>
        <v>нет</v>
      </c>
      <c r="CL35" s="36" t="str">
        <f>'свод практик'!DX177</f>
        <v>нет</v>
      </c>
      <c r="CM35" s="36" t="str">
        <f>'свод практик'!DX187</f>
        <v>да</v>
      </c>
      <c r="CN35" s="36" t="str">
        <f>'свод практик'!DX208</f>
        <v>нет</v>
      </c>
      <c r="CP35" s="36" t="str">
        <f>'свод практик'!DX223</f>
        <v>да</v>
      </c>
      <c r="CQ35" s="266" t="str">
        <f>'свод практик'!DX246</f>
        <v>да</v>
      </c>
      <c r="CS35" s="36" t="str">
        <f>'свод практик'!DX248</f>
        <v>нет</v>
      </c>
      <c r="CT35" s="36" t="str">
        <f>'свод практик'!DX250</f>
        <v>нет</v>
      </c>
      <c r="CU35" s="36" t="str">
        <f>'свод практик'!DX253</f>
        <v>да</v>
      </c>
      <c r="CV35" s="36" t="str">
        <f>'свод практик'!DX277</f>
        <v>нет</v>
      </c>
    </row>
    <row r="36" spans="1:100" ht="29" thickBot="1">
      <c r="A36" s="744"/>
      <c r="B36" s="13" t="s">
        <v>4947</v>
      </c>
      <c r="C36" s="741"/>
      <c r="D36" s="49" t="s">
        <v>4949</v>
      </c>
      <c r="E36" s="49">
        <v>32</v>
      </c>
      <c r="F36" s="50" t="s">
        <v>5030</v>
      </c>
      <c r="G36" s="60" t="s">
        <v>5031</v>
      </c>
      <c r="H36" s="52" t="s">
        <v>5032</v>
      </c>
      <c r="I36" s="53" t="s">
        <v>4956</v>
      </c>
      <c r="M36" s="36" t="s">
        <v>5497</v>
      </c>
      <c r="N36" s="327">
        <v>1.7647058823529411</v>
      </c>
      <c r="O36" s="328">
        <f>AVERAGE($P36:$CV36)</f>
        <v>1.7647058823529411</v>
      </c>
      <c r="P36" s="36">
        <f>COUNTIF(P30:P35,"да")</f>
        <v>2</v>
      </c>
      <c r="Q36" s="36">
        <f>COUNTIF(Q30:Q35,"да")</f>
        <v>1</v>
      </c>
      <c r="R36" s="36">
        <f t="shared" ref="R36:CC36" si="14">COUNTIF(R30:R35,"да")</f>
        <v>2</v>
      </c>
      <c r="S36" s="36">
        <f t="shared" si="14"/>
        <v>2</v>
      </c>
      <c r="T36" s="36">
        <f t="shared" si="14"/>
        <v>2</v>
      </c>
      <c r="U36" s="36">
        <f t="shared" si="14"/>
        <v>1</v>
      </c>
      <c r="V36" s="36">
        <f t="shared" si="14"/>
        <v>3</v>
      </c>
      <c r="W36" s="36">
        <f t="shared" si="14"/>
        <v>3</v>
      </c>
      <c r="X36" s="36">
        <f t="shared" si="14"/>
        <v>1</v>
      </c>
      <c r="Y36" s="36">
        <f t="shared" si="14"/>
        <v>1</v>
      </c>
      <c r="Z36" s="36">
        <f t="shared" si="14"/>
        <v>3</v>
      </c>
      <c r="AA36" s="36">
        <f t="shared" si="14"/>
        <v>1</v>
      </c>
      <c r="AB36" s="36">
        <f t="shared" si="14"/>
        <v>1</v>
      </c>
      <c r="AC36" s="36">
        <f t="shared" si="14"/>
        <v>3</v>
      </c>
      <c r="AD36" s="36">
        <f t="shared" si="14"/>
        <v>0</v>
      </c>
      <c r="AE36" s="36">
        <f t="shared" si="14"/>
        <v>0</v>
      </c>
      <c r="AF36" s="36">
        <f t="shared" si="14"/>
        <v>1</v>
      </c>
      <c r="AG36" s="36">
        <f t="shared" si="14"/>
        <v>0</v>
      </c>
      <c r="AH36" s="36">
        <f t="shared" si="14"/>
        <v>0</v>
      </c>
      <c r="AI36" s="36">
        <f t="shared" si="14"/>
        <v>4</v>
      </c>
      <c r="AJ36" s="36">
        <f t="shared" si="14"/>
        <v>1</v>
      </c>
      <c r="AK36" s="36">
        <f t="shared" si="14"/>
        <v>6</v>
      </c>
      <c r="AL36" s="36">
        <f t="shared" si="14"/>
        <v>1</v>
      </c>
      <c r="AM36" s="36">
        <f t="shared" si="14"/>
        <v>3</v>
      </c>
      <c r="AN36" s="36">
        <f t="shared" si="14"/>
        <v>0</v>
      </c>
      <c r="AO36" s="36">
        <f t="shared" si="14"/>
        <v>0</v>
      </c>
      <c r="AP36" s="36">
        <f t="shared" si="14"/>
        <v>2</v>
      </c>
      <c r="AQ36" s="36">
        <f t="shared" si="14"/>
        <v>1</v>
      </c>
      <c r="AR36" s="36">
        <f t="shared" si="14"/>
        <v>2</v>
      </c>
      <c r="AS36" s="36">
        <f t="shared" si="14"/>
        <v>1</v>
      </c>
      <c r="AT36" s="36">
        <f t="shared" si="14"/>
        <v>4</v>
      </c>
      <c r="AU36" s="36">
        <f t="shared" si="14"/>
        <v>1</v>
      </c>
      <c r="AV36" s="36">
        <f t="shared" si="14"/>
        <v>4</v>
      </c>
      <c r="AW36" s="36">
        <f t="shared" si="14"/>
        <v>2</v>
      </c>
      <c r="AX36" s="36">
        <f t="shared" si="14"/>
        <v>1</v>
      </c>
      <c r="AY36" s="36">
        <f t="shared" si="14"/>
        <v>0</v>
      </c>
      <c r="AZ36" s="36">
        <f t="shared" si="14"/>
        <v>2</v>
      </c>
      <c r="BA36" s="36">
        <f t="shared" si="14"/>
        <v>2</v>
      </c>
      <c r="BB36" s="36">
        <f t="shared" si="14"/>
        <v>0</v>
      </c>
      <c r="BC36" s="36">
        <f t="shared" si="14"/>
        <v>5</v>
      </c>
      <c r="BD36" s="36">
        <f t="shared" si="14"/>
        <v>0</v>
      </c>
      <c r="BE36" s="36">
        <f t="shared" si="14"/>
        <v>0</v>
      </c>
      <c r="BF36" s="36">
        <f t="shared" si="14"/>
        <v>1</v>
      </c>
      <c r="BG36" s="36">
        <f t="shared" si="14"/>
        <v>2</v>
      </c>
      <c r="BH36" s="36">
        <f t="shared" si="14"/>
        <v>1</v>
      </c>
      <c r="BI36" s="36">
        <f t="shared" si="14"/>
        <v>0</v>
      </c>
      <c r="BJ36" s="36">
        <f t="shared" si="14"/>
        <v>4</v>
      </c>
      <c r="BK36" s="36">
        <f t="shared" si="14"/>
        <v>1</v>
      </c>
      <c r="BL36" s="36">
        <f t="shared" si="14"/>
        <v>1</v>
      </c>
      <c r="BM36" s="36">
        <f t="shared" si="14"/>
        <v>3</v>
      </c>
      <c r="BN36" s="36">
        <f t="shared" si="14"/>
        <v>2</v>
      </c>
      <c r="BO36" s="36">
        <f t="shared" si="14"/>
        <v>1</v>
      </c>
      <c r="BP36" s="36">
        <f t="shared" si="14"/>
        <v>3</v>
      </c>
      <c r="BQ36" s="36">
        <f t="shared" si="14"/>
        <v>0</v>
      </c>
      <c r="BR36" s="36">
        <f t="shared" si="14"/>
        <v>1</v>
      </c>
      <c r="BS36" s="36">
        <f t="shared" si="14"/>
        <v>4</v>
      </c>
      <c r="BT36" s="36">
        <f t="shared" si="14"/>
        <v>1</v>
      </c>
      <c r="BU36" s="36">
        <f t="shared" si="14"/>
        <v>5</v>
      </c>
      <c r="BV36" s="36">
        <f t="shared" si="14"/>
        <v>1</v>
      </c>
      <c r="BW36" s="36">
        <f t="shared" si="14"/>
        <v>0</v>
      </c>
      <c r="BX36" s="36">
        <f t="shared" si="14"/>
        <v>5</v>
      </c>
      <c r="BY36" s="36">
        <f t="shared" si="14"/>
        <v>4</v>
      </c>
      <c r="BZ36" s="36">
        <f t="shared" si="14"/>
        <v>6</v>
      </c>
      <c r="CA36" s="36">
        <f t="shared" si="14"/>
        <v>0</v>
      </c>
      <c r="CB36" s="36">
        <f t="shared" si="14"/>
        <v>0</v>
      </c>
      <c r="CC36" s="36">
        <f t="shared" si="14"/>
        <v>1</v>
      </c>
      <c r="CD36" s="36">
        <f t="shared" ref="CD36:CV36" si="15">COUNTIF(CD30:CD35,"да")</f>
        <v>3</v>
      </c>
      <c r="CE36" s="36">
        <f t="shared" si="15"/>
        <v>2</v>
      </c>
      <c r="CF36" s="36">
        <f t="shared" si="15"/>
        <v>0</v>
      </c>
      <c r="CG36" s="36">
        <f t="shared" si="15"/>
        <v>3</v>
      </c>
      <c r="CH36" s="36">
        <f t="shared" si="15"/>
        <v>2</v>
      </c>
      <c r="CI36" s="36">
        <f t="shared" si="15"/>
        <v>0</v>
      </c>
      <c r="CJ36" s="36">
        <f t="shared" si="15"/>
        <v>0</v>
      </c>
      <c r="CK36" s="36">
        <f t="shared" si="15"/>
        <v>0</v>
      </c>
      <c r="CL36" s="36">
        <f t="shared" si="15"/>
        <v>2</v>
      </c>
      <c r="CM36" s="36">
        <f t="shared" si="15"/>
        <v>3</v>
      </c>
      <c r="CN36" s="36">
        <f t="shared" si="15"/>
        <v>2</v>
      </c>
      <c r="CO36" s="36">
        <f t="shared" si="15"/>
        <v>0</v>
      </c>
      <c r="CP36" s="36">
        <f t="shared" si="15"/>
        <v>6</v>
      </c>
      <c r="CQ36" s="36">
        <f t="shared" si="15"/>
        <v>2</v>
      </c>
      <c r="CR36" s="36">
        <f t="shared" si="15"/>
        <v>0</v>
      </c>
      <c r="CS36" s="36">
        <f t="shared" si="15"/>
        <v>1</v>
      </c>
      <c r="CT36" s="36">
        <f t="shared" si="15"/>
        <v>1</v>
      </c>
      <c r="CU36" s="36">
        <f t="shared" si="15"/>
        <v>6</v>
      </c>
      <c r="CV36" s="36">
        <f t="shared" si="15"/>
        <v>1</v>
      </c>
    </row>
    <row r="37" spans="1:100" ht="42">
      <c r="A37" s="751" t="s">
        <v>5033</v>
      </c>
      <c r="B37" s="30"/>
      <c r="C37" s="739" t="s">
        <v>5018</v>
      </c>
      <c r="D37" s="64" t="s">
        <v>4949</v>
      </c>
      <c r="E37" s="75">
        <v>33</v>
      </c>
      <c r="F37" s="65" t="s">
        <v>5034</v>
      </c>
      <c r="G37" s="66" t="s">
        <v>5256</v>
      </c>
      <c r="H37" s="67" t="s">
        <v>5035</v>
      </c>
      <c r="I37" s="68" t="s">
        <v>4961</v>
      </c>
      <c r="M37" s="36" t="s">
        <v>5497</v>
      </c>
      <c r="N37" s="36">
        <v>966186</v>
      </c>
      <c r="O37" s="224">
        <f t="shared" ref="O37:O42" si="16">SUM(P37:CV37)</f>
        <v>979239</v>
      </c>
      <c r="P37" s="36">
        <f>SUMIFS('свод практик'!$DK$6:$DK$277,'свод практик'!$J$6:$J$277,'свод субъектов ИБ+смежные'!P$1)</f>
        <v>995</v>
      </c>
      <c r="Q37" s="36">
        <f>SUMIFS('свод практик'!$DK$6:$DK$277,'свод практик'!$J$6:$J$277,'свод субъектов ИБ+смежные'!Q$1)</f>
        <v>0</v>
      </c>
      <c r="R37" s="36">
        <f>SUMIFS('свод практик'!$DK$6:$DK$277,'свод практик'!$J$6:$J$277,'свод субъектов ИБ+смежные'!R$1)</f>
        <v>42645</v>
      </c>
      <c r="S37" s="36">
        <f>SUMIFS('свод практик'!$DK$6:$DK$277,'свод практик'!$J$6:$J$277,'свод субъектов ИБ+смежные'!S$1)</f>
        <v>720</v>
      </c>
      <c r="T37" s="36">
        <f>SUMIFS('свод практик'!$DK$6:$DK$277,'свод практик'!$J$6:$J$277,'свод субъектов ИБ+смежные'!T$1)</f>
        <v>0</v>
      </c>
      <c r="U37" s="36">
        <f>SUMIFS('свод практик'!$DK$6:$DK$277,'свод практик'!$J$6:$J$277,'свод субъектов ИБ+смежные'!U$1)</f>
        <v>0</v>
      </c>
      <c r="V37" s="36">
        <f>SUMIFS('свод практик'!$DK$6:$DK$277,'свод практик'!$J$6:$J$277,'свод субъектов ИБ+смежные'!V$1)</f>
        <v>279705</v>
      </c>
      <c r="W37" s="36">
        <f>SUMIFS('свод практик'!$DK$6:$DK$277,'свод практик'!$J$6:$J$277,'свод субъектов ИБ+смежные'!W$1)</f>
        <v>81</v>
      </c>
      <c r="X37" s="36">
        <f>SUMIFS('свод практик'!$DK$6:$DK$277,'свод практик'!$J$6:$J$277,'свод субъектов ИБ+смежные'!X$1)</f>
        <v>0</v>
      </c>
      <c r="Y37" s="36">
        <f>SUMIFS('свод практик'!$DK$6:$DK$277,'свод практик'!$J$6:$J$277,'свод субъектов ИБ+смежные'!Y$1)</f>
        <v>0</v>
      </c>
      <c r="Z37" s="36">
        <f>SUMIFS('свод практик'!$DK$6:$DK$277,'свод практик'!$J$6:$J$277,'свод субъектов ИБ+смежные'!Z$1)</f>
        <v>4741</v>
      </c>
      <c r="AA37" s="36">
        <f>SUMIFS('свод практик'!$DK$6:$DK$277,'свод практик'!$J$6:$J$277,'свод субъектов ИБ+смежные'!AA$1)</f>
        <v>0</v>
      </c>
      <c r="AB37" s="36">
        <f>SUMIFS('свод практик'!$DK$6:$DK$277,'свод практик'!$J$6:$J$277,'свод субъектов ИБ+смежные'!AB$1)</f>
        <v>0</v>
      </c>
      <c r="AC37" s="36">
        <f>SUMIFS('свод практик'!$DK$6:$DK$277,'свод практик'!$J$6:$J$277,'свод субъектов ИБ+смежные'!AC$1)</f>
        <v>50840</v>
      </c>
      <c r="AD37" s="36">
        <f>SUMIFS('свод практик'!$DK$6:$DK$277,'свод практик'!$J$6:$J$277,'свод субъектов ИБ+смежные'!AD$1)</f>
        <v>0</v>
      </c>
      <c r="AE37" s="36">
        <f>SUMIFS('свод практик'!$DK$6:$DK$277,'свод практик'!$J$6:$J$277,'свод субъектов ИБ+смежные'!AE$1)</f>
        <v>0</v>
      </c>
      <c r="AF37" s="36">
        <f>SUMIFS('свод практик'!$DK$6:$DK$277,'свод практик'!$J$6:$J$277,'свод субъектов ИБ+смежные'!AF$1)</f>
        <v>0</v>
      </c>
      <c r="AG37" s="36">
        <f>SUMIFS('свод практик'!$DK$6:$DK$277,'свод практик'!$J$6:$J$277,'свод субъектов ИБ+смежные'!AG$1)</f>
        <v>0</v>
      </c>
      <c r="AH37" s="36">
        <f>SUMIFS('свод практик'!$DK$6:$DK$277,'свод практик'!$J$6:$J$277,'свод субъектов ИБ+смежные'!AH$1)</f>
        <v>0</v>
      </c>
      <c r="AI37" s="36">
        <f>SUMIFS('свод практик'!$DK$6:$DK$277,'свод практик'!$J$6:$J$277,'свод субъектов ИБ+смежные'!AI$1)</f>
        <v>0</v>
      </c>
      <c r="AJ37" s="36">
        <f>SUMIFS('свод практик'!$DK$6:$DK$277,'свод практик'!$J$6:$J$277,'свод субъектов ИБ+смежные'!AJ$1)</f>
        <v>0</v>
      </c>
      <c r="AK37" s="36">
        <f>SUMIFS('свод практик'!$DK$6:$DK$277,'свод практик'!$J$6:$J$277,'свод субъектов ИБ+смежные'!AK$1)</f>
        <v>11007</v>
      </c>
      <c r="AL37" s="36">
        <f>SUMIFS('свод практик'!$DK$6:$DK$277,'свод практик'!$J$6:$J$277,'свод субъектов ИБ+смежные'!AL$1)</f>
        <v>0</v>
      </c>
      <c r="AM37" s="36">
        <f>SUMIFS('свод практик'!$DK$6:$DK$277,'свод практик'!$J$6:$J$277,'свод субъектов ИБ+смежные'!AM$1)</f>
        <v>27155</v>
      </c>
      <c r="AN37" s="36">
        <f>SUMIFS('свод практик'!$DK$6:$DK$277,'свод практик'!$J$6:$J$277,'свод субъектов ИБ+смежные'!AN$1)</f>
        <v>0</v>
      </c>
      <c r="AO37" s="36">
        <f>SUMIFS('свод практик'!$DK$6:$DK$277,'свод практик'!$J$6:$J$277,'свод субъектов ИБ+смежные'!AO$1)</f>
        <v>0</v>
      </c>
      <c r="AP37" s="36">
        <f>SUMIFS('свод практик'!$DK$6:$DK$277,'свод практик'!$J$6:$J$277,'свод субъектов ИБ+смежные'!AP$1)</f>
        <v>8526</v>
      </c>
      <c r="AQ37" s="36">
        <f>SUMIFS('свод практик'!$DK$6:$DK$277,'свод практик'!$J$6:$J$277,'свод субъектов ИБ+смежные'!AQ$1)</f>
        <v>0</v>
      </c>
      <c r="AR37" s="36">
        <f>SUMIFS('свод практик'!$DK$6:$DK$277,'свод практик'!$J$6:$J$277,'свод субъектов ИБ+смежные'!AR$1)</f>
        <v>0</v>
      </c>
      <c r="AS37" s="36">
        <f>SUMIFS('свод практик'!$DK$6:$DK$277,'свод практик'!$J$6:$J$277,'свод субъектов ИБ+смежные'!AS$1)</f>
        <v>0</v>
      </c>
      <c r="AT37" s="36">
        <f>SUMIFS('свод практик'!$DK$6:$DK$277,'свод практик'!$J$6:$J$277,'свод субъектов ИБ+смежные'!AT$1)</f>
        <v>12321</v>
      </c>
      <c r="AU37" s="36">
        <f>SUMIFS('свод практик'!$DK$6:$DK$277,'свод практик'!$J$6:$J$277,'свод субъектов ИБ+смежные'!AU$1)</f>
        <v>0</v>
      </c>
      <c r="AV37" s="36">
        <f>SUMIFS('свод практик'!$DK$6:$DK$277,'свод практик'!$J$6:$J$277,'свод субъектов ИБ+смежные'!AV$1)</f>
        <v>28081</v>
      </c>
      <c r="AW37" s="36">
        <f>SUMIFS('свод практик'!$DK$6:$DK$277,'свод практик'!$J$6:$J$277,'свод субъектов ИБ+смежные'!AW$1)</f>
        <v>40</v>
      </c>
      <c r="AX37" s="36">
        <f>SUMIFS('свод практик'!$DK$6:$DK$277,'свод практик'!$J$6:$J$277,'свод субъектов ИБ+смежные'!AX$1)</f>
        <v>0</v>
      </c>
      <c r="AY37" s="36">
        <f>SUMIFS('свод практик'!$DK$6:$DK$277,'свод практик'!$J$6:$J$277,'свод субъектов ИБ+смежные'!AY$1)</f>
        <v>0</v>
      </c>
      <c r="AZ37" s="36">
        <f>SUMIFS('свод практик'!$DK$6:$DK$277,'свод практик'!$J$6:$J$277,'свод субъектов ИБ+смежные'!AZ$1)</f>
        <v>0</v>
      </c>
      <c r="BA37" s="36">
        <f>SUMIFS('свод практик'!$DK$6:$DK$277,'свод практик'!$J$6:$J$277,'свод субъектов ИБ+смежные'!BA$1)</f>
        <v>14100</v>
      </c>
      <c r="BB37" s="36">
        <f>SUMIFS('свод практик'!$DK$6:$DK$277,'свод практик'!$J$6:$J$277,'свод субъектов ИБ+смежные'!BB$1)</f>
        <v>0</v>
      </c>
      <c r="BC37" s="36">
        <f>SUMIFS('свод практик'!$DK$6:$DK$277,'свод практик'!$J$6:$J$277,'свод субъектов ИБ+смежные'!BC$1)</f>
        <v>0</v>
      </c>
      <c r="BD37" s="36">
        <f>SUMIFS('свод практик'!$DK$6:$DK$277,'свод практик'!$J$6:$J$277,'свод субъектов ИБ+смежные'!BD$1)</f>
        <v>0</v>
      </c>
      <c r="BE37" s="36">
        <f>SUMIFS('свод практик'!$DK$6:$DK$277,'свод практик'!$J$6:$J$277,'свод субъектов ИБ+смежные'!BE$1)</f>
        <v>0</v>
      </c>
      <c r="BF37" s="36">
        <f>SUMIFS('свод практик'!$DK$6:$DK$277,'свод практик'!$J$6:$J$277,'свод субъектов ИБ+смежные'!BF$1)</f>
        <v>0</v>
      </c>
      <c r="BG37" s="36">
        <f>SUMIFS('свод практик'!$DK$6:$DK$277,'свод практик'!$J$6:$J$277,'свод субъектов ИБ+смежные'!BG$1)</f>
        <v>0</v>
      </c>
      <c r="BH37" s="36">
        <f>SUMIFS('свод практик'!$DK$6:$DK$277,'свод практик'!$J$6:$J$277,'свод субъектов ИБ+смежные'!BH$1)</f>
        <v>241</v>
      </c>
      <c r="BI37" s="36">
        <f>SUMIFS('свод практик'!$DK$6:$DK$277,'свод практик'!$J$6:$J$277,'свод субъектов ИБ+смежные'!BI$1)</f>
        <v>0</v>
      </c>
      <c r="BJ37" s="36">
        <f>SUMIFS('свод практик'!$DK$6:$DK$277,'свод практик'!$J$6:$J$277,'свод субъектов ИБ+смежные'!BJ$1)</f>
        <v>15182</v>
      </c>
      <c r="BK37" s="36">
        <f>SUMIFS('свод практик'!$DK$6:$DK$277,'свод практик'!$J$6:$J$277,'свод субъектов ИБ+смежные'!BK$1)</f>
        <v>28400</v>
      </c>
      <c r="BL37" s="36">
        <f>SUMIFS('свод практик'!$DK$6:$DK$277,'свод практик'!$J$6:$J$277,'свод субъектов ИБ+смежные'!BL$1)</f>
        <v>0</v>
      </c>
      <c r="BM37" s="36">
        <f>SUMIFS('свод практик'!$DK$6:$DK$277,'свод практик'!$J$6:$J$277,'свод субъектов ИБ+смежные'!BM$1)</f>
        <v>31335</v>
      </c>
      <c r="BN37" s="36">
        <f>SUMIFS('свод практик'!$DK$6:$DK$277,'свод практик'!$J$6:$J$277,'свод субъектов ИБ+смежные'!BN$1)</f>
        <v>0</v>
      </c>
      <c r="BO37" s="36">
        <f>SUMIFS('свод практик'!$DK$6:$DK$277,'свод практик'!$J$6:$J$277,'свод субъектов ИБ+смежные'!BO$1)</f>
        <v>0</v>
      </c>
      <c r="BP37" s="36">
        <f>SUMIFS('свод практик'!$DK$6:$DK$277,'свод практик'!$J$6:$J$277,'свод субъектов ИБ+смежные'!BP$1)</f>
        <v>0</v>
      </c>
      <c r="BQ37" s="36">
        <f>SUMIFS('свод практик'!$DK$6:$DK$277,'свод практик'!$J$6:$J$277,'свод субъектов ИБ+смежные'!BQ$1)</f>
        <v>0</v>
      </c>
      <c r="BR37" s="36">
        <f>SUMIFS('свод практик'!$DK$6:$DK$277,'свод практик'!$J$6:$J$277,'свод субъектов ИБ+смежные'!BR$1)</f>
        <v>0</v>
      </c>
      <c r="BS37" s="36">
        <f>SUMIFS('свод практик'!$DK$6:$DK$277,'свод практик'!$J$6:$J$277,'свод субъектов ИБ+смежные'!BS$1)</f>
        <v>0</v>
      </c>
      <c r="BT37" s="36">
        <f>SUMIFS('свод практик'!$DK$6:$DK$277,'свод практик'!$J$6:$J$277,'свод субъектов ИБ+смежные'!BT$1)</f>
        <v>0</v>
      </c>
      <c r="BU37" s="36">
        <f>SUMIFS('свод практик'!$DK$6:$DK$277,'свод практик'!$J$6:$J$277,'свод субъектов ИБ+смежные'!BU$1)</f>
        <v>93288</v>
      </c>
      <c r="BV37" s="36">
        <f>SUMIFS('свод практик'!$DK$6:$DK$277,'свод практик'!$J$6:$J$277,'свод субъектов ИБ+смежные'!BV$1)</f>
        <v>0</v>
      </c>
      <c r="BW37" s="36">
        <f>SUMIFS('свод практик'!$DK$6:$DK$277,'свод практик'!$J$6:$J$277,'свод субъектов ИБ+смежные'!BW$1)</f>
        <v>0</v>
      </c>
      <c r="BX37" s="36">
        <f>SUMIFS('свод практик'!$DK$6:$DK$277,'свод практик'!$J$6:$J$277,'свод субъектов ИБ+смежные'!BX$1)</f>
        <v>191300</v>
      </c>
      <c r="BY37" s="36">
        <f>SUMIFS('свод практик'!$DK$6:$DK$277,'свод практик'!$J$6:$J$277,'свод субъектов ИБ+смежные'!BY$1)</f>
        <v>2311</v>
      </c>
      <c r="BZ37" s="36">
        <f>SUMIFS('свод практик'!$DK$6:$DK$277,'свод практик'!$J$6:$J$277,'свод субъектов ИБ+смежные'!BZ$1)</f>
        <v>36654</v>
      </c>
      <c r="CA37" s="36">
        <f>SUMIFS('свод практик'!$DK$6:$DK$277,'свод практик'!$J$6:$J$277,'свод субъектов ИБ+смежные'!CA$1)</f>
        <v>0</v>
      </c>
      <c r="CB37" s="36">
        <f>SUMIFS('свод практик'!$DK$6:$DK$277,'свод практик'!$J$6:$J$277,'свод субъектов ИБ+смежные'!CB$1)</f>
        <v>0</v>
      </c>
      <c r="CC37" s="36">
        <f>SUMIFS('свод практик'!$DK$6:$DK$277,'свод практик'!$J$6:$J$277,'свод субъектов ИБ+смежные'!CC$1)</f>
        <v>0</v>
      </c>
      <c r="CD37" s="36">
        <f>SUMIFS('свод практик'!$DK$6:$DK$277,'свод практик'!$J$6:$J$277,'свод субъектов ИБ+смежные'!CD$1)</f>
        <v>293</v>
      </c>
      <c r="CE37" s="36">
        <f>SUMIFS('свод практик'!$DK$6:$DK$277,'свод практик'!$J$6:$J$277,'свод субъектов ИБ+смежные'!CE$1)</f>
        <v>0</v>
      </c>
      <c r="CF37" s="36">
        <f>SUMIFS('свод практик'!$DK$6:$DK$277,'свод практик'!$J$6:$J$277,'свод субъектов ИБ+смежные'!CF$1)</f>
        <v>0</v>
      </c>
      <c r="CG37" s="36">
        <f>SUMIFS('свод практик'!$DK$6:$DK$277,'свод практик'!$J$6:$J$277,'свод субъектов ИБ+смежные'!CG$1)</f>
        <v>0</v>
      </c>
      <c r="CH37" s="36">
        <f>SUMIFS('свод практик'!$DK$6:$DK$277,'свод практик'!$J$6:$J$277,'свод субъектов ИБ+смежные'!CH$1)</f>
        <v>12040</v>
      </c>
      <c r="CI37" s="36">
        <f>SUMIFS('свод практик'!$DK$6:$DK$277,'свод практик'!$J$6:$J$277,'свод субъектов ИБ+смежные'!CI$1)</f>
        <v>0</v>
      </c>
      <c r="CJ37" s="36">
        <f>SUMIFS('свод практик'!$DK$6:$DK$277,'свод практик'!$J$6:$J$277,'свод субъектов ИБ+смежные'!CJ$1)</f>
        <v>0</v>
      </c>
      <c r="CK37" s="36">
        <f>SUMIFS('свод практик'!$DK$6:$DK$277,'свод практик'!$J$6:$J$277,'свод субъектов ИБ+смежные'!CK$1)</f>
        <v>0</v>
      </c>
      <c r="CL37" s="36">
        <f>SUMIFS('свод практик'!$DK$6:$DK$277,'свод практик'!$J$6:$J$277,'свод субъектов ИБ+смежные'!CL$1)</f>
        <v>516</v>
      </c>
      <c r="CM37" s="36">
        <f>SUMIFS('свод практик'!$DK$6:$DK$277,'свод практик'!$J$6:$J$277,'свод субъектов ИБ+смежные'!CM$1)</f>
        <v>0</v>
      </c>
      <c r="CN37" s="36">
        <f>SUMIFS('свод практик'!$DK$6:$DK$277,'свод практик'!$J$6:$J$277,'свод субъектов ИБ+смежные'!CN$1)</f>
        <v>74467</v>
      </c>
      <c r="CO37" s="36">
        <f>SUMIFS('свод практик'!$DK$6:$DK$277,'свод практик'!$J$6:$J$277,'свод субъектов ИБ+смежные'!CO$1)</f>
        <v>0</v>
      </c>
      <c r="CP37" s="36">
        <f>SUMIFS('свод практик'!$DK$6:$DK$277,'свод практик'!$J$6:$J$277,'свод субъектов ИБ+смежные'!CP$1)</f>
        <v>8570</v>
      </c>
      <c r="CQ37" s="36">
        <f>SUMIFS('свод практик'!$DK$6:$DK$277,'свод практик'!$J$6:$J$277,'свод субъектов ИБ+смежные'!CQ$1)</f>
        <v>0</v>
      </c>
      <c r="CR37" s="36">
        <f>SUMIFS('свод практик'!$DK$6:$DK$277,'свод практик'!$J$6:$J$277,'свод субъектов ИБ+смежные'!CR$1)</f>
        <v>0</v>
      </c>
      <c r="CS37" s="36">
        <f>SUMIFS('свод практик'!$DK$6:$DK$277,'свод практик'!$J$6:$J$277,'свод субъектов ИБ+смежные'!CS$1)</f>
        <v>0</v>
      </c>
      <c r="CT37" s="36">
        <f>SUMIFS('свод практик'!$DK$6:$DK$277,'свод практик'!$J$6:$J$277,'свод субъектов ИБ+смежные'!CT$1)</f>
        <v>286</v>
      </c>
      <c r="CU37" s="36">
        <f>SUMIFS('свод практик'!$DK$6:$DK$277,'свод практик'!$J$6:$J$277,'свод субъектов ИБ+смежные'!CU$1)</f>
        <v>3399</v>
      </c>
      <c r="CV37" s="36">
        <f>SUMIFS('свод практик'!$DK$6:$DK$277,'свод практик'!$J$6:$J$277,'свод субъектов ИБ+смежные'!CV$1)</f>
        <v>0</v>
      </c>
    </row>
    <row r="38" spans="1:100" ht="42">
      <c r="A38" s="752"/>
      <c r="B38" s="27"/>
      <c r="C38" s="740"/>
      <c r="D38" s="42" t="s">
        <v>4949</v>
      </c>
      <c r="E38" s="76">
        <v>34</v>
      </c>
      <c r="F38" s="48" t="s">
        <v>5036</v>
      </c>
      <c r="G38" s="58" t="s">
        <v>5037</v>
      </c>
      <c r="H38" s="67" t="s">
        <v>5035</v>
      </c>
      <c r="I38" s="68" t="s">
        <v>4961</v>
      </c>
      <c r="M38" s="36" t="s">
        <v>5497</v>
      </c>
      <c r="N38" s="36">
        <v>2434343</v>
      </c>
      <c r="O38" s="224">
        <f t="shared" si="16"/>
        <v>2714658</v>
      </c>
      <c r="P38" s="36">
        <f>SUMIFS('свод практик'!$DN$6:$DN$277,'свод практик'!$J$6:$J$277,'свод субъектов ИБ+смежные'!P$1)</f>
        <v>1653</v>
      </c>
      <c r="Q38" s="36">
        <f>SUMIFS('свод практик'!$DN$6:$DN$277,'свод практик'!$J$6:$J$277,'свод субъектов ИБ+смежные'!Q$1)</f>
        <v>5835</v>
      </c>
      <c r="R38" s="36">
        <f>SUMIFS('свод практик'!$DN$6:$DN$277,'свод практик'!$J$6:$J$277,'свод субъектов ИБ+смежные'!R$1)</f>
        <v>31703</v>
      </c>
      <c r="S38" s="36">
        <f>SUMIFS('свод практик'!$DN$6:$DN$277,'свод практик'!$J$6:$J$277,'свод субъектов ИБ+смежные'!S$1)</f>
        <v>10445</v>
      </c>
      <c r="T38" s="36">
        <f>SUMIFS('свод практик'!$DN$6:$DN$277,'свод практик'!$J$6:$J$277,'свод субъектов ИБ+смежные'!T$1)</f>
        <v>0</v>
      </c>
      <c r="U38" s="36">
        <f>SUMIFS('свод практик'!$DN$6:$DN$277,'свод практик'!$J$6:$J$277,'свод субъектов ИБ+смежные'!U$1)</f>
        <v>764</v>
      </c>
      <c r="V38" s="36">
        <f>SUMIFS('свод практик'!$DN$6:$DN$277,'свод практик'!$J$6:$J$277,'свод субъектов ИБ+смежные'!V$1)</f>
        <v>395453</v>
      </c>
      <c r="W38" s="36">
        <f>SUMIFS('свод практик'!$DN$6:$DN$277,'свод практик'!$J$6:$J$277,'свод субъектов ИБ+смежные'!W$1)</f>
        <v>99437</v>
      </c>
      <c r="X38" s="36">
        <f>SUMIFS('свод практик'!$DN$6:$DN$277,'свод практик'!$J$6:$J$277,'свод субъектов ИБ+смежные'!X$1)</f>
        <v>22300</v>
      </c>
      <c r="Y38" s="36">
        <f>SUMIFS('свод практик'!$DN$6:$DN$277,'свод практик'!$J$6:$J$277,'свод субъектов ИБ+смежные'!Y$1)</f>
        <v>0</v>
      </c>
      <c r="Z38" s="36">
        <f>SUMIFS('свод практик'!$DN$6:$DN$277,'свод практик'!$J$6:$J$277,'свод субъектов ИБ+смежные'!Z$1)</f>
        <v>28373</v>
      </c>
      <c r="AA38" s="36">
        <f>SUMIFS('свод практик'!$DN$6:$DN$277,'свод практик'!$J$6:$J$277,'свод субъектов ИБ+смежные'!AA$1)</f>
        <v>4195</v>
      </c>
      <c r="AB38" s="36">
        <f>SUMIFS('свод практик'!$DN$6:$DN$277,'свод практик'!$J$6:$J$277,'свод субъектов ИБ+смежные'!AB$1)</f>
        <v>83260</v>
      </c>
      <c r="AC38" s="36">
        <f>SUMIFS('свод практик'!$DN$6:$DN$277,'свод практик'!$J$6:$J$277,'свод субъектов ИБ+смежные'!AC$1)</f>
        <v>50086</v>
      </c>
      <c r="AD38" s="36">
        <f>SUMIFS('свод практик'!$DN$6:$DN$277,'свод практик'!$J$6:$J$277,'свод субъектов ИБ+смежные'!AD$1)</f>
        <v>0</v>
      </c>
      <c r="AE38" s="36">
        <f>SUMIFS('свод практик'!$DN$6:$DN$277,'свод практик'!$J$6:$J$277,'свод субъектов ИБ+смежные'!AE$1)</f>
        <v>0</v>
      </c>
      <c r="AF38" s="36">
        <f>SUMIFS('свод практик'!$DN$6:$DN$277,'свод практик'!$J$6:$J$277,'свод субъектов ИБ+смежные'!AF$1)</f>
        <v>150</v>
      </c>
      <c r="AG38" s="36">
        <f>SUMIFS('свод практик'!$DN$6:$DN$277,'свод практик'!$J$6:$J$277,'свод субъектов ИБ+смежные'!AG$1)</f>
        <v>0</v>
      </c>
      <c r="AH38" s="36">
        <f>SUMIFS('свод практик'!$DN$6:$DN$277,'свод практик'!$J$6:$J$277,'свод субъектов ИБ+смежные'!AH$1)</f>
        <v>0</v>
      </c>
      <c r="AI38" s="36">
        <f>SUMIFS('свод практик'!$DN$6:$DN$277,'свод практик'!$J$6:$J$277,'свод субъектов ИБ+смежные'!AI$1)</f>
        <v>0</v>
      </c>
      <c r="AJ38" s="36">
        <f>SUMIFS('свод практик'!$DN$6:$DN$277,'свод практик'!$J$6:$J$277,'свод субъектов ИБ+смежные'!AJ$1)</f>
        <v>0</v>
      </c>
      <c r="AK38" s="36">
        <f>SUMIFS('свод практик'!$DN$6:$DN$277,'свод практик'!$J$6:$J$277,'свод субъектов ИБ+смежные'!AK$1)</f>
        <v>65064</v>
      </c>
      <c r="AL38" s="36">
        <f>SUMIFS('свод практик'!$DN$6:$DN$277,'свод практик'!$J$6:$J$277,'свод субъектов ИБ+смежные'!AL$1)</f>
        <v>2426</v>
      </c>
      <c r="AM38" s="36">
        <f>SUMIFS('свод практик'!$DN$6:$DN$277,'свод практик'!$J$6:$J$277,'свод субъектов ИБ+смежные'!AM$1)</f>
        <v>4108</v>
      </c>
      <c r="AN38" s="36">
        <f>SUMIFS('свод практик'!$DN$6:$DN$277,'свод практик'!$J$6:$J$277,'свод субъектов ИБ+смежные'!AN$1)</f>
        <v>0</v>
      </c>
      <c r="AO38" s="36">
        <f>SUMIFS('свод практик'!$DN$6:$DN$277,'свод практик'!$J$6:$J$277,'свод субъектов ИБ+смежные'!AO$1)</f>
        <v>0</v>
      </c>
      <c r="AP38" s="36">
        <f>SUMIFS('свод практик'!$DN$6:$DN$277,'свод практик'!$J$6:$J$277,'свод субъектов ИБ+смежные'!AP$1)</f>
        <v>1054</v>
      </c>
      <c r="AQ38" s="36">
        <f>SUMIFS('свод практик'!$DN$6:$DN$277,'свод практик'!$J$6:$J$277,'свод субъектов ИБ+смежные'!AQ$1)</f>
        <v>122985</v>
      </c>
      <c r="AR38" s="36">
        <f>SUMIFS('свод практик'!$DN$6:$DN$277,'свод практик'!$J$6:$J$277,'свод субъектов ИБ+смежные'!AR$1)</f>
        <v>162150</v>
      </c>
      <c r="AS38" s="36">
        <f>SUMIFS('свод практик'!$DN$6:$DN$277,'свод практик'!$J$6:$J$277,'свод субъектов ИБ+смежные'!AS$1)</f>
        <v>30601</v>
      </c>
      <c r="AT38" s="36">
        <f>SUMIFS('свод практик'!$DN$6:$DN$277,'свод практик'!$J$6:$J$277,'свод субъектов ИБ+смежные'!AT$1)</f>
        <v>40631</v>
      </c>
      <c r="AU38" s="36">
        <f>SUMIFS('свод практик'!$DN$6:$DN$277,'свод практик'!$J$6:$J$277,'свод субъектов ИБ+смежные'!AU$1)</f>
        <v>2498</v>
      </c>
      <c r="AV38" s="36">
        <f>SUMIFS('свод практик'!$DN$6:$DN$277,'свод практик'!$J$6:$J$277,'свод субъектов ИБ+смежные'!AV$1)</f>
        <v>15876</v>
      </c>
      <c r="AW38" s="36">
        <f>SUMIFS('свод практик'!$DN$6:$DN$277,'свод практик'!$J$6:$J$277,'свод субъектов ИБ+смежные'!AW$1)</f>
        <v>0</v>
      </c>
      <c r="AX38" s="36">
        <f>SUMIFS('свод практик'!$DN$6:$DN$277,'свод практик'!$J$6:$J$277,'свод субъектов ИБ+смежные'!AX$1)</f>
        <v>9283</v>
      </c>
      <c r="AY38" s="36">
        <f>SUMIFS('свод практик'!$DN$6:$DN$277,'свод практик'!$J$6:$J$277,'свод субъектов ИБ+смежные'!AY$1)</f>
        <v>0</v>
      </c>
      <c r="AZ38" s="36">
        <f>SUMIFS('свод практик'!$DN$6:$DN$277,'свод практик'!$J$6:$J$277,'свод субъектов ИБ+смежные'!AZ$1)</f>
        <v>12515</v>
      </c>
      <c r="BA38" s="36">
        <f>SUMIFS('свод практик'!$DN$6:$DN$277,'свод практик'!$J$6:$J$277,'свод субъектов ИБ+смежные'!BA$1)</f>
        <v>0</v>
      </c>
      <c r="BB38" s="36">
        <f>SUMIFS('свод практик'!$DN$6:$DN$277,'свод практик'!$J$6:$J$277,'свод субъектов ИБ+смежные'!BB$1)</f>
        <v>0</v>
      </c>
      <c r="BC38" s="36">
        <f>SUMIFS('свод практик'!$DN$6:$DN$277,'свод практик'!$J$6:$J$277,'свод субъектов ИБ+смежные'!BC$1)</f>
        <v>26777</v>
      </c>
      <c r="BD38" s="36">
        <f>SUMIFS('свод практик'!$DN$6:$DN$277,'свод практик'!$J$6:$J$277,'свод субъектов ИБ+смежные'!BD$1)</f>
        <v>0</v>
      </c>
      <c r="BE38" s="36">
        <f>SUMIFS('свод практик'!$DN$6:$DN$277,'свод практик'!$J$6:$J$277,'свод субъектов ИБ+смежные'!BE$1)</f>
        <v>0</v>
      </c>
      <c r="BF38" s="36">
        <f>SUMIFS('свод практик'!$DN$6:$DN$277,'свод практик'!$J$6:$J$277,'свод субъектов ИБ+смежные'!BF$1)</f>
        <v>425</v>
      </c>
      <c r="BG38" s="36">
        <f>SUMIFS('свод практик'!$DN$6:$DN$277,'свод практик'!$J$6:$J$277,'свод субъектов ИБ+смежные'!BG$1)</f>
        <v>2097</v>
      </c>
      <c r="BH38" s="36">
        <f>SUMIFS('свод практик'!$DN$6:$DN$277,'свод практик'!$J$6:$J$277,'свод субъектов ИБ+смежные'!BH$1)</f>
        <v>0</v>
      </c>
      <c r="BI38" s="36">
        <f>SUMIFS('свод практик'!$DN$6:$DN$277,'свод практик'!$J$6:$J$277,'свод субъектов ИБ+смежные'!BI$1)</f>
        <v>141406</v>
      </c>
      <c r="BJ38" s="36">
        <f>SUMIFS('свод практик'!$DN$6:$DN$277,'свод практик'!$J$6:$J$277,'свод субъектов ИБ+смежные'!BJ$1)</f>
        <v>12644</v>
      </c>
      <c r="BK38" s="36">
        <f>SUMIFS('свод практик'!$DN$6:$DN$277,'свод практик'!$J$6:$J$277,'свод субъектов ИБ+смежные'!BK$1)</f>
        <v>0</v>
      </c>
      <c r="BL38" s="36">
        <f>SUMIFS('свод практик'!$DN$6:$DN$277,'свод практик'!$J$6:$J$277,'свод субъектов ИБ+смежные'!BL$1)</f>
        <v>0</v>
      </c>
      <c r="BM38" s="36">
        <f>SUMIFS('свод практик'!$DN$6:$DN$277,'свод практик'!$J$6:$J$277,'свод субъектов ИБ+смежные'!BM$1)</f>
        <v>18854</v>
      </c>
      <c r="BN38" s="36">
        <f>SUMIFS('свод практик'!$DN$6:$DN$277,'свод практик'!$J$6:$J$277,'свод субъектов ИБ+смежные'!BN$1)</f>
        <v>554</v>
      </c>
      <c r="BO38" s="36">
        <f>SUMIFS('свод практик'!$DN$6:$DN$277,'свод практик'!$J$6:$J$277,'свод субъектов ИБ+смежные'!BO$1)</f>
        <v>706</v>
      </c>
      <c r="BP38" s="36">
        <f>SUMIFS('свод практик'!$DN$6:$DN$277,'свод практик'!$J$6:$J$277,'свод субъектов ИБ+смежные'!BP$1)</f>
        <v>0</v>
      </c>
      <c r="BQ38" s="36">
        <f>SUMIFS('свод практик'!$DN$6:$DN$277,'свод практик'!$J$6:$J$277,'свод субъектов ИБ+смежные'!BQ$1)</f>
        <v>0</v>
      </c>
      <c r="BR38" s="36">
        <f>SUMIFS('свод практик'!$DN$6:$DN$277,'свод практик'!$J$6:$J$277,'свод субъектов ИБ+смежные'!BR$1)</f>
        <v>0</v>
      </c>
      <c r="BS38" s="36">
        <f>SUMIFS('свод практик'!$DN$6:$DN$277,'свод практик'!$J$6:$J$277,'свод субъектов ИБ+смежные'!BS$1)</f>
        <v>1313</v>
      </c>
      <c r="BT38" s="36">
        <f>SUMIFS('свод практик'!$DN$6:$DN$277,'свод практик'!$J$6:$J$277,'свод субъектов ИБ+смежные'!BT$1)</f>
        <v>262</v>
      </c>
      <c r="BU38" s="36">
        <f>SUMIFS('свод практик'!$DN$6:$DN$277,'свод практик'!$J$6:$J$277,'свод субъектов ИБ+смежные'!BU$1)</f>
        <v>136691</v>
      </c>
      <c r="BV38" s="36">
        <f>SUMIFS('свод практик'!$DN$6:$DN$277,'свод практик'!$J$6:$J$277,'свод субъектов ИБ+смежные'!BV$1)</f>
        <v>0</v>
      </c>
      <c r="BW38" s="36">
        <f>SUMIFS('свод практик'!$DN$6:$DN$277,'свод практик'!$J$6:$J$277,'свод субъектов ИБ+смежные'!BW$1)</f>
        <v>0</v>
      </c>
      <c r="BX38" s="36">
        <f>SUMIFS('свод практик'!$DN$6:$DN$277,'свод практик'!$J$6:$J$277,'свод субъектов ИБ+смежные'!BX$1)</f>
        <v>82000</v>
      </c>
      <c r="BY38" s="36">
        <f>SUMIFS('свод практик'!$DN$6:$DN$277,'свод практик'!$J$6:$J$277,'свод субъектов ИБ+смежные'!BY$1)</f>
        <v>7867</v>
      </c>
      <c r="BZ38" s="36">
        <f>SUMIFS('свод практик'!$DN$6:$DN$277,'свод практик'!$J$6:$J$277,'свод субъектов ИБ+смежные'!BZ$1)</f>
        <v>252574</v>
      </c>
      <c r="CA38" s="36">
        <f>SUMIFS('свод практик'!$DN$6:$DN$277,'свод практик'!$J$6:$J$277,'свод субъектов ИБ+смежные'!CA$1)</f>
        <v>0</v>
      </c>
      <c r="CB38" s="36">
        <f>SUMIFS('свод практик'!$DN$6:$DN$277,'свод практик'!$J$6:$J$277,'свод субъектов ИБ+смежные'!CB$1)</f>
        <v>0</v>
      </c>
      <c r="CC38" s="36">
        <f>SUMIFS('свод практик'!$DN$6:$DN$277,'свод практик'!$J$6:$J$277,'свод субъектов ИБ+смежные'!CC$1)</f>
        <v>228</v>
      </c>
      <c r="CD38" s="36">
        <f>SUMIFS('свод практик'!$DN$6:$DN$277,'свод практик'!$J$6:$J$277,'свод субъектов ИБ+смежные'!CD$1)</f>
        <v>420</v>
      </c>
      <c r="CE38" s="36">
        <f>SUMIFS('свод практик'!$DN$6:$DN$277,'свод практик'!$J$6:$J$277,'свод субъектов ИБ+смежные'!CE$1)</f>
        <v>163265</v>
      </c>
      <c r="CF38" s="36">
        <f>SUMIFS('свод практик'!$DN$6:$DN$277,'свод практик'!$J$6:$J$277,'свод субъектов ИБ+смежные'!CF$1)</f>
        <v>0</v>
      </c>
      <c r="CG38" s="36">
        <f>SUMIFS('свод практик'!$DN$6:$DN$277,'свод практик'!$J$6:$J$277,'свод субъектов ИБ+смежные'!CG$1)</f>
        <v>17070</v>
      </c>
      <c r="CH38" s="36">
        <f>SUMIFS('свод практик'!$DN$6:$DN$277,'свод практик'!$J$6:$J$277,'свод субъектов ИБ+смежные'!CH$1)</f>
        <v>5656</v>
      </c>
      <c r="CI38" s="36">
        <f>SUMIFS('свод практик'!$DN$6:$DN$277,'свод практик'!$J$6:$J$277,'свод субъектов ИБ+смежные'!CI$1)</f>
        <v>167000</v>
      </c>
      <c r="CJ38" s="36">
        <f>SUMIFS('свод практик'!$DN$6:$DN$277,'свод практик'!$J$6:$J$277,'свод субъектов ИБ+смежные'!CJ$1)</f>
        <v>0</v>
      </c>
      <c r="CK38" s="36">
        <f>SUMIFS('свод практик'!$DN$6:$DN$277,'свод практик'!$J$6:$J$277,'свод субъектов ИБ+смежные'!CK$1)</f>
        <v>182</v>
      </c>
      <c r="CL38" s="36">
        <f>SUMIFS('свод практик'!$DN$6:$DN$277,'свод практик'!$J$6:$J$277,'свод субъектов ИБ+смежные'!CL$1)</f>
        <v>41984</v>
      </c>
      <c r="CM38" s="36">
        <f>SUMIFS('свод практик'!$DN$6:$DN$277,'свод практик'!$J$6:$J$277,'свод субъектов ИБ+смежные'!CM$1)</f>
        <v>47916</v>
      </c>
      <c r="CN38" s="36">
        <f>SUMIFS('свод практик'!$DN$6:$DN$277,'свод практик'!$J$6:$J$277,'свод субъектов ИБ+смежные'!CN$1)</f>
        <v>16532</v>
      </c>
      <c r="CO38" s="36">
        <f>SUMIFS('свод практик'!$DN$6:$DN$277,'свод практик'!$J$6:$J$277,'свод субъектов ИБ+смежные'!CO$1)</f>
        <v>0</v>
      </c>
      <c r="CP38" s="36">
        <f>SUMIFS('свод практик'!$DN$6:$DN$277,'свод практик'!$J$6:$J$277,'свод субъектов ИБ+смежные'!CP$1)</f>
        <v>137807</v>
      </c>
      <c r="CQ38" s="36">
        <f>SUMIFS('свод практик'!$DN$6:$DN$277,'свод практик'!$J$6:$J$277,'свод субъектов ИБ+смежные'!CQ$1)</f>
        <v>0</v>
      </c>
      <c r="CR38" s="36">
        <f>SUMIFS('свод практик'!$DN$6:$DN$277,'свод практик'!$J$6:$J$277,'свод субъектов ИБ+смежные'!CR$1)</f>
        <v>0</v>
      </c>
      <c r="CS38" s="36">
        <f>SUMIFS('свод практик'!$DN$6:$DN$277,'свод практик'!$J$6:$J$277,'свод субъектов ИБ+смежные'!CS$1)</f>
        <v>165987</v>
      </c>
      <c r="CT38" s="36">
        <f>SUMIFS('свод практик'!$DN$6:$DN$277,'свод практик'!$J$6:$J$277,'свод субъектов ИБ+смежные'!CT$1)</f>
        <v>670</v>
      </c>
      <c r="CU38" s="36">
        <f>SUMIFS('свод практик'!$DN$6:$DN$277,'свод практик'!$J$6:$J$277,'свод субъектов ИБ+смежные'!CU$1)</f>
        <v>2599</v>
      </c>
      <c r="CV38" s="36">
        <f>SUMIFS('свод практик'!$DN$6:$DN$277,'свод практик'!$J$6:$J$277,'свод субъектов ИБ+смежные'!CV$1)</f>
        <v>60327</v>
      </c>
    </row>
    <row r="39" spans="1:100" ht="42">
      <c r="A39" s="752"/>
      <c r="B39" s="27"/>
      <c r="C39" s="740"/>
      <c r="D39" s="42" t="s">
        <v>4949</v>
      </c>
      <c r="E39" s="76">
        <v>35</v>
      </c>
      <c r="F39" s="48" t="s">
        <v>5038</v>
      </c>
      <c r="G39" s="58" t="s">
        <v>5039</v>
      </c>
      <c r="H39" s="67" t="s">
        <v>5035</v>
      </c>
      <c r="I39" s="68" t="s">
        <v>4961</v>
      </c>
      <c r="M39" s="36" t="s">
        <v>5497</v>
      </c>
      <c r="N39" s="36">
        <v>1547486</v>
      </c>
      <c r="O39" s="224">
        <f t="shared" si="16"/>
        <v>117297</v>
      </c>
      <c r="P39" s="36">
        <f>SUMIFS('свод практик'!$DQ$6:$DQ$277,'свод практик'!$J$6:$J$277,'свод субъектов ИБ+смежные'!P$1)</f>
        <v>0</v>
      </c>
      <c r="Q39" s="36">
        <f>SUMIFS('свод практик'!$DQ$6:$DQ$277,'свод практик'!$J$6:$J$277,'свод субъектов ИБ+смежные'!Q$1)</f>
        <v>0</v>
      </c>
      <c r="R39" s="36">
        <f>SUMIFS('свод практик'!$DQ$6:$DQ$277,'свод практик'!$J$6:$J$277,'свод субъектов ИБ+смежные'!R$1)</f>
        <v>0</v>
      </c>
      <c r="S39" s="36">
        <f>SUMIFS('свод практик'!$DQ$6:$DQ$277,'свод практик'!$J$6:$J$277,'свод субъектов ИБ+смежные'!S$1)</f>
        <v>0</v>
      </c>
      <c r="T39" s="36">
        <f>SUMIFS('свод практик'!$DQ$6:$DQ$277,'свод практик'!$J$6:$J$277,'свод субъектов ИБ+смежные'!T$1)</f>
        <v>0</v>
      </c>
      <c r="U39" s="36">
        <f>SUMIFS('свод практик'!$DQ$6:$DQ$277,'свод практик'!$J$6:$J$277,'свод субъектов ИБ+смежные'!U$1)</f>
        <v>0</v>
      </c>
      <c r="V39" s="36">
        <f>SUMIFS('свод практик'!$DQ$6:$DQ$277,'свод практик'!$J$6:$J$277,'свод субъектов ИБ+смежные'!V$1)</f>
        <v>0</v>
      </c>
      <c r="W39" s="36">
        <f>SUMIFS('свод практик'!$DQ$6:$DQ$277,'свод практик'!$J$6:$J$277,'свод субъектов ИБ+смежные'!W$1)</f>
        <v>157</v>
      </c>
      <c r="X39" s="36">
        <f>SUMIFS('свод практик'!$DQ$6:$DQ$277,'свод практик'!$J$6:$J$277,'свод субъектов ИБ+смежные'!X$1)</f>
        <v>0</v>
      </c>
      <c r="Y39" s="36">
        <f>SUMIFS('свод практик'!$DQ$6:$DQ$277,'свод практик'!$J$6:$J$277,'свод субъектов ИБ+смежные'!Y$1)</f>
        <v>0</v>
      </c>
      <c r="Z39" s="36">
        <f>SUMIFS('свод практик'!$DQ$6:$DQ$277,'свод практик'!$J$6:$J$277,'свод субъектов ИБ+смежные'!Z$1)</f>
        <v>2799</v>
      </c>
      <c r="AA39" s="36">
        <f>SUMIFS('свод практик'!$DQ$6:$DQ$277,'свод практик'!$J$6:$J$277,'свод субъектов ИБ+смежные'!AA$1)</f>
        <v>0</v>
      </c>
      <c r="AB39" s="36">
        <f>SUMIFS('свод практик'!$DQ$6:$DQ$277,'свод практик'!$J$6:$J$277,'свод субъектов ИБ+смежные'!AB$1)</f>
        <v>0</v>
      </c>
      <c r="AC39" s="36">
        <f>SUMIFS('свод практик'!$DQ$6:$DQ$277,'свод практик'!$J$6:$J$277,'свод субъектов ИБ+смежные'!AC$1)</f>
        <v>0</v>
      </c>
      <c r="AD39" s="36">
        <f>SUMIFS('свод практик'!$DQ$6:$DQ$277,'свод практик'!$J$6:$J$277,'свод субъектов ИБ+смежные'!AD$1)</f>
        <v>0</v>
      </c>
      <c r="AE39" s="36">
        <f>SUMIFS('свод практик'!$DQ$6:$DQ$277,'свод практик'!$J$6:$J$277,'свод субъектов ИБ+смежные'!AE$1)</f>
        <v>0</v>
      </c>
      <c r="AF39" s="36">
        <f>SUMIFS('свод практик'!$DQ$6:$DQ$277,'свод практик'!$J$6:$J$277,'свод субъектов ИБ+смежные'!AF$1)</f>
        <v>0</v>
      </c>
      <c r="AG39" s="36">
        <f>SUMIFS('свод практик'!$DQ$6:$DQ$277,'свод практик'!$J$6:$J$277,'свод субъектов ИБ+смежные'!AG$1)</f>
        <v>0</v>
      </c>
      <c r="AH39" s="36">
        <f>SUMIFS('свод практик'!$DQ$6:$DQ$277,'свод практик'!$J$6:$J$277,'свод субъектов ИБ+смежные'!AH$1)</f>
        <v>0</v>
      </c>
      <c r="AI39" s="36">
        <f>SUMIFS('свод практик'!$DQ$6:$DQ$277,'свод практик'!$J$6:$J$277,'свод субъектов ИБ+смежные'!AI$1)</f>
        <v>0</v>
      </c>
      <c r="AJ39" s="36">
        <f>SUMIFS('свод практик'!$DQ$6:$DQ$277,'свод практик'!$J$6:$J$277,'свод субъектов ИБ+смежные'!AJ$1)</f>
        <v>0</v>
      </c>
      <c r="AK39" s="36">
        <f>SUMIFS('свод практик'!$DQ$6:$DQ$277,'свод практик'!$J$6:$J$277,'свод субъектов ИБ+смежные'!AK$1)</f>
        <v>138</v>
      </c>
      <c r="AL39" s="36">
        <f>SUMIFS('свод практик'!$DQ$6:$DQ$277,'свод практик'!$J$6:$J$277,'свод субъектов ИБ+смежные'!AL$1)</f>
        <v>0</v>
      </c>
      <c r="AM39" s="36">
        <f>SUMIFS('свод практик'!$DQ$6:$DQ$277,'свод практик'!$J$6:$J$277,'свод субъектов ИБ+смежные'!AM$1)</f>
        <v>0</v>
      </c>
      <c r="AN39" s="36">
        <f>SUMIFS('свод практик'!$DQ$6:$DQ$277,'свод практик'!$J$6:$J$277,'свод субъектов ИБ+смежные'!AN$1)</f>
        <v>0</v>
      </c>
      <c r="AO39" s="36">
        <f>SUMIFS('свод практик'!$DQ$6:$DQ$277,'свод практик'!$J$6:$J$277,'свод субъектов ИБ+смежные'!AO$1)</f>
        <v>0</v>
      </c>
      <c r="AP39" s="36">
        <f>SUMIFS('свод практик'!$DQ$6:$DQ$277,'свод практик'!$J$6:$J$277,'свод субъектов ИБ+смежные'!AP$1)</f>
        <v>0</v>
      </c>
      <c r="AQ39" s="36">
        <f>SUMIFS('свод практик'!$DQ$6:$DQ$277,'свод практик'!$J$6:$J$277,'свод субъектов ИБ+смежные'!AQ$1)</f>
        <v>0</v>
      </c>
      <c r="AR39" s="36">
        <f>SUMIFS('свод практик'!$DQ$6:$DQ$277,'свод практик'!$J$6:$J$277,'свод субъектов ИБ+смежные'!AR$1)</f>
        <v>0</v>
      </c>
      <c r="AS39" s="36">
        <f>SUMIFS('свод практик'!$DQ$6:$DQ$277,'свод практик'!$J$6:$J$277,'свод субъектов ИБ+смежные'!AS$1)</f>
        <v>0</v>
      </c>
      <c r="AT39" s="36">
        <f>SUMIFS('свод практик'!$DQ$6:$DQ$277,'свод практик'!$J$6:$J$277,'свод субъектов ИБ+смежные'!AT$1)</f>
        <v>2932</v>
      </c>
      <c r="AU39" s="36">
        <f>SUMIFS('свод практик'!$DQ$6:$DQ$277,'свод практик'!$J$6:$J$277,'свод субъектов ИБ+смежные'!AU$1)</f>
        <v>0</v>
      </c>
      <c r="AV39" s="36">
        <f>SUMIFS('свод практик'!$DQ$6:$DQ$277,'свод практик'!$J$6:$J$277,'свод субъектов ИБ+смежные'!AV$1)</f>
        <v>0</v>
      </c>
      <c r="AW39" s="36">
        <f>SUMIFS('свод практик'!$DQ$6:$DQ$277,'свод практик'!$J$6:$J$277,'свод субъектов ИБ+смежные'!AW$1)</f>
        <v>0</v>
      </c>
      <c r="AX39" s="36">
        <f>SUMIFS('свод практик'!$DQ$6:$DQ$277,'свод практик'!$J$6:$J$277,'свод субъектов ИБ+смежные'!AX$1)</f>
        <v>0</v>
      </c>
      <c r="AY39" s="36">
        <f>SUMIFS('свод практик'!$DQ$6:$DQ$277,'свод практик'!$J$6:$J$277,'свод субъектов ИБ+смежные'!AY$1)</f>
        <v>0</v>
      </c>
      <c r="AZ39" s="36">
        <f>SUMIFS('свод практик'!$DQ$6:$DQ$277,'свод практик'!$J$6:$J$277,'свод субъектов ИБ+смежные'!AZ$1)</f>
        <v>0</v>
      </c>
      <c r="BA39" s="36">
        <f>SUMIFS('свод практик'!$DQ$6:$DQ$277,'свод практик'!$J$6:$J$277,'свод субъектов ИБ+смежные'!BA$1)</f>
        <v>0</v>
      </c>
      <c r="BB39" s="36">
        <f>SUMIFS('свод практик'!$DQ$6:$DQ$277,'свод практик'!$J$6:$J$277,'свод субъектов ИБ+смежные'!BB$1)</f>
        <v>0</v>
      </c>
      <c r="BC39" s="36">
        <f>SUMIFS('свод практик'!$DQ$6:$DQ$277,'свод практик'!$J$6:$J$277,'свод субъектов ИБ+смежные'!BC$1)</f>
        <v>0</v>
      </c>
      <c r="BD39" s="36">
        <f>SUMIFS('свод практик'!$DQ$6:$DQ$277,'свод практик'!$J$6:$J$277,'свод субъектов ИБ+смежные'!BD$1)</f>
        <v>0</v>
      </c>
      <c r="BE39" s="36">
        <f>SUMIFS('свод практик'!$DQ$6:$DQ$277,'свод практик'!$J$6:$J$277,'свод субъектов ИБ+смежные'!BE$1)</f>
        <v>0</v>
      </c>
      <c r="BF39" s="36">
        <f>SUMIFS('свод практик'!$DQ$6:$DQ$277,'свод практик'!$J$6:$J$277,'свод субъектов ИБ+смежные'!BF$1)</f>
        <v>0</v>
      </c>
      <c r="BG39" s="36">
        <f>SUMIFS('свод практик'!$DQ$6:$DQ$277,'свод практик'!$J$6:$J$277,'свод субъектов ИБ+смежные'!BG$1)</f>
        <v>0</v>
      </c>
      <c r="BH39" s="36">
        <f>SUMIFS('свод практик'!$DQ$6:$DQ$277,'свод практик'!$J$6:$J$277,'свод субъектов ИБ+смежные'!BH$1)</f>
        <v>0</v>
      </c>
      <c r="BI39" s="36">
        <f>SUMIFS('свод практик'!$DQ$6:$DQ$277,'свод практик'!$J$6:$J$277,'свод субъектов ИБ+смежные'!BI$1)</f>
        <v>0</v>
      </c>
      <c r="BJ39" s="36">
        <f>SUMIFS('свод практик'!$DQ$6:$DQ$277,'свод практик'!$J$6:$J$277,'свод субъектов ИБ+смежные'!BJ$1)</f>
        <v>4267</v>
      </c>
      <c r="BK39" s="36">
        <f>SUMIFS('свод практик'!$DQ$6:$DQ$277,'свод практик'!$J$6:$J$277,'свод субъектов ИБ+смежные'!BK$1)</f>
        <v>0</v>
      </c>
      <c r="BL39" s="36">
        <f>SUMIFS('свод практик'!$DQ$6:$DQ$277,'свод практик'!$J$6:$J$277,'свод субъектов ИБ+смежные'!BL$1)</f>
        <v>0</v>
      </c>
      <c r="BM39" s="36">
        <f>SUMIFS('свод практик'!$DQ$6:$DQ$277,'свод практик'!$J$6:$J$277,'свод субъектов ИБ+смежные'!BM$1)</f>
        <v>0</v>
      </c>
      <c r="BN39" s="36">
        <f>SUMIFS('свод практик'!$DQ$6:$DQ$277,'свод практик'!$J$6:$J$277,'свод субъектов ИБ+смежные'!BN$1)</f>
        <v>0</v>
      </c>
      <c r="BO39" s="36">
        <f>SUMIFS('свод практик'!$DQ$6:$DQ$277,'свод практик'!$J$6:$J$277,'свод субъектов ИБ+смежные'!BO$1)</f>
        <v>0</v>
      </c>
      <c r="BP39" s="36">
        <f>SUMIFS('свод практик'!$DQ$6:$DQ$277,'свод практик'!$J$6:$J$277,'свод субъектов ИБ+смежные'!BP$1)</f>
        <v>0</v>
      </c>
      <c r="BQ39" s="36">
        <f>SUMIFS('свод практик'!$DQ$6:$DQ$277,'свод практик'!$J$6:$J$277,'свод субъектов ИБ+смежные'!BQ$1)</f>
        <v>0</v>
      </c>
      <c r="BR39" s="36">
        <f>SUMIFS('свод практик'!$DQ$6:$DQ$277,'свод практик'!$J$6:$J$277,'свод субъектов ИБ+смежные'!BR$1)</f>
        <v>0</v>
      </c>
      <c r="BS39" s="36">
        <f>SUMIFS('свод практик'!$DQ$6:$DQ$277,'свод практик'!$J$6:$J$277,'свод субъектов ИБ+смежные'!BS$1)</f>
        <v>531</v>
      </c>
      <c r="BT39" s="36">
        <f>SUMIFS('свод практик'!$DQ$6:$DQ$277,'свод практик'!$J$6:$J$277,'свод субъектов ИБ+смежные'!BT$1)</f>
        <v>0</v>
      </c>
      <c r="BU39" s="36">
        <f>SUMIFS('свод практик'!$DQ$6:$DQ$277,'свод практик'!$J$6:$J$277,'свод субъектов ИБ+смежные'!BU$1)</f>
        <v>0</v>
      </c>
      <c r="BV39" s="36">
        <f>SUMIFS('свод практик'!$DQ$6:$DQ$277,'свод практик'!$J$6:$J$277,'свод субъектов ИБ+смежные'!BV$1)</f>
        <v>0</v>
      </c>
      <c r="BW39" s="36">
        <f>SUMIFS('свод практик'!$DQ$6:$DQ$277,'свод практик'!$J$6:$J$277,'свод субъектов ИБ+смежные'!BW$1)</f>
        <v>0</v>
      </c>
      <c r="BX39" s="36">
        <f>SUMIFS('свод практик'!$DQ$6:$DQ$277,'свод практик'!$J$6:$J$277,'свод субъектов ИБ+смежные'!BX$1)</f>
        <v>0</v>
      </c>
      <c r="BY39" s="36">
        <f>SUMIFS('свод практик'!$DQ$6:$DQ$277,'свод практик'!$J$6:$J$277,'свод субъектов ИБ+смежные'!BY$1)</f>
        <v>0</v>
      </c>
      <c r="BZ39" s="36">
        <f>SUMIFS('свод практик'!$DQ$6:$DQ$277,'свод практик'!$J$6:$J$277,'свод субъектов ИБ+смежные'!BZ$1)</f>
        <v>105451</v>
      </c>
      <c r="CA39" s="36">
        <f>SUMIFS('свод практик'!$DQ$6:$DQ$277,'свод практик'!$J$6:$J$277,'свод субъектов ИБ+смежные'!CA$1)</f>
        <v>0</v>
      </c>
      <c r="CB39" s="36">
        <f>SUMIFS('свод практик'!$DQ$6:$DQ$277,'свод практик'!$J$6:$J$277,'свод субъектов ИБ+смежные'!CB$1)</f>
        <v>0</v>
      </c>
      <c r="CC39" s="36">
        <f>SUMIFS('свод практик'!$DQ$6:$DQ$277,'свод практик'!$J$6:$J$277,'свод субъектов ИБ+смежные'!CC$1)</f>
        <v>0</v>
      </c>
      <c r="CD39" s="36">
        <f>SUMIFS('свод практик'!$DQ$6:$DQ$277,'свод практик'!$J$6:$J$277,'свод субъектов ИБ+смежные'!CD$1)</f>
        <v>0</v>
      </c>
      <c r="CE39" s="36">
        <f>SUMIFS('свод практик'!$DQ$6:$DQ$277,'свод практик'!$J$6:$J$277,'свод субъектов ИБ+смежные'!CE$1)</f>
        <v>0</v>
      </c>
      <c r="CF39" s="36">
        <f>SUMIFS('свод практик'!$DQ$6:$DQ$277,'свод практик'!$J$6:$J$277,'свод субъектов ИБ+смежные'!CF$1)</f>
        <v>0</v>
      </c>
      <c r="CG39" s="36">
        <f>SUMIFS('свод практик'!$DQ$6:$DQ$277,'свод практик'!$J$6:$J$277,'свод субъектов ИБ+смежные'!CG$1)</f>
        <v>0</v>
      </c>
      <c r="CH39" s="36">
        <f>SUMIFS('свод практик'!$DQ$6:$DQ$277,'свод практик'!$J$6:$J$277,'свод субъектов ИБ+смежные'!CH$1)</f>
        <v>0</v>
      </c>
      <c r="CI39" s="36">
        <f>SUMIFS('свод практик'!$DQ$6:$DQ$277,'свод практик'!$J$6:$J$277,'свод субъектов ИБ+смежные'!CI$1)</f>
        <v>0</v>
      </c>
      <c r="CJ39" s="36">
        <f>SUMIFS('свод практик'!$DQ$6:$DQ$277,'свод практик'!$J$6:$J$277,'свод субъектов ИБ+смежные'!CJ$1)</f>
        <v>0</v>
      </c>
      <c r="CK39" s="36">
        <f>SUMIFS('свод практик'!$DQ$6:$DQ$277,'свод практик'!$J$6:$J$277,'свод субъектов ИБ+смежные'!CK$1)</f>
        <v>0</v>
      </c>
      <c r="CL39" s="36">
        <f>SUMIFS('свод практик'!$DQ$6:$DQ$277,'свод практик'!$J$6:$J$277,'свод субъектов ИБ+смежные'!CL$1)</f>
        <v>0</v>
      </c>
      <c r="CM39" s="36">
        <f>SUMIFS('свод практик'!$DQ$6:$DQ$277,'свод практик'!$J$6:$J$277,'свод субъектов ИБ+смежные'!CM$1)</f>
        <v>0</v>
      </c>
      <c r="CN39" s="36">
        <f>SUMIFS('свод практик'!$DQ$6:$DQ$277,'свод практик'!$J$6:$J$277,'свод субъектов ИБ+смежные'!CN$1)</f>
        <v>0</v>
      </c>
      <c r="CO39" s="36">
        <f>SUMIFS('свод практик'!$DQ$6:$DQ$277,'свод практик'!$J$6:$J$277,'свод субъектов ИБ+смежные'!CO$1)</f>
        <v>0</v>
      </c>
      <c r="CP39" s="36">
        <f>SUMIFS('свод практик'!$DQ$6:$DQ$277,'свод практик'!$J$6:$J$277,'свод субъектов ИБ+смежные'!CP$1)</f>
        <v>0</v>
      </c>
      <c r="CQ39" s="36">
        <f>SUMIFS('свод практик'!$DQ$6:$DQ$277,'свод практик'!$J$6:$J$277,'свод субъектов ИБ+смежные'!CQ$1)</f>
        <v>0</v>
      </c>
      <c r="CR39" s="36">
        <f>SUMIFS('свод практик'!$DQ$6:$DQ$277,'свод практик'!$J$6:$J$277,'свод субъектов ИБ+смежные'!CR$1)</f>
        <v>0</v>
      </c>
      <c r="CS39" s="36">
        <f>SUMIFS('свод практик'!$DQ$6:$DQ$277,'свод практик'!$J$6:$J$277,'свод субъектов ИБ+смежные'!CS$1)</f>
        <v>0</v>
      </c>
      <c r="CT39" s="36">
        <f>SUMIFS('свод практик'!$DQ$6:$DQ$277,'свод практик'!$J$6:$J$277,'свод субъектов ИБ+смежные'!CT$1)</f>
        <v>0</v>
      </c>
      <c r="CU39" s="36">
        <f>SUMIFS('свод практик'!$DQ$6:$DQ$277,'свод практик'!$J$6:$J$277,'свод субъектов ИБ+смежные'!CU$1)</f>
        <v>1022</v>
      </c>
      <c r="CV39" s="36">
        <f>SUMIFS('свод практик'!$DQ$6:$DQ$277,'свод практик'!$J$6:$J$277,'свод субъектов ИБ+смежные'!CV$1)</f>
        <v>0</v>
      </c>
    </row>
    <row r="40" spans="1:100" ht="56">
      <c r="A40" s="752"/>
      <c r="B40" s="27"/>
      <c r="C40" s="740"/>
      <c r="D40" s="42" t="s">
        <v>4949</v>
      </c>
      <c r="E40" s="76">
        <v>36</v>
      </c>
      <c r="F40" s="48" t="s">
        <v>5040</v>
      </c>
      <c r="G40" s="58" t="s">
        <v>5041</v>
      </c>
      <c r="H40" s="67" t="s">
        <v>5035</v>
      </c>
      <c r="I40" s="68" t="s">
        <v>4961</v>
      </c>
      <c r="M40" s="36" t="s">
        <v>5497</v>
      </c>
      <c r="N40" s="36">
        <v>20682</v>
      </c>
      <c r="O40" s="224">
        <f t="shared" si="16"/>
        <v>223135</v>
      </c>
      <c r="P40" s="36">
        <f>SUMIFS('свод практик'!$DT$6:$DT$277,'свод практик'!$J$6:$J$277,'свод субъектов ИБ+смежные'!P$1)</f>
        <v>0</v>
      </c>
      <c r="Q40" s="36">
        <f>SUMIFS('свод практик'!$DT$6:$DT$277,'свод практик'!$J$6:$J$277,'свод субъектов ИБ+смежные'!Q$1)</f>
        <v>0</v>
      </c>
      <c r="R40" s="36">
        <f>SUMIFS('свод практик'!$DT$6:$DT$277,'свод практик'!$J$6:$J$277,'свод субъектов ИБ+смежные'!R$1)</f>
        <v>0</v>
      </c>
      <c r="S40" s="36">
        <f>SUMIFS('свод практик'!$DT$6:$DT$277,'свод практик'!$J$6:$J$277,'свод субъектов ИБ+смежные'!S$1)</f>
        <v>0</v>
      </c>
      <c r="T40" s="36">
        <f>SUMIFS('свод практик'!$DT$6:$DT$277,'свод практик'!$J$6:$J$277,'свод субъектов ИБ+смежные'!T$1)</f>
        <v>84</v>
      </c>
      <c r="U40" s="36">
        <f>SUMIFS('свод практик'!$DT$6:$DT$277,'свод практик'!$J$6:$J$277,'свод субъектов ИБ+смежные'!U$1)</f>
        <v>0</v>
      </c>
      <c r="V40" s="36">
        <f>SUMIFS('свод практик'!$DT$6:$DT$277,'свод практик'!$J$6:$J$277,'свод субъектов ИБ+смежные'!V$1)</f>
        <v>0</v>
      </c>
      <c r="W40" s="36">
        <f>SUMIFS('свод практик'!$DT$6:$DT$277,'свод практик'!$J$6:$J$277,'свод субъектов ИБ+смежные'!W$1)</f>
        <v>0</v>
      </c>
      <c r="X40" s="36">
        <f>SUMIFS('свод практик'!$DT$6:$DT$277,'свод практик'!$J$6:$J$277,'свод субъектов ИБ+смежные'!X$1)</f>
        <v>0</v>
      </c>
      <c r="Y40" s="36">
        <f>SUMIFS('свод практик'!$DT$6:$DT$277,'свод практик'!$J$6:$J$277,'свод субъектов ИБ+смежные'!Y$1)</f>
        <v>0</v>
      </c>
      <c r="Z40" s="36">
        <f>SUMIFS('свод практик'!$DT$6:$DT$277,'свод практик'!$J$6:$J$277,'свод субъектов ИБ+смежные'!Z$1)</f>
        <v>13568</v>
      </c>
      <c r="AA40" s="36">
        <f>SUMIFS('свод практик'!$DT$6:$DT$277,'свод практик'!$J$6:$J$277,'свод субъектов ИБ+смежные'!AA$1)</f>
        <v>0</v>
      </c>
      <c r="AB40" s="36">
        <f>SUMIFS('свод практик'!$DT$6:$DT$277,'свод практик'!$J$6:$J$277,'свод субъектов ИБ+смежные'!AB$1)</f>
        <v>0</v>
      </c>
      <c r="AC40" s="36">
        <f>SUMIFS('свод практик'!$DT$6:$DT$277,'свод практик'!$J$6:$J$277,'свод субъектов ИБ+смежные'!AC$1)</f>
        <v>0</v>
      </c>
      <c r="AD40" s="36">
        <f>SUMIFS('свод практик'!$DT$6:$DT$277,'свод практик'!$J$6:$J$277,'свод субъектов ИБ+смежные'!AD$1)</f>
        <v>0</v>
      </c>
      <c r="AE40" s="36">
        <f>SUMIFS('свод практик'!$DT$6:$DT$277,'свод практик'!$J$6:$J$277,'свод субъектов ИБ+смежные'!AE$1)</f>
        <v>0</v>
      </c>
      <c r="AF40" s="36">
        <f>SUMIFS('свод практик'!$DT$6:$DT$277,'свод практик'!$J$6:$J$277,'свод субъектов ИБ+смежные'!AF$1)</f>
        <v>0</v>
      </c>
      <c r="AG40" s="36">
        <f>SUMIFS('свод практик'!$DT$6:$DT$277,'свод практик'!$J$6:$J$277,'свод субъектов ИБ+смежные'!AG$1)</f>
        <v>0</v>
      </c>
      <c r="AH40" s="36">
        <f>SUMIFS('свод практик'!$DT$6:$DT$277,'свод практик'!$J$6:$J$277,'свод субъектов ИБ+смежные'!AH$1)</f>
        <v>0</v>
      </c>
      <c r="AI40" s="36">
        <f>SUMIFS('свод практик'!$DT$6:$DT$277,'свод практик'!$J$6:$J$277,'свод субъектов ИБ+смежные'!AI$1)</f>
        <v>0</v>
      </c>
      <c r="AJ40" s="36">
        <f>SUMIFS('свод практик'!$DT$6:$DT$277,'свод практик'!$J$6:$J$277,'свод субъектов ИБ+смежные'!AJ$1)</f>
        <v>0</v>
      </c>
      <c r="AK40" s="36">
        <f>SUMIFS('свод практик'!$DT$6:$DT$277,'свод практик'!$J$6:$J$277,'свод субъектов ИБ+смежные'!AK$1)</f>
        <v>2316</v>
      </c>
      <c r="AL40" s="36">
        <f>SUMIFS('свод практик'!$DT$6:$DT$277,'свод практик'!$J$6:$J$277,'свод субъектов ИБ+смежные'!AL$1)</f>
        <v>0</v>
      </c>
      <c r="AM40" s="36">
        <f>SUMIFS('свод практик'!$DT$6:$DT$277,'свод практик'!$J$6:$J$277,'свод субъектов ИБ+смежные'!AM$1)</f>
        <v>0</v>
      </c>
      <c r="AN40" s="36">
        <f>SUMIFS('свод практик'!$DT$6:$DT$277,'свод практик'!$J$6:$J$277,'свод субъектов ИБ+смежные'!AN$1)</f>
        <v>0</v>
      </c>
      <c r="AO40" s="36">
        <f>SUMIFS('свод практик'!$DT$6:$DT$277,'свод практик'!$J$6:$J$277,'свод субъектов ИБ+смежные'!AO$1)</f>
        <v>0</v>
      </c>
      <c r="AP40" s="36">
        <f>SUMIFS('свод практик'!$DT$6:$DT$277,'свод практик'!$J$6:$J$277,'свод субъектов ИБ+смежные'!AP$1)</f>
        <v>1157</v>
      </c>
      <c r="AQ40" s="36">
        <f>SUMIFS('свод практик'!$DT$6:$DT$277,'свод практик'!$J$6:$J$277,'свод субъектов ИБ+смежные'!AQ$1)</f>
        <v>0</v>
      </c>
      <c r="AR40" s="36">
        <f>SUMIFS('свод практик'!$DT$6:$DT$277,'свод практик'!$J$6:$J$277,'свод субъектов ИБ+смежные'!AR$1)</f>
        <v>0</v>
      </c>
      <c r="AS40" s="36">
        <f>SUMIFS('свод практик'!$DT$6:$DT$277,'свод практик'!$J$6:$J$277,'свод субъектов ИБ+смежные'!AS$1)</f>
        <v>0</v>
      </c>
      <c r="AT40" s="36">
        <f>SUMIFS('свод практик'!$DT$6:$DT$277,'свод практик'!$J$6:$J$277,'свод субъектов ИБ+смежные'!AT$1)</f>
        <v>153</v>
      </c>
      <c r="AU40" s="36">
        <f>SUMIFS('свод практик'!$DT$6:$DT$277,'свод практик'!$J$6:$J$277,'свод субъектов ИБ+смежные'!AU$1)</f>
        <v>0</v>
      </c>
      <c r="AV40" s="36">
        <f>SUMIFS('свод практик'!$DT$6:$DT$277,'свод практик'!$J$6:$J$277,'свод субъектов ИБ+смежные'!AV$1)</f>
        <v>1362</v>
      </c>
      <c r="AW40" s="36">
        <f>SUMIFS('свод практик'!$DT$6:$DT$277,'свод практик'!$J$6:$J$277,'свод субъектов ИБ+смежные'!AW$1)</f>
        <v>0</v>
      </c>
      <c r="AX40" s="36">
        <f>SUMIFS('свод практик'!$DT$6:$DT$277,'свод практик'!$J$6:$J$277,'свод субъектов ИБ+смежные'!AX$1)</f>
        <v>0</v>
      </c>
      <c r="AY40" s="36">
        <f>SUMIFS('свод практик'!$DT$6:$DT$277,'свод практик'!$J$6:$J$277,'свод субъектов ИБ+смежные'!AY$1)</f>
        <v>0</v>
      </c>
      <c r="AZ40" s="36">
        <f>SUMIFS('свод практик'!$DT$6:$DT$277,'свод практик'!$J$6:$J$277,'свод субъектов ИБ+смежные'!AZ$1)</f>
        <v>0</v>
      </c>
      <c r="BA40" s="36">
        <f>SUMIFS('свод практик'!$DT$6:$DT$277,'свод практик'!$J$6:$J$277,'свод субъектов ИБ+смежные'!BA$1)</f>
        <v>0</v>
      </c>
      <c r="BB40" s="36">
        <f>SUMIFS('свод практик'!$DT$6:$DT$277,'свод практик'!$J$6:$J$277,'свод субъектов ИБ+смежные'!BB$1)</f>
        <v>0</v>
      </c>
      <c r="BC40" s="36">
        <f>SUMIFS('свод практик'!$DT$6:$DT$277,'свод практик'!$J$6:$J$277,'свод субъектов ИБ+смежные'!BC$1)</f>
        <v>0</v>
      </c>
      <c r="BD40" s="36">
        <f>SUMIFS('свод практик'!$DT$6:$DT$277,'свод практик'!$J$6:$J$277,'свод субъектов ИБ+смежные'!BD$1)</f>
        <v>0</v>
      </c>
      <c r="BE40" s="36">
        <f>SUMIFS('свод практик'!$DT$6:$DT$277,'свод практик'!$J$6:$J$277,'свод субъектов ИБ+смежные'!BE$1)</f>
        <v>0</v>
      </c>
      <c r="BF40" s="36">
        <f>SUMIFS('свод практик'!$DT$6:$DT$277,'свод практик'!$J$6:$J$277,'свод субъектов ИБ+смежные'!BF$1)</f>
        <v>0</v>
      </c>
      <c r="BG40" s="36">
        <f>SUMIFS('свод практик'!$DT$6:$DT$277,'свод практик'!$J$6:$J$277,'свод субъектов ИБ+смежные'!BG$1)</f>
        <v>0</v>
      </c>
      <c r="BH40" s="36">
        <f>SUMIFS('свод практик'!$DT$6:$DT$277,'свод практик'!$J$6:$J$277,'свод субъектов ИБ+смежные'!BH$1)</f>
        <v>0</v>
      </c>
      <c r="BI40" s="36">
        <f>SUMIFS('свод практик'!$DT$6:$DT$277,'свод практик'!$J$6:$J$277,'свод субъектов ИБ+смежные'!BI$1)</f>
        <v>0</v>
      </c>
      <c r="BJ40" s="36">
        <f>SUMIFS('свод практик'!$DT$6:$DT$277,'свод практик'!$J$6:$J$277,'свод субъектов ИБ+смежные'!BJ$1)</f>
        <v>16832</v>
      </c>
      <c r="BK40" s="36">
        <f>SUMIFS('свод практик'!$DT$6:$DT$277,'свод практик'!$J$6:$J$277,'свод субъектов ИБ+смежные'!BK$1)</f>
        <v>0</v>
      </c>
      <c r="BL40" s="36">
        <f>SUMIFS('свод практик'!$DT$6:$DT$277,'свод практик'!$J$6:$J$277,'свод субъектов ИБ+смежные'!BL$1)</f>
        <v>0</v>
      </c>
      <c r="BM40" s="36">
        <f>SUMIFS('свод практик'!$DT$6:$DT$277,'свод практик'!$J$6:$J$277,'свод субъектов ИБ+смежные'!BM$1)</f>
        <v>27</v>
      </c>
      <c r="BN40" s="36">
        <f>SUMIFS('свод практик'!$DT$6:$DT$277,'свод практик'!$J$6:$J$277,'свод субъектов ИБ+смежные'!BN$1)</f>
        <v>28</v>
      </c>
      <c r="BO40" s="36">
        <f>SUMIFS('свод практик'!$DT$6:$DT$277,'свод практик'!$J$6:$J$277,'свод субъектов ИБ+смежные'!BO$1)</f>
        <v>0</v>
      </c>
      <c r="BP40" s="36">
        <f>SUMIFS('свод практик'!$DT$6:$DT$277,'свод практик'!$J$6:$J$277,'свод субъектов ИБ+смежные'!BP$1)</f>
        <v>0</v>
      </c>
      <c r="BQ40" s="36">
        <f>SUMIFS('свод практик'!$DT$6:$DT$277,'свод практик'!$J$6:$J$277,'свод субъектов ИБ+смежные'!BQ$1)</f>
        <v>0</v>
      </c>
      <c r="BR40" s="36">
        <f>SUMIFS('свод практик'!$DT$6:$DT$277,'свод практик'!$J$6:$J$277,'свод субъектов ИБ+смежные'!BR$1)</f>
        <v>0</v>
      </c>
      <c r="BS40" s="36">
        <f>SUMIFS('свод практик'!$DT$6:$DT$277,'свод практик'!$J$6:$J$277,'свод субъектов ИБ+смежные'!BS$1)</f>
        <v>0</v>
      </c>
      <c r="BT40" s="36">
        <f>SUMIFS('свод практик'!$DT$6:$DT$277,'свод практик'!$J$6:$J$277,'свод субъектов ИБ+смежные'!BT$1)</f>
        <v>0</v>
      </c>
      <c r="BU40" s="36">
        <f>SUMIFS('свод практик'!$DT$6:$DT$277,'свод практик'!$J$6:$J$277,'свод субъектов ИБ+смежные'!BU$1)</f>
        <v>803</v>
      </c>
      <c r="BV40" s="36">
        <f>SUMIFS('свод практик'!$DT$6:$DT$277,'свод практик'!$J$6:$J$277,'свод субъектов ИБ+смежные'!BV$1)</f>
        <v>7242</v>
      </c>
      <c r="BW40" s="36">
        <f>SUMIFS('свод практик'!$DT$6:$DT$277,'свод практик'!$J$6:$J$277,'свод субъектов ИБ+смежные'!BW$1)</f>
        <v>0</v>
      </c>
      <c r="BX40" s="36">
        <f>SUMIFS('свод практик'!$DT$6:$DT$277,'свод практик'!$J$6:$J$277,'свод субъектов ИБ+смежные'!BX$1)</f>
        <v>400</v>
      </c>
      <c r="BY40" s="36">
        <f>SUMIFS('свод практик'!$DT$6:$DT$277,'свод практик'!$J$6:$J$277,'свод субъектов ИБ+смежные'!BY$1)</f>
        <v>0</v>
      </c>
      <c r="BZ40" s="36">
        <f>SUMIFS('свод практик'!$DT$6:$DT$277,'свод практик'!$J$6:$J$277,'свод субъектов ИБ+смежные'!BZ$1)</f>
        <v>177439</v>
      </c>
      <c r="CA40" s="36">
        <f>SUMIFS('свод практик'!$DT$6:$DT$277,'свод практик'!$J$6:$J$277,'свод субъектов ИБ+смежные'!CA$1)</f>
        <v>0</v>
      </c>
      <c r="CB40" s="36">
        <f>SUMIFS('свод практик'!$DT$6:$DT$277,'свод практик'!$J$6:$J$277,'свод субъектов ИБ+смежные'!CB$1)</f>
        <v>0</v>
      </c>
      <c r="CC40" s="36">
        <f>SUMIFS('свод практик'!$DT$6:$DT$277,'свод практик'!$J$6:$J$277,'свод субъектов ИБ+смежные'!CC$1)</f>
        <v>0</v>
      </c>
      <c r="CD40" s="36">
        <f>SUMIFS('свод практик'!$DT$6:$DT$277,'свод практик'!$J$6:$J$277,'свод субъектов ИБ+смежные'!CD$1)</f>
        <v>625</v>
      </c>
      <c r="CE40" s="36">
        <f>SUMIFS('свод практик'!$DT$6:$DT$277,'свод практик'!$J$6:$J$277,'свод субъектов ИБ+смежные'!CE$1)</f>
        <v>0</v>
      </c>
      <c r="CF40" s="36">
        <f>SUMIFS('свод практик'!$DT$6:$DT$277,'свод практик'!$J$6:$J$277,'свод субъектов ИБ+смежные'!CF$1)</f>
        <v>0</v>
      </c>
      <c r="CG40" s="36">
        <f>SUMIFS('свод практик'!$DT$6:$DT$277,'свод практик'!$J$6:$J$277,'свод субъектов ИБ+смежные'!CG$1)</f>
        <v>0</v>
      </c>
      <c r="CH40" s="36">
        <f>SUMIFS('свод практик'!$DT$6:$DT$277,'свод практик'!$J$6:$J$277,'свод субъектов ИБ+смежные'!CH$1)</f>
        <v>0</v>
      </c>
      <c r="CI40" s="36">
        <f>SUMIFS('свод практик'!$DT$6:$DT$277,'свод практик'!$J$6:$J$277,'свод субъектов ИБ+смежные'!CI$1)</f>
        <v>0</v>
      </c>
      <c r="CJ40" s="36">
        <f>SUMIFS('свод практик'!$DT$6:$DT$277,'свод практик'!$J$6:$J$277,'свод субъектов ИБ+смежные'!CJ$1)</f>
        <v>0</v>
      </c>
      <c r="CK40" s="36">
        <f>SUMIFS('свод практик'!$DT$6:$DT$277,'свод практик'!$J$6:$J$277,'свод субъектов ИБ+смежные'!CK$1)</f>
        <v>0</v>
      </c>
      <c r="CL40" s="36">
        <f>SUMIFS('свод практик'!$DT$6:$DT$277,'свод практик'!$J$6:$J$277,'свод субъектов ИБ+смежные'!CL$1)</f>
        <v>0</v>
      </c>
      <c r="CM40" s="36">
        <f>SUMIFS('свод практик'!$DT$6:$DT$277,'свод практик'!$J$6:$J$277,'свод субъектов ИБ+смежные'!CM$1)</f>
        <v>43</v>
      </c>
      <c r="CN40" s="36">
        <f>SUMIFS('свод практик'!$DT$6:$DT$277,'свод практик'!$J$6:$J$277,'свод субъектов ИБ+смежные'!CN$1)</f>
        <v>0</v>
      </c>
      <c r="CO40" s="36">
        <f>SUMIFS('свод практик'!$DT$6:$DT$277,'свод практик'!$J$6:$J$277,'свод субъектов ИБ+смежные'!CO$1)</f>
        <v>0</v>
      </c>
      <c r="CP40" s="36">
        <f>SUMIFS('свод практик'!$DT$6:$DT$277,'свод практик'!$J$6:$J$277,'свод субъектов ИБ+смежные'!CP$1)</f>
        <v>28</v>
      </c>
      <c r="CQ40" s="36">
        <f>SUMIFS('свод практик'!$DT$6:$DT$277,'свод практик'!$J$6:$J$277,'свод субъектов ИБ+смежные'!CQ$1)</f>
        <v>52</v>
      </c>
      <c r="CR40" s="36">
        <f>SUMIFS('свод практик'!$DT$6:$DT$277,'свод практик'!$J$6:$J$277,'свод субъектов ИБ+смежные'!CR$1)</f>
        <v>0</v>
      </c>
      <c r="CS40" s="36">
        <f>SUMIFS('свод практик'!$DT$6:$DT$277,'свод практик'!$J$6:$J$277,'свод субъектов ИБ+смежные'!CS$1)</f>
        <v>0</v>
      </c>
      <c r="CT40" s="36">
        <f>SUMIFS('свод практик'!$DT$6:$DT$277,'свод практик'!$J$6:$J$277,'свод субъектов ИБ+смежные'!CT$1)</f>
        <v>0</v>
      </c>
      <c r="CU40" s="36">
        <f>SUMIFS('свод практик'!$DT$6:$DT$277,'свод практик'!$J$6:$J$277,'свод субъектов ИБ+смежные'!CU$1)</f>
        <v>976</v>
      </c>
      <c r="CV40" s="36">
        <f>SUMIFS('свод практик'!$DT$6:$DT$277,'свод практик'!$J$6:$J$277,'свод субъектов ИБ+смежные'!CV$1)</f>
        <v>0</v>
      </c>
    </row>
    <row r="41" spans="1:100" ht="42">
      <c r="A41" s="752"/>
      <c r="B41" s="27"/>
      <c r="C41" s="740"/>
      <c r="D41" s="42" t="s">
        <v>4949</v>
      </c>
      <c r="E41" s="76">
        <v>37</v>
      </c>
      <c r="F41" s="48" t="s">
        <v>5042</v>
      </c>
      <c r="G41" s="58" t="s">
        <v>5043</v>
      </c>
      <c r="H41" s="67" t="s">
        <v>5035</v>
      </c>
      <c r="I41" s="68" t="s">
        <v>4961</v>
      </c>
      <c r="M41" s="36" t="s">
        <v>5497</v>
      </c>
      <c r="N41" s="36">
        <v>2205</v>
      </c>
      <c r="O41" s="224">
        <f t="shared" si="16"/>
        <v>14836</v>
      </c>
      <c r="P41" s="36">
        <f>SUMIFS('свод практик'!$DW$6:$DW$277,'свод практик'!$J$6:$J$277,'свод субъектов ИБ+смежные'!P$1)</f>
        <v>0</v>
      </c>
      <c r="Q41" s="36">
        <f>SUMIFS('свод практик'!$DW$6:$DW$277,'свод практик'!$J$6:$J$277,'свод субъектов ИБ+смежные'!Q$1)</f>
        <v>0</v>
      </c>
      <c r="R41" s="36">
        <f>SUMIFS('свод практик'!$DW$6:$DW$277,'свод практик'!$J$6:$J$277,'свод субъектов ИБ+смежные'!R$1)</f>
        <v>0</v>
      </c>
      <c r="S41" s="36">
        <f>SUMIFS('свод практик'!$DW$6:$DW$277,'свод практик'!$J$6:$J$277,'свод субъектов ИБ+смежные'!S$1)</f>
        <v>0</v>
      </c>
      <c r="T41" s="36">
        <f>SUMIFS('свод практик'!$DW$6:$DW$277,'свод практик'!$J$6:$J$277,'свод субъектов ИБ+смежные'!T$1)</f>
        <v>0</v>
      </c>
      <c r="U41" s="36">
        <f>SUMIFS('свод практик'!$DW$6:$DW$277,'свод практик'!$J$6:$J$277,'свод субъектов ИБ+смежные'!U$1)</f>
        <v>0</v>
      </c>
      <c r="V41" s="36">
        <f>SUMIFS('свод практик'!$DW$6:$DW$277,'свод практик'!$J$6:$J$277,'свод субъектов ИБ+смежные'!V$1)</f>
        <v>0</v>
      </c>
      <c r="W41" s="36">
        <f>SUMIFS('свод практик'!$DW$6:$DW$277,'свод практик'!$J$6:$J$277,'свод субъектов ИБ+смежные'!W$1)</f>
        <v>0</v>
      </c>
      <c r="X41" s="36">
        <f>SUMIFS('свод практик'!$DW$6:$DW$277,'свод практик'!$J$6:$J$277,'свод субъектов ИБ+смежные'!X$1)</f>
        <v>0</v>
      </c>
      <c r="Y41" s="36">
        <f>SUMIFS('свод практик'!$DW$6:$DW$277,'свод практик'!$J$6:$J$277,'свод субъектов ИБ+смежные'!Y$1)</f>
        <v>0</v>
      </c>
      <c r="Z41" s="36">
        <f>SUMIFS('свод практик'!$DW$6:$DW$277,'свод практик'!$J$6:$J$277,'свод субъектов ИБ+смежные'!Z$1)</f>
        <v>0</v>
      </c>
      <c r="AA41" s="36">
        <f>SUMIFS('свод практик'!$DW$6:$DW$277,'свод практик'!$J$6:$J$277,'свод субъектов ИБ+смежные'!AA$1)</f>
        <v>0</v>
      </c>
      <c r="AB41" s="36">
        <f>SUMIFS('свод практик'!$DW$6:$DW$277,'свод практик'!$J$6:$J$277,'свод субъектов ИБ+смежные'!AB$1)</f>
        <v>0</v>
      </c>
      <c r="AC41" s="36">
        <f>SUMIFS('свод практик'!$DW$6:$DW$277,'свод практик'!$J$6:$J$277,'свод субъектов ИБ+смежные'!AC$1)</f>
        <v>0</v>
      </c>
      <c r="AD41" s="36">
        <f>SUMIFS('свод практик'!$DW$6:$DW$277,'свод практик'!$J$6:$J$277,'свод субъектов ИБ+смежные'!AD$1)</f>
        <v>0</v>
      </c>
      <c r="AE41" s="36">
        <f>SUMIFS('свод практик'!$DW$6:$DW$277,'свод практик'!$J$6:$J$277,'свод субъектов ИБ+смежные'!AE$1)</f>
        <v>0</v>
      </c>
      <c r="AF41" s="36">
        <f>SUMIFS('свод практик'!$DW$6:$DW$277,'свод практик'!$J$6:$J$277,'свод субъектов ИБ+смежные'!AF$1)</f>
        <v>0</v>
      </c>
      <c r="AG41" s="36">
        <f>SUMIFS('свод практик'!$DW$6:$DW$277,'свод практик'!$J$6:$J$277,'свод субъектов ИБ+смежные'!AG$1)</f>
        <v>0</v>
      </c>
      <c r="AH41" s="36">
        <f>SUMIFS('свод практик'!$DW$6:$DW$277,'свод практик'!$J$6:$J$277,'свод субъектов ИБ+смежные'!AH$1)</f>
        <v>0</v>
      </c>
      <c r="AI41" s="36">
        <f>SUMIFS('свод практик'!$DW$6:$DW$277,'свод практик'!$J$6:$J$277,'свод субъектов ИБ+смежные'!AI$1)</f>
        <v>0</v>
      </c>
      <c r="AJ41" s="36">
        <f>SUMIFS('свод практик'!$DW$6:$DW$277,'свод практик'!$J$6:$J$277,'свод субъектов ИБ+смежные'!AJ$1)</f>
        <v>0</v>
      </c>
      <c r="AK41" s="36">
        <f>SUMIFS('свод практик'!$DW$6:$DW$277,'свод практик'!$J$6:$J$277,'свод субъектов ИБ+смежные'!AK$1)</f>
        <v>37</v>
      </c>
      <c r="AL41" s="36">
        <f>SUMIFS('свод практик'!$DW$6:$DW$277,'свод практик'!$J$6:$J$277,'свод субъектов ИБ+смежные'!AL$1)</f>
        <v>0</v>
      </c>
      <c r="AM41" s="36">
        <f>SUMIFS('свод практик'!$DW$6:$DW$277,'свод практик'!$J$6:$J$277,'свод субъектов ИБ+смежные'!AM$1)</f>
        <v>0</v>
      </c>
      <c r="AN41" s="36">
        <f>SUMIFS('свод практик'!$DW$6:$DW$277,'свод практик'!$J$6:$J$277,'свод субъектов ИБ+смежные'!AN$1)</f>
        <v>0</v>
      </c>
      <c r="AO41" s="36">
        <f>SUMIFS('свод практик'!$DW$6:$DW$277,'свод практик'!$J$6:$J$277,'свод субъектов ИБ+смежные'!AO$1)</f>
        <v>0</v>
      </c>
      <c r="AP41" s="36">
        <f>SUMIFS('свод практик'!$DW$6:$DW$277,'свод практик'!$J$6:$J$277,'свод субъектов ИБ+смежные'!AP$1)</f>
        <v>0</v>
      </c>
      <c r="AQ41" s="36">
        <f>SUMIFS('свод практик'!$DW$6:$DW$277,'свод практик'!$J$6:$J$277,'свод субъектов ИБ+смежные'!AQ$1)</f>
        <v>0</v>
      </c>
      <c r="AR41" s="36">
        <f>SUMIFS('свод практик'!$DW$6:$DW$277,'свод практик'!$J$6:$J$277,'свод субъектов ИБ+смежные'!AR$1)</f>
        <v>0</v>
      </c>
      <c r="AS41" s="36">
        <f>SUMIFS('свод практик'!$DW$6:$DW$277,'свод практик'!$J$6:$J$277,'свод субъектов ИБ+смежные'!AS$1)</f>
        <v>0</v>
      </c>
      <c r="AT41" s="36">
        <f>SUMIFS('свод практик'!$DW$6:$DW$277,'свод практик'!$J$6:$J$277,'свод субъектов ИБ+смежные'!AT$1)</f>
        <v>0</v>
      </c>
      <c r="AU41" s="36">
        <f>SUMIFS('свод практик'!$DW$6:$DW$277,'свод практик'!$J$6:$J$277,'свод субъектов ИБ+смежные'!AU$1)</f>
        <v>0</v>
      </c>
      <c r="AV41" s="36">
        <f>SUMIFS('свод практик'!$DW$6:$DW$277,'свод практик'!$J$6:$J$277,'свод субъектов ИБ+смежные'!AV$1)</f>
        <v>0</v>
      </c>
      <c r="AW41" s="36">
        <f>SUMIFS('свод практик'!$DW$6:$DW$277,'свод практик'!$J$6:$J$277,'свод субъектов ИБ+смежные'!AW$1)</f>
        <v>0</v>
      </c>
      <c r="AX41" s="36">
        <f>SUMIFS('свод практик'!$DW$6:$DW$277,'свод практик'!$J$6:$J$277,'свод субъектов ИБ+смежные'!AX$1)</f>
        <v>0</v>
      </c>
      <c r="AY41" s="36">
        <f>SUMIFS('свод практик'!$DW$6:$DW$277,'свод практик'!$J$6:$J$277,'свод субъектов ИБ+смежные'!AY$1)</f>
        <v>0</v>
      </c>
      <c r="AZ41" s="36">
        <f>SUMIFS('свод практик'!$DW$6:$DW$277,'свод практик'!$J$6:$J$277,'свод субъектов ИБ+смежные'!AZ$1)</f>
        <v>0</v>
      </c>
      <c r="BA41" s="36">
        <f>SUMIFS('свод практик'!$DW$6:$DW$277,'свод практик'!$J$6:$J$277,'свод субъектов ИБ+смежные'!BA$1)</f>
        <v>14100</v>
      </c>
      <c r="BB41" s="36">
        <f>SUMIFS('свод практик'!$DW$6:$DW$277,'свод практик'!$J$6:$J$277,'свод субъектов ИБ+смежные'!BB$1)</f>
        <v>0</v>
      </c>
      <c r="BC41" s="36">
        <f>SUMIFS('свод практик'!$DW$6:$DW$277,'свод практик'!$J$6:$J$277,'свод субъектов ИБ+смежные'!BC$1)</f>
        <v>0</v>
      </c>
      <c r="BD41" s="36">
        <f>SUMIFS('свод практик'!$DW$6:$DW$277,'свод практик'!$J$6:$J$277,'свод субъектов ИБ+смежные'!BD$1)</f>
        <v>0</v>
      </c>
      <c r="BE41" s="36">
        <f>SUMIFS('свод практик'!$DW$6:$DW$277,'свод практик'!$J$6:$J$277,'свод субъектов ИБ+смежные'!BE$1)</f>
        <v>0</v>
      </c>
      <c r="BF41" s="36">
        <f>SUMIFS('свод практик'!$DW$6:$DW$277,'свод практик'!$J$6:$J$277,'свод субъектов ИБ+смежные'!BF$1)</f>
        <v>0</v>
      </c>
      <c r="BG41" s="36">
        <f>SUMIFS('свод практик'!$DW$6:$DW$277,'свод практик'!$J$6:$J$277,'свод субъектов ИБ+смежные'!BG$1)</f>
        <v>0</v>
      </c>
      <c r="BH41" s="36">
        <f>SUMIFS('свод практик'!$DW$6:$DW$277,'свод практик'!$J$6:$J$277,'свод субъектов ИБ+смежные'!BH$1)</f>
        <v>0</v>
      </c>
      <c r="BI41" s="36">
        <f>SUMIFS('свод практик'!$DW$6:$DW$277,'свод практик'!$J$6:$J$277,'свод субъектов ИБ+смежные'!BI$1)</f>
        <v>0</v>
      </c>
      <c r="BJ41" s="36">
        <f>SUMIFS('свод практик'!$DW$6:$DW$277,'свод практик'!$J$6:$J$277,'свод субъектов ИБ+смежные'!BJ$1)</f>
        <v>0</v>
      </c>
      <c r="BK41" s="36">
        <f>SUMIFS('свод практик'!$DW$6:$DW$277,'свод практик'!$J$6:$J$277,'свод субъектов ИБ+смежные'!BK$1)</f>
        <v>0</v>
      </c>
      <c r="BL41" s="36">
        <f>SUMIFS('свод практик'!$DW$6:$DW$277,'свод практик'!$J$6:$J$277,'свод субъектов ИБ+смежные'!BL$1)</f>
        <v>0</v>
      </c>
      <c r="BM41" s="36">
        <f>SUMIFS('свод практик'!$DW$6:$DW$277,'свод практик'!$J$6:$J$277,'свод субъектов ИБ+смежные'!BM$1)</f>
        <v>10</v>
      </c>
      <c r="BN41" s="36">
        <f>SUMIFS('свод практик'!$DW$6:$DW$277,'свод практик'!$J$6:$J$277,'свод субъектов ИБ+смежные'!BN$1)</f>
        <v>0</v>
      </c>
      <c r="BO41" s="36">
        <f>SUMIFS('свод практик'!$DW$6:$DW$277,'свод практик'!$J$6:$J$277,'свод субъектов ИБ+смежные'!BO$1)</f>
        <v>0</v>
      </c>
      <c r="BP41" s="36">
        <f>SUMIFS('свод практик'!$DW$6:$DW$277,'свод практик'!$J$6:$J$277,'свод субъектов ИБ+смежные'!BP$1)</f>
        <v>0</v>
      </c>
      <c r="BQ41" s="36">
        <f>SUMIFS('свод практик'!$DW$6:$DW$277,'свод практик'!$J$6:$J$277,'свод субъектов ИБ+смежные'!BQ$1)</f>
        <v>0</v>
      </c>
      <c r="BR41" s="36">
        <f>SUMIFS('свод практик'!$DW$6:$DW$277,'свод практик'!$J$6:$J$277,'свод субъектов ИБ+смежные'!BR$1)</f>
        <v>0</v>
      </c>
      <c r="BS41" s="36">
        <f>SUMIFS('свод практик'!$DW$6:$DW$277,'свод практик'!$J$6:$J$277,'свод субъектов ИБ+смежные'!BS$1)</f>
        <v>159</v>
      </c>
      <c r="BT41" s="36">
        <f>SUMIFS('свод практик'!$DW$6:$DW$277,'свод практик'!$J$6:$J$277,'свод субъектов ИБ+смежные'!BT$1)</f>
        <v>0</v>
      </c>
      <c r="BU41" s="36">
        <f>SUMIFS('свод практик'!$DW$6:$DW$277,'свод практик'!$J$6:$J$277,'свод субъектов ИБ+смежные'!BU$1)</f>
        <v>0</v>
      </c>
      <c r="BV41" s="36">
        <f>SUMIFS('свод практик'!$DW$6:$DW$277,'свод практик'!$J$6:$J$277,'свод субъектов ИБ+смежные'!BV$1)</f>
        <v>0</v>
      </c>
      <c r="BW41" s="36">
        <f>SUMIFS('свод практик'!$DW$6:$DW$277,'свод практик'!$J$6:$J$277,'свод субъектов ИБ+смежные'!BW$1)</f>
        <v>0</v>
      </c>
      <c r="BX41" s="36">
        <f>SUMIFS('свод практик'!$DW$6:$DW$277,'свод практик'!$J$6:$J$277,'свод субъектов ИБ+смежные'!BX$1)</f>
        <v>400</v>
      </c>
      <c r="BY41" s="36">
        <f>SUMIFS('свод практик'!$DW$6:$DW$277,'свод практик'!$J$6:$J$277,'свод субъектов ИБ+смежные'!BY$1)</f>
        <v>0</v>
      </c>
      <c r="BZ41" s="36">
        <f>SUMIFS('свод практик'!$DW$6:$DW$277,'свод практик'!$J$6:$J$277,'свод субъектов ИБ+смежные'!BZ$1)</f>
        <v>0</v>
      </c>
      <c r="CA41" s="36">
        <f>SUMIFS('свод практик'!$DW$6:$DW$277,'свод практик'!$J$6:$J$277,'свод субъектов ИБ+смежные'!CA$1)</f>
        <v>0</v>
      </c>
      <c r="CB41" s="36">
        <f>SUMIFS('свод практик'!$DW$6:$DW$277,'свод практик'!$J$6:$J$277,'свод субъектов ИБ+смежные'!CB$1)</f>
        <v>0</v>
      </c>
      <c r="CC41" s="36">
        <f>SUMIFS('свод практик'!$DW$6:$DW$277,'свод практик'!$J$6:$J$277,'свод субъектов ИБ+смежные'!CC$1)</f>
        <v>0</v>
      </c>
      <c r="CD41" s="36">
        <f>SUMIFS('свод практик'!$DW$6:$DW$277,'свод практик'!$J$6:$J$277,'свод субъектов ИБ+смежные'!CD$1)</f>
        <v>15</v>
      </c>
      <c r="CE41" s="36">
        <f>SUMIFS('свод практик'!$DW$6:$DW$277,'свод практик'!$J$6:$J$277,'свод субъектов ИБ+смежные'!CE$1)</f>
        <v>0</v>
      </c>
      <c r="CF41" s="36">
        <f>SUMIFS('свод практик'!$DW$6:$DW$277,'свод практик'!$J$6:$J$277,'свод субъектов ИБ+смежные'!CF$1)</f>
        <v>0</v>
      </c>
      <c r="CG41" s="36">
        <f>SUMIFS('свод практик'!$DW$6:$DW$277,'свод практик'!$J$6:$J$277,'свод субъектов ИБ+смежные'!CG$1)</f>
        <v>0</v>
      </c>
      <c r="CH41" s="36">
        <f>SUMIFS('свод практик'!$DW$6:$DW$277,'свод практик'!$J$6:$J$277,'свод субъектов ИБ+смежные'!CH$1)</f>
        <v>0</v>
      </c>
      <c r="CI41" s="36">
        <f>SUMIFS('свод практик'!$DW$6:$DW$277,'свод практик'!$J$6:$J$277,'свод субъектов ИБ+смежные'!CI$1)</f>
        <v>0</v>
      </c>
      <c r="CJ41" s="36">
        <f>SUMIFS('свод практик'!$DW$6:$DW$277,'свод практик'!$J$6:$J$277,'свод субъектов ИБ+смежные'!CJ$1)</f>
        <v>0</v>
      </c>
      <c r="CK41" s="36">
        <f>SUMIFS('свод практик'!$DW$6:$DW$277,'свод практик'!$J$6:$J$277,'свод субъектов ИБ+смежные'!CK$1)</f>
        <v>0</v>
      </c>
      <c r="CL41" s="36">
        <f>SUMIFS('свод практик'!$DW$6:$DW$277,'свод практик'!$J$6:$J$277,'свод субъектов ИБ+смежные'!CL$1)</f>
        <v>0</v>
      </c>
      <c r="CM41" s="36">
        <f>SUMIFS('свод практик'!$DW$6:$DW$277,'свод практик'!$J$6:$J$277,'свод субъектов ИБ+смежные'!CM$1)</f>
        <v>4</v>
      </c>
      <c r="CN41" s="36">
        <f>SUMIFS('свод практик'!$DW$6:$DW$277,'свод практик'!$J$6:$J$277,'свод субъектов ИБ+смежные'!CN$1)</f>
        <v>0</v>
      </c>
      <c r="CO41" s="36">
        <f>SUMIFS('свод практик'!$DW$6:$DW$277,'свод практик'!$J$6:$J$277,'свод субъектов ИБ+смежные'!CO$1)</f>
        <v>0</v>
      </c>
      <c r="CP41" s="36">
        <f>SUMIFS('свод практик'!$DW$6:$DW$277,'свод практик'!$J$6:$J$277,'свод субъектов ИБ+смежные'!CP$1)</f>
        <v>1</v>
      </c>
      <c r="CQ41" s="36">
        <f>SUMIFS('свод практик'!$DW$6:$DW$277,'свод практик'!$J$6:$J$277,'свод субъектов ИБ+смежные'!CQ$1)</f>
        <v>0</v>
      </c>
      <c r="CR41" s="36">
        <f>SUMIFS('свод практик'!$DW$6:$DW$277,'свод практик'!$J$6:$J$277,'свод субъектов ИБ+смежные'!CR$1)</f>
        <v>0</v>
      </c>
      <c r="CS41" s="36">
        <f>SUMIFS('свод практик'!$DW$6:$DW$277,'свод практик'!$J$6:$J$277,'свод субъектов ИБ+смежные'!CS$1)</f>
        <v>0</v>
      </c>
      <c r="CT41" s="36">
        <f>SUMIFS('свод практик'!$DW$6:$DW$277,'свод практик'!$J$6:$J$277,'свод субъектов ИБ+смежные'!CT$1)</f>
        <v>0</v>
      </c>
      <c r="CU41" s="36">
        <f>SUMIFS('свод практик'!$DW$6:$DW$277,'свод практик'!$J$6:$J$277,'свод субъектов ИБ+смежные'!CU$1)</f>
        <v>110</v>
      </c>
      <c r="CV41" s="36">
        <f>SUMIFS('свод практик'!$DW$6:$DW$277,'свод практик'!$J$6:$J$277,'свод субъектов ИБ+смежные'!CV$1)</f>
        <v>0</v>
      </c>
    </row>
    <row r="42" spans="1:100" ht="42">
      <c r="A42" s="752"/>
      <c r="B42" s="27"/>
      <c r="C42" s="740"/>
      <c r="D42" s="42" t="s">
        <v>4949</v>
      </c>
      <c r="E42" s="76">
        <v>38</v>
      </c>
      <c r="F42" s="48" t="s">
        <v>5044</v>
      </c>
      <c r="G42" s="58" t="s">
        <v>5045</v>
      </c>
      <c r="H42" s="67" t="s">
        <v>5035</v>
      </c>
      <c r="I42" s="68" t="s">
        <v>4961</v>
      </c>
      <c r="M42" s="36" t="s">
        <v>5497</v>
      </c>
      <c r="N42" s="36">
        <v>420221</v>
      </c>
      <c r="O42" s="224">
        <f t="shared" si="16"/>
        <v>402710</v>
      </c>
      <c r="P42" s="36">
        <f>SUMIFS('свод практик'!$DZ$6:$DZ$277,'свод практик'!$J$6:$J$277,'свод субъектов ИБ+смежные'!P$1)</f>
        <v>0</v>
      </c>
      <c r="Q42" s="36">
        <f>SUMIFS('свод практик'!$DZ$6:$DZ$277,'свод практик'!$J$6:$J$277,'свод субъектов ИБ+смежные'!Q$1)</f>
        <v>0</v>
      </c>
      <c r="R42" s="36">
        <f>SUMIFS('свод практик'!$DZ$6:$DZ$277,'свод практик'!$J$6:$J$277,'свод субъектов ИБ+смежные'!R$1)</f>
        <v>0</v>
      </c>
      <c r="S42" s="36">
        <f>SUMIFS('свод практик'!$DZ$6:$DZ$277,'свод практик'!$J$6:$J$277,'свод субъектов ИБ+смежные'!S$1)</f>
        <v>0</v>
      </c>
      <c r="T42" s="36">
        <f>SUMIFS('свод практик'!$DZ$6:$DZ$277,'свод практик'!$J$6:$J$277,'свод субъектов ИБ+смежные'!T$1)</f>
        <v>507</v>
      </c>
      <c r="U42" s="36">
        <f>SUMIFS('свод практик'!$DZ$6:$DZ$277,'свод практик'!$J$6:$J$277,'свод субъектов ИБ+смежные'!U$1)</f>
        <v>0</v>
      </c>
      <c r="V42" s="36">
        <f>SUMIFS('свод практик'!$DZ$6:$DZ$277,'свод практик'!$J$6:$J$277,'свод субъектов ИБ+смежные'!V$1)</f>
        <v>199</v>
      </c>
      <c r="W42" s="36">
        <f>SUMIFS('свод практик'!$DZ$6:$DZ$277,'свод практик'!$J$6:$J$277,'свод субъектов ИБ+смежные'!W$1)</f>
        <v>0</v>
      </c>
      <c r="X42" s="36">
        <f>SUMIFS('свод практик'!$DZ$6:$DZ$277,'свод практик'!$J$6:$J$277,'свод субъектов ИБ+смежные'!X$1)</f>
        <v>0</v>
      </c>
      <c r="Y42" s="36">
        <f>SUMIFS('свод практик'!$DZ$6:$DZ$277,'свод практик'!$J$6:$J$277,'свод субъектов ИБ+смежные'!Y$1)</f>
        <v>1324</v>
      </c>
      <c r="Z42" s="36">
        <f>SUMIFS('свод практик'!$DZ$6:$DZ$277,'свод практик'!$J$6:$J$277,'свод субъектов ИБ+смежные'!Z$1)</f>
        <v>110423</v>
      </c>
      <c r="AA42" s="36">
        <f>SUMIFS('свод практик'!$DZ$6:$DZ$277,'свод практик'!$J$6:$J$277,'свод субъектов ИБ+смежные'!AA$1)</f>
        <v>0</v>
      </c>
      <c r="AB42" s="36">
        <f>SUMIFS('свод практик'!$DZ$6:$DZ$277,'свод практик'!$J$6:$J$277,'свод субъектов ИБ+смежные'!AB$1)</f>
        <v>0</v>
      </c>
      <c r="AC42" s="36">
        <f>SUMIFS('свод практик'!$DZ$6:$DZ$277,'свод практик'!$J$6:$J$277,'свод субъектов ИБ+смежные'!AC$1)</f>
        <v>23000</v>
      </c>
      <c r="AD42" s="36">
        <f>SUMIFS('свод практик'!$DZ$6:$DZ$277,'свод практик'!$J$6:$J$277,'свод субъектов ИБ+смежные'!AD$1)</f>
        <v>0</v>
      </c>
      <c r="AE42" s="36">
        <f>SUMIFS('свод практик'!$DZ$6:$DZ$277,'свод практик'!$J$6:$J$277,'свод субъектов ИБ+смежные'!AE$1)</f>
        <v>0</v>
      </c>
      <c r="AF42" s="36">
        <f>SUMIFS('свод практик'!$DZ$6:$DZ$277,'свод практик'!$J$6:$J$277,'свод субъектов ИБ+смежные'!AF$1)</f>
        <v>0</v>
      </c>
      <c r="AG42" s="36">
        <f>SUMIFS('свод практик'!$DZ$6:$DZ$277,'свод практик'!$J$6:$J$277,'свод субъектов ИБ+смежные'!AG$1)</f>
        <v>0</v>
      </c>
      <c r="AH42" s="36">
        <f>SUMIFS('свод практик'!$DZ$6:$DZ$277,'свод практик'!$J$6:$J$277,'свод субъектов ИБ+смежные'!AH$1)</f>
        <v>0</v>
      </c>
      <c r="AI42" s="36">
        <f>SUMIFS('свод практик'!$DZ$6:$DZ$277,'свод практик'!$J$6:$J$277,'свод субъектов ИБ+смежные'!AI$1)</f>
        <v>0</v>
      </c>
      <c r="AJ42" s="36">
        <f>SUMIFS('свод практик'!$DZ$6:$DZ$277,'свод практик'!$J$6:$J$277,'свод субъектов ИБ+смежные'!AJ$1)</f>
        <v>0</v>
      </c>
      <c r="AK42" s="36">
        <f>SUMIFS('свод практик'!$DZ$6:$DZ$277,'свод практик'!$J$6:$J$277,'свод субъектов ИБ+смежные'!AK$1)</f>
        <v>1653</v>
      </c>
      <c r="AL42" s="36">
        <f>SUMIFS('свод практик'!$DZ$6:$DZ$277,'свод практик'!$J$6:$J$277,'свод субъектов ИБ+смежные'!AL$1)</f>
        <v>0</v>
      </c>
      <c r="AM42" s="36">
        <f>SUMIFS('свод практик'!$DZ$6:$DZ$277,'свод практик'!$J$6:$J$277,'свод субъектов ИБ+смежные'!AM$1)</f>
        <v>0</v>
      </c>
      <c r="AN42" s="36">
        <f>SUMIFS('свод практик'!$DZ$6:$DZ$277,'свод практик'!$J$6:$J$277,'свод субъектов ИБ+смежные'!AN$1)</f>
        <v>0</v>
      </c>
      <c r="AO42" s="36">
        <f>SUMIFS('свод практик'!$DZ$6:$DZ$277,'свод практик'!$J$6:$J$277,'свод субъектов ИБ+смежные'!AO$1)</f>
        <v>0</v>
      </c>
      <c r="AP42" s="36">
        <f>SUMIFS('свод практик'!$DZ$6:$DZ$277,'свод практик'!$J$6:$J$277,'свод субъектов ИБ+смежные'!AP$1)</f>
        <v>0</v>
      </c>
      <c r="AQ42" s="36">
        <f>SUMIFS('свод практик'!$DZ$6:$DZ$277,'свод практик'!$J$6:$J$277,'свод субъектов ИБ+смежные'!AQ$1)</f>
        <v>0</v>
      </c>
      <c r="AR42" s="36">
        <f>SUMIFS('свод практик'!$DZ$6:$DZ$277,'свод практик'!$J$6:$J$277,'свод субъектов ИБ+смежные'!AR$1)</f>
        <v>0</v>
      </c>
      <c r="AS42" s="36">
        <f>SUMIFS('свод практик'!$DZ$6:$DZ$277,'свод практик'!$J$6:$J$277,'свод субъектов ИБ+смежные'!AS$1)</f>
        <v>0</v>
      </c>
      <c r="AT42" s="36">
        <f>SUMIFS('свод практик'!$DZ$6:$DZ$277,'свод практик'!$J$6:$J$277,'свод субъектов ИБ+смежные'!AT$1)</f>
        <v>0</v>
      </c>
      <c r="AU42" s="36">
        <f>SUMIFS('свод практик'!$DZ$6:$DZ$277,'свод практик'!$J$6:$J$277,'свод субъектов ИБ+смежные'!AU$1)</f>
        <v>0</v>
      </c>
      <c r="AV42" s="36">
        <f>SUMIFS('свод практик'!$DZ$6:$DZ$277,'свод практик'!$J$6:$J$277,'свод субъектов ИБ+смежные'!AV$1)</f>
        <v>3098</v>
      </c>
      <c r="AW42" s="36">
        <f>SUMIFS('свод практик'!$DZ$6:$DZ$277,'свод практик'!$J$6:$J$277,'свод субъектов ИБ+смежные'!AW$1)</f>
        <v>862</v>
      </c>
      <c r="AX42" s="36">
        <f>SUMIFS('свод практик'!$DZ$6:$DZ$277,'свод практик'!$J$6:$J$277,'свод субъектов ИБ+смежные'!AX$1)</f>
        <v>0</v>
      </c>
      <c r="AY42" s="36">
        <f>SUMIFS('свод практик'!$DZ$6:$DZ$277,'свод практик'!$J$6:$J$277,'свод субъектов ИБ+смежные'!AY$1)</f>
        <v>0</v>
      </c>
      <c r="AZ42" s="36">
        <f>SUMIFS('свод практик'!$DZ$6:$DZ$277,'свод практик'!$J$6:$J$277,'свод субъектов ИБ+смежные'!AZ$1)</f>
        <v>15</v>
      </c>
      <c r="BA42" s="36">
        <f>SUMIFS('свод практик'!$DZ$6:$DZ$277,'свод практик'!$J$6:$J$277,'свод субъектов ИБ+смежные'!BA$1)</f>
        <v>0</v>
      </c>
      <c r="BB42" s="36">
        <f>SUMIFS('свод практик'!$DZ$6:$DZ$277,'свод практик'!$J$6:$J$277,'свод субъектов ИБ+смежные'!BB$1)</f>
        <v>0</v>
      </c>
      <c r="BC42" s="36">
        <f>SUMIFS('свод практик'!$DZ$6:$DZ$277,'свод практик'!$J$6:$J$277,'свод субъектов ИБ+смежные'!BC$1)</f>
        <v>0</v>
      </c>
      <c r="BD42" s="36">
        <f>SUMIFS('свод практик'!$DZ$6:$DZ$277,'свод практик'!$J$6:$J$277,'свод субъектов ИБ+смежные'!BD$1)</f>
        <v>0</v>
      </c>
      <c r="BE42" s="36">
        <f>SUMIFS('свод практик'!$DZ$6:$DZ$277,'свод практик'!$J$6:$J$277,'свод субъектов ИБ+смежные'!BE$1)</f>
        <v>0</v>
      </c>
      <c r="BF42" s="36">
        <f>SUMIFS('свод практик'!$DZ$6:$DZ$277,'свод практик'!$J$6:$J$277,'свод субъектов ИБ+смежные'!BF$1)</f>
        <v>0</v>
      </c>
      <c r="BG42" s="36">
        <f>SUMIFS('свод практик'!$DZ$6:$DZ$277,'свод практик'!$J$6:$J$277,'свод субъектов ИБ+смежные'!BG$1)</f>
        <v>0</v>
      </c>
      <c r="BH42" s="36">
        <f>SUMIFS('свод практик'!$DZ$6:$DZ$277,'свод практик'!$J$6:$J$277,'свод субъектов ИБ+смежные'!BH$1)</f>
        <v>0</v>
      </c>
      <c r="BI42" s="36">
        <f>SUMIFS('свод практик'!$DZ$6:$DZ$277,'свод практик'!$J$6:$J$277,'свод субъектов ИБ+смежные'!BI$1)</f>
        <v>0</v>
      </c>
      <c r="BJ42" s="36">
        <f>SUMIFS('свод практик'!$DZ$6:$DZ$277,'свод практик'!$J$6:$J$277,'свод субъектов ИБ+смежные'!BJ$1)</f>
        <v>35744</v>
      </c>
      <c r="BK42" s="36">
        <f>SUMIFS('свод практик'!$DZ$6:$DZ$277,'свод практик'!$J$6:$J$277,'свод субъектов ИБ+смежные'!BK$1)</f>
        <v>0</v>
      </c>
      <c r="BL42" s="36">
        <f>SUMIFS('свод практик'!$DZ$6:$DZ$277,'свод практик'!$J$6:$J$277,'свод субъектов ИБ+смежные'!BL$1)</f>
        <v>283</v>
      </c>
      <c r="BM42" s="36">
        <f>SUMIFS('свод практик'!$DZ$6:$DZ$277,'свод практик'!$J$6:$J$277,'свод субъектов ИБ+смежные'!BM$1)</f>
        <v>0</v>
      </c>
      <c r="BN42" s="36">
        <f>SUMIFS('свод практик'!$DZ$6:$DZ$277,'свод практик'!$J$6:$J$277,'свод субъектов ИБ+смежные'!BN$1)</f>
        <v>0</v>
      </c>
      <c r="BO42" s="36">
        <f>SUMIFS('свод практик'!$DZ$6:$DZ$277,'свод практик'!$J$6:$J$277,'свод субъектов ИБ+смежные'!BO$1)</f>
        <v>67</v>
      </c>
      <c r="BP42" s="36">
        <f>SUMIFS('свод практик'!$DZ$6:$DZ$277,'свод практик'!$J$6:$J$277,'свод субъектов ИБ+смежные'!BP$1)</f>
        <v>0</v>
      </c>
      <c r="BQ42" s="36">
        <f>SUMIFS('свод практик'!$DZ$6:$DZ$277,'свод практик'!$J$6:$J$277,'свод субъектов ИБ+смежные'!BQ$1)</f>
        <v>0</v>
      </c>
      <c r="BR42" s="36">
        <f>SUMIFS('свод практик'!$DZ$6:$DZ$277,'свод практик'!$J$6:$J$277,'свод субъектов ИБ+смежные'!BR$1)</f>
        <v>32</v>
      </c>
      <c r="BS42" s="36">
        <f>SUMIFS('свод практик'!$DZ$6:$DZ$277,'свод практик'!$J$6:$J$277,'свод субъектов ИБ+смежные'!BS$1)</f>
        <v>18</v>
      </c>
      <c r="BT42" s="36">
        <f>SUMIFS('свод практик'!$DZ$6:$DZ$277,'свод практик'!$J$6:$J$277,'свод субъектов ИБ+смежные'!BT$1)</f>
        <v>0</v>
      </c>
      <c r="BU42" s="36">
        <f>SUMIFS('свод практик'!$DZ$6:$DZ$277,'свод практик'!$J$6:$J$277,'свод субъектов ИБ+смежные'!BU$1)</f>
        <v>1043</v>
      </c>
      <c r="BV42" s="36">
        <f>SUMIFS('свод практик'!$DZ$6:$DZ$277,'свод практик'!$J$6:$J$277,'свод субъектов ИБ+смежные'!BV$1)</f>
        <v>0</v>
      </c>
      <c r="BW42" s="36">
        <f>SUMIFS('свод практик'!$DZ$6:$DZ$277,'свод практик'!$J$6:$J$277,'свод субъектов ИБ+смежные'!BW$1)</f>
        <v>0</v>
      </c>
      <c r="BX42" s="36">
        <f>SUMIFS('свод практик'!$DZ$6:$DZ$277,'свод практик'!$J$6:$J$277,'свод субъектов ИБ+смежные'!BX$1)</f>
        <v>0</v>
      </c>
      <c r="BY42" s="36">
        <f>SUMIFS('свод практик'!$DZ$6:$DZ$277,'свод практик'!$J$6:$J$277,'свод субъектов ИБ+смежные'!BY$1)</f>
        <v>0</v>
      </c>
      <c r="BZ42" s="36">
        <f>SUMIFS('свод практик'!$DZ$6:$DZ$277,'свод практик'!$J$6:$J$277,'свод субъектов ИБ+смежные'!BZ$1)</f>
        <v>221776</v>
      </c>
      <c r="CA42" s="36">
        <f>SUMIFS('свод практик'!$DZ$6:$DZ$277,'свод практик'!$J$6:$J$277,'свод субъектов ИБ+смежные'!CA$1)</f>
        <v>0</v>
      </c>
      <c r="CB42" s="36">
        <f>SUMIFS('свод практик'!$DZ$6:$DZ$277,'свод практик'!$J$6:$J$277,'свод субъектов ИБ+смежные'!CB$1)</f>
        <v>0</v>
      </c>
      <c r="CC42" s="36">
        <f>SUMIFS('свод практик'!$DZ$6:$DZ$277,'свод практик'!$J$6:$J$277,'свод субъектов ИБ+смежные'!CC$1)</f>
        <v>0</v>
      </c>
      <c r="CD42" s="36">
        <f>SUMIFS('свод практик'!$DZ$6:$DZ$277,'свод практик'!$J$6:$J$277,'свод субъектов ИБ+смежные'!CD$1)</f>
        <v>0</v>
      </c>
      <c r="CE42" s="36">
        <f>SUMIFS('свод практик'!$DZ$6:$DZ$277,'свод практик'!$J$6:$J$277,'свод субъектов ИБ+смежные'!CE$1)</f>
        <v>0</v>
      </c>
      <c r="CF42" s="36">
        <f>SUMIFS('свод практик'!$DZ$6:$DZ$277,'свод практик'!$J$6:$J$277,'свод субъектов ИБ+смежные'!CF$1)</f>
        <v>0</v>
      </c>
      <c r="CG42" s="36">
        <f>SUMIFS('свод практик'!$DZ$6:$DZ$277,'свод практик'!$J$6:$J$277,'свод субъектов ИБ+смежные'!CG$1)</f>
        <v>0</v>
      </c>
      <c r="CH42" s="36">
        <f>SUMIFS('свод практик'!$DZ$6:$DZ$277,'свод практик'!$J$6:$J$277,'свод субъектов ИБ+смежные'!CH$1)</f>
        <v>0</v>
      </c>
      <c r="CI42" s="36">
        <f>SUMIFS('свод практик'!$DZ$6:$DZ$277,'свод практик'!$J$6:$J$277,'свод субъектов ИБ+смежные'!CI$1)</f>
        <v>0</v>
      </c>
      <c r="CJ42" s="36">
        <f>SUMIFS('свод практик'!$DZ$6:$DZ$277,'свод практик'!$J$6:$J$277,'свод субъектов ИБ+смежные'!CJ$1)</f>
        <v>0</v>
      </c>
      <c r="CK42" s="36">
        <f>SUMIFS('свод практик'!$DZ$6:$DZ$277,'свод практик'!$J$6:$J$277,'свод субъектов ИБ+смежные'!CK$1)</f>
        <v>0</v>
      </c>
      <c r="CL42" s="36">
        <f>SUMIFS('свод практик'!$DZ$6:$DZ$277,'свод практик'!$J$6:$J$277,'свод субъектов ИБ+смежные'!CL$1)</f>
        <v>0</v>
      </c>
      <c r="CM42" s="36">
        <f>SUMIFS('свод практик'!$DZ$6:$DZ$277,'свод практик'!$J$6:$J$277,'свод субъектов ИБ+смежные'!CM$1)</f>
        <v>818</v>
      </c>
      <c r="CN42" s="36">
        <f>SUMIFS('свод практик'!$DZ$6:$DZ$277,'свод практик'!$J$6:$J$277,'свод субъектов ИБ+смежные'!CN$1)</f>
        <v>0</v>
      </c>
      <c r="CO42" s="36">
        <f>SUMIFS('свод практик'!$DZ$6:$DZ$277,'свод практик'!$J$6:$J$277,'свод субъектов ИБ+смежные'!CO$1)</f>
        <v>0</v>
      </c>
      <c r="CP42" s="36">
        <f>SUMIFS('свод практик'!$DZ$6:$DZ$277,'свод практик'!$J$6:$J$277,'свод субъектов ИБ+смежные'!CP$1)</f>
        <v>333</v>
      </c>
      <c r="CQ42" s="36">
        <f>SUMIFS('свод практик'!$DZ$6:$DZ$277,'свод практик'!$J$6:$J$277,'свод субъектов ИБ+смежные'!CQ$1)</f>
        <v>161</v>
      </c>
      <c r="CR42" s="36">
        <f>SUMIFS('свод практик'!$DZ$6:$DZ$277,'свод практик'!$J$6:$J$277,'свод субъектов ИБ+смежные'!CR$1)</f>
        <v>0</v>
      </c>
      <c r="CS42" s="36">
        <f>SUMIFS('свод практик'!$DZ$6:$DZ$277,'свод практик'!$J$6:$J$277,'свод субъектов ИБ+смежные'!CS$1)</f>
        <v>0</v>
      </c>
      <c r="CT42" s="36">
        <f>SUMIFS('свод практик'!$DZ$6:$DZ$277,'свод практик'!$J$6:$J$277,'свод субъектов ИБ+смежные'!CT$1)</f>
        <v>0</v>
      </c>
      <c r="CU42" s="36">
        <f>SUMIFS('свод практик'!$DZ$6:$DZ$277,'свод практик'!$J$6:$J$277,'свод субъектов ИБ+смежные'!CU$1)</f>
        <v>1354</v>
      </c>
      <c r="CV42" s="36">
        <f>SUMIFS('свод практик'!$DZ$6:$DZ$277,'свод практик'!$J$6:$J$277,'свод субъектов ИБ+смежные'!CV$1)</f>
        <v>0</v>
      </c>
    </row>
    <row r="43" spans="1:100" ht="43" thickBot="1">
      <c r="A43" s="753"/>
      <c r="B43" s="14" t="s">
        <v>4947</v>
      </c>
      <c r="C43" s="754"/>
      <c r="D43" s="76" t="s">
        <v>4949</v>
      </c>
      <c r="E43" s="76">
        <v>39</v>
      </c>
      <c r="F43" s="77" t="s">
        <v>5046</v>
      </c>
      <c r="G43" s="78" t="s">
        <v>5047</v>
      </c>
      <c r="H43" s="79" t="s">
        <v>5035</v>
      </c>
      <c r="I43" s="9" t="s">
        <v>4956</v>
      </c>
      <c r="M43" s="36" t="s">
        <v>5497</v>
      </c>
      <c r="N43" s="36">
        <v>5391123</v>
      </c>
      <c r="O43" s="224">
        <f>SUM(O37:O42)</f>
        <v>4451875</v>
      </c>
    </row>
    <row r="44" spans="1:100" ht="28">
      <c r="A44" s="720" t="s">
        <v>5048</v>
      </c>
      <c r="B44" s="715" t="s">
        <v>4990</v>
      </c>
      <c r="C44" s="717" t="s">
        <v>5049</v>
      </c>
      <c r="D44" s="37" t="s">
        <v>4949</v>
      </c>
      <c r="E44" s="37">
        <v>18</v>
      </c>
      <c r="F44" s="38" t="s">
        <v>5050</v>
      </c>
      <c r="G44" s="57" t="s">
        <v>5257</v>
      </c>
      <c r="H44" s="40" t="s">
        <v>63</v>
      </c>
      <c r="I44" s="55" t="s">
        <v>5004</v>
      </c>
      <c r="M44" s="36">
        <v>15</v>
      </c>
      <c r="N44" s="36">
        <v>15</v>
      </c>
      <c r="O44" s="224">
        <f t="shared" ref="O44:O50" si="17">COUNTIF(P44:CV44,"да")</f>
        <v>16</v>
      </c>
      <c r="P44" s="36" t="str">
        <f>'свод практик'!EA6</f>
        <v>нет</v>
      </c>
      <c r="Q44" s="36" t="str">
        <f>'свод практик'!EA7</f>
        <v>нет</v>
      </c>
      <c r="R44" s="36" t="str">
        <f>'свод практик'!EA10</f>
        <v xml:space="preserve">нет </v>
      </c>
      <c r="S44" s="36" t="str">
        <f>'свод практик'!EA11</f>
        <v>нет</v>
      </c>
      <c r="T44" s="36" t="str">
        <f>'свод практик'!EA13</f>
        <v>да</v>
      </c>
      <c r="U44" s="36" t="str">
        <f>'свод практик'!EA14</f>
        <v>нет</v>
      </c>
      <c r="V44" s="36" t="str">
        <f>'свод практик'!EA25</f>
        <v>нет</v>
      </c>
      <c r="W44" s="36" t="str">
        <f>'свод практик'!EA29</f>
        <v>нет</v>
      </c>
      <c r="X44" s="36" t="s">
        <v>279</v>
      </c>
      <c r="Y44" s="36" t="s">
        <v>279</v>
      </c>
      <c r="Z44" s="266" t="str">
        <f>'свод практик'!EA32</f>
        <v>да</v>
      </c>
      <c r="AA44" s="36" t="str">
        <f>'свод практик'!EA35</f>
        <v>да</v>
      </c>
      <c r="AB44" s="36" t="str">
        <f>'свод практик'!EA36</f>
        <v>нет</v>
      </c>
      <c r="AC44" s="36" t="str">
        <f>'свод практик'!EA40</f>
        <v>нет</v>
      </c>
      <c r="AF44" s="36" t="str">
        <f>'свод практик'!EA44</f>
        <v>нет</v>
      </c>
      <c r="AI44" s="36" t="str">
        <f>'свод практик'!EA47</f>
        <v>да</v>
      </c>
      <c r="AJ44" s="36" t="str">
        <f>'свод практик'!EA49</f>
        <v>нет</v>
      </c>
      <c r="AK44" s="36" t="str">
        <f>'свод практик'!EA50</f>
        <v>да</v>
      </c>
      <c r="AL44" s="36" t="str">
        <f>'свод практик'!EA52</f>
        <v>нет</v>
      </c>
      <c r="AM44" s="266" t="str">
        <f>'свод практик'!EA53</f>
        <v>нет</v>
      </c>
      <c r="AP44" s="36" t="str">
        <f>'свод практик'!EA59</f>
        <v>нет</v>
      </c>
      <c r="AQ44" s="36" t="str">
        <f>'свод практик'!EA61</f>
        <v>нет</v>
      </c>
      <c r="AR44" s="36" t="str">
        <f>'свод практик'!EA62</f>
        <v>нет</v>
      </c>
      <c r="AS44" s="36" t="str">
        <f>'свод практик'!EA64</f>
        <v>нет</v>
      </c>
      <c r="AT44" s="36" t="str">
        <f>'свод практик'!EA67</f>
        <v>нет</v>
      </c>
      <c r="AU44" s="36" t="str">
        <f>'свод практик'!EA70</f>
        <v>нет</v>
      </c>
      <c r="AV44" s="36" t="str">
        <f>'свод практик'!EA71</f>
        <v>нет</v>
      </c>
      <c r="AW44" s="36" t="str">
        <f>'свод практик'!EA73</f>
        <v>да</v>
      </c>
      <c r="AX44" s="36" t="str">
        <f>'свод практик'!EA76</f>
        <v>нет</v>
      </c>
      <c r="AZ44" s="36" t="str">
        <f>'свод практик'!EA80</f>
        <v>нет</v>
      </c>
      <c r="BA44" s="36" t="str">
        <f>'свод практик'!EA83</f>
        <v>нет</v>
      </c>
      <c r="BC44" s="36" t="str">
        <f>'свод практик'!EA86</f>
        <v>да</v>
      </c>
      <c r="BF44" s="36" t="str">
        <f>'свод практик'!EA90</f>
        <v>нет</v>
      </c>
      <c r="BG44" s="36" t="str">
        <f>'свод практик'!EA91</f>
        <v xml:space="preserve">нет </v>
      </c>
      <c r="BH44" s="36" t="str">
        <f>'свод практик'!EA92</f>
        <v>нет</v>
      </c>
      <c r="BI44" s="36" t="str">
        <f>'свод практик'!EA93</f>
        <v>нет</v>
      </c>
      <c r="BJ44" s="36" t="str">
        <f>'свод практик'!EA94</f>
        <v>нет</v>
      </c>
      <c r="BK44" s="36" t="str">
        <f>'свод практик'!EA100</f>
        <v>да</v>
      </c>
      <c r="BL44" s="36" t="str">
        <f>'свод практик'!EA102</f>
        <v>нет</v>
      </c>
      <c r="BM44" s="36" t="str">
        <f>'свод практик'!EA111</f>
        <v>да</v>
      </c>
      <c r="BN44" s="36" t="s">
        <v>279</v>
      </c>
      <c r="BO44" s="36" t="str">
        <f>'свод практик'!EA120</f>
        <v>нет</v>
      </c>
      <c r="BP44" s="36" t="str">
        <f>'свод практик'!EA122</f>
        <v>нет</v>
      </c>
      <c r="BR44" s="36" t="str">
        <f>'свод практик'!EA124</f>
        <v>нет</v>
      </c>
      <c r="BS44" s="266" t="s">
        <v>279</v>
      </c>
      <c r="BT44" s="266" t="s">
        <v>279</v>
      </c>
      <c r="BU44" s="36" t="s">
        <v>278</v>
      </c>
      <c r="BV44" s="36" t="s">
        <v>279</v>
      </c>
      <c r="BW44" s="36" t="str">
        <f>'свод практик'!EA146</f>
        <v>нет</v>
      </c>
      <c r="BX44" s="36" t="str">
        <f>'свод практик'!EA147</f>
        <v>нет</v>
      </c>
      <c r="BY44" s="36" t="str">
        <f>'свод практик'!EA148</f>
        <v>нет</v>
      </c>
      <c r="BZ44" s="36" t="str">
        <f>'свод практик'!EA152</f>
        <v>нет</v>
      </c>
      <c r="CC44" s="36" t="str">
        <f>'свод практик'!EA159</f>
        <v>нет</v>
      </c>
      <c r="CD44" s="36" t="str">
        <f>'свод практик'!EA160</f>
        <v>да</v>
      </c>
      <c r="CE44" s="36" t="str">
        <f>'свод практик'!EA163</f>
        <v>да</v>
      </c>
      <c r="CF44" s="36" t="str">
        <f>'свод практик'!EA167</f>
        <v>нет</v>
      </c>
      <c r="CG44" s="36" t="str">
        <f>'свод практик'!EA168</f>
        <v>нет</v>
      </c>
      <c r="CH44" s="36" t="str">
        <f>'свод практик'!EA169</f>
        <v>нет</v>
      </c>
      <c r="CI44" s="36" t="str">
        <f>'свод практик'!EA170</f>
        <v xml:space="preserve">да </v>
      </c>
      <c r="CK44" s="36" t="str">
        <f>'свод практик'!EA173</f>
        <v>да</v>
      </c>
      <c r="CL44" s="36" t="str">
        <f>'свод практик'!EA179</f>
        <v>нет</v>
      </c>
      <c r="CM44" s="36" t="str">
        <f>'свод практик'!EA207</f>
        <v>нет</v>
      </c>
      <c r="CN44" s="36" t="str">
        <f>'свод практик'!EA209</f>
        <v>нет</v>
      </c>
      <c r="CP44" s="36" t="str">
        <f>'свод практик'!EA211</f>
        <v>да</v>
      </c>
      <c r="CQ44" s="36" t="str">
        <f>'свод практик'!EA246</f>
        <v>нет</v>
      </c>
      <c r="CS44" s="36" t="str">
        <f>'свод практик'!EA248</f>
        <v>нет</v>
      </c>
      <c r="CT44" s="36" t="str">
        <f>'свод практик'!EA250</f>
        <v>да</v>
      </c>
      <c r="CU44" s="36" t="str">
        <f>'свод практик'!EA252</f>
        <v>да</v>
      </c>
      <c r="CV44" s="36" t="str">
        <f>'свод практик'!EA277</f>
        <v>нет</v>
      </c>
    </row>
    <row r="45" spans="1:100" ht="28">
      <c r="A45" s="758"/>
      <c r="B45" s="716"/>
      <c r="C45" s="718"/>
      <c r="D45" s="42" t="s">
        <v>4949</v>
      </c>
      <c r="E45" s="42">
        <v>19</v>
      </c>
      <c r="F45" s="43" t="s">
        <v>5051</v>
      </c>
      <c r="G45" s="58" t="s">
        <v>5052</v>
      </c>
      <c r="H45" s="45" t="s">
        <v>63</v>
      </c>
      <c r="I45" s="46" t="s">
        <v>5004</v>
      </c>
      <c r="M45" s="36">
        <v>37</v>
      </c>
      <c r="N45" s="36">
        <v>41</v>
      </c>
      <c r="O45" s="224">
        <f t="shared" si="17"/>
        <v>38</v>
      </c>
      <c r="P45" s="36" t="str">
        <f>'свод практик'!ED6</f>
        <v>нет</v>
      </c>
      <c r="Q45" s="36" t="str">
        <f>'свод практик'!ED8</f>
        <v>да</v>
      </c>
      <c r="R45" s="36" t="str">
        <f>'свод практик'!ED11</f>
        <v>да</v>
      </c>
      <c r="S45" s="36" t="str">
        <f>'свод практик'!ED11</f>
        <v>да</v>
      </c>
      <c r="T45" s="36" t="str">
        <f>'свод практик'!ED12</f>
        <v>нет</v>
      </c>
      <c r="U45" s="36" t="str">
        <f>'свод практик'!ED15</f>
        <v xml:space="preserve">да </v>
      </c>
      <c r="V45" s="36" t="s">
        <v>278</v>
      </c>
      <c r="W45" s="36" t="str">
        <f>'свод практик'!ED28</f>
        <v>да</v>
      </c>
      <c r="X45" s="36">
        <f>'свод практик'!ED30</f>
        <v>0</v>
      </c>
      <c r="Y45" s="36">
        <f>'свод практик'!ED31</f>
        <v>0</v>
      </c>
      <c r="Z45" s="36" t="str">
        <f>'свод практик'!ED34</f>
        <v>да</v>
      </c>
      <c r="AA45" s="36">
        <f>'свод практик'!ED35</f>
        <v>0</v>
      </c>
      <c r="AB45" s="36">
        <f>'свод практик'!EW37</f>
        <v>0</v>
      </c>
      <c r="AC45" s="36" t="str">
        <f>'свод практик'!ED41</f>
        <v>да</v>
      </c>
      <c r="AF45" s="36" t="str">
        <f>'свод практик'!ED44</f>
        <v>нет</v>
      </c>
      <c r="AI45" s="36" t="str">
        <f>'свод практик'!ED47</f>
        <v>да</v>
      </c>
      <c r="AJ45" s="36" t="str">
        <f>'свод практик'!ED49</f>
        <v>нет</v>
      </c>
      <c r="AK45" s="36" t="str">
        <f>'свод практик'!ED50</f>
        <v>да</v>
      </c>
      <c r="AL45" s="36" t="str">
        <f>'свод практик'!ED52</f>
        <v>нет</v>
      </c>
      <c r="AM45" s="266" t="str">
        <f>'свод практик'!ED53</f>
        <v>да</v>
      </c>
      <c r="AP45" s="36" t="str">
        <f>'свод практик'!ED59</f>
        <v>да</v>
      </c>
      <c r="AQ45" s="36" t="str">
        <f>'свод практик'!ED61</f>
        <v>да</v>
      </c>
      <c r="AR45" s="36" t="str">
        <f>'свод практик'!ED64</f>
        <v>нет</v>
      </c>
      <c r="AS45" s="36" t="str">
        <f>'свод практик'!ED65</f>
        <v>да</v>
      </c>
      <c r="AT45" s="36" t="str">
        <f>'свод практик'!ED68</f>
        <v>да</v>
      </c>
      <c r="AU45" s="36" t="str">
        <f>'свод практик'!ED70</f>
        <v>да</v>
      </c>
      <c r="AV45" s="36" t="str">
        <f>'свод практик'!ED71</f>
        <v>да</v>
      </c>
      <c r="AW45" s="36" t="str">
        <f>'свод практик'!ED73</f>
        <v>да</v>
      </c>
      <c r="AX45" s="36" t="str">
        <f>'свод практик'!ED77</f>
        <v>нет</v>
      </c>
      <c r="AZ45" s="36" t="str">
        <f>'свод практик'!ED82</f>
        <v>да</v>
      </c>
      <c r="BA45" s="266" t="str">
        <f>'свод практик'!ED83</f>
        <v>нет</v>
      </c>
      <c r="BC45" s="36" t="str">
        <f>'свод практик'!ED86</f>
        <v>да</v>
      </c>
      <c r="BF45" s="266">
        <f>'свод практик'!ED89</f>
        <v>0</v>
      </c>
      <c r="BG45" s="36" t="str">
        <f>'свод практик'!ED91</f>
        <v>нет</v>
      </c>
      <c r="BH45" s="36" t="s">
        <v>278</v>
      </c>
      <c r="BI45" s="36" t="str">
        <f>'свод практик'!ED93</f>
        <v>нет</v>
      </c>
      <c r="BJ45" s="36" t="str">
        <f>'свод практик'!ED96</f>
        <v>да</v>
      </c>
      <c r="BK45" s="36" t="str">
        <f>'свод практик'!ED100</f>
        <v>да</v>
      </c>
      <c r="BL45" s="36" t="str">
        <f>'свод практик'!ED102</f>
        <v>нет</v>
      </c>
      <c r="BM45" s="36" t="str">
        <f>'свод практик'!ED105</f>
        <v xml:space="preserve"> да </v>
      </c>
      <c r="BN45" s="36" t="str">
        <f>'свод практик'!ED118</f>
        <v>да</v>
      </c>
      <c r="BO45" s="36" t="s">
        <v>278</v>
      </c>
      <c r="BP45" s="36" t="str">
        <f>'свод практик'!ED122</f>
        <v>нет</v>
      </c>
      <c r="BR45" s="36" t="str">
        <f>'свод практик'!ED124</f>
        <v>нет</v>
      </c>
      <c r="BS45" s="36" t="str">
        <f>'свод практик'!ED126</f>
        <v>да</v>
      </c>
      <c r="BT45" s="36" t="str">
        <f>'свод практик'!ED128</f>
        <v>да</v>
      </c>
      <c r="BU45" s="36" t="str">
        <f>'свод практик'!ED134</f>
        <v>да</v>
      </c>
      <c r="BV45" s="36" t="str">
        <f>'свод практик'!ED145</f>
        <v>нет</v>
      </c>
      <c r="BW45" s="36" t="str">
        <f>'свод практик'!ED146</f>
        <v>да</v>
      </c>
      <c r="BX45" s="36" t="str">
        <f>'свод практик'!ED147</f>
        <v>нет</v>
      </c>
      <c r="BY45" s="36" t="str">
        <f>'свод практик'!ED149</f>
        <v>да</v>
      </c>
      <c r="BZ45" s="36" t="str">
        <f>'свод практик'!ED154</f>
        <v>да</v>
      </c>
      <c r="CC45" s="36" t="str">
        <f>'свод практик'!ED159</f>
        <v>нет</v>
      </c>
      <c r="CD45" s="36" t="str">
        <f>'свод практик'!ED161</f>
        <v>да</v>
      </c>
      <c r="CE45" s="36" t="s">
        <v>278</v>
      </c>
      <c r="CF45" s="36" t="str">
        <f>'свод практик'!ED166</f>
        <v>нет</v>
      </c>
      <c r="CG45" s="36" t="str">
        <f>'свод практик'!ED168</f>
        <v>нет</v>
      </c>
      <c r="CH45" s="36" t="str">
        <f>'свод практик'!ED169</f>
        <v>нет</v>
      </c>
      <c r="CI45" s="36" t="str">
        <f>'свод практик'!ED170</f>
        <v>нет</v>
      </c>
      <c r="CK45" s="36" t="str">
        <f>'свод практик'!ED173</f>
        <v>нет</v>
      </c>
      <c r="CL45" s="36" t="str">
        <f>'свод практик'!ED174</f>
        <v>да</v>
      </c>
      <c r="CM45" s="36" t="str">
        <f>'свод практик'!ED181</f>
        <v>да</v>
      </c>
      <c r="CN45" s="36" t="str">
        <f>'свод практик'!ED208</f>
        <v>нет</v>
      </c>
      <c r="CP45" s="36" t="str">
        <f>'свод практик'!ED213</f>
        <v>да</v>
      </c>
      <c r="CQ45" s="36" t="str">
        <f>'свод практик'!ED245</f>
        <v>да</v>
      </c>
      <c r="CS45" s="36" t="str">
        <f>'свод практик'!ED249</f>
        <v xml:space="preserve">да </v>
      </c>
      <c r="CT45" s="36" t="str">
        <f>'свод практик'!ED250</f>
        <v>нет</v>
      </c>
      <c r="CU45" s="36" t="str">
        <f>'свод практик'!ED252</f>
        <v>да</v>
      </c>
      <c r="CV45" s="36" t="str">
        <f>'свод практик'!ED277</f>
        <v>да</v>
      </c>
    </row>
    <row r="46" spans="1:100" ht="28">
      <c r="A46" s="758"/>
      <c r="B46" s="716"/>
      <c r="C46" s="718"/>
      <c r="D46" s="42" t="s">
        <v>4949</v>
      </c>
      <c r="E46" s="42">
        <v>20</v>
      </c>
      <c r="F46" s="43" t="s">
        <v>5053</v>
      </c>
      <c r="G46" s="58" t="s">
        <v>5054</v>
      </c>
      <c r="H46" s="45" t="s">
        <v>63</v>
      </c>
      <c r="I46" s="46" t="s">
        <v>5004</v>
      </c>
      <c r="M46" s="36">
        <v>2</v>
      </c>
      <c r="N46" s="36">
        <v>3</v>
      </c>
      <c r="O46" s="224">
        <f t="shared" si="17"/>
        <v>4</v>
      </c>
      <c r="P46" s="36" t="str">
        <f>'свод практик'!EG6</f>
        <v>нет</v>
      </c>
      <c r="Q46" s="36" t="str">
        <f>'свод практик'!EG7</f>
        <v>нет</v>
      </c>
      <c r="R46" s="36" t="str">
        <f>'свод практик'!EG10</f>
        <v xml:space="preserve">Нет </v>
      </c>
      <c r="S46" s="36" t="str">
        <f>'свод практик'!EG11</f>
        <v>нет</v>
      </c>
      <c r="T46" s="36" t="str">
        <f>'свод практик'!EG13</f>
        <v>Нет</v>
      </c>
      <c r="U46" s="36" t="str">
        <f>'свод практик'!EG14</f>
        <v>нет</v>
      </c>
      <c r="V46" s="36" t="str">
        <f>'свод практик'!EG25</f>
        <v>Нет</v>
      </c>
      <c r="W46" s="36" t="str">
        <f>'свод практик'!EG26</f>
        <v>нет</v>
      </c>
      <c r="X46" s="36">
        <f>'свод практик'!EG30</f>
        <v>0</v>
      </c>
      <c r="Y46" s="36">
        <f>'свод практик'!EG31</f>
        <v>0</v>
      </c>
      <c r="Z46" s="36" t="str">
        <f>'свод практик'!EG34</f>
        <v>нет</v>
      </c>
      <c r="AA46" s="36">
        <f>'свод практик'!EG35</f>
        <v>0</v>
      </c>
      <c r="AB46" s="36" t="str">
        <f>'свод практик'!EG36</f>
        <v>Нет</v>
      </c>
      <c r="AC46" s="36" t="str">
        <f>'свод практик'!EG41</f>
        <v>нет</v>
      </c>
      <c r="AF46" s="36" t="str">
        <f>'свод практик'!EG44</f>
        <v>нет</v>
      </c>
      <c r="AI46" s="36" t="str">
        <f>'свод практик'!EG47</f>
        <v>нет</v>
      </c>
      <c r="AJ46" s="36" t="str">
        <f>'свод практик'!EG49</f>
        <v>нет</v>
      </c>
      <c r="AK46" s="36" t="str">
        <f>'свод практик'!EG50</f>
        <v>нет</v>
      </c>
      <c r="AL46" s="36" t="str">
        <f>'свод практик'!EG52</f>
        <v>нет</v>
      </c>
      <c r="AM46" s="36" t="str">
        <f>'свод практик'!EG56</f>
        <v>нет</v>
      </c>
      <c r="AP46" s="36" t="str">
        <f>'свод практик'!EG59</f>
        <v>нет</v>
      </c>
      <c r="AQ46" s="36" t="str">
        <f>'свод практик'!EG61</f>
        <v>нет</v>
      </c>
      <c r="AR46" s="36" t="str">
        <f>'свод практик'!EG63</f>
        <v>да</v>
      </c>
      <c r="AS46" s="36" t="str">
        <f>'свод практик'!EG65</f>
        <v>нет</v>
      </c>
      <c r="AT46" s="36" t="str">
        <f>'свод практик'!EG67</f>
        <v>нет</v>
      </c>
      <c r="AU46" s="36" t="str">
        <f>'свод практик'!EG70</f>
        <v>нет</v>
      </c>
      <c r="AV46" s="36" t="str">
        <f>'свод практик'!EG71</f>
        <v>нет</v>
      </c>
      <c r="AW46" s="36" t="str">
        <f>'свод практик'!EG74</f>
        <v>нет</v>
      </c>
      <c r="AX46" s="36" t="str">
        <f>'свод практик'!EG78</f>
        <v>нет</v>
      </c>
      <c r="AZ46" s="36" t="str">
        <f>'свод практик'!EG80</f>
        <v>нет</v>
      </c>
      <c r="BA46" s="36" t="str">
        <f>'свод практик'!EG83</f>
        <v>нет</v>
      </c>
      <c r="BC46" s="36" t="str">
        <f>'свод практик'!EG86</f>
        <v>нет</v>
      </c>
      <c r="BF46" s="36" t="str">
        <f>'свод практик'!EG90</f>
        <v>Нет</v>
      </c>
      <c r="BG46" s="36" t="str">
        <f>'свод практик'!EG91</f>
        <v xml:space="preserve">нет </v>
      </c>
      <c r="BH46" s="36" t="str">
        <f>'свод практик'!EG92</f>
        <v>Нет</v>
      </c>
      <c r="BI46" s="36" t="str">
        <f>'свод практик'!EG93</f>
        <v>нет</v>
      </c>
      <c r="BJ46" s="36" t="str">
        <f>'свод практик'!EG95</f>
        <v>нет</v>
      </c>
      <c r="BK46" s="36" t="str">
        <f>'свод практик'!EG100</f>
        <v>-</v>
      </c>
      <c r="BL46" s="36" t="str">
        <f>'свод практик'!EG102</f>
        <v>нет</v>
      </c>
      <c r="BM46" s="36" t="str">
        <f>'свод практик'!EG117</f>
        <v>нет</v>
      </c>
      <c r="BN46" s="36" t="str">
        <f>'свод практик'!EG118</f>
        <v>-</v>
      </c>
      <c r="BO46" s="36" t="str">
        <f>'свод практик'!EG121</f>
        <v>да</v>
      </c>
      <c r="BP46" s="36" t="str">
        <f>'свод практик'!EG122</f>
        <v>нет</v>
      </c>
      <c r="BR46" s="36" t="str">
        <f>'свод практик'!EG124</f>
        <v>нет</v>
      </c>
      <c r="BS46" s="36" t="str">
        <f>'свод практик'!EG127</f>
        <v>Нет</v>
      </c>
      <c r="BT46" s="36" t="str">
        <f>'свод практик'!EG129</f>
        <v>нет</v>
      </c>
      <c r="BU46" s="36" t="s">
        <v>278</v>
      </c>
      <c r="BV46" s="36" t="str">
        <f>'свод практик'!EG145</f>
        <v>нет</v>
      </c>
      <c r="BW46" s="36" t="str">
        <f>'свод практик'!EG146</f>
        <v>нет</v>
      </c>
      <c r="BX46" s="36" t="str">
        <f>'свод практик'!EG147</f>
        <v>нет</v>
      </c>
      <c r="BY46" s="36" t="str">
        <f>'свод практик'!EG149</f>
        <v>нет</v>
      </c>
      <c r="BZ46" s="36" t="str">
        <f>'свод практик'!EG156</f>
        <v>нет</v>
      </c>
      <c r="CC46" s="36" t="str">
        <f>'свод практик'!EG159</f>
        <v>нет</v>
      </c>
      <c r="CD46" s="36" t="str">
        <f>'свод практик'!EG160</f>
        <v>нет</v>
      </c>
      <c r="CE46" s="36" t="str">
        <f>'свод практик'!EG163</f>
        <v>нет</v>
      </c>
      <c r="CF46" s="36" t="str">
        <f>'свод практик'!EG165</f>
        <v>да</v>
      </c>
      <c r="CG46" s="36" t="str">
        <f>'свод практик'!EG168</f>
        <v>нет</v>
      </c>
      <c r="CH46" s="36" t="str">
        <f>'свод практик'!EG169</f>
        <v>нет</v>
      </c>
      <c r="CI46" s="36" t="str">
        <f>'свод практик'!EG170</f>
        <v>нет</v>
      </c>
      <c r="CK46" s="36" t="str">
        <f>'свод практик'!EG173</f>
        <v>нет</v>
      </c>
      <c r="CL46" s="36" t="str">
        <f>'свод практик'!EG179</f>
        <v>нет</v>
      </c>
      <c r="CM46" s="36" t="str">
        <f>'свод практик'!EG206</f>
        <v>нет</v>
      </c>
      <c r="CN46" s="36" t="str">
        <f>'свод практик'!EG208</f>
        <v>нет</v>
      </c>
      <c r="CP46" s="36" t="str">
        <f>'свод практик'!EG242</f>
        <v>нет</v>
      </c>
      <c r="CQ46" s="36" t="str">
        <f>'свод практик'!EG245</f>
        <v>нет</v>
      </c>
      <c r="CS46" s="36" t="str">
        <f>'свод практик'!EG248</f>
        <v>нет</v>
      </c>
      <c r="CT46" s="36" t="str">
        <f>'свод практик'!EG250</f>
        <v>нет</v>
      </c>
      <c r="CU46" s="36" t="str">
        <f>'свод практик'!EG275</f>
        <v>нет</v>
      </c>
      <c r="CV46" s="36">
        <f>'свод практик'!EG277</f>
        <v>0</v>
      </c>
    </row>
    <row r="47" spans="1:100" ht="28">
      <c r="A47" s="758"/>
      <c r="B47" s="716"/>
      <c r="C47" s="718"/>
      <c r="D47" s="42" t="s">
        <v>4949</v>
      </c>
      <c r="E47" s="42">
        <v>21</v>
      </c>
      <c r="F47" s="43" t="s">
        <v>5055</v>
      </c>
      <c r="G47" s="58" t="s">
        <v>5056</v>
      </c>
      <c r="H47" s="45" t="s">
        <v>63</v>
      </c>
      <c r="I47" s="46" t="s">
        <v>5004</v>
      </c>
      <c r="M47" s="36">
        <v>9</v>
      </c>
      <c r="N47" s="36">
        <v>9</v>
      </c>
      <c r="O47" s="224">
        <f t="shared" si="17"/>
        <v>15</v>
      </c>
      <c r="P47" s="36">
        <f>'свод практик'!EJ6</f>
        <v>0</v>
      </c>
      <c r="Q47" s="36" t="str">
        <f>'свод практик'!EJ7</f>
        <v>да</v>
      </c>
      <c r="R47" s="36" t="str">
        <f>'свод практик'!EJ10</f>
        <v xml:space="preserve">Нет </v>
      </c>
      <c r="S47" s="36" t="str">
        <f>'свод практик'!EJ11</f>
        <v>нет</v>
      </c>
      <c r="T47" s="36" t="str">
        <f>'свод практик'!EJ12</f>
        <v>нет</v>
      </c>
      <c r="U47" s="36" t="str">
        <f>'свод практик'!EJ15</f>
        <v>нет</v>
      </c>
      <c r="V47" s="36" t="str">
        <f>'свод практик'!EJ25</f>
        <v>Нет</v>
      </c>
      <c r="W47" s="36" t="str">
        <f>'свод практик'!EJ28</f>
        <v>да</v>
      </c>
      <c r="X47" s="36">
        <f>'свод практик'!EJ30</f>
        <v>0</v>
      </c>
      <c r="Y47" s="36">
        <f>'свод практик'!EJ31</f>
        <v>0</v>
      </c>
      <c r="Z47" s="36" t="str">
        <f>'свод практик'!EJ34</f>
        <v>нет</v>
      </c>
      <c r="AA47" s="36">
        <f>'свод практик'!EJ35</f>
        <v>0</v>
      </c>
      <c r="AB47" s="36" t="str">
        <f>'свод практик'!EJ36</f>
        <v>Нет</v>
      </c>
      <c r="AC47" s="36" t="str">
        <f>'свод практик'!EJ41</f>
        <v>нет</v>
      </c>
      <c r="AF47" s="36" t="str">
        <f>'свод практик'!EJ44</f>
        <v>нет</v>
      </c>
      <c r="AI47" s="36" t="str">
        <f>'свод практик'!EJ47</f>
        <v>нет</v>
      </c>
      <c r="AJ47" s="36" t="str">
        <f>'свод практик'!EJ49</f>
        <v>нет</v>
      </c>
      <c r="AK47" s="36" t="str">
        <f>'свод практик'!EJ50</f>
        <v>да</v>
      </c>
      <c r="AL47" s="36" t="str">
        <f>'свод практик'!EJ52</f>
        <v>нет</v>
      </c>
      <c r="AM47" s="266" t="str">
        <f>'свод практик'!EJ53</f>
        <v>нет</v>
      </c>
      <c r="AP47" s="36" t="str">
        <f>'свод практик'!EJ59</f>
        <v>нет</v>
      </c>
      <c r="AQ47" s="36" t="str">
        <f>'свод практик'!EJ61</f>
        <v>нет</v>
      </c>
      <c r="AR47" s="36" t="str">
        <f>'свод практик'!EJ62</f>
        <v>да</v>
      </c>
      <c r="AS47" s="36" t="str">
        <f>'свод практик'!EJ65</f>
        <v>нет</v>
      </c>
      <c r="AT47" s="36" t="str">
        <f>'свод практик'!EJ68</f>
        <v>нет</v>
      </c>
      <c r="AU47" s="36" t="str">
        <f>'свод практик'!EJ70</f>
        <v>нет</v>
      </c>
      <c r="AV47" s="36" t="str">
        <f>'свод практик'!EJ71</f>
        <v>нет</v>
      </c>
      <c r="AW47" s="36" t="str">
        <f>'свод практик'!EJ74</f>
        <v>нет</v>
      </c>
      <c r="AX47" s="36" t="str">
        <f>'свод практик'!EJ78</f>
        <v>нет</v>
      </c>
      <c r="AZ47" s="36" t="str">
        <f>'свод практик'!EJ82</f>
        <v>да</v>
      </c>
      <c r="BA47" s="36" t="str">
        <f>'свод практик'!EJ83</f>
        <v>да</v>
      </c>
      <c r="BC47" s="266">
        <f>'свод практик'!EJ87</f>
        <v>0</v>
      </c>
      <c r="BF47" s="36" t="str">
        <f>'свод практик'!EJ90</f>
        <v>Нет</v>
      </c>
      <c r="BG47" s="36" t="str">
        <f>'свод практик'!EJ91</f>
        <v xml:space="preserve">нет </v>
      </c>
      <c r="BH47" s="36" t="str">
        <f>'свод практик'!EJ92</f>
        <v>Нет</v>
      </c>
      <c r="BI47" s="36" t="str">
        <f>'свод практик'!EJ93</f>
        <v>нет</v>
      </c>
      <c r="BJ47" s="36" t="str">
        <f>'свод практик'!EJ95</f>
        <v>да</v>
      </c>
      <c r="BK47" s="36" t="str">
        <f>'свод практик'!EJ100</f>
        <v>-</v>
      </c>
      <c r="BL47" s="36" t="str">
        <f>'свод практик'!EJ102</f>
        <v>нет</v>
      </c>
      <c r="BM47" s="36" t="str">
        <f>'свод практик'!EJ117</f>
        <v>нет</v>
      </c>
      <c r="BN47" s="36" t="str">
        <f>'свод практик'!EJ118</f>
        <v>да</v>
      </c>
      <c r="BO47" s="36" t="str">
        <f>'свод практик'!EJ121</f>
        <v>нет</v>
      </c>
      <c r="BP47" s="36" t="str">
        <f>'свод практик'!EJ122</f>
        <v>нет</v>
      </c>
      <c r="BR47" s="36" t="str">
        <f>'свод практик'!EJ124</f>
        <v>нет</v>
      </c>
      <c r="BS47" s="36" t="str">
        <f>'свод практик'!EJ127</f>
        <v>Нет</v>
      </c>
      <c r="BT47" s="36" t="str">
        <f>'свод практик'!EJ128</f>
        <v>нет</v>
      </c>
      <c r="BU47" s="36" t="str">
        <f>'свод практик'!EJ132</f>
        <v>да</v>
      </c>
      <c r="BV47" s="36" t="str">
        <f>'свод практик'!EJ145</f>
        <v>да</v>
      </c>
      <c r="BW47" s="36" t="str">
        <f>'свод практик'!EJ146</f>
        <v>нет</v>
      </c>
      <c r="BX47" s="36" t="str">
        <f>'свод практик'!EJ147</f>
        <v>нет</v>
      </c>
      <c r="BY47" s="36" t="str">
        <f>'свод практик'!EJ150</f>
        <v>нет</v>
      </c>
      <c r="BZ47" s="36" t="str">
        <f>'свод практик'!EJ156</f>
        <v>нет</v>
      </c>
      <c r="CC47" s="36" t="str">
        <f>'свод практик'!EJ159</f>
        <v>нет</v>
      </c>
      <c r="CD47" s="36" t="str">
        <f>'свод практик'!EJ162</f>
        <v>нет</v>
      </c>
      <c r="CE47" s="36" t="s">
        <v>278</v>
      </c>
      <c r="CF47" s="36" t="str">
        <f>'свод практик'!EJ167</f>
        <v>нет</v>
      </c>
      <c r="CG47" s="36" t="str">
        <f>'свод практик'!EJ168</f>
        <v>нет</v>
      </c>
      <c r="CH47" s="36" t="str">
        <f>'свод практик'!EJ169</f>
        <v>нет</v>
      </c>
      <c r="CI47" s="36" t="str">
        <f>'свод практик'!EJ170</f>
        <v>нет</v>
      </c>
      <c r="CK47" s="36" t="str">
        <f>'свод практик'!EJ173</f>
        <v>нет</v>
      </c>
      <c r="CL47" s="36" t="str">
        <f>'свод практик'!EJ179</f>
        <v>нет</v>
      </c>
      <c r="CM47" s="36" t="str">
        <f>'свод практик'!EJ187</f>
        <v>да</v>
      </c>
      <c r="CN47" s="36" t="str">
        <f>'свод практик'!EJ209</f>
        <v>нет</v>
      </c>
      <c r="CP47" s="36" t="str">
        <f>'свод практик'!EJ213</f>
        <v>да</v>
      </c>
      <c r="CQ47" s="36" t="str">
        <f>'свод практик'!EJ245</f>
        <v>нет</v>
      </c>
      <c r="CS47" s="36" t="str">
        <f>'свод практик'!EJ249</f>
        <v>нет</v>
      </c>
      <c r="CT47" s="36" t="str">
        <f>'свод практик'!EJ250</f>
        <v>нет</v>
      </c>
      <c r="CU47" s="36" t="s">
        <v>278</v>
      </c>
      <c r="CV47" s="36" t="str">
        <f>'свод практик'!EJ277</f>
        <v>да</v>
      </c>
    </row>
    <row r="48" spans="1:100" ht="28">
      <c r="A48" s="758"/>
      <c r="B48" s="716"/>
      <c r="C48" s="718"/>
      <c r="D48" s="42" t="s">
        <v>4949</v>
      </c>
      <c r="E48" s="42">
        <v>25</v>
      </c>
      <c r="F48" s="48" t="s">
        <v>5057</v>
      </c>
      <c r="G48" s="58" t="s">
        <v>5058</v>
      </c>
      <c r="H48" s="45" t="s">
        <v>63</v>
      </c>
      <c r="I48" s="46" t="s">
        <v>5004</v>
      </c>
      <c r="M48" s="36" t="s">
        <v>5497</v>
      </c>
      <c r="N48" s="36">
        <v>46</v>
      </c>
      <c r="O48" s="224">
        <f t="shared" si="17"/>
        <v>46</v>
      </c>
      <c r="P48" s="36" t="str">
        <f>'свод практик'!EM6</f>
        <v>да</v>
      </c>
      <c r="Q48" s="36" t="str">
        <f>'свод практик'!EM7</f>
        <v>да</v>
      </c>
      <c r="R48" s="36" t="str">
        <f>'свод практик'!EM9</f>
        <v>да</v>
      </c>
      <c r="S48" s="36" t="str">
        <f>'свод практик'!EM11</f>
        <v>да</v>
      </c>
      <c r="T48" s="36" t="str">
        <f>'свод практик'!EM13</f>
        <v>Нет</v>
      </c>
      <c r="U48" s="36" t="str">
        <f>'свод практик'!EM15</f>
        <v>нет</v>
      </c>
      <c r="V48" s="36" t="s">
        <v>278</v>
      </c>
      <c r="W48" s="36" t="str">
        <f>'свод практик'!EM28</f>
        <v>да</v>
      </c>
      <c r="X48" s="36">
        <f>'свод практик'!EM30</f>
        <v>0</v>
      </c>
      <c r="Y48" s="36" t="str">
        <f>'свод практик'!EM31</f>
        <v>да</v>
      </c>
      <c r="Z48" s="36" t="str">
        <f>'свод практик'!EM34</f>
        <v>да</v>
      </c>
      <c r="AA48" s="36">
        <f>'свод практик'!EM35</f>
        <v>0</v>
      </c>
      <c r="AB48" s="36" t="s">
        <v>278</v>
      </c>
      <c r="AC48" s="36" t="str">
        <f>'свод практик'!EM41</f>
        <v>нет</v>
      </c>
      <c r="AF48" s="36" t="str">
        <f>'свод практик'!EM44</f>
        <v>нет</v>
      </c>
      <c r="AI48" s="36" t="str">
        <f>'свод практик'!EM47</f>
        <v>нет</v>
      </c>
      <c r="AJ48" s="36" t="str">
        <f>'свод практик'!EM49</f>
        <v>нет</v>
      </c>
      <c r="AK48" s="36" t="str">
        <f>'свод практик'!EM50</f>
        <v>да</v>
      </c>
      <c r="AL48" s="36" t="str">
        <f>'свод практик'!EM52</f>
        <v>да</v>
      </c>
      <c r="AM48" s="36" t="str">
        <f>'свод практик'!EM56</f>
        <v>нет</v>
      </c>
      <c r="AP48" s="36" t="str">
        <f>'свод практик'!EM59</f>
        <v>нет</v>
      </c>
      <c r="AQ48" s="36" t="str">
        <f>'свод практик'!EM61</f>
        <v>да</v>
      </c>
      <c r="AR48" s="36" t="str">
        <f>'свод практик'!EM64</f>
        <v>да</v>
      </c>
      <c r="AS48" s="36" t="str">
        <f>'свод практик'!EM65</f>
        <v>да</v>
      </c>
      <c r="AT48" s="36" t="str">
        <f>'свод практик'!EM67</f>
        <v>да</v>
      </c>
      <c r="AU48" s="36" t="str">
        <f>'свод практик'!EM70</f>
        <v>нет</v>
      </c>
      <c r="AV48" s="36" t="str">
        <f>'свод практик'!EM71</f>
        <v>да</v>
      </c>
      <c r="AW48" s="36" t="str">
        <f>'свод практик'!EM73</f>
        <v>да</v>
      </c>
      <c r="AX48" s="36" t="str">
        <f>'свод практик'!EM76</f>
        <v>да</v>
      </c>
      <c r="AZ48" s="36" t="str">
        <f>'свод практик'!EM82</f>
        <v>да</v>
      </c>
      <c r="BA48" s="36" t="str">
        <f>'свод практик'!EM83</f>
        <v>нет</v>
      </c>
      <c r="BC48" s="36" t="str">
        <f>'свод практик'!EM86</f>
        <v>да</v>
      </c>
      <c r="BF48" s="36" t="s">
        <v>278</v>
      </c>
      <c r="BG48" s="36" t="str">
        <f>'свод практик'!EM91</f>
        <v>да</v>
      </c>
      <c r="BH48" s="36" t="str">
        <f>'свод практик'!EM92</f>
        <v>Нет</v>
      </c>
      <c r="BI48" s="36" t="str">
        <f>'свод практик'!EM93</f>
        <v>да</v>
      </c>
      <c r="BJ48" s="36" t="str">
        <f>'свод практик'!EM98</f>
        <v>нет</v>
      </c>
      <c r="BK48" s="36" t="str">
        <f>'свод практик'!EM100</f>
        <v>-</v>
      </c>
      <c r="BL48" s="36" t="str">
        <f>'свод практик'!EM102</f>
        <v>нет</v>
      </c>
      <c r="BM48" s="36" t="str">
        <f>'свод практик'!EM103</f>
        <v>да</v>
      </c>
      <c r="BN48" s="36" t="str">
        <f>'свод практик'!EM118</f>
        <v>да</v>
      </c>
      <c r="BO48" s="36" t="str">
        <f>'свод практик'!EM121</f>
        <v>нет</v>
      </c>
      <c r="BP48" s="36" t="str">
        <f>'свод практик'!EM122</f>
        <v>да</v>
      </c>
      <c r="BR48" s="36" t="str">
        <f>'свод практик'!EM124</f>
        <v>да</v>
      </c>
      <c r="BS48" s="266">
        <f>'свод практик'!EM125</f>
        <v>0</v>
      </c>
      <c r="BT48" s="36" t="str">
        <f>'свод практик'!EM129</f>
        <v>да</v>
      </c>
      <c r="BU48" s="36" t="str">
        <f>'свод практик'!EM131</f>
        <v>да</v>
      </c>
      <c r="BV48" s="36" t="str">
        <f>'свод практик'!EM145</f>
        <v>нет</v>
      </c>
      <c r="BW48" s="36" t="str">
        <f>'свод практик'!EM146</f>
        <v>да</v>
      </c>
      <c r="BX48" s="36" t="s">
        <v>278</v>
      </c>
      <c r="BY48" s="36" t="str">
        <f>'свод практик'!EM150</f>
        <v>да</v>
      </c>
      <c r="BZ48" s="36" t="str">
        <f>'свод практик'!EM154</f>
        <v>да</v>
      </c>
      <c r="CC48" s="36" t="str">
        <f>'свод практик'!EM159</f>
        <v>да</v>
      </c>
      <c r="CD48" s="36" t="str">
        <f>'свод практик'!EM161</f>
        <v>да</v>
      </c>
      <c r="CE48" s="36" t="str">
        <f>'свод практик'!EM164</f>
        <v>да</v>
      </c>
      <c r="CF48" s="36" t="str">
        <f>'свод практик'!EM167</f>
        <v>нет</v>
      </c>
      <c r="CG48" s="36" t="str">
        <f>'свод практик'!EM168</f>
        <v>да</v>
      </c>
      <c r="CH48" s="36" t="str">
        <f>'свод практик'!EM169</f>
        <v>да</v>
      </c>
      <c r="CI48" s="36" t="str">
        <f>'свод практик'!EM170</f>
        <v xml:space="preserve">да </v>
      </c>
      <c r="CK48" s="36" t="str">
        <f>'свод практик'!EM172</f>
        <v>да</v>
      </c>
      <c r="CL48" s="36" t="str">
        <f>'свод практик'!EM175</f>
        <v>да</v>
      </c>
      <c r="CM48" s="36" t="str">
        <f>'свод практик'!EM180</f>
        <v>да</v>
      </c>
      <c r="CN48" s="36" t="str">
        <f>'свод практик'!EM208</f>
        <v>нет</v>
      </c>
      <c r="CP48" s="36" t="str">
        <f>'свод практик'!EM213</f>
        <v>да</v>
      </c>
      <c r="CQ48" s="36" t="str">
        <f>'свод практик'!EM245</f>
        <v>да</v>
      </c>
      <c r="CS48" s="36" t="str">
        <f>'свод практик'!EM249</f>
        <v xml:space="preserve">да </v>
      </c>
      <c r="CT48" s="36" t="str">
        <f>'свод практик'!EM250</f>
        <v>да</v>
      </c>
      <c r="CU48" s="36" t="str">
        <f>'свод практик'!EM252</f>
        <v>да</v>
      </c>
      <c r="CV48" s="36" t="str">
        <f>'свод практик'!EM277</f>
        <v>да</v>
      </c>
    </row>
    <row r="49" spans="1:100" ht="56">
      <c r="A49" s="758"/>
      <c r="B49" s="716"/>
      <c r="C49" s="718"/>
      <c r="D49" s="42" t="s">
        <v>4949</v>
      </c>
      <c r="E49" s="42">
        <v>22</v>
      </c>
      <c r="F49" s="43" t="s">
        <v>5059</v>
      </c>
      <c r="G49" s="58" t="s">
        <v>5283</v>
      </c>
      <c r="H49" s="45" t="s">
        <v>63</v>
      </c>
      <c r="I49" s="46" t="s">
        <v>5004</v>
      </c>
      <c r="M49" s="36">
        <v>41</v>
      </c>
      <c r="N49" s="36">
        <v>18</v>
      </c>
      <c r="O49" s="224">
        <f t="shared" si="17"/>
        <v>16</v>
      </c>
      <c r="P49" s="36" t="str">
        <f>'свод практик'!EP6</f>
        <v>нет</v>
      </c>
      <c r="Q49" s="36" t="str">
        <f>'свод практик'!EP7</f>
        <v>нет</v>
      </c>
      <c r="R49" s="36" t="s">
        <v>278</v>
      </c>
      <c r="S49" s="36" t="str">
        <f>'свод практик'!EP11</f>
        <v>нет</v>
      </c>
      <c r="T49" s="36" t="str">
        <f>'свод практик'!EP12</f>
        <v>нет</v>
      </c>
      <c r="U49" s="36" t="str">
        <f>'свод практик'!EP14</f>
        <v>нет</v>
      </c>
      <c r="V49" s="36" t="s">
        <v>278</v>
      </c>
      <c r="W49" s="36" t="str">
        <f>'свод практик'!EP26</f>
        <v>нет</v>
      </c>
      <c r="X49" s="36">
        <f>'свод практик'!EP30</f>
        <v>0</v>
      </c>
      <c r="Y49" s="36">
        <f>'свод практик'!EP31</f>
        <v>0</v>
      </c>
      <c r="Z49" s="36" t="str">
        <f>'свод практик'!EP34</f>
        <v>нет</v>
      </c>
      <c r="AA49" s="36">
        <f>'свод практик'!EP35</f>
        <v>0</v>
      </c>
      <c r="AB49" s="36" t="str">
        <f>'свод практик'!EP36</f>
        <v>Нет</v>
      </c>
      <c r="AC49" s="36" t="str">
        <f>'свод практик'!EP40</f>
        <v>да</v>
      </c>
      <c r="AF49" s="36" t="str">
        <f>'свод практик'!EP44</f>
        <v>нет</v>
      </c>
      <c r="AI49" s="36" t="str">
        <f>'свод практик'!EP47</f>
        <v>нет</v>
      </c>
      <c r="AJ49" s="36" t="str">
        <f>'свод практик'!EP49</f>
        <v>да</v>
      </c>
      <c r="AK49" s="36" t="str">
        <f>'свод практик'!EP50</f>
        <v>да</v>
      </c>
      <c r="AL49" s="36" t="str">
        <f>'свод практик'!EP52</f>
        <v>нет</v>
      </c>
      <c r="AM49" s="36" t="str">
        <f>'свод практик'!EP56</f>
        <v>нет</v>
      </c>
      <c r="AP49" s="36" t="str">
        <f>'свод практик'!EP60</f>
        <v>нет</v>
      </c>
      <c r="AQ49" s="36" t="str">
        <f>'свод практик'!EP61</f>
        <v>нет</v>
      </c>
      <c r="AR49" s="36" t="str">
        <f>'свод практик'!EP62</f>
        <v>нет</v>
      </c>
      <c r="AS49" s="36" t="str">
        <f>'свод практик'!EP65</f>
        <v>нет</v>
      </c>
      <c r="AT49" s="36" t="str">
        <f>'свод практик'!EP66</f>
        <v>да</v>
      </c>
      <c r="AU49" s="36" t="str">
        <f>'свод практик'!EP70</f>
        <v>нет</v>
      </c>
      <c r="AV49" s="36" t="str">
        <f>'свод практик'!EP71</f>
        <v>да</v>
      </c>
      <c r="AW49" s="36" t="str">
        <f>'свод практик'!EP74</f>
        <v>нет</v>
      </c>
      <c r="AX49" s="36" t="str">
        <f>'свод практик'!EP77</f>
        <v>нет</v>
      </c>
      <c r="AZ49" s="36" t="str">
        <f>'свод практик'!EP82</f>
        <v>нет</v>
      </c>
      <c r="BA49" s="36" t="str">
        <f>'свод практик'!EP83</f>
        <v>нет</v>
      </c>
      <c r="BC49" s="36" t="str">
        <f>'свод практик'!EP86</f>
        <v>да</v>
      </c>
      <c r="BF49" s="36" t="str">
        <f>'свод практик'!EP90</f>
        <v>Нет</v>
      </c>
      <c r="BG49" s="36" t="str">
        <f>'свод практик'!EP90</f>
        <v>Нет</v>
      </c>
      <c r="BH49" s="36" t="str">
        <f>'свод практик'!EP92</f>
        <v>Нет</v>
      </c>
      <c r="BI49" s="36" t="str">
        <f>'свод практик'!EP93</f>
        <v>нет</v>
      </c>
      <c r="BJ49" s="36" t="str">
        <f>'свод практик'!EP98</f>
        <v>нет</v>
      </c>
      <c r="BK49" s="36" t="str">
        <f>'свод практик'!EP100</f>
        <v>-</v>
      </c>
      <c r="BL49" s="36" t="str">
        <f>'свод практик'!EP102</f>
        <v>нет</v>
      </c>
      <c r="BM49" s="36" t="str">
        <f>'свод практик'!EP103</f>
        <v>да</v>
      </c>
      <c r="BN49" s="36" t="str">
        <f>'свод практик'!EP118</f>
        <v>-</v>
      </c>
      <c r="BO49" s="36" t="str">
        <f>'свод практик'!EP120</f>
        <v>нет</v>
      </c>
      <c r="BP49" s="36" t="str">
        <f>'свод практик'!EP122</f>
        <v>нет</v>
      </c>
      <c r="BR49" s="36" t="str">
        <f>'свод практик'!EP124</f>
        <v>нет</v>
      </c>
      <c r="BS49" s="36" t="str">
        <f>'свод практик'!EP127</f>
        <v>Нет</v>
      </c>
      <c r="BT49" s="36" t="str">
        <f>'свод практик'!EP128</f>
        <v>нет</v>
      </c>
      <c r="BU49" s="36" t="str">
        <f>'свод практик'!ES131</f>
        <v>да</v>
      </c>
      <c r="BV49" s="36" t="str">
        <f>'свод практик'!EP145</f>
        <v>нет</v>
      </c>
      <c r="BW49" s="36" t="str">
        <f>'свод практик'!EP146</f>
        <v>нет</v>
      </c>
      <c r="BX49" s="36" t="str">
        <f>'свод практик'!ES148</f>
        <v>да</v>
      </c>
      <c r="BY49" s="36" t="str">
        <f>'свод практик'!EP149</f>
        <v>нет</v>
      </c>
      <c r="BZ49" s="36">
        <f>'свод практик'!EP151</f>
        <v>0</v>
      </c>
      <c r="CC49" s="36" t="str">
        <f>'свод практик'!EP159</f>
        <v>нет</v>
      </c>
      <c r="CD49" s="36" t="str">
        <f>'свод практик'!EP162</f>
        <v>нет</v>
      </c>
      <c r="CE49" s="36" t="str">
        <f>'свод практик'!EP164</f>
        <v>нет</v>
      </c>
      <c r="CF49" s="36" t="str">
        <f>'свод практик'!EP167</f>
        <v>нет</v>
      </c>
      <c r="CG49" s="36" t="str">
        <f>'свод практик'!EP168</f>
        <v>нет</v>
      </c>
      <c r="CH49" s="36" t="str">
        <f>'свод практик'!EP169</f>
        <v>да</v>
      </c>
      <c r="CI49" s="36" t="str">
        <f>'свод практик'!EP170</f>
        <v xml:space="preserve">да </v>
      </c>
      <c r="CK49" s="36" t="str">
        <f>'свод практик'!EP173</f>
        <v>нет</v>
      </c>
      <c r="CL49" s="36" t="str">
        <f>'свод практик'!EP179</f>
        <v>нет</v>
      </c>
      <c r="CM49" s="36" t="str">
        <f>'свод практик'!EP206</f>
        <v>нет</v>
      </c>
      <c r="CN49" s="36" t="str">
        <f>'свод практик'!EP209</f>
        <v>да</v>
      </c>
      <c r="CP49" s="36" t="str">
        <f>'свод практик'!EP213</f>
        <v>да</v>
      </c>
      <c r="CQ49" s="36" t="str">
        <f>'свод практик'!EP246</f>
        <v>нет</v>
      </c>
      <c r="CS49" s="36" t="str">
        <f>'свод практик'!EP248</f>
        <v>да</v>
      </c>
      <c r="CT49" s="36" t="str">
        <f>'свод практик'!EP250</f>
        <v>нет</v>
      </c>
      <c r="CU49" s="36" t="str">
        <f>'свод практик'!EP253</f>
        <v>да</v>
      </c>
      <c r="CV49" s="36">
        <f>'свод практик'!EP277</f>
        <v>0</v>
      </c>
    </row>
    <row r="50" spans="1:100" ht="28">
      <c r="A50" s="758"/>
      <c r="B50" s="716"/>
      <c r="C50" s="718"/>
      <c r="D50" s="42" t="s">
        <v>4949</v>
      </c>
      <c r="E50" s="42">
        <v>23</v>
      </c>
      <c r="F50" s="43" t="s">
        <v>5060</v>
      </c>
      <c r="G50" s="58" t="s">
        <v>5061</v>
      </c>
      <c r="H50" s="45" t="s">
        <v>63</v>
      </c>
      <c r="I50" s="46" t="s">
        <v>5004</v>
      </c>
      <c r="M50" s="36">
        <v>11</v>
      </c>
      <c r="N50" s="36">
        <v>20</v>
      </c>
      <c r="O50" s="224">
        <f t="shared" si="17"/>
        <v>20</v>
      </c>
      <c r="P50" s="36" t="str">
        <f>'свод практик'!ES6</f>
        <v>да</v>
      </c>
      <c r="Q50" s="36" t="str">
        <f>'свод практик'!ES7</f>
        <v>да</v>
      </c>
      <c r="R50" s="36" t="str">
        <f>'свод практик'!ES10</f>
        <v>Нет</v>
      </c>
      <c r="S50" s="36" t="str">
        <f>'свод практик'!ES11</f>
        <v>нет</v>
      </c>
      <c r="T50" s="36" t="str">
        <f>'свод практик'!ES12</f>
        <v>да</v>
      </c>
      <c r="U50" s="36" t="str">
        <f>'свод практик'!ES15</f>
        <v>нет</v>
      </c>
      <c r="V50" s="36" t="str">
        <f>'свод практик'!ES25</f>
        <v>Нет</v>
      </c>
      <c r="W50" s="36" t="str">
        <f>'свод практик'!ES26</f>
        <v>нет</v>
      </c>
      <c r="X50" s="36">
        <f>'свод практик'!ES30</f>
        <v>0</v>
      </c>
      <c r="Y50" s="36">
        <f>'свод практик'!ES31</f>
        <v>0</v>
      </c>
      <c r="Z50" s="36" t="str">
        <f>'свод практик'!ES34</f>
        <v>нет</v>
      </c>
      <c r="AA50" s="36">
        <f>'свод практик'!ES35</f>
        <v>0</v>
      </c>
      <c r="AB50" s="36" t="str">
        <f>'свод практик'!ES36</f>
        <v>Нет</v>
      </c>
      <c r="AC50" s="36" t="s">
        <v>278</v>
      </c>
      <c r="AF50" s="36" t="str">
        <f>'свод практик'!ES44</f>
        <v>нет</v>
      </c>
      <c r="AI50" s="36" t="str">
        <f>'свод практик'!ES47</f>
        <v>да</v>
      </c>
      <c r="AJ50" s="266">
        <f>'свод практик'!ES48</f>
        <v>0</v>
      </c>
      <c r="AK50" s="36" t="str">
        <f>'свод практик'!ES51</f>
        <v>нет</v>
      </c>
      <c r="AL50" s="36" t="str">
        <f>'свод практик'!ES52</f>
        <v>нет</v>
      </c>
      <c r="AM50" s="266" t="str">
        <f>'свод практик'!ES53</f>
        <v>нет</v>
      </c>
      <c r="AP50" s="36">
        <f>'свод практик'!ES59</f>
        <v>0</v>
      </c>
      <c r="AQ50" s="36" t="str">
        <f>'свод практик'!ES61</f>
        <v>нет</v>
      </c>
      <c r="AR50" s="36" t="str">
        <f>'свод практик'!ES62</f>
        <v>нет</v>
      </c>
      <c r="AS50" s="36" t="str">
        <f>'свод практик'!ES65</f>
        <v>да</v>
      </c>
      <c r="AT50" s="36" t="str">
        <f>'свод практик'!ES66</f>
        <v>нет</v>
      </c>
      <c r="AU50" s="36" t="str">
        <f>'свод практик'!ES70</f>
        <v>нет</v>
      </c>
      <c r="AV50" s="36" t="s">
        <v>278</v>
      </c>
      <c r="AW50" s="36" t="str">
        <f>'свод практик'!ES75</f>
        <v>да</v>
      </c>
      <c r="AX50" s="36" t="str">
        <f>'свод практик'!ES77</f>
        <v>да</v>
      </c>
      <c r="AZ50" s="36" t="str">
        <f>'свод практик'!ES82</f>
        <v>да</v>
      </c>
      <c r="BA50" s="36" t="str">
        <f>'свод практик'!ES82</f>
        <v>да</v>
      </c>
      <c r="BC50" s="36" t="str">
        <f>'свод практик'!ES86</f>
        <v>нет</v>
      </c>
      <c r="BF50" s="36">
        <f>'свод практик'!ES90</f>
        <v>0</v>
      </c>
      <c r="BG50" s="36" t="str">
        <f>'свод практик'!ES91</f>
        <v>нет</v>
      </c>
      <c r="BH50" s="36" t="str">
        <f>'свод практик'!ES92</f>
        <v>Нет</v>
      </c>
      <c r="BI50" s="36" t="str">
        <f>'свод практик'!ES93</f>
        <v>нет</v>
      </c>
      <c r="BJ50" s="36" t="str">
        <f>'свод практик'!ES93</f>
        <v>нет</v>
      </c>
      <c r="BK50" s="36" t="str">
        <f>'свод практик'!ES100</f>
        <v>-</v>
      </c>
      <c r="BL50" s="36" t="str">
        <f>'свод практик'!ES102</f>
        <v>да</v>
      </c>
      <c r="BM50" s="36" t="str">
        <f>'свод практик'!ES106</f>
        <v>да</v>
      </c>
      <c r="BN50" s="36" t="str">
        <f>'свод практик'!ES119</f>
        <v>-</v>
      </c>
      <c r="BO50" s="36" t="str">
        <f>'свод практик'!ES121</f>
        <v xml:space="preserve"> да</v>
      </c>
      <c r="BP50" s="36" t="str">
        <f>'свод практик'!ES122</f>
        <v>нет</v>
      </c>
      <c r="BR50" s="36" t="str">
        <f>'свод практик'!ES124</f>
        <v>нет</v>
      </c>
      <c r="BS50" s="36" t="str">
        <f>'свод практик'!ES126</f>
        <v>-</v>
      </c>
      <c r="BT50" s="36" t="str">
        <f>'свод практик'!ES128</f>
        <v>нет</v>
      </c>
      <c r="BU50" s="36" t="str">
        <f>'свод практик'!ES131</f>
        <v>да</v>
      </c>
      <c r="BV50" s="36" t="str">
        <f>'свод практик'!ES145</f>
        <v>нет</v>
      </c>
      <c r="BW50" s="36" t="str">
        <f>'свод практик'!ES146</f>
        <v>нет</v>
      </c>
      <c r="BX50" s="36" t="str">
        <f>'свод практик'!ES147</f>
        <v>нет</v>
      </c>
      <c r="BY50" s="36" t="str">
        <f>'свод практик'!ES150</f>
        <v>да</v>
      </c>
      <c r="BZ50" s="36" t="str">
        <f>'свод практик'!ES151</f>
        <v>да</v>
      </c>
      <c r="CC50" s="36" t="str">
        <f>'свод практик'!ES159</f>
        <v>нет</v>
      </c>
      <c r="CD50" s="36" t="str">
        <f>'свод практик'!ES162</f>
        <v>нет</v>
      </c>
      <c r="CE50" s="36" t="str">
        <f>'свод практик'!ES164</f>
        <v>нет</v>
      </c>
      <c r="CF50" s="36" t="str">
        <f>'свод практик'!ES167</f>
        <v>да</v>
      </c>
      <c r="CG50" s="36" t="str">
        <f>'свод практик'!ES168</f>
        <v>нет</v>
      </c>
      <c r="CH50" s="36" t="str">
        <f>'свод практик'!ES169</f>
        <v>нет</v>
      </c>
      <c r="CI50" s="36" t="str">
        <f>'свод практик'!ES170</f>
        <v>нет</v>
      </c>
      <c r="CK50" s="36" t="str">
        <f>'свод практик'!ES173</f>
        <v>нет</v>
      </c>
      <c r="CL50" s="36" t="str">
        <f>'свод практик'!ES178</f>
        <v>нет</v>
      </c>
      <c r="CM50" s="36" t="str">
        <f>'свод практик'!ES206</f>
        <v>нет</v>
      </c>
      <c r="CN50" s="36" t="str">
        <f>'свод практик'!ES208</f>
        <v>да</v>
      </c>
      <c r="CP50" s="36" t="str">
        <f>'свод практик'!ES213</f>
        <v>да</v>
      </c>
      <c r="CQ50" s="36" t="str">
        <f>'свод практик'!ES245</f>
        <v>нет</v>
      </c>
      <c r="CS50" s="36" t="str">
        <f>'свод практик'!ES249</f>
        <v xml:space="preserve">да </v>
      </c>
      <c r="CT50" s="36" t="str">
        <f>'свод практик'!ES250</f>
        <v>нет</v>
      </c>
      <c r="CU50" s="36" t="str">
        <f>'свод практик'!ES256</f>
        <v>да</v>
      </c>
      <c r="CV50" s="36">
        <f>'свод практик'!ES277</f>
        <v>0</v>
      </c>
    </row>
    <row r="51" spans="1:100" ht="29" thickBot="1">
      <c r="A51" s="759"/>
      <c r="B51" s="13" t="s">
        <v>4947</v>
      </c>
      <c r="C51" s="719"/>
      <c r="D51" s="49" t="s">
        <v>4949</v>
      </c>
      <c r="E51" s="49">
        <v>24</v>
      </c>
      <c r="F51" s="59" t="s">
        <v>5062</v>
      </c>
      <c r="G51" s="141" t="s">
        <v>5063</v>
      </c>
      <c r="H51" s="52" t="s">
        <v>5032</v>
      </c>
      <c r="I51" s="53" t="s">
        <v>4956</v>
      </c>
      <c r="M51" s="36">
        <v>2.0175438596491229</v>
      </c>
      <c r="N51" s="36">
        <v>1.7882352941176471</v>
      </c>
      <c r="O51" s="224">
        <f>AVERAGE(P51:CV51)</f>
        <v>1.8235294117647058</v>
      </c>
      <c r="P51" s="36">
        <f>COUNTIF(P44:P50,"да")</f>
        <v>2</v>
      </c>
      <c r="Q51" s="36">
        <f>COUNTIF(Q44:Q50,"да")</f>
        <v>4</v>
      </c>
      <c r="R51" s="36">
        <f t="shared" ref="R51:CC51" si="18">COUNTIF(R44:R50,"да")</f>
        <v>3</v>
      </c>
      <c r="S51" s="36">
        <f t="shared" si="18"/>
        <v>2</v>
      </c>
      <c r="T51" s="36">
        <f t="shared" si="18"/>
        <v>2</v>
      </c>
      <c r="U51" s="36">
        <f t="shared" si="18"/>
        <v>0</v>
      </c>
      <c r="V51" s="36">
        <f t="shared" si="18"/>
        <v>3</v>
      </c>
      <c r="W51" s="36">
        <f t="shared" si="18"/>
        <v>3</v>
      </c>
      <c r="X51" s="36">
        <f t="shared" si="18"/>
        <v>0</v>
      </c>
      <c r="Y51" s="36">
        <f t="shared" si="18"/>
        <v>1</v>
      </c>
      <c r="Z51" s="36">
        <f t="shared" si="18"/>
        <v>3</v>
      </c>
      <c r="AA51" s="36">
        <f t="shared" si="18"/>
        <v>1</v>
      </c>
      <c r="AB51" s="36">
        <f t="shared" si="18"/>
        <v>1</v>
      </c>
      <c r="AC51" s="36">
        <f t="shared" si="18"/>
        <v>3</v>
      </c>
      <c r="AD51" s="36">
        <f t="shared" si="18"/>
        <v>0</v>
      </c>
      <c r="AE51" s="36">
        <f t="shared" si="18"/>
        <v>0</v>
      </c>
      <c r="AF51" s="36">
        <f t="shared" si="18"/>
        <v>0</v>
      </c>
      <c r="AG51" s="36">
        <f t="shared" si="18"/>
        <v>0</v>
      </c>
      <c r="AH51" s="36">
        <f t="shared" si="18"/>
        <v>0</v>
      </c>
      <c r="AI51" s="36">
        <f t="shared" si="18"/>
        <v>3</v>
      </c>
      <c r="AJ51" s="36">
        <f t="shared" si="18"/>
        <v>1</v>
      </c>
      <c r="AK51" s="36">
        <f t="shared" si="18"/>
        <v>5</v>
      </c>
      <c r="AL51" s="36">
        <f t="shared" si="18"/>
        <v>1</v>
      </c>
      <c r="AM51" s="36">
        <f t="shared" si="18"/>
        <v>1</v>
      </c>
      <c r="AN51" s="36">
        <f t="shared" si="18"/>
        <v>0</v>
      </c>
      <c r="AO51" s="36">
        <f t="shared" si="18"/>
        <v>0</v>
      </c>
      <c r="AP51" s="36">
        <f t="shared" si="18"/>
        <v>1</v>
      </c>
      <c r="AQ51" s="36">
        <f t="shared" si="18"/>
        <v>2</v>
      </c>
      <c r="AR51" s="36">
        <f t="shared" si="18"/>
        <v>3</v>
      </c>
      <c r="AS51" s="36">
        <f t="shared" si="18"/>
        <v>3</v>
      </c>
      <c r="AT51" s="36">
        <f t="shared" si="18"/>
        <v>3</v>
      </c>
      <c r="AU51" s="36">
        <f t="shared" si="18"/>
        <v>1</v>
      </c>
      <c r="AV51" s="36">
        <f t="shared" si="18"/>
        <v>4</v>
      </c>
      <c r="AW51" s="36">
        <f t="shared" si="18"/>
        <v>4</v>
      </c>
      <c r="AX51" s="36">
        <f t="shared" si="18"/>
        <v>2</v>
      </c>
      <c r="AY51" s="36">
        <f t="shared" si="18"/>
        <v>0</v>
      </c>
      <c r="AZ51" s="36">
        <f t="shared" si="18"/>
        <v>4</v>
      </c>
      <c r="BA51" s="36">
        <f t="shared" si="18"/>
        <v>2</v>
      </c>
      <c r="BB51" s="36">
        <f t="shared" si="18"/>
        <v>0</v>
      </c>
      <c r="BC51" s="36">
        <f t="shared" si="18"/>
        <v>4</v>
      </c>
      <c r="BD51" s="36">
        <f t="shared" si="18"/>
        <v>0</v>
      </c>
      <c r="BE51" s="36">
        <f t="shared" si="18"/>
        <v>0</v>
      </c>
      <c r="BF51" s="36">
        <f t="shared" si="18"/>
        <v>1</v>
      </c>
      <c r="BG51" s="36">
        <f t="shared" si="18"/>
        <v>1</v>
      </c>
      <c r="BH51" s="36">
        <f t="shared" si="18"/>
        <v>1</v>
      </c>
      <c r="BI51" s="36">
        <f t="shared" si="18"/>
        <v>1</v>
      </c>
      <c r="BJ51" s="36">
        <f t="shared" si="18"/>
        <v>2</v>
      </c>
      <c r="BK51" s="36">
        <f t="shared" si="18"/>
        <v>2</v>
      </c>
      <c r="BL51" s="36">
        <f t="shared" si="18"/>
        <v>1</v>
      </c>
      <c r="BM51" s="36">
        <f t="shared" si="18"/>
        <v>4</v>
      </c>
      <c r="BN51" s="36">
        <f t="shared" si="18"/>
        <v>3</v>
      </c>
      <c r="BO51" s="36">
        <f t="shared" si="18"/>
        <v>2</v>
      </c>
      <c r="BP51" s="36">
        <f t="shared" si="18"/>
        <v>1</v>
      </c>
      <c r="BQ51" s="36">
        <f t="shared" si="18"/>
        <v>0</v>
      </c>
      <c r="BR51" s="36">
        <f t="shared" si="18"/>
        <v>1</v>
      </c>
      <c r="BS51" s="36">
        <f t="shared" si="18"/>
        <v>1</v>
      </c>
      <c r="BT51" s="36">
        <f t="shared" si="18"/>
        <v>2</v>
      </c>
      <c r="BU51" s="36">
        <f t="shared" si="18"/>
        <v>7</v>
      </c>
      <c r="BV51" s="36">
        <f t="shared" si="18"/>
        <v>1</v>
      </c>
      <c r="BW51" s="36">
        <f t="shared" si="18"/>
        <v>2</v>
      </c>
      <c r="BX51" s="36">
        <f t="shared" si="18"/>
        <v>2</v>
      </c>
      <c r="BY51" s="36">
        <f t="shared" si="18"/>
        <v>3</v>
      </c>
      <c r="BZ51" s="36">
        <f t="shared" si="18"/>
        <v>3</v>
      </c>
      <c r="CA51" s="36">
        <f t="shared" si="18"/>
        <v>0</v>
      </c>
      <c r="CB51" s="36">
        <f t="shared" si="18"/>
        <v>0</v>
      </c>
      <c r="CC51" s="36">
        <f t="shared" si="18"/>
        <v>1</v>
      </c>
      <c r="CD51" s="36">
        <f t="shared" ref="CD51:CV51" si="19">COUNTIF(CD44:CD50,"да")</f>
        <v>3</v>
      </c>
      <c r="CE51" s="36">
        <f t="shared" si="19"/>
        <v>4</v>
      </c>
      <c r="CF51" s="36">
        <f t="shared" si="19"/>
        <v>2</v>
      </c>
      <c r="CG51" s="36">
        <f t="shared" si="19"/>
        <v>1</v>
      </c>
      <c r="CH51" s="36">
        <f t="shared" si="19"/>
        <v>2</v>
      </c>
      <c r="CI51" s="36">
        <f t="shared" si="19"/>
        <v>0</v>
      </c>
      <c r="CJ51" s="36">
        <f t="shared" si="19"/>
        <v>0</v>
      </c>
      <c r="CK51" s="36">
        <f t="shared" si="19"/>
        <v>2</v>
      </c>
      <c r="CL51" s="36">
        <f t="shared" si="19"/>
        <v>2</v>
      </c>
      <c r="CM51" s="36">
        <f t="shared" si="19"/>
        <v>3</v>
      </c>
      <c r="CN51" s="36">
        <f t="shared" si="19"/>
        <v>2</v>
      </c>
      <c r="CO51" s="36">
        <f t="shared" si="19"/>
        <v>0</v>
      </c>
      <c r="CP51" s="36">
        <f t="shared" si="19"/>
        <v>6</v>
      </c>
      <c r="CQ51" s="36">
        <f t="shared" si="19"/>
        <v>2</v>
      </c>
      <c r="CR51" s="36">
        <f t="shared" si="19"/>
        <v>0</v>
      </c>
      <c r="CS51" s="36">
        <f t="shared" si="19"/>
        <v>1</v>
      </c>
      <c r="CT51" s="36">
        <f t="shared" si="19"/>
        <v>2</v>
      </c>
      <c r="CU51" s="36">
        <f t="shared" si="19"/>
        <v>6</v>
      </c>
      <c r="CV51" s="36">
        <f t="shared" si="19"/>
        <v>3</v>
      </c>
    </row>
    <row r="52" spans="1:100" ht="42">
      <c r="A52" s="755" t="s">
        <v>5064</v>
      </c>
      <c r="B52" s="15"/>
      <c r="C52" s="739" t="s">
        <v>5049</v>
      </c>
      <c r="D52" s="42" t="s">
        <v>4949</v>
      </c>
      <c r="E52" s="42">
        <v>25</v>
      </c>
      <c r="F52" s="48" t="s">
        <v>5065</v>
      </c>
      <c r="G52" s="58" t="s">
        <v>5258</v>
      </c>
      <c r="H52" s="45" t="s">
        <v>5035</v>
      </c>
      <c r="I52" s="46" t="s">
        <v>4961</v>
      </c>
      <c r="M52" s="36" t="s">
        <v>5497</v>
      </c>
      <c r="N52" s="36">
        <v>726171</v>
      </c>
      <c r="O52" s="224">
        <f>SUM(P52:CV52)</f>
        <v>835746</v>
      </c>
      <c r="P52" s="36">
        <f>SUMIFS('свод практик'!$EC$6:$EC$277,'свод практик'!$J$6:$J$277,'свод субъектов ИБ+смежные'!P$1)</f>
        <v>0</v>
      </c>
      <c r="Q52" s="36">
        <f>SUMIFS('свод практик'!$EC$6:$EC$277,'свод практик'!$J$6:$J$277,'свод субъектов ИБ+смежные'!Q$1)</f>
        <v>0</v>
      </c>
      <c r="R52" s="36">
        <f>SUMIFS('свод практик'!$EC$6:$EC$277,'свод практик'!$J$6:$J$277,'свод субъектов ИБ+смежные'!R$1)</f>
        <v>0</v>
      </c>
      <c r="S52" s="36">
        <f>SUMIFS('свод практик'!$EC$6:$EC$277,'свод практик'!$J$6:$J$277,'свод субъектов ИБ+смежные'!S$1)</f>
        <v>0</v>
      </c>
      <c r="T52" s="36">
        <f>SUMIFS('свод практик'!$EC$6:$EC$277,'свод практик'!$J$6:$J$277,'свод субъектов ИБ+смежные'!T$1)</f>
        <v>0</v>
      </c>
      <c r="U52" s="36">
        <f>SUMIFS('свод практик'!$EC$6:$EC$277,'свод практик'!$J$6:$J$277,'свод субъектов ИБ+смежные'!U$1)</f>
        <v>0</v>
      </c>
      <c r="V52" s="36">
        <f>SUMIFS('свод практик'!$EC$6:$EC$277,'свод практик'!$J$6:$J$277,'свод субъектов ИБ+смежные'!V$1)</f>
        <v>0</v>
      </c>
      <c r="W52" s="36">
        <f>SUMIFS('свод практик'!$EC$6:$EC$277,'свод практик'!$J$6:$J$277,'свод субъектов ИБ+смежные'!W$1)</f>
        <v>0</v>
      </c>
      <c r="X52" s="36">
        <f>SUMIFS('свод практик'!$EC$6:$EC$277,'свод практик'!$J$6:$J$277,'свод субъектов ИБ+смежные'!X$1)</f>
        <v>0</v>
      </c>
      <c r="Y52" s="36">
        <f>SUMIFS('свод практик'!$EC$6:$EC$277,'свод практик'!$J$6:$J$277,'свод субъектов ИБ+смежные'!Y$1)</f>
        <v>0</v>
      </c>
      <c r="Z52" s="36">
        <f>SUMIFS('свод практик'!$EC$6:$EC$277,'свод практик'!$J$6:$J$277,'свод субъектов ИБ+смежные'!Z$1)</f>
        <v>75520</v>
      </c>
      <c r="AA52" s="36">
        <f>SUMIFS('свод практик'!$EC$6:$EC$277,'свод практик'!$J$6:$J$277,'свод субъектов ИБ+смежные'!AA$1)</f>
        <v>82512</v>
      </c>
      <c r="AB52" s="36">
        <f>SUMIFS('свод практик'!$EC$6:$EC$277,'свод практик'!$J$6:$J$277,'свод субъектов ИБ+смежные'!AB$1)</f>
        <v>0</v>
      </c>
      <c r="AC52" s="36">
        <f>SUMIFS('свод практик'!$EC$6:$EC$277,'свод практик'!$J$6:$J$277,'свод субъектов ИБ+смежные'!AC$1)</f>
        <v>0</v>
      </c>
      <c r="AD52" s="36">
        <f>SUMIFS('свод практик'!$EC$6:$EC$277,'свод практик'!$J$6:$J$277,'свод субъектов ИБ+смежные'!AD$1)</f>
        <v>0</v>
      </c>
      <c r="AE52" s="36">
        <f>SUMIFS('свод практик'!$EC$6:$EC$277,'свод практик'!$J$6:$J$277,'свод субъектов ИБ+смежные'!AE$1)</f>
        <v>0</v>
      </c>
      <c r="AF52" s="36">
        <f>SUMIFS('свод практик'!$EC$6:$EC$277,'свод практик'!$J$6:$J$277,'свод субъектов ИБ+смежные'!AF$1)</f>
        <v>0</v>
      </c>
      <c r="AG52" s="36">
        <f>SUMIFS('свод практик'!$EC$6:$EC$277,'свод практик'!$J$6:$J$277,'свод субъектов ИБ+смежные'!AG$1)</f>
        <v>0</v>
      </c>
      <c r="AH52" s="36">
        <f>SUMIFS('свод практик'!$EC$6:$EC$277,'свод практик'!$J$6:$J$277,'свод субъектов ИБ+смежные'!AH$1)</f>
        <v>0</v>
      </c>
      <c r="AI52" s="36">
        <f>SUMIFS('свод практик'!$EC$6:$EC$277,'свод практик'!$J$6:$J$277,'свод субъектов ИБ+смежные'!AI$1)</f>
        <v>0</v>
      </c>
      <c r="AJ52" s="36">
        <f>SUMIFS('свод практик'!$EC$6:$EC$277,'свод практик'!$J$6:$J$277,'свод субъектов ИБ+смежные'!AJ$1)</f>
        <v>0</v>
      </c>
      <c r="AK52" s="36">
        <f>SUMIFS('свод практик'!$EC$6:$EC$277,'свод практик'!$J$6:$J$277,'свод субъектов ИБ+смежные'!AK$1)</f>
        <v>55183</v>
      </c>
      <c r="AL52" s="36">
        <f>SUMIFS('свод практик'!$EC$6:$EC$277,'свод практик'!$J$6:$J$277,'свод субъектов ИБ+смежные'!AL$1)</f>
        <v>0</v>
      </c>
      <c r="AM52" s="36">
        <f>SUMIFS('свод практик'!$EC$6:$EC$277,'свод практик'!$J$6:$J$277,'свод субъектов ИБ+смежные'!AM$1)</f>
        <v>0</v>
      </c>
      <c r="AN52" s="36">
        <f>SUMIFS('свод практик'!$EC$6:$EC$277,'свод практик'!$J$6:$J$277,'свод субъектов ИБ+смежные'!AN$1)</f>
        <v>0</v>
      </c>
      <c r="AO52" s="36">
        <f>SUMIFS('свод практик'!$EC$6:$EC$277,'свод практик'!$J$6:$J$277,'свод субъектов ИБ+смежные'!AO$1)</f>
        <v>0</v>
      </c>
      <c r="AP52" s="36">
        <f>SUMIFS('свод практик'!$EC$6:$EC$277,'свод практик'!$J$6:$J$277,'свод субъектов ИБ+смежные'!AP$1)</f>
        <v>0</v>
      </c>
      <c r="AQ52" s="36">
        <f>SUMIFS('свод практик'!$EC$6:$EC$277,'свод практик'!$J$6:$J$277,'свод субъектов ИБ+смежные'!AQ$1)</f>
        <v>0</v>
      </c>
      <c r="AR52" s="36">
        <f>SUMIFS('свод практик'!$EC$6:$EC$277,'свод практик'!$J$6:$J$277,'свод субъектов ИБ+смежные'!AR$1)</f>
        <v>0</v>
      </c>
      <c r="AS52" s="36">
        <f>SUMIFS('свод практик'!$EC$6:$EC$277,'свод практик'!$J$6:$J$277,'свод субъектов ИБ+смежные'!AS$1)</f>
        <v>0</v>
      </c>
      <c r="AT52" s="36">
        <f>SUMIFS('свод практик'!$EC$6:$EC$277,'свод практик'!$J$6:$J$277,'свод субъектов ИБ+смежные'!AT$1)</f>
        <v>350</v>
      </c>
      <c r="AU52" s="36">
        <f>SUMIFS('свод практик'!$EC$6:$EC$277,'свод практик'!$J$6:$J$277,'свод субъектов ИБ+смежные'!AU$1)</f>
        <v>0</v>
      </c>
      <c r="AV52" s="36">
        <f>SUMIFS('свод практик'!$EC$6:$EC$277,'свод практик'!$J$6:$J$277,'свод субъектов ИБ+смежные'!AV$1)</f>
        <v>0</v>
      </c>
      <c r="AW52" s="36">
        <f>SUMIFS('свод практик'!$EC$6:$EC$277,'свод практик'!$J$6:$J$277,'свод субъектов ИБ+смежные'!AW$1)</f>
        <v>57000</v>
      </c>
      <c r="AX52" s="36">
        <f>SUMIFS('свод практик'!$EC$6:$EC$277,'свод практик'!$J$6:$J$277,'свод субъектов ИБ+смежные'!AX$1)</f>
        <v>0</v>
      </c>
      <c r="AY52" s="36">
        <f>SUMIFS('свод практик'!$EC$6:$EC$277,'свод практик'!$J$6:$J$277,'свод субъектов ИБ+смежные'!AY$1)</f>
        <v>0</v>
      </c>
      <c r="AZ52" s="36">
        <f>SUMIFS('свод практик'!$EC$6:$EC$277,'свод практик'!$J$6:$J$277,'свод субъектов ИБ+смежные'!AZ$1)</f>
        <v>2500</v>
      </c>
      <c r="BA52" s="36">
        <f>SUMIFS('свод практик'!$EC$6:$EC$277,'свод практик'!$J$6:$J$277,'свод субъектов ИБ+смежные'!BA$1)</f>
        <v>0</v>
      </c>
      <c r="BB52" s="36">
        <f>SUMIFS('свод практик'!$EC$6:$EC$277,'свод практик'!$J$6:$J$277,'свод субъектов ИБ+смежные'!BB$1)</f>
        <v>0</v>
      </c>
      <c r="BC52" s="36">
        <f>SUMIFS('свод практик'!$EC$6:$EC$277,'свод практик'!$J$6:$J$277,'свод субъектов ИБ+смежные'!BC$1)</f>
        <v>0</v>
      </c>
      <c r="BD52" s="36">
        <f>SUMIFS('свод практик'!$EC$6:$EC$277,'свод практик'!$J$6:$J$277,'свод субъектов ИБ+смежные'!BD$1)</f>
        <v>0</v>
      </c>
      <c r="BE52" s="36">
        <f>SUMIFS('свод практик'!$EC$6:$EC$277,'свод практик'!$J$6:$J$277,'свод субъектов ИБ+смежные'!BE$1)</f>
        <v>0</v>
      </c>
      <c r="BF52" s="36">
        <f>SUMIFS('свод практик'!$EC$6:$EC$277,'свод практик'!$J$6:$J$277,'свод субъектов ИБ+смежные'!BF$1)</f>
        <v>0</v>
      </c>
      <c r="BG52" s="36">
        <f>SUMIFS('свод практик'!$EC$6:$EC$277,'свод практик'!$J$6:$J$277,'свод субъектов ИБ+смежные'!BG$1)</f>
        <v>0</v>
      </c>
      <c r="BH52" s="36">
        <f>SUMIFS('свод практик'!$EC$6:$EC$277,'свод практик'!$J$6:$J$277,'свод субъектов ИБ+смежные'!BH$1)</f>
        <v>0</v>
      </c>
      <c r="BI52" s="36">
        <f>SUMIFS('свод практик'!$EC$6:$EC$277,'свод практик'!$J$6:$J$277,'свод субъектов ИБ+смежные'!BI$1)</f>
        <v>0</v>
      </c>
      <c r="BJ52" s="36">
        <f>SUMIFS('свод практик'!$EC$6:$EC$277,'свод практик'!$J$6:$J$277,'свод субъектов ИБ+смежные'!BJ$1)</f>
        <v>0</v>
      </c>
      <c r="BK52" s="36">
        <f>SUMIFS('свод практик'!$EC$6:$EC$277,'свод практик'!$J$6:$J$277,'свод субъектов ИБ+смежные'!BK$1)</f>
        <v>1832</v>
      </c>
      <c r="BL52" s="36">
        <f>SUMIFS('свод практик'!$EC$6:$EC$277,'свод практик'!$J$6:$J$277,'свод субъектов ИБ+смежные'!BL$1)</f>
        <v>0</v>
      </c>
      <c r="BM52" s="36">
        <f>SUMIFS('свод практик'!$EC$6:$EC$277,'свод практик'!$J$6:$J$277,'свод субъектов ИБ+смежные'!BM$1)</f>
        <v>23878</v>
      </c>
      <c r="BN52" s="36">
        <f>SUMIFS('свод практик'!$EC$6:$EC$277,'свод практик'!$J$6:$J$277,'свод субъектов ИБ+смежные'!BN$1)</f>
        <v>0</v>
      </c>
      <c r="BO52" s="36">
        <f>SUMIFS('свод практик'!$EC$6:$EC$277,'свод практик'!$J$6:$J$277,'свод субъектов ИБ+смежные'!BO$1)</f>
        <v>0</v>
      </c>
      <c r="BP52" s="36">
        <f>SUMIFS('свод практик'!$EC$6:$EC$277,'свод практик'!$J$6:$J$277,'свод субъектов ИБ+смежные'!BP$1)</f>
        <v>0</v>
      </c>
      <c r="BQ52" s="36">
        <f>SUMIFS('свод практик'!$EC$6:$EC$277,'свод практик'!$J$6:$J$277,'свод субъектов ИБ+смежные'!BQ$1)</f>
        <v>0</v>
      </c>
      <c r="BR52" s="36">
        <f>SUMIFS('свод практик'!$EC$6:$EC$277,'свод практик'!$J$6:$J$277,'свод субъектов ИБ+смежные'!BR$1)</f>
        <v>0</v>
      </c>
      <c r="BS52" s="36">
        <f>SUMIFS('свод практик'!$EC$6:$EC$277,'свод практик'!$J$6:$J$277,'свод субъектов ИБ+смежные'!BS$1)</f>
        <v>0</v>
      </c>
      <c r="BT52" s="36">
        <f>SUMIFS('свод практик'!$EC$6:$EC$277,'свод практик'!$J$6:$J$277,'свод субъектов ИБ+смежные'!BT$1)</f>
        <v>0</v>
      </c>
      <c r="BU52" s="36">
        <f>SUMIFS('свод практик'!$EC$6:$EC$277,'свод практик'!$J$6:$J$277,'свод субъектов ИБ+смежные'!BU$1)</f>
        <v>0</v>
      </c>
      <c r="BV52" s="36">
        <f>SUMIFS('свод практик'!$EC$6:$EC$277,'свод практик'!$J$6:$J$277,'свод субъектов ИБ+смежные'!BV$1)</f>
        <v>0</v>
      </c>
      <c r="BW52" s="36">
        <f>SUMIFS('свод практик'!$EC$6:$EC$277,'свод практик'!$J$6:$J$277,'свод субъектов ИБ+смежные'!BW$1)</f>
        <v>0</v>
      </c>
      <c r="BX52" s="36">
        <f>SUMIFS('свод практик'!$EC$6:$EC$277,'свод практик'!$J$6:$J$277,'свод субъектов ИБ+смежные'!BX$1)</f>
        <v>0</v>
      </c>
      <c r="BY52" s="36">
        <f>SUMIFS('свод практик'!$EC$6:$EC$277,'свод практик'!$J$6:$J$277,'свод субъектов ИБ+смежные'!BY$1)</f>
        <v>15925</v>
      </c>
      <c r="BZ52" s="36">
        <f>SUMIFS('свод практик'!$EC$6:$EC$277,'свод практик'!$J$6:$J$277,'свод субъектов ИБ+смежные'!BZ$1)</f>
        <v>4267</v>
      </c>
      <c r="CA52" s="36">
        <f>SUMIFS('свод практик'!$EC$6:$EC$277,'свод практик'!$J$6:$J$277,'свод субъектов ИБ+смежные'!CA$1)</f>
        <v>0</v>
      </c>
      <c r="CB52" s="36">
        <f>SUMIFS('свод практик'!$EC$6:$EC$277,'свод практик'!$J$6:$J$277,'свод субъектов ИБ+смежные'!CB$1)</f>
        <v>0</v>
      </c>
      <c r="CC52" s="36">
        <f>SUMIFS('свод практик'!$EC$6:$EC$277,'свод практик'!$J$6:$J$277,'свод субъектов ИБ+смежные'!CC$1)</f>
        <v>0</v>
      </c>
      <c r="CD52" s="36">
        <f>SUMIFS('свод практик'!$EC$6:$EC$277,'свод практик'!$J$6:$J$277,'свод субъектов ИБ+смежные'!CD$1)</f>
        <v>10817</v>
      </c>
      <c r="CE52" s="36">
        <f>SUMIFS('свод практик'!$EC$6:$EC$277,'свод практик'!$J$6:$J$277,'свод субъектов ИБ+смежные'!CE$1)</f>
        <v>0</v>
      </c>
      <c r="CF52" s="36">
        <f>SUMIFS('свод практик'!$EC$6:$EC$277,'свод практик'!$J$6:$J$277,'свод субъектов ИБ+смежные'!CF$1)</f>
        <v>0</v>
      </c>
      <c r="CG52" s="36">
        <f>SUMIFS('свод практик'!$EC$6:$EC$277,'свод практик'!$J$6:$J$277,'свод субъектов ИБ+смежные'!CG$1)</f>
        <v>0</v>
      </c>
      <c r="CH52" s="36">
        <f>SUMIFS('свод практик'!$EC$6:$EC$277,'свод практик'!$J$6:$J$277,'свод субъектов ИБ+смежные'!CH$1)</f>
        <v>0</v>
      </c>
      <c r="CI52" s="36">
        <f>SUMIFS('свод практик'!$EC$6:$EC$277,'свод практик'!$J$6:$J$277,'свод субъектов ИБ+смежные'!CI$1)</f>
        <v>395000</v>
      </c>
      <c r="CJ52" s="36">
        <f>SUMIFS('свод практик'!$EC$6:$EC$277,'свод практик'!$J$6:$J$277,'свод субъектов ИБ+смежные'!CJ$1)</f>
        <v>0</v>
      </c>
      <c r="CK52" s="36">
        <f>SUMIFS('свод практик'!$EC$6:$EC$277,'свод практик'!$J$6:$J$277,'свод субъектов ИБ+смежные'!CK$1)</f>
        <v>4863</v>
      </c>
      <c r="CL52" s="36">
        <f>SUMIFS('свод практик'!$EC$6:$EC$277,'свод практик'!$J$6:$J$277,'свод субъектов ИБ+смежные'!CL$1)</f>
        <v>0</v>
      </c>
      <c r="CM52" s="36">
        <f>SUMIFS('свод практик'!$EC$6:$EC$277,'свод практик'!$J$6:$J$277,'свод субъектов ИБ+смежные'!CM$1)</f>
        <v>14</v>
      </c>
      <c r="CN52" s="36">
        <f>SUMIFS('свод практик'!$EC$6:$EC$277,'свод практик'!$J$6:$J$277,'свод субъектов ИБ+смежные'!CN$1)</f>
        <v>0</v>
      </c>
      <c r="CO52" s="36">
        <f>SUMIFS('свод практик'!$EC$6:$EC$277,'свод практик'!$J$6:$J$277,'свод субъектов ИБ+смежные'!CO$1)</f>
        <v>0</v>
      </c>
      <c r="CP52" s="36">
        <f>SUMIFS('свод практик'!$EC$6:$EC$277,'свод практик'!$J$6:$J$277,'свод субъектов ИБ+смежные'!CP$1)</f>
        <v>92016</v>
      </c>
      <c r="CQ52" s="36">
        <f>SUMIFS('свод практик'!$EC$6:$EC$277,'свод практик'!$J$6:$J$277,'свод субъектов ИБ+смежные'!CQ$1)</f>
        <v>0</v>
      </c>
      <c r="CR52" s="36">
        <f>SUMIFS('свод практик'!$EC$6:$EC$277,'свод практик'!$J$6:$J$277,'свод субъектов ИБ+смежные'!CR$1)</f>
        <v>0</v>
      </c>
      <c r="CS52" s="36">
        <f>SUMIFS('свод практик'!$EC$6:$EC$277,'свод практик'!$J$6:$J$277,'свод субъектов ИБ+смежные'!CS$1)</f>
        <v>0</v>
      </c>
      <c r="CT52" s="36">
        <f>SUMIFS('свод практик'!$EC$6:$EC$277,'свод практик'!$J$6:$J$277,'свод субъектов ИБ+смежные'!CT$1)</f>
        <v>53</v>
      </c>
      <c r="CU52" s="36">
        <f>SUMIFS('свод практик'!$EC$6:$EC$277,'свод практик'!$J$6:$J$277,'свод субъектов ИБ+смежные'!CU$1)</f>
        <v>14016</v>
      </c>
      <c r="CV52" s="36">
        <f>SUMIFS('свод практик'!$EC$6:$EC$277,'свод практик'!$J$6:$J$277,'свод субъектов ИБ+смежные'!CV$1)</f>
        <v>0</v>
      </c>
    </row>
    <row r="53" spans="1:100" ht="42">
      <c r="A53" s="756"/>
      <c r="B53" s="15"/>
      <c r="C53" s="740"/>
      <c r="D53" s="42" t="s">
        <v>4949</v>
      </c>
      <c r="E53" s="42">
        <v>26</v>
      </c>
      <c r="F53" s="48" t="s">
        <v>5066</v>
      </c>
      <c r="G53" s="58" t="s">
        <v>5067</v>
      </c>
      <c r="H53" s="45" t="s">
        <v>5035</v>
      </c>
      <c r="I53" s="46" t="s">
        <v>4961</v>
      </c>
      <c r="M53" s="36" t="s">
        <v>5497</v>
      </c>
      <c r="N53" s="36">
        <v>1260482</v>
      </c>
      <c r="O53" s="224">
        <f t="shared" ref="O53:O58" si="20">SUM(P53:CV53)</f>
        <v>887656.6</v>
      </c>
      <c r="P53" s="36">
        <f>SUMIFS('свод практик'!$EF$6:$EF$277,'свод практик'!$J$6:$J$277,'свод субъектов ИБ+смежные'!P$1)</f>
        <v>0</v>
      </c>
      <c r="Q53" s="36">
        <f>SUMIFS('свод практик'!$EF$6:$EF$277,'свод практик'!$J$6:$J$277,'свод субъектов ИБ+смежные'!Q$1)</f>
        <v>534</v>
      </c>
      <c r="R53" s="36">
        <f>SUMIFS('свод практик'!$EF$6:$EF$277,'свод практик'!$J$6:$J$277,'свод субъектов ИБ+смежные'!R$1)</f>
        <v>31703</v>
      </c>
      <c r="S53" s="36">
        <f>SUMIFS('свод практик'!$EF$6:$EF$277,'свод практик'!$J$6:$J$277,'свод субъектов ИБ+смежные'!S$1)</f>
        <v>9835</v>
      </c>
      <c r="T53" s="36">
        <f>SUMIFS('свод практик'!$EF$6:$EF$277,'свод практик'!$J$6:$J$277,'свод субъектов ИБ+смежные'!T$1)</f>
        <v>0</v>
      </c>
      <c r="U53" s="36">
        <f>SUMIFS('свод практик'!$EF$6:$EF$277,'свод практик'!$J$6:$J$277,'свод субъектов ИБ+смежные'!U$1)</f>
        <v>684</v>
      </c>
      <c r="V53" s="36">
        <f>SUMIFS('свод практик'!$EF$6:$EF$277,'свод практик'!$J$6:$J$277,'свод субъектов ИБ+смежные'!V$1)</f>
        <v>104423</v>
      </c>
      <c r="W53" s="36">
        <f>SUMIFS('свод практик'!$EF$6:$EF$277,'свод практик'!$J$6:$J$277,'свод субъектов ИБ+смежные'!W$1)</f>
        <v>5814</v>
      </c>
      <c r="X53" s="36">
        <f>SUMIFS('свод практик'!$EF$6:$EF$277,'свод практик'!$J$6:$J$277,'свод субъектов ИБ+смежные'!X$1)</f>
        <v>0</v>
      </c>
      <c r="Y53" s="36">
        <f>SUMIFS('свод практик'!$EF$6:$EF$277,'свод практик'!$J$6:$J$277,'свод субъектов ИБ+смежные'!Y$1)</f>
        <v>0</v>
      </c>
      <c r="Z53" s="36">
        <f>SUMIFS('свод практик'!$EF$6:$EF$277,'свод практик'!$J$6:$J$277,'свод субъектов ИБ+смежные'!Z$1)</f>
        <v>50233</v>
      </c>
      <c r="AA53" s="36">
        <f>SUMIFS('свод практик'!$EF$6:$EF$277,'свод практик'!$J$6:$J$277,'свод субъектов ИБ+смежные'!AA$1)</f>
        <v>0</v>
      </c>
      <c r="AB53" s="36">
        <f>SUMIFS('свод практик'!$EF$6:$EF$277,'свод практик'!$J$6:$J$277,'свод субъектов ИБ+смежные'!AB$1)</f>
        <v>0</v>
      </c>
      <c r="AC53" s="36">
        <f>SUMIFS('свод практик'!$EF$6:$EF$277,'свод практик'!$J$6:$J$277,'свод субъектов ИБ+смежные'!AC$1)</f>
        <v>84</v>
      </c>
      <c r="AD53" s="36">
        <f>SUMIFS('свод практик'!$EF$6:$EF$277,'свод практик'!$J$6:$J$277,'свод субъектов ИБ+смежные'!AD$1)</f>
        <v>0</v>
      </c>
      <c r="AE53" s="36">
        <f>SUMIFS('свод практик'!$EF$6:$EF$277,'свод практик'!$J$6:$J$277,'свод субъектов ИБ+смежные'!AE$1)</f>
        <v>0</v>
      </c>
      <c r="AF53" s="36">
        <f>SUMIFS('свод практик'!$EF$6:$EF$277,'свод практик'!$J$6:$J$277,'свод субъектов ИБ+смежные'!AF$1)</f>
        <v>0</v>
      </c>
      <c r="AG53" s="36">
        <f>SUMIFS('свод практик'!$EF$6:$EF$277,'свод практик'!$J$6:$J$277,'свод субъектов ИБ+смежные'!AG$1)</f>
        <v>0</v>
      </c>
      <c r="AH53" s="36">
        <f>SUMIFS('свод практик'!$EF$6:$EF$277,'свод практик'!$J$6:$J$277,'свод субъектов ИБ+смежные'!AH$1)</f>
        <v>0</v>
      </c>
      <c r="AI53" s="36">
        <f>SUMIFS('свод практик'!$EF$6:$EF$277,'свод практик'!$J$6:$J$277,'свод субъектов ИБ+смежные'!AI$1)</f>
        <v>0</v>
      </c>
      <c r="AJ53" s="36">
        <f>SUMIFS('свод практик'!$EF$6:$EF$277,'свод практик'!$J$6:$J$277,'свод субъектов ИБ+смежные'!AJ$1)</f>
        <v>0</v>
      </c>
      <c r="AK53" s="36">
        <f>SUMIFS('свод практик'!$EF$6:$EF$277,'свод практик'!$J$6:$J$277,'свод субъектов ИБ+смежные'!AK$1)</f>
        <v>6589</v>
      </c>
      <c r="AL53" s="36">
        <f>SUMIFS('свод практик'!$EF$6:$EF$277,'свод практик'!$J$6:$J$277,'свод субъектов ИБ+смежные'!AL$1)</f>
        <v>0</v>
      </c>
      <c r="AM53" s="36">
        <f>SUMIFS('свод практик'!$EF$6:$EF$277,'свод практик'!$J$6:$J$277,'свод субъектов ИБ+смежные'!AM$1)</f>
        <v>15681</v>
      </c>
      <c r="AN53" s="36">
        <f>SUMIFS('свод практик'!$EF$6:$EF$277,'свод практик'!$J$6:$J$277,'свод субъектов ИБ+смежные'!AN$1)</f>
        <v>0</v>
      </c>
      <c r="AO53" s="36">
        <f>SUMIFS('свод практик'!$EF$6:$EF$277,'свод практик'!$J$6:$J$277,'свод субъектов ИБ+смежные'!AO$1)</f>
        <v>0</v>
      </c>
      <c r="AP53" s="36">
        <f>SUMIFS('свод практик'!$EF$6:$EF$277,'свод практик'!$J$6:$J$277,'свод субъектов ИБ+смежные'!AP$1)</f>
        <v>9790</v>
      </c>
      <c r="AQ53" s="36">
        <f>SUMIFS('свод практик'!$EF$6:$EF$277,'свод практик'!$J$6:$J$277,'свод субъектов ИБ+смежные'!AQ$1)</f>
        <v>122985</v>
      </c>
      <c r="AR53" s="36">
        <f>SUMIFS('свод практик'!$EF$6:$EF$277,'свод практик'!$J$6:$J$277,'свод субъектов ИБ+смежные'!AR$1)</f>
        <v>0</v>
      </c>
      <c r="AS53" s="36">
        <f>SUMIFS('свод практик'!$EF$6:$EF$277,'свод практик'!$J$6:$J$277,'свод субъектов ИБ+смежные'!AS$1)</f>
        <v>30601</v>
      </c>
      <c r="AT53" s="36">
        <f>SUMIFS('свод практик'!$EF$6:$EF$277,'свод практик'!$J$6:$J$277,'свод субъектов ИБ+смежные'!AT$1)</f>
        <v>11200</v>
      </c>
      <c r="AU53" s="36">
        <f>SUMIFS('свод практик'!$EF$6:$EF$277,'свод практик'!$J$6:$J$277,'свод субъектов ИБ+смежные'!AU$1)</f>
        <v>2680</v>
      </c>
      <c r="AV53" s="36">
        <f>SUMIFS('свод практик'!$EF$6:$EF$277,'свод практик'!$J$6:$J$277,'свод субъектов ИБ+смежные'!AV$1)</f>
        <v>15876</v>
      </c>
      <c r="AW53" s="36">
        <f>SUMIFS('свод практик'!$EF$6:$EF$277,'свод практик'!$J$6:$J$277,'свод субъектов ИБ+смежные'!AW$1)</f>
        <v>5000</v>
      </c>
      <c r="AX53" s="36">
        <f>SUMIFS('свод практик'!$EF$6:$EF$277,'свод практик'!$J$6:$J$277,'свод субъектов ИБ+смежные'!AX$1)</f>
        <v>0</v>
      </c>
      <c r="AY53" s="36">
        <f>SUMIFS('свод практик'!$EF$6:$EF$277,'свод практик'!$J$6:$J$277,'свод субъектов ИБ+смежные'!AY$1)</f>
        <v>0</v>
      </c>
      <c r="AZ53" s="36">
        <f>SUMIFS('свод практик'!$EF$6:$EF$277,'свод практик'!$J$6:$J$277,'свод субъектов ИБ+смежные'!AZ$1)</f>
        <v>12515</v>
      </c>
      <c r="BA53" s="36">
        <f>SUMIFS('свод практик'!$EF$6:$EF$277,'свод практик'!$J$6:$J$277,'свод субъектов ИБ+смежные'!BA$1)</f>
        <v>173</v>
      </c>
      <c r="BB53" s="36">
        <f>SUMIFS('свод практик'!$EF$6:$EF$277,'свод практик'!$J$6:$J$277,'свод субъектов ИБ+смежные'!BB$1)</f>
        <v>0</v>
      </c>
      <c r="BC53" s="36">
        <f>SUMIFS('свод практик'!$EF$6:$EF$277,'свод практик'!$J$6:$J$277,'свод субъектов ИБ+смежные'!BC$1)</f>
        <v>26777</v>
      </c>
      <c r="BD53" s="36">
        <f>SUMIFS('свод практик'!$EF$6:$EF$277,'свод практик'!$J$6:$J$277,'свод субъектов ИБ+смежные'!BD$1)</f>
        <v>0</v>
      </c>
      <c r="BE53" s="36">
        <f>SUMIFS('свод практик'!$EF$6:$EF$277,'свод практик'!$J$6:$J$277,'свод субъектов ИБ+смежные'!BE$1)</f>
        <v>0</v>
      </c>
      <c r="BF53" s="36">
        <f>SUMIFS('свод практик'!$EF$6:$EF$277,'свод практик'!$J$6:$J$277,'свод субъектов ИБ+смежные'!BF$1)</f>
        <v>0</v>
      </c>
      <c r="BG53" s="36">
        <f>SUMIFS('свод практик'!$EF$6:$EF$277,'свод практик'!$J$6:$J$277,'свод субъектов ИБ+смежные'!BG$1)</f>
        <v>0</v>
      </c>
      <c r="BH53" s="36">
        <f>SUMIFS('свод практик'!$EF$6:$EF$277,'свод практик'!$J$6:$J$277,'свод субъектов ИБ+смежные'!BH$1)</f>
        <v>523</v>
      </c>
      <c r="BI53" s="36">
        <f>SUMIFS('свод практик'!$EF$6:$EF$277,'свод практик'!$J$6:$J$277,'свод субъектов ИБ+смежные'!BI$1)</f>
        <v>0</v>
      </c>
      <c r="BJ53" s="36">
        <f>SUMIFS('свод практик'!$EF$6:$EF$277,'свод практик'!$J$6:$J$277,'свод субъектов ИБ+смежные'!BJ$1)</f>
        <v>13426</v>
      </c>
      <c r="BK53" s="36">
        <f>SUMIFS('свод практик'!$EF$6:$EF$277,'свод практик'!$J$6:$J$277,'свод субъектов ИБ+смежные'!BK$1)</f>
        <v>24541</v>
      </c>
      <c r="BL53" s="36">
        <f>SUMIFS('свод практик'!$EF$6:$EF$277,'свод практик'!$J$6:$J$277,'свод субъектов ИБ+смежные'!BL$1)</f>
        <v>0</v>
      </c>
      <c r="BM53" s="36">
        <f>SUMIFS('свод практик'!$EF$6:$EF$277,'свод практик'!$J$6:$J$277,'свод субъектов ИБ+смежные'!BM$1)</f>
        <v>1860</v>
      </c>
      <c r="BN53" s="36">
        <f>SUMIFS('свод практик'!$EF$6:$EF$277,'свод практик'!$J$6:$J$277,'свод субъектов ИБ+смежные'!BN$1)</f>
        <v>554</v>
      </c>
      <c r="BO53" s="36">
        <f>SUMIFS('свод практик'!$EF$6:$EF$277,'свод практик'!$J$6:$J$277,'свод субъектов ИБ+смежные'!BO$1)</f>
        <v>72493</v>
      </c>
      <c r="BP53" s="36">
        <f>SUMIFS('свод практик'!$EF$6:$EF$277,'свод практик'!$J$6:$J$277,'свод субъектов ИБ+смежные'!BP$1)</f>
        <v>0</v>
      </c>
      <c r="BQ53" s="36">
        <f>SUMIFS('свод практик'!$EF$6:$EF$277,'свод практик'!$J$6:$J$277,'свод субъектов ИБ+смежные'!BQ$1)</f>
        <v>0</v>
      </c>
      <c r="BR53" s="36">
        <f>SUMIFS('свод практик'!$EF$6:$EF$277,'свод практик'!$J$6:$J$277,'свод субъектов ИБ+смежные'!BR$1)</f>
        <v>0</v>
      </c>
      <c r="BS53" s="36">
        <f>SUMIFS('свод практик'!$EF$6:$EF$277,'свод практик'!$J$6:$J$277,'свод субъектов ИБ+смежные'!BS$1)</f>
        <v>127</v>
      </c>
      <c r="BT53" s="36">
        <f>SUMIFS('свод практик'!$EF$6:$EF$277,'свод практик'!$J$6:$J$277,'свод субъектов ИБ+смежные'!BT$1)</f>
        <v>5762</v>
      </c>
      <c r="BU53" s="36">
        <f>SUMIFS('свод практик'!$EF$6:$EF$277,'свод практик'!$J$6:$J$277,'свод субъектов ИБ+смежные'!BU$1)</f>
        <v>23144</v>
      </c>
      <c r="BV53" s="36">
        <f>SUMIFS('свод практик'!$EF$6:$EF$277,'свод практик'!$J$6:$J$277,'свод субъектов ИБ+смежные'!BV$1)</f>
        <v>0</v>
      </c>
      <c r="BW53" s="36">
        <f>SUMIFS('свод практик'!$EF$6:$EF$277,'свод практик'!$J$6:$J$277,'свод субъектов ИБ+смежные'!BW$1)</f>
        <v>42122</v>
      </c>
      <c r="BX53" s="36">
        <f>SUMIFS('свод практик'!$EF$6:$EF$277,'свод практик'!$J$6:$J$277,'свод субъектов ИБ+смежные'!BX$1)</f>
        <v>0</v>
      </c>
      <c r="BY53" s="36">
        <f>SUMIFS('свод практик'!$EF$6:$EF$277,'свод практик'!$J$6:$J$277,'свод субъектов ИБ+смежные'!BY$1)</f>
        <v>2738</v>
      </c>
      <c r="BZ53" s="36">
        <f>SUMIFS('свод практик'!$EF$6:$EF$277,'свод практик'!$J$6:$J$277,'свод субъектов ИБ+смежные'!BZ$1)</f>
        <v>0</v>
      </c>
      <c r="CA53" s="36">
        <f>SUMIFS('свод практик'!$EF$6:$EF$277,'свод практик'!$J$6:$J$277,'свод субъектов ИБ+смежные'!CA$1)</f>
        <v>0</v>
      </c>
      <c r="CB53" s="36">
        <f>SUMIFS('свод практик'!$EF$6:$EF$277,'свод практик'!$J$6:$J$277,'свод субъектов ИБ+смежные'!CB$1)</f>
        <v>0</v>
      </c>
      <c r="CC53" s="36">
        <f>SUMIFS('свод практик'!$EF$6:$EF$277,'свод практик'!$J$6:$J$277,'свод субъектов ИБ+смежные'!CC$1)</f>
        <v>0</v>
      </c>
      <c r="CD53" s="36">
        <f>SUMIFS('свод практик'!$EF$6:$EF$277,'свод практик'!$J$6:$J$277,'свод субъектов ИБ+смежные'!CD$1)</f>
        <v>124296</v>
      </c>
      <c r="CE53" s="36">
        <f>SUMIFS('свод практик'!$EF$6:$EF$277,'свод практик'!$J$6:$J$277,'свод субъектов ИБ+смежные'!CE$1)</f>
        <v>6061</v>
      </c>
      <c r="CF53" s="36">
        <f>SUMIFS('свод практик'!$EF$6:$EF$277,'свод практик'!$J$6:$J$277,'свод субъектов ИБ+смежные'!CF$1)</f>
        <v>0</v>
      </c>
      <c r="CG53" s="36">
        <f>SUMIFS('свод практик'!$EF$6:$EF$277,'свод практик'!$J$6:$J$277,'свод субъектов ИБ+смежные'!CG$1)</f>
        <v>0</v>
      </c>
      <c r="CH53" s="36">
        <f>SUMIFS('свод практик'!$EF$6:$EF$277,'свод практик'!$J$6:$J$277,'свод субъектов ИБ+смежные'!CH$1)</f>
        <v>0</v>
      </c>
      <c r="CI53" s="36">
        <f>SUMIFS('свод практик'!$EF$6:$EF$277,'свод практик'!$J$6:$J$277,'свод субъектов ИБ+смежные'!CI$1)</f>
        <v>0</v>
      </c>
      <c r="CJ53" s="36">
        <f>SUMIFS('свод практик'!$EF$6:$EF$277,'свод практик'!$J$6:$J$277,'свод субъектов ИБ+смежные'!CJ$1)</f>
        <v>0</v>
      </c>
      <c r="CK53" s="36">
        <f>SUMIFS('свод практик'!$EF$6:$EF$277,'свод практик'!$J$6:$J$277,'свод субъектов ИБ+смежные'!CK$1)</f>
        <v>0</v>
      </c>
      <c r="CL53" s="36">
        <f>SUMIFS('свод практик'!$EF$6:$EF$277,'свод практик'!$J$6:$J$277,'свод субъектов ИБ+смежные'!CL$1)</f>
        <v>11415</v>
      </c>
      <c r="CM53" s="36">
        <f>SUMIFS('свод практик'!$EF$6:$EF$277,'свод практик'!$J$6:$J$277,'свод субъектов ИБ+смежные'!CM$1)</f>
        <v>1208</v>
      </c>
      <c r="CN53" s="36">
        <f>SUMIFS('свод практик'!$EF$6:$EF$277,'свод практик'!$J$6:$J$277,'свод субъектов ИБ+смежные'!CN$1)</f>
        <v>16062</v>
      </c>
      <c r="CO53" s="36">
        <f>SUMIFS('свод практик'!$EF$6:$EF$277,'свод практик'!$J$6:$J$277,'свод субъектов ИБ+смежные'!CO$1)</f>
        <v>0</v>
      </c>
      <c r="CP53" s="36">
        <f>SUMIFS('свод практик'!$EF$6:$EF$277,'свод практик'!$J$6:$J$277,'свод субъектов ИБ+смежные'!CP$1)</f>
        <v>2021.6</v>
      </c>
      <c r="CQ53" s="36">
        <f>SUMIFS('свод практик'!$EF$6:$EF$277,'свод практик'!$J$6:$J$277,'свод субъектов ИБ+смежные'!CQ$1)</f>
        <v>19</v>
      </c>
      <c r="CR53" s="36">
        <f>SUMIFS('свод практик'!$EF$6:$EF$277,'свод практик'!$J$6:$J$277,'свод субъектов ИБ+смежные'!CR$1)</f>
        <v>0</v>
      </c>
      <c r="CS53" s="36">
        <f>SUMIFS('свод практик'!$EF$6:$EF$277,'свод практик'!$J$6:$J$277,'свод субъектов ИБ+смежные'!CS$1)</f>
        <v>95</v>
      </c>
      <c r="CT53" s="36">
        <f>SUMIFS('свод практик'!$EF$6:$EF$277,'свод практик'!$J$6:$J$277,'свод субъектов ИБ+смежные'!CT$1)</f>
        <v>0</v>
      </c>
      <c r="CU53" s="36">
        <f>SUMIFS('свод практик'!$EF$6:$EF$277,'свод практик'!$J$6:$J$277,'свод субъектов ИБ+смежные'!CU$1)</f>
        <v>15685</v>
      </c>
      <c r="CV53" s="36">
        <f>SUMIFS('свод практик'!$EF$6:$EF$277,'свод практик'!$J$6:$J$277,'свод субъектов ИБ+смежные'!CV$1)</f>
        <v>60327</v>
      </c>
    </row>
    <row r="54" spans="1:100" ht="42">
      <c r="A54" s="756"/>
      <c r="B54" s="15"/>
      <c r="C54" s="740"/>
      <c r="D54" s="42" t="s">
        <v>4949</v>
      </c>
      <c r="E54" s="42">
        <v>27</v>
      </c>
      <c r="F54" s="48" t="s">
        <v>5068</v>
      </c>
      <c r="G54" s="58" t="s">
        <v>5069</v>
      </c>
      <c r="H54" s="45" t="s">
        <v>5035</v>
      </c>
      <c r="I54" s="46" t="s">
        <v>4961</v>
      </c>
      <c r="M54" s="36" t="s">
        <v>5497</v>
      </c>
      <c r="N54" s="36">
        <v>1128567</v>
      </c>
      <c r="O54" s="224">
        <f t="shared" si="20"/>
        <v>699475</v>
      </c>
      <c r="P54" s="36">
        <f>SUMIFS('свод практик'!$EI$6:$EI$277,'свод практик'!$J$6:$J$277,'свод субъектов ИБ+смежные'!P$1)</f>
        <v>0</v>
      </c>
      <c r="Q54" s="36">
        <f>SUMIFS('свод практик'!$EI$6:$EI$277,'свод практик'!$J$6:$J$277,'свод субъектов ИБ+смежные'!Q$1)</f>
        <v>0</v>
      </c>
      <c r="R54" s="36">
        <f>SUMIFS('свод практик'!$EI$6:$EI$277,'свод практик'!$J$6:$J$277,'свод субъектов ИБ+смежные'!R$1)</f>
        <v>0</v>
      </c>
      <c r="S54" s="36">
        <f>SUMIFS('свод практик'!$EI$6:$EI$277,'свод практик'!$J$6:$J$277,'свод субъектов ИБ+смежные'!S$1)</f>
        <v>0</v>
      </c>
      <c r="T54" s="36">
        <f>SUMIFS('свод практик'!$EI$6:$EI$277,'свод практик'!$J$6:$J$277,'свод субъектов ИБ+смежные'!T$1)</f>
        <v>0</v>
      </c>
      <c r="U54" s="36">
        <f>SUMIFS('свод практик'!$EI$6:$EI$277,'свод практик'!$J$6:$J$277,'свод субъектов ИБ+смежные'!U$1)</f>
        <v>0</v>
      </c>
      <c r="V54" s="36">
        <f>SUMIFS('свод практик'!$EI$6:$EI$277,'свод практик'!$J$6:$J$277,'свод субъектов ИБ+смежные'!V$1)</f>
        <v>0</v>
      </c>
      <c r="W54" s="36">
        <f>SUMIFS('свод практик'!$EI$6:$EI$277,'свод практик'!$J$6:$J$277,'свод субъектов ИБ+смежные'!W$1)</f>
        <v>0</v>
      </c>
      <c r="X54" s="36">
        <f>SUMIFS('свод практик'!$EI$6:$EI$277,'свод практик'!$J$6:$J$277,'свод субъектов ИБ+смежные'!X$1)</f>
        <v>0</v>
      </c>
      <c r="Y54" s="36">
        <f>SUMIFS('свод практик'!$EI$6:$EI$277,'свод практик'!$J$6:$J$277,'свод субъектов ИБ+смежные'!Y$1)</f>
        <v>0</v>
      </c>
      <c r="Z54" s="36">
        <f>SUMIFS('свод практик'!$EI$6:$EI$277,'свод практик'!$J$6:$J$277,'свод субъектов ИБ+смежные'!Z$1)</f>
        <v>0</v>
      </c>
      <c r="AA54" s="36">
        <f>SUMIFS('свод практик'!$EI$6:$EI$277,'свод практик'!$J$6:$J$277,'свод субъектов ИБ+смежные'!AA$1)</f>
        <v>0</v>
      </c>
      <c r="AB54" s="36">
        <f>SUMIFS('свод практик'!$EI$6:$EI$277,'свод практик'!$J$6:$J$277,'свод субъектов ИБ+смежные'!AB$1)</f>
        <v>0</v>
      </c>
      <c r="AC54" s="36">
        <f>SUMIFS('свод практик'!$EI$6:$EI$277,'свод практик'!$J$6:$J$277,'свод субъектов ИБ+смежные'!AC$1)</f>
        <v>0</v>
      </c>
      <c r="AD54" s="36">
        <f>SUMIFS('свод практик'!$EI$6:$EI$277,'свод практик'!$J$6:$J$277,'свод субъектов ИБ+смежные'!AD$1)</f>
        <v>0</v>
      </c>
      <c r="AE54" s="36">
        <f>SUMIFS('свод практик'!$EI$6:$EI$277,'свод практик'!$J$6:$J$277,'свод субъектов ИБ+смежные'!AE$1)</f>
        <v>0</v>
      </c>
      <c r="AF54" s="36">
        <f>SUMIFS('свод практик'!$EI$6:$EI$277,'свод практик'!$J$6:$J$277,'свод субъектов ИБ+смежные'!AF$1)</f>
        <v>0</v>
      </c>
      <c r="AG54" s="36">
        <f>SUMIFS('свод практик'!$EI$6:$EI$277,'свод практик'!$J$6:$J$277,'свод субъектов ИБ+смежные'!AG$1)</f>
        <v>0</v>
      </c>
      <c r="AH54" s="36">
        <f>SUMIFS('свод практик'!$EI$6:$EI$277,'свод практик'!$J$6:$J$277,'свод субъектов ИБ+смежные'!AH$1)</f>
        <v>0</v>
      </c>
      <c r="AI54" s="36">
        <f>SUMIFS('свод практик'!$EI$6:$EI$277,'свод практик'!$J$6:$J$277,'свод субъектов ИБ+смежные'!AI$1)</f>
        <v>0</v>
      </c>
      <c r="AJ54" s="36">
        <f>SUMIFS('свод практик'!$EI$6:$EI$277,'свод практик'!$J$6:$J$277,'свод субъектов ИБ+смежные'!AJ$1)</f>
        <v>0</v>
      </c>
      <c r="AK54" s="36">
        <f>SUMIFS('свод практик'!$EI$6:$EI$277,'свод практик'!$J$6:$J$277,'свод субъектов ИБ+смежные'!AK$1)</f>
        <v>0</v>
      </c>
      <c r="AL54" s="36">
        <f>SUMIFS('свод практик'!$EI$6:$EI$277,'свод практик'!$J$6:$J$277,'свод субъектов ИБ+смежные'!AL$1)</f>
        <v>0</v>
      </c>
      <c r="AM54" s="36">
        <f>SUMIFS('свод практик'!$EI$6:$EI$277,'свод практик'!$J$6:$J$277,'свод субъектов ИБ+смежные'!AM$1)</f>
        <v>0</v>
      </c>
      <c r="AN54" s="36">
        <f>SUMIFS('свод практик'!$EI$6:$EI$277,'свод практик'!$J$6:$J$277,'свод субъектов ИБ+смежные'!AN$1)</f>
        <v>0</v>
      </c>
      <c r="AO54" s="36">
        <f>SUMIFS('свод практик'!$EI$6:$EI$277,'свод практик'!$J$6:$J$277,'свод субъектов ИБ+смежные'!AO$1)</f>
        <v>0</v>
      </c>
      <c r="AP54" s="36">
        <f>SUMIFS('свод практик'!$EI$6:$EI$277,'свод практик'!$J$6:$J$277,'свод субъектов ИБ+смежные'!AP$1)</f>
        <v>0</v>
      </c>
      <c r="AQ54" s="36">
        <f>SUMIFS('свод практик'!$EI$6:$EI$277,'свод практик'!$J$6:$J$277,'свод субъектов ИБ+смежные'!AQ$1)</f>
        <v>0</v>
      </c>
      <c r="AR54" s="36">
        <f>SUMIFS('свод практик'!$EI$6:$EI$277,'свод практик'!$J$6:$J$277,'свод субъектов ИБ+смежные'!AR$1)</f>
        <v>0</v>
      </c>
      <c r="AS54" s="36">
        <f>SUMIFS('свод практик'!$EI$6:$EI$277,'свод практик'!$J$6:$J$277,'свод субъектов ИБ+смежные'!AS$1)</f>
        <v>0</v>
      </c>
      <c r="AT54" s="36">
        <f>SUMIFS('свод практик'!$EI$6:$EI$277,'свод практик'!$J$6:$J$277,'свод субъектов ИБ+смежные'!AT$1)</f>
        <v>0</v>
      </c>
      <c r="AU54" s="36">
        <f>SUMIFS('свод практик'!$EI$6:$EI$277,'свод практик'!$J$6:$J$277,'свод субъектов ИБ+смежные'!AU$1)</f>
        <v>0</v>
      </c>
      <c r="AV54" s="36">
        <f>SUMIFS('свод практик'!$EI$6:$EI$277,'свод практик'!$J$6:$J$277,'свод субъектов ИБ+смежные'!AV$1)</f>
        <v>0</v>
      </c>
      <c r="AW54" s="36">
        <f>SUMIFS('свод практик'!$EI$6:$EI$277,'свод практик'!$J$6:$J$277,'свод субъектов ИБ+смежные'!AW$1)</f>
        <v>0</v>
      </c>
      <c r="AX54" s="36">
        <f>SUMIFS('свод практик'!$EI$6:$EI$277,'свод практик'!$J$6:$J$277,'свод субъектов ИБ+смежные'!AX$1)</f>
        <v>0</v>
      </c>
      <c r="AY54" s="36">
        <f>SUMIFS('свод практик'!$EI$6:$EI$277,'свод практик'!$J$6:$J$277,'свод субъектов ИБ+смежные'!AY$1)</f>
        <v>0</v>
      </c>
      <c r="AZ54" s="36">
        <f>SUMIFS('свод практик'!$EI$6:$EI$277,'свод практик'!$J$6:$J$277,'свод субъектов ИБ+смежные'!AZ$1)</f>
        <v>0</v>
      </c>
      <c r="BA54" s="36">
        <f>SUMIFS('свод практик'!$EI$6:$EI$277,'свод практик'!$J$6:$J$277,'свод субъектов ИБ+смежные'!BA$1)</f>
        <v>0</v>
      </c>
      <c r="BB54" s="36">
        <f>SUMIFS('свод практик'!$EI$6:$EI$277,'свод практик'!$J$6:$J$277,'свод субъектов ИБ+смежные'!BB$1)</f>
        <v>0</v>
      </c>
      <c r="BC54" s="36">
        <f>SUMIFS('свод практик'!$EI$6:$EI$277,'свод практик'!$J$6:$J$277,'свод субъектов ИБ+смежные'!BC$1)</f>
        <v>0</v>
      </c>
      <c r="BD54" s="36">
        <f>SUMIFS('свод практик'!$EI$6:$EI$277,'свод практик'!$J$6:$J$277,'свод субъектов ИБ+смежные'!BD$1)</f>
        <v>0</v>
      </c>
      <c r="BE54" s="36">
        <f>SUMIFS('свод практик'!$EI$6:$EI$277,'свод практик'!$J$6:$J$277,'свод субъектов ИБ+смежные'!BE$1)</f>
        <v>0</v>
      </c>
      <c r="BF54" s="36">
        <f>SUMIFS('свод практик'!$EI$6:$EI$277,'свод практик'!$J$6:$J$277,'свод субъектов ИБ+смежные'!BF$1)</f>
        <v>0</v>
      </c>
      <c r="BG54" s="36">
        <f>SUMIFS('свод практик'!$EI$6:$EI$277,'свод практик'!$J$6:$J$277,'свод субъектов ИБ+смежные'!BG$1)</f>
        <v>0</v>
      </c>
      <c r="BH54" s="36">
        <f>SUMIFS('свод практик'!$EI$6:$EI$277,'свод практик'!$J$6:$J$277,'свод субъектов ИБ+смежные'!BH$1)</f>
        <v>0</v>
      </c>
      <c r="BI54" s="36">
        <f>SUMIFS('свод практик'!$EI$6:$EI$277,'свод практик'!$J$6:$J$277,'свод субъектов ИБ+смежные'!BI$1)</f>
        <v>0</v>
      </c>
      <c r="BJ54" s="36">
        <f>SUMIFS('свод практик'!$EI$6:$EI$277,'свод практик'!$J$6:$J$277,'свод субъектов ИБ+смежные'!BJ$1)</f>
        <v>0</v>
      </c>
      <c r="BK54" s="36">
        <f>SUMIFS('свод практик'!$EI$6:$EI$277,'свод практик'!$J$6:$J$277,'свод субъектов ИБ+смежные'!BK$1)</f>
        <v>0</v>
      </c>
      <c r="BL54" s="36">
        <f>SUMIFS('свод практик'!$EI$6:$EI$277,'свод практик'!$J$6:$J$277,'свод субъектов ИБ+смежные'!BL$1)</f>
        <v>0</v>
      </c>
      <c r="BM54" s="36">
        <f>SUMIFS('свод практик'!$EI$6:$EI$277,'свод практик'!$J$6:$J$277,'свод субъектов ИБ+смежные'!BM$1)</f>
        <v>0</v>
      </c>
      <c r="BN54" s="36">
        <f>SUMIFS('свод практик'!$EI$6:$EI$277,'свод практик'!$J$6:$J$277,'свод субъектов ИБ+смежные'!BN$1)</f>
        <v>0</v>
      </c>
      <c r="BO54" s="36">
        <f>SUMIFS('свод практик'!$EI$6:$EI$277,'свод практик'!$J$6:$J$277,'свод субъектов ИБ+смежные'!BO$1)</f>
        <v>44075</v>
      </c>
      <c r="BP54" s="36">
        <f>SUMIFS('свод практик'!$EI$6:$EI$277,'свод практик'!$J$6:$J$277,'свод субъектов ИБ+смежные'!BP$1)</f>
        <v>0</v>
      </c>
      <c r="BQ54" s="36">
        <f>SUMIFS('свод практик'!$EI$6:$EI$277,'свод практик'!$J$6:$J$277,'свод субъектов ИБ+смежные'!BQ$1)</f>
        <v>0</v>
      </c>
      <c r="BR54" s="36">
        <f>SUMIFS('свод практик'!$EI$6:$EI$277,'свод практик'!$J$6:$J$277,'свод субъектов ИБ+смежные'!BR$1)</f>
        <v>0</v>
      </c>
      <c r="BS54" s="36">
        <f>SUMIFS('свод практик'!$EI$6:$EI$277,'свод практик'!$J$6:$J$277,'свод субъектов ИБ+смежные'!BS$1)</f>
        <v>0</v>
      </c>
      <c r="BT54" s="36">
        <f>SUMIFS('свод практик'!$EI$6:$EI$277,'свод практик'!$J$6:$J$277,'свод субъектов ИБ+смежные'!BT$1)</f>
        <v>0</v>
      </c>
      <c r="BU54" s="36">
        <f>SUMIFS('свод практик'!$EI$6:$EI$277,'свод практик'!$J$6:$J$277,'свод субъектов ИБ+смежные'!BU$1)</f>
        <v>79403</v>
      </c>
      <c r="BV54" s="36">
        <f>SUMIFS('свод практик'!$EI$6:$EI$277,'свод практик'!$J$6:$J$277,'свод субъектов ИБ+смежные'!BV$1)</f>
        <v>0</v>
      </c>
      <c r="BW54" s="36">
        <f>SUMIFS('свод практик'!$EI$6:$EI$277,'свод практик'!$J$6:$J$277,'свод субъектов ИБ+смежные'!BW$1)</f>
        <v>0</v>
      </c>
      <c r="BX54" s="36">
        <f>SUMIFS('свод практик'!$EI$6:$EI$277,'свод практик'!$J$6:$J$277,'свод субъектов ИБ+смежные'!BX$1)</f>
        <v>0</v>
      </c>
      <c r="BY54" s="36">
        <f>SUMIFS('свод практик'!$EI$6:$EI$277,'свод практик'!$J$6:$J$277,'свод субъектов ИБ+смежные'!BY$1)</f>
        <v>0</v>
      </c>
      <c r="BZ54" s="36">
        <f>SUMIFS('свод практик'!$EI$6:$EI$277,'свод практик'!$J$6:$J$277,'свод субъектов ИБ+смежные'!BZ$1)</f>
        <v>0</v>
      </c>
      <c r="CA54" s="36">
        <f>SUMIFS('свод практик'!$EI$6:$EI$277,'свод практик'!$J$6:$J$277,'свод субъектов ИБ+смежные'!CA$1)</f>
        <v>0</v>
      </c>
      <c r="CB54" s="36">
        <f>SUMIFS('свод практик'!$EI$6:$EI$277,'свод практик'!$J$6:$J$277,'свод субъектов ИБ+смежные'!CB$1)</f>
        <v>0</v>
      </c>
      <c r="CC54" s="36">
        <f>SUMIFS('свод практик'!$EI$6:$EI$277,'свод практик'!$J$6:$J$277,'свод субъектов ИБ+смежные'!CC$1)</f>
        <v>0</v>
      </c>
      <c r="CD54" s="36">
        <f>SUMIFS('свод практик'!$EI$6:$EI$277,'свод практик'!$J$6:$J$277,'свод субъектов ИБ+смежные'!CD$1)</f>
        <v>0</v>
      </c>
      <c r="CE54" s="36">
        <f>SUMIFS('свод практик'!$EI$6:$EI$277,'свод практик'!$J$6:$J$277,'свод субъектов ИБ+смежные'!CE$1)</f>
        <v>0</v>
      </c>
      <c r="CF54" s="36">
        <f>SUMIFS('свод практик'!$EI$6:$EI$277,'свод практик'!$J$6:$J$277,'свод субъектов ИБ+смежные'!CF$1)</f>
        <v>575997</v>
      </c>
      <c r="CG54" s="36">
        <f>SUMIFS('свод практик'!$EI$6:$EI$277,'свод практик'!$J$6:$J$277,'свод субъектов ИБ+смежные'!CG$1)</f>
        <v>0</v>
      </c>
      <c r="CH54" s="36">
        <f>SUMIFS('свод практик'!$EI$6:$EI$277,'свод практик'!$J$6:$J$277,'свод субъектов ИБ+смежные'!CH$1)</f>
        <v>0</v>
      </c>
      <c r="CI54" s="36">
        <f>SUMIFS('свод практик'!$EI$6:$EI$277,'свод практик'!$J$6:$J$277,'свод субъектов ИБ+смежные'!CI$1)</f>
        <v>0</v>
      </c>
      <c r="CJ54" s="36">
        <f>SUMIFS('свод практик'!$EI$6:$EI$277,'свод практик'!$J$6:$J$277,'свод субъектов ИБ+смежные'!CJ$1)</f>
        <v>0</v>
      </c>
      <c r="CK54" s="36">
        <f>SUMIFS('свод практик'!$EI$6:$EI$277,'свод практик'!$J$6:$J$277,'свод субъектов ИБ+смежные'!CK$1)</f>
        <v>0</v>
      </c>
      <c r="CL54" s="36">
        <f>SUMIFS('свод практик'!$EI$6:$EI$277,'свод практик'!$J$6:$J$277,'свод субъектов ИБ+смежные'!CL$1)</f>
        <v>0</v>
      </c>
      <c r="CM54" s="36">
        <f>SUMIFS('свод практик'!$EI$6:$EI$277,'свод практик'!$J$6:$J$277,'свод субъектов ИБ+смежные'!CM$1)</f>
        <v>0</v>
      </c>
      <c r="CN54" s="36">
        <f>SUMIFS('свод практик'!$EI$6:$EI$277,'свод практик'!$J$6:$J$277,'свод субъектов ИБ+смежные'!CN$1)</f>
        <v>0</v>
      </c>
      <c r="CO54" s="36">
        <f>SUMIFS('свод практик'!$EI$6:$EI$277,'свод практик'!$J$6:$J$277,'свод субъектов ИБ+смежные'!CO$1)</f>
        <v>0</v>
      </c>
      <c r="CP54" s="36">
        <f>SUMIFS('свод практик'!$EI$6:$EI$277,'свод практик'!$J$6:$J$277,'свод субъектов ИБ+смежные'!CP$1)</f>
        <v>0</v>
      </c>
      <c r="CQ54" s="36">
        <f>SUMIFS('свод практик'!$EI$6:$EI$277,'свод практик'!$J$6:$J$277,'свод субъектов ИБ+смежные'!CQ$1)</f>
        <v>0</v>
      </c>
      <c r="CR54" s="36">
        <f>SUMIFS('свод практик'!$EI$6:$EI$277,'свод практик'!$J$6:$J$277,'свод субъектов ИБ+смежные'!CR$1)</f>
        <v>0</v>
      </c>
      <c r="CS54" s="36">
        <f>SUMIFS('свод практик'!$EI$6:$EI$277,'свод практик'!$J$6:$J$277,'свод субъектов ИБ+смежные'!CS$1)</f>
        <v>0</v>
      </c>
      <c r="CT54" s="36">
        <f>SUMIFS('свод практик'!$EI$6:$EI$277,'свод практик'!$J$6:$J$277,'свод субъектов ИБ+смежные'!CT$1)</f>
        <v>0</v>
      </c>
      <c r="CU54" s="36">
        <f>SUMIFS('свод практик'!$EI$6:$EI$277,'свод практик'!$J$6:$J$277,'свод субъектов ИБ+смежные'!CU$1)</f>
        <v>0</v>
      </c>
      <c r="CV54" s="36">
        <f>SUMIFS('свод практик'!$EI$6:$EI$277,'свод практик'!$J$6:$J$277,'свод субъектов ИБ+смежные'!CV$1)</f>
        <v>0</v>
      </c>
    </row>
    <row r="55" spans="1:100" ht="42">
      <c r="A55" s="756"/>
      <c r="B55" s="15"/>
      <c r="C55" s="740"/>
      <c r="D55" s="42" t="s">
        <v>4949</v>
      </c>
      <c r="E55" s="42">
        <v>28</v>
      </c>
      <c r="F55" s="48" t="s">
        <v>5070</v>
      </c>
      <c r="G55" s="58" t="s">
        <v>5071</v>
      </c>
      <c r="H55" s="45" t="s">
        <v>5035</v>
      </c>
      <c r="I55" s="46" t="s">
        <v>4961</v>
      </c>
      <c r="M55" s="36" t="s">
        <v>5497</v>
      </c>
      <c r="N55" s="36">
        <v>20769</v>
      </c>
      <c r="O55" s="224">
        <f t="shared" si="20"/>
        <v>21938</v>
      </c>
      <c r="P55" s="36">
        <f>SUMIFS('свод практик'!$EL$6:$EL$277,'свод практик'!$J$6:$J$277,'свод субъектов ИБ+смежные'!P$1)</f>
        <v>0</v>
      </c>
      <c r="Q55" s="36">
        <f>SUMIFS('свод практик'!$EL$6:$EL$277,'свод практик'!$J$6:$J$277,'свод субъектов ИБ+смежные'!Q$1)</f>
        <v>15</v>
      </c>
      <c r="R55" s="36">
        <f>SUMIFS('свод практик'!$EL$6:$EL$277,'свод практик'!$J$6:$J$277,'свод субъектов ИБ+смежные'!R$1)</f>
        <v>0</v>
      </c>
      <c r="S55" s="36">
        <f>SUMIFS('свод практик'!$EL$6:$EL$277,'свод практик'!$J$6:$J$277,'свод субъектов ИБ+смежные'!S$1)</f>
        <v>0</v>
      </c>
      <c r="T55" s="36">
        <f>SUMIFS('свод практик'!$EL$6:$EL$277,'свод практик'!$J$6:$J$277,'свод субъектов ИБ+смежные'!T$1)</f>
        <v>0</v>
      </c>
      <c r="U55" s="36">
        <f>SUMIFS('свод практик'!$EL$6:$EL$277,'свод практик'!$J$6:$J$277,'свод субъектов ИБ+смежные'!U$1)</f>
        <v>0</v>
      </c>
      <c r="V55" s="36">
        <f>SUMIFS('свод практик'!$EL$6:$EL$277,'свод практик'!$J$6:$J$277,'свод субъектов ИБ+смежные'!V$1)</f>
        <v>0</v>
      </c>
      <c r="W55" s="36">
        <f>SUMIFS('свод практик'!$EL$6:$EL$277,'свод практик'!$J$6:$J$277,'свод субъектов ИБ+смежные'!W$1)</f>
        <v>147</v>
      </c>
      <c r="X55" s="36">
        <f>SUMIFS('свод практик'!$EL$6:$EL$277,'свод практик'!$J$6:$J$277,'свод субъектов ИБ+смежные'!X$1)</f>
        <v>0</v>
      </c>
      <c r="Y55" s="36">
        <f>SUMIFS('свод практик'!$EL$6:$EL$277,'свод практик'!$J$6:$J$277,'свод субъектов ИБ+смежные'!Y$1)</f>
        <v>0</v>
      </c>
      <c r="Z55" s="36">
        <f>SUMIFS('свод практик'!$EL$6:$EL$277,'свод практик'!$J$6:$J$277,'свод субъектов ИБ+смежные'!Z$1)</f>
        <v>0</v>
      </c>
      <c r="AA55" s="36">
        <f>SUMIFS('свод практик'!$EL$6:$EL$277,'свод практик'!$J$6:$J$277,'свод субъектов ИБ+смежные'!AA$1)</f>
        <v>0</v>
      </c>
      <c r="AB55" s="36">
        <f>SUMIFS('свод практик'!$EL$6:$EL$277,'свод практик'!$J$6:$J$277,'свод субъектов ИБ+смежные'!AB$1)</f>
        <v>0</v>
      </c>
      <c r="AC55" s="36">
        <f>SUMIFS('свод практик'!$EL$6:$EL$277,'свод практик'!$J$6:$J$277,'свод субъектов ИБ+смежные'!AC$1)</f>
        <v>0</v>
      </c>
      <c r="AD55" s="36">
        <f>SUMIFS('свод практик'!$EL$6:$EL$277,'свод практик'!$J$6:$J$277,'свод субъектов ИБ+смежные'!AD$1)</f>
        <v>0</v>
      </c>
      <c r="AE55" s="36">
        <f>SUMIFS('свод практик'!$EL$6:$EL$277,'свод практик'!$J$6:$J$277,'свод субъектов ИБ+смежные'!AE$1)</f>
        <v>0</v>
      </c>
      <c r="AF55" s="36">
        <f>SUMIFS('свод практик'!$EL$6:$EL$277,'свод практик'!$J$6:$J$277,'свод субъектов ИБ+смежные'!AF$1)</f>
        <v>0</v>
      </c>
      <c r="AG55" s="36">
        <f>SUMIFS('свод практик'!$EL$6:$EL$277,'свод практик'!$J$6:$J$277,'свод субъектов ИБ+смежные'!AG$1)</f>
        <v>0</v>
      </c>
      <c r="AH55" s="36">
        <f>SUMIFS('свод практик'!$EL$6:$EL$277,'свод практик'!$J$6:$J$277,'свод субъектов ИБ+смежные'!AH$1)</f>
        <v>0</v>
      </c>
      <c r="AI55" s="36">
        <f>SUMIFS('свод практик'!$EL$6:$EL$277,'свод практик'!$J$6:$J$277,'свод субъектов ИБ+смежные'!AI$1)</f>
        <v>0</v>
      </c>
      <c r="AJ55" s="36">
        <f>SUMIFS('свод практик'!$EL$6:$EL$277,'свод практик'!$J$6:$J$277,'свод субъектов ИБ+смежные'!AJ$1)</f>
        <v>0</v>
      </c>
      <c r="AK55" s="36">
        <f>SUMIFS('свод практик'!$EL$6:$EL$277,'свод практик'!$J$6:$J$277,'свод субъектов ИБ+смежные'!AK$1)</f>
        <v>208</v>
      </c>
      <c r="AL55" s="36">
        <f>SUMIFS('свод практик'!$EL$6:$EL$277,'свод практик'!$J$6:$J$277,'свод субъектов ИБ+смежные'!AL$1)</f>
        <v>0</v>
      </c>
      <c r="AM55" s="36">
        <f>SUMIFS('свод практик'!$EL$6:$EL$277,'свод практик'!$J$6:$J$277,'свод субъектов ИБ+смежные'!AM$1)</f>
        <v>0</v>
      </c>
      <c r="AN55" s="36">
        <f>SUMIFS('свод практик'!$EL$6:$EL$277,'свод практик'!$J$6:$J$277,'свод субъектов ИБ+смежные'!AN$1)</f>
        <v>0</v>
      </c>
      <c r="AO55" s="36">
        <f>SUMIFS('свод практик'!$EL$6:$EL$277,'свод практик'!$J$6:$J$277,'свод субъектов ИБ+смежные'!AO$1)</f>
        <v>0</v>
      </c>
      <c r="AP55" s="36">
        <f>SUMIFS('свод практик'!$EL$6:$EL$277,'свод практик'!$J$6:$J$277,'свод субъектов ИБ+смежные'!AP$1)</f>
        <v>0</v>
      </c>
      <c r="AQ55" s="36">
        <f>SUMIFS('свод практик'!$EL$6:$EL$277,'свод практик'!$J$6:$J$277,'свод субъектов ИБ+смежные'!AQ$1)</f>
        <v>0</v>
      </c>
      <c r="AR55" s="36">
        <f>SUMIFS('свод практик'!$EL$6:$EL$277,'свод практик'!$J$6:$J$277,'свод субъектов ИБ+смежные'!AR$1)</f>
        <v>150</v>
      </c>
      <c r="AS55" s="36">
        <f>SUMIFS('свод практик'!$EL$6:$EL$277,'свод практик'!$J$6:$J$277,'свод субъектов ИБ+смежные'!AS$1)</f>
        <v>0</v>
      </c>
      <c r="AT55" s="36">
        <f>SUMIFS('свод практик'!$EL$6:$EL$277,'свод практик'!$J$6:$J$277,'свод субъектов ИБ+смежные'!AT$1)</f>
        <v>0</v>
      </c>
      <c r="AU55" s="36">
        <f>SUMIFS('свод практик'!$EL$6:$EL$277,'свод практик'!$J$6:$J$277,'свод субъектов ИБ+смежные'!AU$1)</f>
        <v>0</v>
      </c>
      <c r="AV55" s="36">
        <f>SUMIFS('свод практик'!$EL$6:$EL$277,'свод практик'!$J$6:$J$277,'свод субъектов ИБ+смежные'!AV$1)</f>
        <v>0</v>
      </c>
      <c r="AW55" s="36">
        <f>SUMIFS('свод практик'!$EL$6:$EL$277,'свод практик'!$J$6:$J$277,'свод субъектов ИБ+смежные'!AW$1)</f>
        <v>0</v>
      </c>
      <c r="AX55" s="36">
        <f>SUMIFS('свод практик'!$EL$6:$EL$277,'свод практик'!$J$6:$J$277,'свод субъектов ИБ+смежные'!AX$1)</f>
        <v>0</v>
      </c>
      <c r="AY55" s="36">
        <f>SUMIFS('свод практик'!$EL$6:$EL$277,'свод практик'!$J$6:$J$277,'свод субъектов ИБ+смежные'!AY$1)</f>
        <v>0</v>
      </c>
      <c r="AZ55" s="36">
        <f>SUMIFS('свод практик'!$EL$6:$EL$277,'свод практик'!$J$6:$J$277,'свод субъектов ИБ+смежные'!AZ$1)</f>
        <v>12515</v>
      </c>
      <c r="BA55" s="36">
        <f>SUMIFS('свод практик'!$EL$6:$EL$277,'свод практик'!$J$6:$J$277,'свод субъектов ИБ+смежные'!BA$1)</f>
        <v>210</v>
      </c>
      <c r="BB55" s="36">
        <f>SUMIFS('свод практик'!$EL$6:$EL$277,'свод практик'!$J$6:$J$277,'свод субъектов ИБ+смежные'!BB$1)</f>
        <v>0</v>
      </c>
      <c r="BC55" s="36">
        <f>SUMIFS('свод практик'!$EL$6:$EL$277,'свод практик'!$J$6:$J$277,'свод субъектов ИБ+смежные'!BC$1)</f>
        <v>0</v>
      </c>
      <c r="BD55" s="36">
        <f>SUMIFS('свод практик'!$EL$6:$EL$277,'свод практик'!$J$6:$J$277,'свод субъектов ИБ+смежные'!BD$1)</f>
        <v>0</v>
      </c>
      <c r="BE55" s="36">
        <f>SUMIFS('свод практик'!$EL$6:$EL$277,'свод практик'!$J$6:$J$277,'свод субъектов ИБ+смежные'!BE$1)</f>
        <v>0</v>
      </c>
      <c r="BF55" s="36">
        <f>SUMIFS('свод практик'!$EL$6:$EL$277,'свод практик'!$J$6:$J$277,'свод субъектов ИБ+смежные'!BF$1)</f>
        <v>0</v>
      </c>
      <c r="BG55" s="36">
        <f>SUMIFS('свод практик'!$EL$6:$EL$277,'свод практик'!$J$6:$J$277,'свод субъектов ИБ+смежные'!BG$1)</f>
        <v>0</v>
      </c>
      <c r="BH55" s="36">
        <f>SUMIFS('свод практик'!$EL$6:$EL$277,'свод практик'!$J$6:$J$277,'свод субъектов ИБ+смежные'!BH$1)</f>
        <v>0</v>
      </c>
      <c r="BI55" s="36">
        <f>SUMIFS('свод практик'!$EL$6:$EL$277,'свод практик'!$J$6:$J$277,'свод субъектов ИБ+смежные'!BI$1)</f>
        <v>0</v>
      </c>
      <c r="BJ55" s="36">
        <f>SUMIFS('свод практик'!$EL$6:$EL$277,'свод практик'!$J$6:$J$277,'свод субъектов ИБ+смежные'!BJ$1)</f>
        <v>103</v>
      </c>
      <c r="BK55" s="36">
        <f>SUMIFS('свод практик'!$EL$6:$EL$277,'свод практик'!$J$6:$J$277,'свод субъектов ИБ+смежные'!BK$1)</f>
        <v>0</v>
      </c>
      <c r="BL55" s="36">
        <f>SUMIFS('свод практик'!$EL$6:$EL$277,'свод практик'!$J$6:$J$277,'свод субъектов ИБ+смежные'!BL$1)</f>
        <v>0</v>
      </c>
      <c r="BM55" s="36">
        <f>SUMIFS('свод практик'!$EL$6:$EL$277,'свод практик'!$J$6:$J$277,'свод субъектов ИБ+смежные'!BM$1)</f>
        <v>0</v>
      </c>
      <c r="BN55" s="36">
        <f>SUMIFS('свод практик'!$EL$6:$EL$277,'свод практик'!$J$6:$J$277,'свод субъектов ИБ+смежные'!BN$1)</f>
        <v>270</v>
      </c>
      <c r="BO55" s="36">
        <f>SUMIFS('свод практик'!$EL$6:$EL$277,'свод практик'!$J$6:$J$277,'свод субъектов ИБ+смежные'!BO$1)</f>
        <v>0</v>
      </c>
      <c r="BP55" s="36">
        <f>SUMIFS('свод практик'!$EL$6:$EL$277,'свод практик'!$J$6:$J$277,'свод субъектов ИБ+смежные'!BP$1)</f>
        <v>0</v>
      </c>
      <c r="BQ55" s="36">
        <f>SUMIFS('свод практик'!$EL$6:$EL$277,'свод практик'!$J$6:$J$277,'свод субъектов ИБ+смежные'!BQ$1)</f>
        <v>0</v>
      </c>
      <c r="BR55" s="36">
        <f>SUMIFS('свод практик'!$EL$6:$EL$277,'свод практик'!$J$6:$J$277,'свод субъектов ИБ+смежные'!BR$1)</f>
        <v>0</v>
      </c>
      <c r="BS55" s="36">
        <f>SUMIFS('свод практик'!$EL$6:$EL$277,'свод практик'!$J$6:$J$277,'свод субъектов ИБ+смежные'!BS$1)</f>
        <v>0</v>
      </c>
      <c r="BT55" s="36">
        <f>SUMIFS('свод практик'!$EL$6:$EL$277,'свод практик'!$J$6:$J$277,'свод субъектов ИБ+смежные'!BT$1)</f>
        <v>0</v>
      </c>
      <c r="BU55" s="36">
        <f>SUMIFS('свод практик'!$EL$6:$EL$277,'свод практик'!$J$6:$J$277,'свод субъектов ИБ+смежные'!BU$1)</f>
        <v>278</v>
      </c>
      <c r="BV55" s="36">
        <f>SUMIFS('свод практик'!$EL$6:$EL$277,'свод практик'!$J$6:$J$277,'свод субъектов ИБ+смежные'!BV$1)</f>
        <v>240</v>
      </c>
      <c r="BW55" s="36">
        <f>SUMIFS('свод практик'!$EL$6:$EL$277,'свод практик'!$J$6:$J$277,'свод субъектов ИБ+смежные'!BW$1)</f>
        <v>0</v>
      </c>
      <c r="BX55" s="36">
        <f>SUMIFS('свод практик'!$EL$6:$EL$277,'свод практик'!$J$6:$J$277,'свод субъектов ИБ+смежные'!BX$1)</f>
        <v>0</v>
      </c>
      <c r="BY55" s="36">
        <f>SUMIFS('свод практик'!$EL$6:$EL$277,'свод практик'!$J$6:$J$277,'свод субъектов ИБ+смежные'!BY$1)</f>
        <v>0</v>
      </c>
      <c r="BZ55" s="36">
        <f>SUMIFS('свод практик'!$EL$6:$EL$277,'свод практик'!$J$6:$J$277,'свод субъектов ИБ+смежные'!BZ$1)</f>
        <v>0</v>
      </c>
      <c r="CA55" s="36">
        <f>SUMIFS('свод практик'!$EL$6:$EL$277,'свод практик'!$J$6:$J$277,'свод субъектов ИБ+смежные'!CA$1)</f>
        <v>0</v>
      </c>
      <c r="CB55" s="36">
        <f>SUMIFS('свод практик'!$EL$6:$EL$277,'свод практик'!$J$6:$J$277,'свод субъектов ИБ+смежные'!CB$1)</f>
        <v>0</v>
      </c>
      <c r="CC55" s="36">
        <f>SUMIFS('свод практик'!$EL$6:$EL$277,'свод практик'!$J$6:$J$277,'свод субъектов ИБ+смежные'!CC$1)</f>
        <v>0</v>
      </c>
      <c r="CD55" s="36">
        <f>SUMIFS('свод практик'!$EL$6:$EL$277,'свод практик'!$J$6:$J$277,'свод субъектов ИБ+смежные'!CD$1)</f>
        <v>0</v>
      </c>
      <c r="CE55" s="36">
        <f>SUMIFS('свод практик'!$EL$6:$EL$277,'свод практик'!$J$6:$J$277,'свод субъектов ИБ+смежные'!CE$1)</f>
        <v>6638</v>
      </c>
      <c r="CF55" s="36">
        <f>SUMIFS('свод практик'!$EL$6:$EL$277,'свод практик'!$J$6:$J$277,'свод субъектов ИБ+смежные'!CF$1)</f>
        <v>0</v>
      </c>
      <c r="CG55" s="36">
        <f>SUMIFS('свод практик'!$EL$6:$EL$277,'свод практик'!$J$6:$J$277,'свод субъектов ИБ+смежные'!CG$1)</f>
        <v>0</v>
      </c>
      <c r="CH55" s="36">
        <f>SUMIFS('свод практик'!$EL$6:$EL$277,'свод практик'!$J$6:$J$277,'свод субъектов ИБ+смежные'!CH$1)</f>
        <v>0</v>
      </c>
      <c r="CI55" s="36">
        <f>SUMIFS('свод практик'!$EL$6:$EL$277,'свод практик'!$J$6:$J$277,'свод субъектов ИБ+смежные'!CI$1)</f>
        <v>0</v>
      </c>
      <c r="CJ55" s="36">
        <f>SUMIFS('свод практик'!$EL$6:$EL$277,'свод практик'!$J$6:$J$277,'свод субъектов ИБ+смежные'!CJ$1)</f>
        <v>0</v>
      </c>
      <c r="CK55" s="36">
        <f>SUMIFS('свод практик'!$EL$6:$EL$277,'свод практик'!$J$6:$J$277,'свод субъектов ИБ+смежные'!CK$1)</f>
        <v>0</v>
      </c>
      <c r="CL55" s="36">
        <f>SUMIFS('свод практик'!$EL$6:$EL$277,'свод практик'!$J$6:$J$277,'свод субъектов ИБ+смежные'!CL$1)</f>
        <v>0</v>
      </c>
      <c r="CM55" s="36">
        <f>SUMIFS('свод практик'!$EL$6:$EL$277,'свод практик'!$J$6:$J$277,'свод субъектов ИБ+смежные'!CM$1)</f>
        <v>190</v>
      </c>
      <c r="CN55" s="36">
        <f>SUMIFS('свод практик'!$EL$6:$EL$277,'свод практик'!$J$6:$J$277,'свод субъектов ИБ+смежные'!CN$1)</f>
        <v>0</v>
      </c>
      <c r="CO55" s="36">
        <f>SUMIFS('свод практик'!$EL$6:$EL$277,'свод практик'!$J$6:$J$277,'свод субъектов ИБ+смежные'!CO$1)</f>
        <v>0</v>
      </c>
      <c r="CP55" s="36">
        <f>SUMIFS('свод практик'!$EL$6:$EL$277,'свод практик'!$J$6:$J$277,'свод субъектов ИБ+смежные'!CP$1)</f>
        <v>735</v>
      </c>
      <c r="CQ55" s="36">
        <f>SUMIFS('свод практик'!$EL$6:$EL$277,'свод практик'!$J$6:$J$277,'свод субъектов ИБ+смежные'!CQ$1)</f>
        <v>0</v>
      </c>
      <c r="CR55" s="36">
        <f>SUMIFS('свод практик'!$EL$6:$EL$277,'свод практик'!$J$6:$J$277,'свод субъектов ИБ+смежные'!CR$1)</f>
        <v>0</v>
      </c>
      <c r="CS55" s="36">
        <f>SUMIFS('свод практик'!$EL$6:$EL$277,'свод практик'!$J$6:$J$277,'свод субъектов ИБ+смежные'!CS$1)</f>
        <v>0</v>
      </c>
      <c r="CT55" s="36">
        <f>SUMIFS('свод практик'!$EL$6:$EL$277,'свод практик'!$J$6:$J$277,'свод субъектов ИБ+смежные'!CT$1)</f>
        <v>0</v>
      </c>
      <c r="CU55" s="36">
        <f>SUMIFS('свод практик'!$EL$6:$EL$277,'свод практик'!$J$6:$J$277,'свод субъектов ИБ+смежные'!CU$1)</f>
        <v>19</v>
      </c>
      <c r="CV55" s="36">
        <f>SUMIFS('свод практик'!$EL$6:$EL$277,'свод практик'!$J$6:$J$277,'свод субъектов ИБ+смежные'!CV$1)</f>
        <v>220</v>
      </c>
    </row>
    <row r="56" spans="1:100" ht="42">
      <c r="A56" s="756"/>
      <c r="B56" s="15"/>
      <c r="C56" s="740"/>
      <c r="D56" s="42" t="s">
        <v>4949</v>
      </c>
      <c r="E56" s="42">
        <v>29</v>
      </c>
      <c r="F56" s="48" t="s">
        <v>5072</v>
      </c>
      <c r="G56" s="58" t="s">
        <v>5073</v>
      </c>
      <c r="H56" s="45" t="s">
        <v>5035</v>
      </c>
      <c r="I56" s="46" t="s">
        <v>4961</v>
      </c>
      <c r="M56" s="36" t="s">
        <v>5497</v>
      </c>
      <c r="N56" s="36">
        <v>11830</v>
      </c>
      <c r="O56" s="224">
        <f t="shared" si="20"/>
        <v>3552</v>
      </c>
      <c r="P56" s="36">
        <f>SUMIFS('свод практик'!$EO$6:$EO$277,'свод практик'!$J$6:$J$277,'свод субъектов ИБ+смежные'!P$1)</f>
        <v>11</v>
      </c>
      <c r="Q56" s="36">
        <f>SUMIFS('свод практик'!$EO$6:$EO$277,'свод практик'!$J$6:$J$277,'свод субъектов ИБ+смежные'!Q$1)</f>
        <v>6</v>
      </c>
      <c r="R56" s="36">
        <f>SUMIFS('свод практик'!$EO$6:$EO$277,'свод практик'!$J$6:$J$277,'свод субъектов ИБ+смежные'!R$1)</f>
        <v>13</v>
      </c>
      <c r="S56" s="36">
        <f>SUMIFS('свод практик'!$EO$6:$EO$277,'свод практик'!$J$6:$J$277,'свод субъектов ИБ+смежные'!S$1)</f>
        <v>9</v>
      </c>
      <c r="T56" s="36">
        <f>SUMIFS('свод практик'!$EO$6:$EO$277,'свод практик'!$J$6:$J$277,'свод субъектов ИБ+смежные'!T$1)</f>
        <v>0</v>
      </c>
      <c r="U56" s="36">
        <f>SUMIFS('свод практик'!$EO$6:$EO$277,'свод практик'!$J$6:$J$277,'свод субъектов ИБ+смежные'!U$1)</f>
        <v>0</v>
      </c>
      <c r="V56" s="36">
        <f>SUMIFS('свод практик'!$EO$6:$EO$277,'свод практик'!$J$6:$J$277,'свод субъектов ИБ+смежные'!V$1)</f>
        <v>44</v>
      </c>
      <c r="W56" s="36">
        <f>SUMIFS('свод практик'!$EO$6:$EO$277,'свод практик'!$J$6:$J$277,'свод субъектов ИБ+смежные'!W$1)</f>
        <v>131</v>
      </c>
      <c r="X56" s="36">
        <f>SUMIFS('свод практик'!$EO$6:$EO$277,'свод практик'!$J$6:$J$277,'свод субъектов ИБ+смежные'!X$1)</f>
        <v>0</v>
      </c>
      <c r="Y56" s="36">
        <f>SUMIFS('свод практик'!$EO$6:$EO$277,'свод практик'!$J$6:$J$277,'свод субъектов ИБ+смежные'!Y$1)</f>
        <v>12</v>
      </c>
      <c r="Z56" s="36">
        <f>SUMIFS('свод практик'!$EO$6:$EO$277,'свод практик'!$J$6:$J$277,'свод субъектов ИБ+смежные'!Z$1)</f>
        <v>7</v>
      </c>
      <c r="AA56" s="36">
        <f>SUMIFS('свод практик'!$EO$6:$EO$277,'свод практик'!$J$6:$J$277,'свод субъектов ИБ+смежные'!AA$1)</f>
        <v>0</v>
      </c>
      <c r="AB56" s="36">
        <f>SUMIFS('свод практик'!$EO$6:$EO$277,'свод практик'!$J$6:$J$277,'свод субъектов ИБ+смежные'!AB$1)</f>
        <v>14</v>
      </c>
      <c r="AC56" s="36">
        <f>SUMIFS('свод практик'!$EO$6:$EO$277,'свод практик'!$J$6:$J$277,'свод субъектов ИБ+смежные'!AC$1)</f>
        <v>0</v>
      </c>
      <c r="AD56" s="36">
        <f>SUMIFS('свод практик'!$EO$6:$EO$277,'свод практик'!$J$6:$J$277,'свод субъектов ИБ+смежные'!AD$1)</f>
        <v>0</v>
      </c>
      <c r="AE56" s="36">
        <f>SUMIFS('свод практик'!$EO$6:$EO$277,'свод практик'!$J$6:$J$277,'свод субъектов ИБ+смежные'!AE$1)</f>
        <v>0</v>
      </c>
      <c r="AF56" s="36">
        <f>SUMIFS('свод практик'!$EO$6:$EO$277,'свод практик'!$J$6:$J$277,'свод субъектов ИБ+смежные'!AF$1)</f>
        <v>0</v>
      </c>
      <c r="AG56" s="36">
        <f>SUMIFS('свод практик'!$EO$6:$EO$277,'свод практик'!$J$6:$J$277,'свод субъектов ИБ+смежные'!AG$1)</f>
        <v>0</v>
      </c>
      <c r="AH56" s="36">
        <f>SUMIFS('свод практик'!$EO$6:$EO$277,'свод практик'!$J$6:$J$277,'свод субъектов ИБ+смежные'!AH$1)</f>
        <v>0</v>
      </c>
      <c r="AI56" s="36">
        <f>SUMIFS('свод практик'!$EO$6:$EO$277,'свод практик'!$J$6:$J$277,'свод субъектов ИБ+смежные'!AI$1)</f>
        <v>0</v>
      </c>
      <c r="AJ56" s="36">
        <f>SUMIFS('свод практик'!$EO$6:$EO$277,'свод практик'!$J$6:$J$277,'свод субъектов ИБ+смежные'!AJ$1)</f>
        <v>0</v>
      </c>
      <c r="AK56" s="36">
        <f>SUMIFS('свод практик'!$EO$6:$EO$277,'свод практик'!$J$6:$J$277,'свод субъектов ИБ+смежные'!AK$1)</f>
        <v>177</v>
      </c>
      <c r="AL56" s="36">
        <f>SUMIFS('свод практик'!$EO$6:$EO$277,'свод практик'!$J$6:$J$277,'свод субъектов ИБ+смежные'!AL$1)</f>
        <v>8</v>
      </c>
      <c r="AM56" s="36">
        <f>SUMIFS('свод практик'!$EO$6:$EO$277,'свод практик'!$J$6:$J$277,'свод субъектов ИБ+смежные'!AM$1)</f>
        <v>0</v>
      </c>
      <c r="AN56" s="36">
        <f>SUMIFS('свод практик'!$EO$6:$EO$277,'свод практик'!$J$6:$J$277,'свод субъектов ИБ+смежные'!AN$1)</f>
        <v>0</v>
      </c>
      <c r="AO56" s="36">
        <f>SUMIFS('свод практик'!$EO$6:$EO$277,'свод практик'!$J$6:$J$277,'свод субъектов ИБ+смежные'!AO$1)</f>
        <v>0</v>
      </c>
      <c r="AP56" s="36">
        <f>SUMIFS('свод практик'!$EO$6:$EO$277,'свод практик'!$J$6:$J$277,'свод субъектов ИБ+смежные'!AP$1)</f>
        <v>0</v>
      </c>
      <c r="AQ56" s="36">
        <f>SUMIFS('свод практик'!$EO$6:$EO$277,'свод практик'!$J$6:$J$277,'свод субъектов ИБ+смежные'!AQ$1)</f>
        <v>8</v>
      </c>
      <c r="AR56" s="36">
        <f>SUMIFS('свод практик'!$EO$6:$EO$277,'свод практик'!$J$6:$J$277,'свод субъектов ИБ+смежные'!AR$1)</f>
        <v>18</v>
      </c>
      <c r="AS56" s="36">
        <f>SUMIFS('свод практик'!$EO$6:$EO$277,'свод практик'!$J$6:$J$277,'свод субъектов ИБ+смежные'!AS$1)</f>
        <v>16</v>
      </c>
      <c r="AT56" s="36">
        <f>SUMIFS('свод практик'!$EO$6:$EO$277,'свод практик'!$J$6:$J$277,'свод субъектов ИБ+смежные'!AT$1)</f>
        <v>48</v>
      </c>
      <c r="AU56" s="36">
        <f>SUMIFS('свод практик'!$EO$6:$EO$277,'свод практик'!$J$6:$J$277,'свод субъектов ИБ+смежные'!AU$1)</f>
        <v>0</v>
      </c>
      <c r="AV56" s="36">
        <f>SUMIFS('свод практик'!$EO$6:$EO$277,'свод практик'!$J$6:$J$277,'свод субъектов ИБ+смежные'!AV$1)</f>
        <v>14</v>
      </c>
      <c r="AW56" s="36">
        <f>SUMIFS('свод практик'!$EO$6:$EO$277,'свод практик'!$J$6:$J$277,'свод субъектов ИБ+смежные'!AW$1)</f>
        <v>0</v>
      </c>
      <c r="AX56" s="36">
        <f>SUMIFS('свод практик'!$EO$6:$EO$277,'свод практик'!$J$6:$J$277,'свод субъектов ИБ+смежные'!AX$1)</f>
        <v>8</v>
      </c>
      <c r="AY56" s="36">
        <f>SUMIFS('свод практик'!$EO$6:$EO$277,'свод практик'!$J$6:$J$277,'свод субъектов ИБ+смежные'!AY$1)</f>
        <v>0</v>
      </c>
      <c r="AZ56" s="36">
        <f>SUMIFS('свод практик'!$EO$6:$EO$277,'свод практик'!$J$6:$J$277,'свод субъектов ИБ+смежные'!AZ$1)</f>
        <v>1776</v>
      </c>
      <c r="BA56" s="36">
        <f>SUMIFS('свод практик'!$EO$6:$EO$277,'свод практик'!$J$6:$J$277,'свод субъектов ИБ+смежные'!BA$1)</f>
        <v>5</v>
      </c>
      <c r="BB56" s="36">
        <f>SUMIFS('свод практик'!$EO$6:$EO$277,'свод практик'!$J$6:$J$277,'свод субъектов ИБ+смежные'!BB$1)</f>
        <v>0</v>
      </c>
      <c r="BC56" s="36">
        <f>SUMIFS('свод практик'!$EO$6:$EO$277,'свод практик'!$J$6:$J$277,'свод субъектов ИБ+смежные'!BC$1)</f>
        <v>15</v>
      </c>
      <c r="BD56" s="36">
        <f>SUMIFS('свод практик'!$EO$6:$EO$277,'свод практик'!$J$6:$J$277,'свод субъектов ИБ+смежные'!BD$1)</f>
        <v>0</v>
      </c>
      <c r="BE56" s="36">
        <f>SUMIFS('свод практик'!$EO$6:$EO$277,'свод практик'!$J$6:$J$277,'свод субъектов ИБ+смежные'!BE$1)</f>
        <v>0</v>
      </c>
      <c r="BF56" s="36">
        <f>SUMIFS('свод практик'!$EO$6:$EO$277,'свод практик'!$J$6:$J$277,'свод субъектов ИБ+смежные'!BF$1)</f>
        <v>0</v>
      </c>
      <c r="BG56" s="36">
        <f>SUMIFS('свод практик'!$EO$6:$EO$277,'свод практик'!$J$6:$J$277,'свод субъектов ИБ+смежные'!BG$1)</f>
        <v>11</v>
      </c>
      <c r="BH56" s="36">
        <f>SUMIFS('свод практик'!$EO$6:$EO$277,'свод практик'!$J$6:$J$277,'свод субъектов ИБ+смежные'!BH$1)</f>
        <v>0</v>
      </c>
      <c r="BI56" s="36">
        <f>SUMIFS('свод практик'!$EO$6:$EO$277,'свод практик'!$J$6:$J$277,'свод субъектов ИБ+смежные'!BI$1)</f>
        <v>10</v>
      </c>
      <c r="BJ56" s="36">
        <f>SUMIFS('свод практик'!$EO$6:$EO$277,'свод практик'!$J$6:$J$277,'свод субъектов ИБ+смежные'!BJ$1)</f>
        <v>0</v>
      </c>
      <c r="BK56" s="36">
        <f>SUMIFS('свод практик'!$EO$6:$EO$277,'свод практик'!$J$6:$J$277,'свод субъектов ИБ+смежные'!BK$1)</f>
        <v>0</v>
      </c>
      <c r="BL56" s="36">
        <f>SUMIFS('свод практик'!$EO$6:$EO$277,'свод практик'!$J$6:$J$277,'свод субъектов ИБ+смежные'!BL$1)</f>
        <v>0</v>
      </c>
      <c r="BM56" s="36">
        <f>SUMIFS('свод практик'!$EO$6:$EO$277,'свод практик'!$J$6:$J$277,'свод субъектов ИБ+смежные'!BM$1)</f>
        <v>49</v>
      </c>
      <c r="BN56" s="36">
        <f>SUMIFS('свод практик'!$EO$6:$EO$277,'свод практик'!$J$6:$J$277,'свод субъектов ИБ+смежные'!BN$1)</f>
        <v>65</v>
      </c>
      <c r="BO56" s="36">
        <f>SUMIFS('свод практик'!$EO$6:$EO$277,'свод практик'!$J$6:$J$277,'свод субъектов ИБ+смежные'!BO$1)</f>
        <v>0</v>
      </c>
      <c r="BP56" s="36">
        <f>SUMIFS('свод практик'!$EO$6:$EO$277,'свод практик'!$J$6:$J$277,'свод субъектов ИБ+смежные'!BP$1)</f>
        <v>15</v>
      </c>
      <c r="BQ56" s="36">
        <f>SUMIFS('свод практик'!$EO$6:$EO$277,'свод практик'!$J$6:$J$277,'свод субъектов ИБ+смежные'!BQ$1)</f>
        <v>0</v>
      </c>
      <c r="BR56" s="36">
        <f>SUMIFS('свод практик'!$EO$6:$EO$277,'свод практик'!$J$6:$J$277,'свод субъектов ИБ+смежные'!BR$1)</f>
        <v>7</v>
      </c>
      <c r="BS56" s="36">
        <f>SUMIFS('свод практик'!$EO$6:$EO$277,'свод практик'!$J$6:$J$277,'свод субъектов ИБ+смежные'!BS$1)</f>
        <v>5</v>
      </c>
      <c r="BT56" s="36">
        <f>SUMIFS('свод практик'!$EO$6:$EO$277,'свод практик'!$J$6:$J$277,'свод субъектов ИБ+смежные'!BT$1)</f>
        <v>6</v>
      </c>
      <c r="BU56" s="36">
        <f>SUMIFS('свод практик'!$EO$6:$EO$277,'свод практик'!$J$6:$J$277,'свод субъектов ИБ+смежные'!BU$1)</f>
        <v>101</v>
      </c>
      <c r="BV56" s="36">
        <f>SUMIFS('свод практик'!$EO$6:$EO$277,'свод практик'!$J$6:$J$277,'свод субъектов ИБ+смежные'!BV$1)</f>
        <v>0</v>
      </c>
      <c r="BW56" s="36">
        <f>SUMIFS('свод практик'!$EO$6:$EO$277,'свод практик'!$J$6:$J$277,'свод субъектов ИБ+смежные'!BW$1)</f>
        <v>17</v>
      </c>
      <c r="BX56" s="36">
        <f>SUMIFS('свод практик'!$EO$6:$EO$277,'свод практик'!$J$6:$J$277,'свод субъектов ИБ+смежные'!BX$1)</f>
        <v>15</v>
      </c>
      <c r="BY56" s="36">
        <f>SUMIFS('свод практик'!$EO$6:$EO$277,'свод практик'!$J$6:$J$277,'свод субъектов ИБ+смежные'!BY$1)</f>
        <v>11</v>
      </c>
      <c r="BZ56" s="36">
        <f>SUMIFS('свод практик'!$EO$6:$EO$277,'свод практик'!$J$6:$J$277,'свод субъектов ИБ+смежные'!BZ$1)</f>
        <v>136</v>
      </c>
      <c r="CA56" s="36">
        <f>SUMIFS('свод практик'!$EO$6:$EO$277,'свод практик'!$J$6:$J$277,'свод субъектов ИБ+смежные'!CA$1)</f>
        <v>0</v>
      </c>
      <c r="CB56" s="36">
        <f>SUMIFS('свод практик'!$EO$6:$EO$277,'свод практик'!$J$6:$J$277,'свод субъектов ИБ+смежные'!CB$1)</f>
        <v>0</v>
      </c>
      <c r="CC56" s="36">
        <f>SUMIFS('свод практик'!$EO$6:$EO$277,'свод практик'!$J$6:$J$277,'свод субъектов ИБ+смежные'!CC$1)</f>
        <v>7</v>
      </c>
      <c r="CD56" s="36">
        <f>SUMIFS('свод практик'!$EO$6:$EO$277,'свод практик'!$J$6:$J$277,'свод субъектов ИБ+смежные'!CD$1)</f>
        <v>15</v>
      </c>
      <c r="CE56" s="36">
        <f>SUMIFS('свод практик'!$EO$6:$EO$277,'свод практик'!$J$6:$J$277,'свод субъектов ИБ+смежные'!CE$1)</f>
        <v>6</v>
      </c>
      <c r="CF56" s="36">
        <f>SUMIFS('свод практик'!$EO$6:$EO$277,'свод практик'!$J$6:$J$277,'свод субъектов ИБ+смежные'!CF$1)</f>
        <v>0</v>
      </c>
      <c r="CG56" s="36">
        <f>SUMIFS('свод практик'!$EO$6:$EO$277,'свод практик'!$J$6:$J$277,'свод субъектов ИБ+смежные'!CG$1)</f>
        <v>17</v>
      </c>
      <c r="CH56" s="36">
        <f>SUMIFS('свод практик'!$EO$6:$EO$277,'свод практик'!$J$6:$J$277,'свод субъектов ИБ+смежные'!CH$1)</f>
        <v>9</v>
      </c>
      <c r="CI56" s="36">
        <f>SUMIFS('свод практик'!$EO$6:$EO$277,'свод практик'!$J$6:$J$277,'свод субъектов ИБ+смежные'!CI$1)</f>
        <v>11</v>
      </c>
      <c r="CJ56" s="36">
        <f>SUMIFS('свод практик'!$EO$6:$EO$277,'свод практик'!$J$6:$J$277,'свод субъектов ИБ+смежные'!CJ$1)</f>
        <v>0</v>
      </c>
      <c r="CK56" s="36">
        <f>SUMIFS('свод практик'!$EO$6:$EO$277,'свод практик'!$J$6:$J$277,'свод субъектов ИБ+смежные'!CK$1)</f>
        <v>5</v>
      </c>
      <c r="CL56" s="36">
        <f>SUMIFS('свод практик'!$EO$6:$EO$277,'свод практик'!$J$6:$J$277,'свод субъектов ИБ+смежные'!CL$1)</f>
        <v>66</v>
      </c>
      <c r="CM56" s="36">
        <f>SUMIFS('свод практик'!$EO$6:$EO$277,'свод практик'!$J$6:$J$277,'свод субъектов ИБ+смежные'!CM$1)</f>
        <v>12</v>
      </c>
      <c r="CN56" s="36">
        <f>SUMIFS('свод практик'!$EO$6:$EO$277,'свод практик'!$J$6:$J$277,'свод субъектов ИБ+смежные'!CN$1)</f>
        <v>0</v>
      </c>
      <c r="CO56" s="36">
        <f>SUMIFS('свод практик'!$EO$6:$EO$277,'свод практик'!$J$6:$J$277,'свод субъектов ИБ+смежные'!CO$1)</f>
        <v>0</v>
      </c>
      <c r="CP56" s="36">
        <f>SUMIFS('свод практик'!$EO$6:$EO$277,'свод практик'!$J$6:$J$277,'свод субъектов ИБ+смежные'!CP$1)</f>
        <v>273</v>
      </c>
      <c r="CQ56" s="36">
        <f>SUMIFS('свод практик'!$EO$6:$EO$277,'свод практик'!$J$6:$J$277,'свод субъектов ИБ+смежные'!CQ$1)</f>
        <v>6</v>
      </c>
      <c r="CR56" s="36">
        <f>SUMIFS('свод практик'!$EO$6:$EO$277,'свод практик'!$J$6:$J$277,'свод субъектов ИБ+смежные'!CR$1)</f>
        <v>0</v>
      </c>
      <c r="CS56" s="36">
        <f>SUMIFS('свод практик'!$EO$6:$EO$277,'свод практик'!$J$6:$J$277,'свод субъектов ИБ+смежные'!CS$1)</f>
        <v>39</v>
      </c>
      <c r="CT56" s="36">
        <f>SUMIFS('свод практик'!$EO$6:$EO$277,'свод практик'!$J$6:$J$277,'свод субъектов ИБ+смежные'!CT$1)</f>
        <v>86</v>
      </c>
      <c r="CU56" s="36">
        <f>SUMIFS('свод практик'!$EO$6:$EO$277,'свод практик'!$J$6:$J$277,'свод субъектов ИБ+смежные'!CU$1)</f>
        <v>191</v>
      </c>
      <c r="CV56" s="36">
        <f>SUMIFS('свод практик'!$EO$6:$EO$277,'свод практик'!$J$6:$J$277,'свод субъектов ИБ+смежные'!CV$1)</f>
        <v>21</v>
      </c>
    </row>
    <row r="57" spans="1:100" ht="98">
      <c r="A57" s="756"/>
      <c r="B57" s="15"/>
      <c r="C57" s="740"/>
      <c r="D57" s="42" t="s">
        <v>4949</v>
      </c>
      <c r="E57" s="42">
        <v>30</v>
      </c>
      <c r="F57" s="48" t="s">
        <v>5074</v>
      </c>
      <c r="G57" s="58" t="s">
        <v>5259</v>
      </c>
      <c r="H57" s="45" t="s">
        <v>5035</v>
      </c>
      <c r="I57" s="46" t="s">
        <v>4961</v>
      </c>
      <c r="M57" s="36" t="s">
        <v>5497</v>
      </c>
      <c r="N57" s="36">
        <v>123816</v>
      </c>
      <c r="O57" s="224">
        <f t="shared" si="20"/>
        <v>127749</v>
      </c>
      <c r="P57" s="36">
        <f>SUMIFS('свод практик'!$ER$6:$ER$277,'свод практик'!$J$6:$J$277,'свод субъектов ИБ+смежные'!P$1)</f>
        <v>0</v>
      </c>
      <c r="Q57" s="36">
        <f>SUMIFS('свод практик'!$ER$6:$ER$277,'свод практик'!$J$6:$J$277,'свод субъектов ИБ+смежные'!Q$1)</f>
        <v>0</v>
      </c>
      <c r="R57" s="36">
        <f>SUMIFS('свод практик'!$ER$6:$ER$277,'свод практик'!$J$6:$J$277,'свод субъектов ИБ+смежные'!R$1)</f>
        <v>7</v>
      </c>
      <c r="S57" s="36">
        <f>SUMIFS('свод практик'!$ER$6:$ER$277,'свод практик'!$J$6:$J$277,'свод субъектов ИБ+смежные'!S$1)</f>
        <v>0</v>
      </c>
      <c r="T57" s="36">
        <f>SUMIFS('свод практик'!$ER$6:$ER$277,'свод практик'!$J$6:$J$277,'свод субъектов ИБ+смежные'!T$1)</f>
        <v>0</v>
      </c>
      <c r="U57" s="36">
        <f>SUMIFS('свод практик'!$ER$6:$ER$277,'свод практик'!$J$6:$J$277,'свод субъектов ИБ+смежные'!U$1)</f>
        <v>0</v>
      </c>
      <c r="V57" s="36">
        <f>SUMIFS('свод практик'!$ER$6:$ER$277,'свод практик'!$J$6:$J$277,'свод субъектов ИБ+смежные'!V$1)</f>
        <v>127457</v>
      </c>
      <c r="W57" s="36">
        <f>SUMIFS('свод практик'!$ER$6:$ER$277,'свод практик'!$J$6:$J$277,'свод субъектов ИБ+смежные'!W$1)</f>
        <v>0</v>
      </c>
      <c r="X57" s="36">
        <f>SUMIFS('свод практик'!$ER$6:$ER$277,'свод практик'!$J$6:$J$277,'свод субъектов ИБ+смежные'!X$1)</f>
        <v>0</v>
      </c>
      <c r="Y57" s="36">
        <f>SUMIFS('свод практик'!$ER$6:$ER$277,'свод практик'!$J$6:$J$277,'свод субъектов ИБ+смежные'!Y$1)</f>
        <v>0</v>
      </c>
      <c r="Z57" s="36">
        <f>SUMIFS('свод практик'!$ER$6:$ER$277,'свод практик'!$J$6:$J$277,'свод субъектов ИБ+смежные'!Z$1)</f>
        <v>0</v>
      </c>
      <c r="AA57" s="36">
        <f>SUMIFS('свод практик'!$ER$6:$ER$277,'свод практик'!$J$6:$J$277,'свод субъектов ИБ+смежные'!AA$1)</f>
        <v>0</v>
      </c>
      <c r="AB57" s="36">
        <f>SUMIFS('свод практик'!$ER$6:$ER$277,'свод практик'!$J$6:$J$277,'свод субъектов ИБ+смежные'!AB$1)</f>
        <v>0</v>
      </c>
      <c r="AC57" s="36">
        <f>SUMIFS('свод практик'!$ER$6:$ER$277,'свод практик'!$J$6:$J$277,'свод субъектов ИБ+смежные'!AC$1)</f>
        <v>0</v>
      </c>
      <c r="AD57" s="36">
        <f>SUMIFS('свод практик'!$ER$6:$ER$277,'свод практик'!$J$6:$J$277,'свод субъектов ИБ+смежные'!AD$1)</f>
        <v>0</v>
      </c>
      <c r="AE57" s="36">
        <f>SUMIFS('свод практик'!$ER$6:$ER$277,'свод практик'!$J$6:$J$277,'свод субъектов ИБ+смежные'!AE$1)</f>
        <v>0</v>
      </c>
      <c r="AF57" s="36">
        <f>SUMIFS('свод практик'!$ER$6:$ER$277,'свод практик'!$J$6:$J$277,'свод субъектов ИБ+смежные'!AF$1)</f>
        <v>0</v>
      </c>
      <c r="AG57" s="36">
        <f>SUMIFS('свод практик'!$ER$6:$ER$277,'свод практик'!$J$6:$J$277,'свод субъектов ИБ+смежные'!AG$1)</f>
        <v>0</v>
      </c>
      <c r="AH57" s="36">
        <f>SUMIFS('свод практик'!$ER$6:$ER$277,'свод практик'!$J$6:$J$277,'свод субъектов ИБ+смежные'!AH$1)</f>
        <v>0</v>
      </c>
      <c r="AI57" s="36">
        <f>SUMIFS('свод практик'!$ER$6:$ER$277,'свод практик'!$J$6:$J$277,'свод субъектов ИБ+смежные'!AI$1)</f>
        <v>0</v>
      </c>
      <c r="AJ57" s="36">
        <f>SUMIFS('свод практик'!$ER$6:$ER$277,'свод практик'!$J$6:$J$277,'свод субъектов ИБ+смежные'!AJ$1)</f>
        <v>0</v>
      </c>
      <c r="AK57" s="36">
        <f>SUMIFS('свод практик'!$ER$6:$ER$277,'свод практик'!$J$6:$J$277,'свод субъектов ИБ+смежные'!AK$1)</f>
        <v>88</v>
      </c>
      <c r="AL57" s="36">
        <f>SUMIFS('свод практик'!$ER$6:$ER$277,'свод практик'!$J$6:$J$277,'свод субъектов ИБ+смежные'!AL$1)</f>
        <v>0</v>
      </c>
      <c r="AM57" s="36">
        <f>SUMIFS('свод практик'!$ER$6:$ER$277,'свод практик'!$J$6:$J$277,'свод субъектов ИБ+смежные'!AM$1)</f>
        <v>0</v>
      </c>
      <c r="AN57" s="36">
        <f>SUMIFS('свод практик'!$ER$6:$ER$277,'свод практик'!$J$6:$J$277,'свод субъектов ИБ+смежные'!AN$1)</f>
        <v>0</v>
      </c>
      <c r="AO57" s="36">
        <f>SUMIFS('свод практик'!$ER$6:$ER$277,'свод практик'!$J$6:$J$277,'свод субъектов ИБ+смежные'!AO$1)</f>
        <v>0</v>
      </c>
      <c r="AP57" s="36">
        <f>SUMIFS('свод практик'!$ER$6:$ER$277,'свод практик'!$J$6:$J$277,'свод субъектов ИБ+смежные'!AP$1)</f>
        <v>0</v>
      </c>
      <c r="AQ57" s="36">
        <f>SUMIFS('свод практик'!$ER$6:$ER$277,'свод практик'!$J$6:$J$277,'свод субъектов ИБ+смежные'!AQ$1)</f>
        <v>0</v>
      </c>
      <c r="AR57" s="36">
        <f>SUMIFS('свод практик'!$ER$6:$ER$277,'свод практик'!$J$6:$J$277,'свод субъектов ИБ+смежные'!AR$1)</f>
        <v>0</v>
      </c>
      <c r="AS57" s="36">
        <f>SUMIFS('свод практик'!$ER$6:$ER$277,'свод практик'!$J$6:$J$277,'свод субъектов ИБ+смежные'!AS$1)</f>
        <v>0</v>
      </c>
      <c r="AT57" s="36">
        <f>SUMIFS('свод практик'!$ER$6:$ER$277,'свод практик'!$J$6:$J$277,'свод субъектов ИБ+смежные'!AT$1)</f>
        <v>48</v>
      </c>
      <c r="AU57" s="36">
        <f>SUMIFS('свод практик'!$ER$6:$ER$277,'свод практик'!$J$6:$J$277,'свод субъектов ИБ+смежные'!AU$1)</f>
        <v>0</v>
      </c>
      <c r="AV57" s="36">
        <f>SUMIFS('свод практик'!$ER$6:$ER$277,'свод практик'!$J$6:$J$277,'свод субъектов ИБ+смежные'!AV$1)</f>
        <v>0</v>
      </c>
      <c r="AW57" s="36">
        <f>SUMIFS('свод практик'!$ER$6:$ER$277,'свод практик'!$J$6:$J$277,'свод субъектов ИБ+смежные'!AW$1)</f>
        <v>0</v>
      </c>
      <c r="AX57" s="36">
        <f>SUMIFS('свод практик'!$ER$6:$ER$277,'свод практик'!$J$6:$J$277,'свод субъектов ИБ+смежные'!AX$1)</f>
        <v>0</v>
      </c>
      <c r="AY57" s="36">
        <f>SUMIFS('свод практик'!$ER$6:$ER$277,'свод практик'!$J$6:$J$277,'свод субъектов ИБ+смежные'!AY$1)</f>
        <v>0</v>
      </c>
      <c r="AZ57" s="36">
        <f>SUMIFS('свод практик'!$ER$6:$ER$277,'свод практик'!$J$6:$J$277,'свод субъектов ИБ+смежные'!AZ$1)</f>
        <v>0</v>
      </c>
      <c r="BA57" s="36">
        <f>SUMIFS('свод практик'!$ER$6:$ER$277,'свод практик'!$J$6:$J$277,'свод субъектов ИБ+смежные'!BA$1)</f>
        <v>0</v>
      </c>
      <c r="BB57" s="36">
        <f>SUMIFS('свод практик'!$ER$6:$ER$277,'свод практик'!$J$6:$J$277,'свод субъектов ИБ+смежные'!BB$1)</f>
        <v>0</v>
      </c>
      <c r="BC57" s="36">
        <f>SUMIFS('свод практик'!$ER$6:$ER$277,'свод практик'!$J$6:$J$277,'свод субъектов ИБ+смежные'!BC$1)</f>
        <v>14</v>
      </c>
      <c r="BD57" s="36">
        <f>SUMIFS('свод практик'!$ER$6:$ER$277,'свод практик'!$J$6:$J$277,'свод субъектов ИБ+смежные'!BD$1)</f>
        <v>0</v>
      </c>
      <c r="BE57" s="36">
        <f>SUMIFS('свод практик'!$ER$6:$ER$277,'свод практик'!$J$6:$J$277,'свод субъектов ИБ+смежные'!BE$1)</f>
        <v>0</v>
      </c>
      <c r="BF57" s="36">
        <f>SUMIFS('свод практик'!$ER$6:$ER$277,'свод практик'!$J$6:$J$277,'свод субъектов ИБ+смежные'!BF$1)</f>
        <v>0</v>
      </c>
      <c r="BG57" s="36">
        <f>SUMIFS('свод практик'!$ER$6:$ER$277,'свод практик'!$J$6:$J$277,'свод субъектов ИБ+смежные'!BG$1)</f>
        <v>42</v>
      </c>
      <c r="BH57" s="36">
        <f>SUMIFS('свод практик'!$ER$6:$ER$277,'свод практик'!$J$6:$J$277,'свод субъектов ИБ+смежные'!BH$1)</f>
        <v>0</v>
      </c>
      <c r="BI57" s="36">
        <f>SUMIFS('свод практик'!$ER$6:$ER$277,'свод практик'!$J$6:$J$277,'свод субъектов ИБ+смежные'!BI$1)</f>
        <v>0</v>
      </c>
      <c r="BJ57" s="36">
        <f>SUMIFS('свод практик'!$ER$6:$ER$277,'свод практик'!$J$6:$J$277,'свод субъектов ИБ+смежные'!BJ$1)</f>
        <v>0</v>
      </c>
      <c r="BK57" s="36">
        <f>SUMIFS('свод практик'!$ER$6:$ER$277,'свод практик'!$J$6:$J$277,'свод субъектов ИБ+смежные'!BK$1)</f>
        <v>0</v>
      </c>
      <c r="BL57" s="36">
        <f>SUMIFS('свод практик'!$ER$6:$ER$277,'свод практик'!$J$6:$J$277,'свод субъектов ИБ+смежные'!BL$1)</f>
        <v>0</v>
      </c>
      <c r="BM57" s="36">
        <f>SUMIFS('свод практик'!$ER$6:$ER$277,'свод практик'!$J$6:$J$277,'свод субъектов ИБ+смежные'!BM$1)</f>
        <v>0</v>
      </c>
      <c r="BN57" s="36">
        <f>SUMIFS('свод практик'!$ER$6:$ER$277,'свод практик'!$J$6:$J$277,'свод субъектов ИБ+смежные'!BN$1)</f>
        <v>0</v>
      </c>
      <c r="BO57" s="36">
        <f>SUMIFS('свод практик'!$ER$6:$ER$277,'свод практик'!$J$6:$J$277,'свод субъектов ИБ+смежные'!BO$1)</f>
        <v>0</v>
      </c>
      <c r="BP57" s="36">
        <f>SUMIFS('свод практик'!$ER$6:$ER$277,'свод практик'!$J$6:$J$277,'свод субъектов ИБ+смежные'!BP$1)</f>
        <v>0</v>
      </c>
      <c r="BQ57" s="36">
        <f>SUMIFS('свод практик'!$ER$6:$ER$277,'свод практик'!$J$6:$J$277,'свод субъектов ИБ+смежные'!BQ$1)</f>
        <v>0</v>
      </c>
      <c r="BR57" s="36">
        <f>SUMIFS('свод практик'!$ER$6:$ER$277,'свод практик'!$J$6:$J$277,'свод субъектов ИБ+смежные'!BR$1)</f>
        <v>0</v>
      </c>
      <c r="BS57" s="36">
        <f>SUMIFS('свод практик'!$ER$6:$ER$277,'свод практик'!$J$6:$J$277,'свод субъектов ИБ+смежные'!BS$1)</f>
        <v>0</v>
      </c>
      <c r="BT57" s="36">
        <f>SUMIFS('свод практик'!$ER$6:$ER$277,'свод практик'!$J$6:$J$277,'свод субъектов ИБ+смежные'!BT$1)</f>
        <v>0</v>
      </c>
      <c r="BU57" s="36">
        <f>SUMIFS('свод практик'!$ER$6:$ER$277,'свод практик'!$J$6:$J$277,'свод субъектов ИБ+смежные'!BU$1)</f>
        <v>14</v>
      </c>
      <c r="BV57" s="36">
        <f>SUMIFS('свод практик'!$ER$6:$ER$277,'свод практик'!$J$6:$J$277,'свод субъектов ИБ+смежные'!BV$1)</f>
        <v>0</v>
      </c>
      <c r="BW57" s="36">
        <f>SUMIFS('свод практик'!$ER$6:$ER$277,'свод практик'!$J$6:$J$277,'свод субъектов ИБ+смежные'!BW$1)</f>
        <v>0</v>
      </c>
      <c r="BX57" s="36">
        <f>SUMIFS('свод практик'!$ER$6:$ER$277,'свод практик'!$J$6:$J$277,'свод субъектов ИБ+смежные'!BX$1)</f>
        <v>15</v>
      </c>
      <c r="BY57" s="36">
        <f>SUMIFS('свод практик'!$ER$6:$ER$277,'свод практик'!$J$6:$J$277,'свод субъектов ИБ+смежные'!BY$1)</f>
        <v>0</v>
      </c>
      <c r="BZ57" s="36">
        <f>SUMIFS('свод практик'!$ER$6:$ER$277,'свод практик'!$J$6:$J$277,'свод субъектов ИБ+смежные'!BZ$1)</f>
        <v>0</v>
      </c>
      <c r="CA57" s="36">
        <f>SUMIFS('свод практик'!$ER$6:$ER$277,'свод практик'!$J$6:$J$277,'свод субъектов ИБ+смежные'!CA$1)</f>
        <v>0</v>
      </c>
      <c r="CB57" s="36">
        <f>SUMIFS('свод практик'!$ER$6:$ER$277,'свод практик'!$J$6:$J$277,'свод субъектов ИБ+смежные'!CB$1)</f>
        <v>0</v>
      </c>
      <c r="CC57" s="36">
        <f>SUMIFS('свод практик'!$ER$6:$ER$277,'свод практик'!$J$6:$J$277,'свод субъектов ИБ+смежные'!CC$1)</f>
        <v>0</v>
      </c>
      <c r="CD57" s="36">
        <f>SUMIFS('свод практик'!$ER$6:$ER$277,'свод практик'!$J$6:$J$277,'свод субъектов ИБ+смежные'!CD$1)</f>
        <v>0</v>
      </c>
      <c r="CE57" s="36">
        <f>SUMIFS('свод практик'!$ER$6:$ER$277,'свод практик'!$J$6:$J$277,'свод субъектов ИБ+смежные'!CE$1)</f>
        <v>0</v>
      </c>
      <c r="CF57" s="36">
        <f>SUMIFS('свод практик'!$ER$6:$ER$277,'свод практик'!$J$6:$J$277,'свод субъектов ИБ+смежные'!CF$1)</f>
        <v>0</v>
      </c>
      <c r="CG57" s="36">
        <f>SUMIFS('свод практик'!$ER$6:$ER$277,'свод практик'!$J$6:$J$277,'свод субъектов ИБ+смежные'!CG$1)</f>
        <v>0</v>
      </c>
      <c r="CH57" s="36">
        <f>SUMIFS('свод практик'!$ER$6:$ER$277,'свод практик'!$J$6:$J$277,'свод субъектов ИБ+смежные'!CH$1)</f>
        <v>2</v>
      </c>
      <c r="CI57" s="36">
        <f>SUMIFS('свод практик'!$ER$6:$ER$277,'свод практик'!$J$6:$J$277,'свод субъектов ИБ+смежные'!CI$1)</f>
        <v>0</v>
      </c>
      <c r="CJ57" s="36">
        <f>SUMIFS('свод практик'!$ER$6:$ER$277,'свод практик'!$J$6:$J$277,'свод субъектов ИБ+смежные'!CJ$1)</f>
        <v>0</v>
      </c>
      <c r="CK57" s="36">
        <f>SUMIFS('свод практик'!$ER$6:$ER$277,'свод практик'!$J$6:$J$277,'свод субъектов ИБ+смежные'!CK$1)</f>
        <v>0</v>
      </c>
      <c r="CL57" s="36">
        <f>SUMIFS('свод практик'!$ER$6:$ER$277,'свод практик'!$J$6:$J$277,'свод субъектов ИБ+смежные'!CL$1)</f>
        <v>8</v>
      </c>
      <c r="CM57" s="36">
        <f>SUMIFS('свод практик'!$ER$6:$ER$277,'свод практик'!$J$6:$J$277,'свод субъектов ИБ+смежные'!CM$1)</f>
        <v>0</v>
      </c>
      <c r="CN57" s="36">
        <f>SUMIFS('свод практик'!$ER$6:$ER$277,'свод практик'!$J$6:$J$277,'свод субъектов ИБ+смежные'!CN$1)</f>
        <v>0</v>
      </c>
      <c r="CO57" s="36">
        <f>SUMIFS('свод практик'!$ER$6:$ER$277,'свод практик'!$J$6:$J$277,'свод субъектов ИБ+смежные'!CO$1)</f>
        <v>0</v>
      </c>
      <c r="CP57" s="36">
        <f>SUMIFS('свод практик'!$ER$6:$ER$277,'свод практик'!$J$6:$J$277,'свод субъектов ИБ+смежные'!CP$1)</f>
        <v>15</v>
      </c>
      <c r="CQ57" s="36">
        <f>SUMIFS('свод практик'!$ER$6:$ER$277,'свод практик'!$J$6:$J$277,'свод субъектов ИБ+смежные'!CQ$1)</f>
        <v>0</v>
      </c>
      <c r="CR57" s="36">
        <f>SUMIFS('свод практик'!$ER$6:$ER$277,'свод практик'!$J$6:$J$277,'свод субъектов ИБ+смежные'!CR$1)</f>
        <v>0</v>
      </c>
      <c r="CS57" s="36">
        <f>SUMIFS('свод практик'!$ER$6:$ER$277,'свод практик'!$J$6:$J$277,'свод субъектов ИБ+смежные'!CS$1)</f>
        <v>24</v>
      </c>
      <c r="CT57" s="36">
        <f>SUMIFS('свод практик'!$ER$6:$ER$277,'свод практик'!$J$6:$J$277,'свод субъектов ИБ+смежные'!CT$1)</f>
        <v>0</v>
      </c>
      <c r="CU57" s="36">
        <f>SUMIFS('свод практик'!$ER$6:$ER$277,'свод практик'!$J$6:$J$277,'свод субъектов ИБ+смежные'!CU$1)</f>
        <v>15</v>
      </c>
      <c r="CV57" s="36">
        <f>SUMIFS('свод практик'!$ER$6:$ER$277,'свод практик'!$J$6:$J$277,'свод субъектов ИБ+смежные'!CV$1)</f>
        <v>0</v>
      </c>
    </row>
    <row r="58" spans="1:100" ht="42">
      <c r="A58" s="756"/>
      <c r="B58" s="15"/>
      <c r="C58" s="740"/>
      <c r="D58" s="42" t="s">
        <v>4949</v>
      </c>
      <c r="E58" s="42">
        <v>31</v>
      </c>
      <c r="F58" s="48" t="s">
        <v>5075</v>
      </c>
      <c r="G58" s="58" t="s">
        <v>5076</v>
      </c>
      <c r="H58" s="45" t="s">
        <v>5035</v>
      </c>
      <c r="I58" s="46" t="s">
        <v>4961</v>
      </c>
      <c r="M58" s="36" t="s">
        <v>5497</v>
      </c>
      <c r="N58" s="36">
        <v>1545240</v>
      </c>
      <c r="O58" s="224">
        <f t="shared" si="20"/>
        <v>524824</v>
      </c>
      <c r="P58" s="36">
        <f>SUMIFS('свод практик'!$EU$6:$EU$277,'свод практик'!$J$6:$J$277,'свод субъектов ИБ+смежные'!P$1)</f>
        <v>11</v>
      </c>
      <c r="Q58" s="36">
        <f>SUMIFS('свод практик'!$EU$6:$EU$277,'свод практик'!$J$6:$J$277,'свод субъектов ИБ+смежные'!Q$1)</f>
        <v>2104</v>
      </c>
      <c r="R58" s="36">
        <f>SUMIFS('свод практик'!$EU$6:$EU$277,'свод практик'!$J$6:$J$277,'свод субъектов ИБ+смежные'!R$1)</f>
        <v>0</v>
      </c>
      <c r="S58" s="36">
        <f>SUMIFS('свод практик'!$EU$6:$EU$277,'свод практик'!$J$6:$J$277,'свод субъектов ИБ+смежные'!S$1)</f>
        <v>0</v>
      </c>
      <c r="T58" s="36">
        <f>SUMIFS('свод практик'!$EU$6:$EU$277,'свод практик'!$J$6:$J$277,'свод субъектов ИБ+смежные'!T$1)</f>
        <v>0</v>
      </c>
      <c r="U58" s="36">
        <f>SUMIFS('свод практик'!$EU$6:$EU$277,'свод практик'!$J$6:$J$277,'свод субъектов ИБ+смежные'!U$1)</f>
        <v>0</v>
      </c>
      <c r="V58" s="36">
        <f>SUMIFS('свод практик'!$EU$6:$EU$277,'свод практик'!$J$6:$J$277,'свод субъектов ИБ+смежные'!V$1)</f>
        <v>0</v>
      </c>
      <c r="W58" s="36">
        <f>SUMIFS('свод практик'!$EU$6:$EU$277,'свод практик'!$J$6:$J$277,'свод субъектов ИБ+смежные'!W$1)</f>
        <v>0</v>
      </c>
      <c r="X58" s="36">
        <f>SUMIFS('свод практик'!$EU$6:$EU$277,'свод практик'!$J$6:$J$277,'свод субъектов ИБ+смежные'!X$1)</f>
        <v>0</v>
      </c>
      <c r="Y58" s="36">
        <f>SUMIFS('свод практик'!$EU$6:$EU$277,'свод практик'!$J$6:$J$277,'свод субъектов ИБ+смежные'!Y$1)</f>
        <v>0</v>
      </c>
      <c r="Z58" s="36">
        <f>SUMIFS('свод практик'!$EU$6:$EU$277,'свод практик'!$J$6:$J$277,'свод субъектов ИБ+смежные'!Z$1)</f>
        <v>88927</v>
      </c>
      <c r="AA58" s="36">
        <f>SUMIFS('свод практик'!$EU$6:$EU$277,'свод практик'!$J$6:$J$277,'свод субъектов ИБ+смежные'!AA$1)</f>
        <v>0</v>
      </c>
      <c r="AB58" s="36">
        <f>SUMIFS('свод практик'!$EU$6:$EU$277,'свод практик'!$J$6:$J$277,'свод субъектов ИБ+смежные'!AB$1)</f>
        <v>46161</v>
      </c>
      <c r="AC58" s="36">
        <f>SUMIFS('свод практик'!$EU$6:$EU$277,'свод практик'!$J$6:$J$277,'свод субъектов ИБ+смежные'!AC$1)</f>
        <v>15</v>
      </c>
      <c r="AD58" s="36">
        <f>SUMIFS('свод практик'!$EU$6:$EU$277,'свод практик'!$J$6:$J$277,'свод субъектов ИБ+смежные'!AD$1)</f>
        <v>0</v>
      </c>
      <c r="AE58" s="36">
        <f>SUMIFS('свод практик'!$EU$6:$EU$277,'свод практик'!$J$6:$J$277,'свод субъектов ИБ+смежные'!AE$1)</f>
        <v>0</v>
      </c>
      <c r="AF58" s="36">
        <f>SUMIFS('свод практик'!$EU$6:$EU$277,'свод практик'!$J$6:$J$277,'свод субъектов ИБ+смежные'!AF$1)</f>
        <v>0</v>
      </c>
      <c r="AG58" s="36">
        <f>SUMIFS('свод практик'!$EU$6:$EU$277,'свод практик'!$J$6:$J$277,'свод субъектов ИБ+смежные'!AG$1)</f>
        <v>0</v>
      </c>
      <c r="AH58" s="36">
        <f>SUMIFS('свод практик'!$EU$6:$EU$277,'свод практик'!$J$6:$J$277,'свод субъектов ИБ+смежные'!AH$1)</f>
        <v>0</v>
      </c>
      <c r="AI58" s="36">
        <f>SUMIFS('свод практик'!$EU$6:$EU$277,'свод практик'!$J$6:$J$277,'свод субъектов ИБ+смежные'!AI$1)</f>
        <v>0</v>
      </c>
      <c r="AJ58" s="36">
        <f>SUMIFS('свод практик'!$EU$6:$EU$277,'свод практик'!$J$6:$J$277,'свод субъектов ИБ+смежные'!AJ$1)</f>
        <v>0</v>
      </c>
      <c r="AK58" s="36">
        <f>SUMIFS('свод практик'!$EU$6:$EU$277,'свод практик'!$J$6:$J$277,'свод субъектов ИБ+смежные'!AK$1)</f>
        <v>0</v>
      </c>
      <c r="AL58" s="36">
        <f>SUMIFS('свод практик'!$EU$6:$EU$277,'свод практик'!$J$6:$J$277,'свод субъектов ИБ+смежные'!AL$1)</f>
        <v>0</v>
      </c>
      <c r="AM58" s="36">
        <f>SUMIFS('свод практик'!$EU$6:$EU$277,'свод практик'!$J$6:$J$277,'свод субъектов ИБ+смежные'!AM$1)</f>
        <v>0</v>
      </c>
      <c r="AN58" s="36">
        <f>SUMIFS('свод практик'!$EU$6:$EU$277,'свод практик'!$J$6:$J$277,'свод субъектов ИБ+смежные'!AN$1)</f>
        <v>0</v>
      </c>
      <c r="AO58" s="36">
        <f>SUMIFS('свод практик'!$EU$6:$EU$277,'свод практик'!$J$6:$J$277,'свод субъектов ИБ+смежные'!AO$1)</f>
        <v>0</v>
      </c>
      <c r="AP58" s="36">
        <f>SUMIFS('свод практик'!$EU$6:$EU$277,'свод практик'!$J$6:$J$277,'свод субъектов ИБ+смежные'!AP$1)</f>
        <v>0</v>
      </c>
      <c r="AQ58" s="36">
        <f>SUMIFS('свод практик'!$EU$6:$EU$277,'свод практик'!$J$6:$J$277,'свод субъектов ИБ+смежные'!AQ$1)</f>
        <v>0</v>
      </c>
      <c r="AR58" s="36">
        <f>SUMIFS('свод практик'!$EU$6:$EU$277,'свод практик'!$J$6:$J$277,'свод субъектов ИБ+смежные'!AR$1)</f>
        <v>0</v>
      </c>
      <c r="AS58" s="36">
        <f>SUMIFS('свод практик'!$EU$6:$EU$277,'свод практик'!$J$6:$J$277,'свод субъектов ИБ+смежные'!AS$1)</f>
        <v>209</v>
      </c>
      <c r="AT58" s="36">
        <f>SUMIFS('свод практик'!$EU$6:$EU$277,'свод практик'!$J$6:$J$277,'свод субъектов ИБ+смежные'!AT$1)</f>
        <v>0</v>
      </c>
      <c r="AU58" s="36">
        <f>SUMIFS('свод практик'!$EU$6:$EU$277,'свод практик'!$J$6:$J$277,'свод субъектов ИБ+смежные'!AU$1)</f>
        <v>0</v>
      </c>
      <c r="AV58" s="36">
        <f>SUMIFS('свод практик'!$EU$6:$EU$277,'свод практик'!$J$6:$J$277,'свод субъектов ИБ+смежные'!AV$1)</f>
        <v>0</v>
      </c>
      <c r="AW58" s="36">
        <f>SUMIFS('свод практик'!$EU$6:$EU$277,'свод практик'!$J$6:$J$277,'свод субъектов ИБ+смежные'!AW$1)</f>
        <v>4</v>
      </c>
      <c r="AX58" s="36">
        <f>SUMIFS('свод практик'!$EU$6:$EU$277,'свод практик'!$J$6:$J$277,'свод субъектов ИБ+смежные'!AX$1)</f>
        <v>16</v>
      </c>
      <c r="AY58" s="36">
        <f>SUMIFS('свод практик'!$EU$6:$EU$277,'свод практик'!$J$6:$J$277,'свод субъектов ИБ+смежные'!AY$1)</f>
        <v>0</v>
      </c>
      <c r="AZ58" s="36">
        <f>SUMIFS('свод практик'!$EU$6:$EU$277,'свод практик'!$J$6:$J$277,'свод субъектов ИБ+смежные'!AZ$1)</f>
        <v>92</v>
      </c>
      <c r="BA58" s="36">
        <f>SUMIFS('свод практик'!$EU$6:$EU$277,'свод практик'!$J$6:$J$277,'свод субъектов ИБ+смежные'!BA$1)</f>
        <v>42</v>
      </c>
      <c r="BB58" s="36">
        <f>SUMIFS('свод практик'!$EU$6:$EU$277,'свод практик'!$J$6:$J$277,'свод субъектов ИБ+смежные'!BB$1)</f>
        <v>0</v>
      </c>
      <c r="BC58" s="36">
        <f>SUMIFS('свод практик'!$EU$6:$EU$277,'свод практик'!$J$6:$J$277,'свод субъектов ИБ+смежные'!BC$1)</f>
        <v>0</v>
      </c>
      <c r="BD58" s="36">
        <f>SUMIFS('свод практик'!$EU$6:$EU$277,'свод практик'!$J$6:$J$277,'свод субъектов ИБ+смежные'!BD$1)</f>
        <v>0</v>
      </c>
      <c r="BE58" s="36">
        <f>SUMIFS('свод практик'!$EU$6:$EU$277,'свод практик'!$J$6:$J$277,'свод субъектов ИБ+смежные'!BE$1)</f>
        <v>0</v>
      </c>
      <c r="BF58" s="36">
        <f>SUMIFS('свод практик'!$EU$6:$EU$277,'свод практик'!$J$6:$J$277,'свод субъектов ИБ+смежные'!BF$1)</f>
        <v>0</v>
      </c>
      <c r="BG58" s="36">
        <f>SUMIFS('свод практик'!$EU$6:$EU$277,'свод практик'!$J$6:$J$277,'свод субъектов ИБ+смежные'!BG$1)</f>
        <v>0</v>
      </c>
      <c r="BH58" s="36">
        <f>SUMIFS('свод практик'!$EU$6:$EU$277,'свод практик'!$J$6:$J$277,'свод субъектов ИБ+смежные'!BH$1)</f>
        <v>0</v>
      </c>
      <c r="BI58" s="36">
        <f>SUMIFS('свод практик'!$EU$6:$EU$277,'свод практик'!$J$6:$J$277,'свод субъектов ИБ+смежные'!BI$1)</f>
        <v>0</v>
      </c>
      <c r="BJ58" s="36">
        <f>SUMIFS('свод практик'!$EU$6:$EU$277,'свод практик'!$J$6:$J$277,'свод субъектов ИБ+смежные'!BJ$1)</f>
        <v>0</v>
      </c>
      <c r="BK58" s="36">
        <f>SUMIFS('свод практик'!$EU$6:$EU$277,'свод практик'!$J$6:$J$277,'свод субъектов ИБ+смежные'!BK$1)</f>
        <v>0</v>
      </c>
      <c r="BL58" s="36">
        <f>SUMIFS('свод практик'!$EU$6:$EU$277,'свод практик'!$J$6:$J$277,'свод субъектов ИБ+смежные'!BL$1)</f>
        <v>27</v>
      </c>
      <c r="BM58" s="36">
        <f>SUMIFS('свод практик'!$EU$6:$EU$277,'свод практик'!$J$6:$J$277,'свод субъектов ИБ+смежные'!BM$1)</f>
        <v>88</v>
      </c>
      <c r="BN58" s="36">
        <f>SUMIFS('свод практик'!$EU$6:$EU$277,'свод практик'!$J$6:$J$277,'свод субъектов ИБ+смежные'!BN$1)</f>
        <v>0</v>
      </c>
      <c r="BO58" s="36">
        <f>SUMIFS('свод практик'!$EU$6:$EU$277,'свод практик'!$J$6:$J$277,'свод субъектов ИБ+смежные'!BO$1)</f>
        <v>4</v>
      </c>
      <c r="BP58" s="36">
        <f>SUMIFS('свод практик'!$EU$6:$EU$277,'свод практик'!$J$6:$J$277,'свод субъектов ИБ+смежные'!BP$1)</f>
        <v>0</v>
      </c>
      <c r="BQ58" s="36">
        <f>SUMIFS('свод практик'!$EU$6:$EU$277,'свод практик'!$J$6:$J$277,'свод субъектов ИБ+смежные'!BQ$1)</f>
        <v>0</v>
      </c>
      <c r="BR58" s="36">
        <f>SUMIFS('свод практик'!$EU$6:$EU$277,'свод практик'!$J$6:$J$277,'свод субъектов ИБ+смежные'!BR$1)</f>
        <v>0</v>
      </c>
      <c r="BS58" s="36">
        <f>SUMIFS('свод практик'!$EU$6:$EU$277,'свод практик'!$J$6:$J$277,'свод субъектов ИБ+смежные'!BS$1)</f>
        <v>0</v>
      </c>
      <c r="BT58" s="36">
        <f>SUMIFS('свод практик'!$EU$6:$EU$277,'свод практик'!$J$6:$J$277,'свод субъектов ИБ+смежные'!BT$1)</f>
        <v>0</v>
      </c>
      <c r="BU58" s="36">
        <f>SUMIFS('свод практик'!$EU$6:$EU$277,'свод практик'!$J$6:$J$277,'свод субъектов ИБ+смежные'!BU$1)</f>
        <v>55972</v>
      </c>
      <c r="BV58" s="36">
        <f>SUMIFS('свод практик'!$EU$6:$EU$277,'свод практик'!$J$6:$J$277,'свод субъектов ИБ+смежные'!BV$1)</f>
        <v>0</v>
      </c>
      <c r="BW58" s="36">
        <f>SUMIFS('свод практик'!$EU$6:$EU$277,'свод практик'!$J$6:$J$277,'свод субъектов ИБ+смежные'!BW$1)</f>
        <v>0</v>
      </c>
      <c r="BX58" s="36">
        <f>SUMIFS('свод практик'!$EU$6:$EU$277,'свод практик'!$J$6:$J$277,'свод субъектов ИБ+смежные'!BX$1)</f>
        <v>0</v>
      </c>
      <c r="BY58" s="36">
        <f>SUMIFS('свод практик'!$EU$6:$EU$277,'свод практик'!$J$6:$J$277,'свод субъектов ИБ+смежные'!BY$1)</f>
        <v>7778</v>
      </c>
      <c r="BZ58" s="36">
        <f>SUMIFS('свод практик'!$EU$6:$EU$277,'свод практик'!$J$6:$J$277,'свод субъектов ИБ+смежные'!BZ$1)</f>
        <v>302516</v>
      </c>
      <c r="CA58" s="36">
        <f>SUMIFS('свод практик'!$EU$6:$EU$277,'свод практик'!$J$6:$J$277,'свод субъектов ИБ+смежные'!CA$1)</f>
        <v>0</v>
      </c>
      <c r="CB58" s="36">
        <f>SUMIFS('свод практик'!$EU$6:$EU$277,'свод практик'!$J$6:$J$277,'свод субъектов ИБ+смежные'!CB$1)</f>
        <v>0</v>
      </c>
      <c r="CC58" s="36">
        <f>SUMIFS('свод практик'!$EU$6:$EU$277,'свод практик'!$J$6:$J$277,'свод субъектов ИБ+смежные'!CC$1)</f>
        <v>0</v>
      </c>
      <c r="CD58" s="36">
        <f>SUMIFS('свод практик'!$EU$6:$EU$277,'свод практик'!$J$6:$J$277,'свод субъектов ИБ+смежные'!CD$1)</f>
        <v>0</v>
      </c>
      <c r="CE58" s="36">
        <f>SUMIFS('свод практик'!$EU$6:$EU$277,'свод практик'!$J$6:$J$277,'свод субъектов ИБ+смежные'!CE$1)</f>
        <v>0</v>
      </c>
      <c r="CF58" s="36">
        <f>SUMIFS('свод практик'!$EU$6:$EU$277,'свод практик'!$J$6:$J$277,'свод субъектов ИБ+смежные'!CF$1)</f>
        <v>106</v>
      </c>
      <c r="CG58" s="36">
        <f>SUMIFS('свод практик'!$EU$6:$EU$277,'свод практик'!$J$6:$J$277,'свод субъектов ИБ+смежные'!CG$1)</f>
        <v>0</v>
      </c>
      <c r="CH58" s="36">
        <f>SUMIFS('свод практик'!$EU$6:$EU$277,'свод практик'!$J$6:$J$277,'свод субъектов ИБ+смежные'!CH$1)</f>
        <v>0</v>
      </c>
      <c r="CI58" s="36">
        <f>SUMIFS('свод практик'!$EU$6:$EU$277,'свод практик'!$J$6:$J$277,'свод субъектов ИБ+смежные'!CI$1)</f>
        <v>0</v>
      </c>
      <c r="CJ58" s="36">
        <f>SUMIFS('свод практик'!$EU$6:$EU$277,'свод практик'!$J$6:$J$277,'свод субъектов ИБ+смежные'!CJ$1)</f>
        <v>0</v>
      </c>
      <c r="CK58" s="36">
        <f>SUMIFS('свод практик'!$EU$6:$EU$277,'свод практик'!$J$6:$J$277,'свод субъектов ИБ+смежные'!CK$1)</f>
        <v>0</v>
      </c>
      <c r="CL58" s="36">
        <f>SUMIFS('свод практик'!$EU$6:$EU$277,'свод практик'!$J$6:$J$277,'свод субъектов ИБ+смежные'!CL$1)</f>
        <v>0</v>
      </c>
      <c r="CM58" s="36">
        <f>SUMIFS('свод практик'!$EU$6:$EU$277,'свод практик'!$J$6:$J$277,'свод субъектов ИБ+смежные'!CM$1)</f>
        <v>0</v>
      </c>
      <c r="CN58" s="36">
        <f>SUMIFS('свод практик'!$EU$6:$EU$277,'свод практик'!$J$6:$J$277,'свод субъектов ИБ+смежные'!CN$1)</f>
        <v>15</v>
      </c>
      <c r="CO58" s="36">
        <f>SUMIFS('свод практик'!$EU$6:$EU$277,'свод практик'!$J$6:$J$277,'свод субъектов ИБ+смежные'!CO$1)</f>
        <v>0</v>
      </c>
      <c r="CP58" s="36">
        <f>SUMIFS('свод практик'!$EU$6:$EU$277,'свод практик'!$J$6:$J$277,'свод субъектов ИБ+смежные'!CP$1)</f>
        <v>19711</v>
      </c>
      <c r="CQ58" s="36">
        <f>SUMIFS('свод практик'!$EU$6:$EU$277,'свод практик'!$J$6:$J$277,'свод субъектов ИБ+смежные'!CQ$1)</f>
        <v>0</v>
      </c>
      <c r="CR58" s="36">
        <f>SUMIFS('свод практик'!$EU$6:$EU$277,'свод практик'!$J$6:$J$277,'свод субъектов ИБ+смежные'!CR$1)</f>
        <v>0</v>
      </c>
      <c r="CS58" s="36">
        <f>SUMIFS('свод практик'!$EU$6:$EU$277,'свод практик'!$J$6:$J$277,'свод субъектов ИБ+смежные'!CS$1)</f>
        <v>15</v>
      </c>
      <c r="CT58" s="36">
        <f>SUMIFS('свод практик'!$EU$6:$EU$277,'свод практик'!$J$6:$J$277,'свод субъектов ИБ+смежные'!CT$1)</f>
        <v>0</v>
      </c>
      <c r="CU58" s="36">
        <f>SUMIFS('свод практик'!$EU$6:$EU$277,'свод практик'!$J$6:$J$277,'свод субъектов ИБ+смежные'!CU$1)</f>
        <v>1011</v>
      </c>
      <c r="CV58" s="36">
        <f>SUMIFS('свод практик'!$EU$6:$EU$277,'свод практик'!$J$6:$J$277,'свод субъектов ИБ+смежные'!CV$1)</f>
        <v>0</v>
      </c>
    </row>
    <row r="59" spans="1:100" ht="29" thickBot="1">
      <c r="A59" s="757"/>
      <c r="B59" s="13" t="s">
        <v>4947</v>
      </c>
      <c r="C59" s="741"/>
      <c r="D59" s="49" t="s">
        <v>4949</v>
      </c>
      <c r="E59" s="49">
        <v>32</v>
      </c>
      <c r="F59" s="50" t="s">
        <v>5077</v>
      </c>
      <c r="G59" s="60" t="s">
        <v>5078</v>
      </c>
      <c r="H59" s="52" t="s">
        <v>5035</v>
      </c>
      <c r="I59" s="53" t="s">
        <v>4956</v>
      </c>
      <c r="M59" s="36" t="s">
        <v>5497</v>
      </c>
      <c r="N59" s="36">
        <v>4816875</v>
      </c>
      <c r="O59" s="224">
        <f>SUM(O52:O58)</f>
        <v>3100940.6</v>
      </c>
    </row>
    <row r="60" spans="1:100" ht="63.5" customHeight="1">
      <c r="A60" s="748" t="s">
        <v>5079</v>
      </c>
      <c r="B60" s="16" t="s">
        <v>4990</v>
      </c>
      <c r="C60" s="745" t="s">
        <v>5080</v>
      </c>
      <c r="D60" s="64" t="s">
        <v>4949</v>
      </c>
      <c r="E60" s="64">
        <v>25</v>
      </c>
      <c r="F60" s="80" t="s">
        <v>5081</v>
      </c>
      <c r="G60" s="81" t="s">
        <v>5260</v>
      </c>
      <c r="H60" s="67" t="s">
        <v>5082</v>
      </c>
      <c r="I60" s="68" t="s">
        <v>4961</v>
      </c>
      <c r="L60" s="36" t="s">
        <v>278</v>
      </c>
      <c r="M60" s="36">
        <v>14501.733461</v>
      </c>
      <c r="N60" s="36">
        <v>19314.295638039996</v>
      </c>
      <c r="O60" s="227">
        <f>SUM(P60:CV60)</f>
        <v>24064.186236270001</v>
      </c>
      <c r="P60" s="36">
        <f>SUMIFS('свод практик'!$AH$6:$AH$277,'свод практик'!$J$6:$J$277,'свод субъектов ИБ+смежные'!P$1)</f>
        <v>7.1660000000000004</v>
      </c>
      <c r="Q60" s="36">
        <f>SUMIFS('свод практик'!$AH$6:$AH$277,'свод практик'!$J$6:$J$277,'свод субъектов ИБ+смежные'!Q$1)</f>
        <v>75.972264600000003</v>
      </c>
      <c r="R60" s="36">
        <f>SUMIFS('свод практик'!$AH$6:$AH$277,'свод практик'!$J$6:$J$277,'свод субъектов ИБ+смежные'!R$1)</f>
        <v>174.2</v>
      </c>
      <c r="S60" s="36">
        <f>SUMIFS('свод практик'!$AH$6:$AH$277,'свод практик'!$J$6:$J$277,'свод субъектов ИБ+смежные'!S$1)</f>
        <v>89.622</v>
      </c>
      <c r="T60" s="36">
        <f>SUMIFS('свод практик'!$AH$6:$AH$277,'свод практик'!$J$6:$J$277,'свод субъектов ИБ+смежные'!T$1)</f>
        <v>56.37</v>
      </c>
      <c r="U60" s="36">
        <f>SUMIFS('свод практик'!$AH$6:$AH$277,'свод практик'!$J$6:$J$277,'свод субъектов ИБ+смежные'!U$1)</f>
        <v>1.5</v>
      </c>
      <c r="V60" s="36">
        <f>SUMIFS('свод практик'!$AH$6:$AH$277,'свод практик'!$J$6:$J$277,'свод субъектов ИБ+смежные'!V$1)</f>
        <v>3152.8980000000006</v>
      </c>
      <c r="W60" s="36">
        <f>SUMIFS('свод практик'!$AH$6:$AH$277,'свод практик'!$J$6:$J$277,'свод субъектов ИБ+смежные'!W$1)</f>
        <v>107.84000000000002</v>
      </c>
      <c r="X60" s="36">
        <f>SUMIFS('свод практик'!$AH$6:$AH$277,'свод практик'!$J$6:$J$277,'свод субъектов ИБ+смежные'!X$1)</f>
        <v>109</v>
      </c>
      <c r="Y60" s="36">
        <f>SUMIFS('свод практик'!$AH$6:$AH$277,'свод практик'!$J$6:$J$277,'свод субъектов ИБ+смежные'!Y$1)</f>
        <v>60</v>
      </c>
      <c r="Z60" s="36">
        <f>SUMIFS('свод практик'!$AH$6:$AH$277,'свод практик'!$J$6:$J$277,'свод субъектов ИБ+смежные'!Z$1)</f>
        <v>713.37100000000009</v>
      </c>
      <c r="AA60" s="36">
        <f>SUMIFS('свод практик'!$AH$6:$AH$277,'свод практик'!$J$6:$J$277,'свод субъектов ИБ+смежные'!AA$1)</f>
        <v>114.42100000000001</v>
      </c>
      <c r="AB60" s="36">
        <f>SUMIFS('свод практик'!$AH$6:$AH$277,'свод практик'!$J$6:$J$277,'свод субъектов ИБ+смежные'!AB$1)</f>
        <v>250.86599999999999</v>
      </c>
      <c r="AC60" s="36">
        <f>SUMIFS('свод практик'!$AH$6:$AH$277,'свод практик'!$J$6:$J$277,'свод субъектов ИБ+смежные'!AC$1)</f>
        <v>292.09700000000004</v>
      </c>
      <c r="AD60" s="160">
        <f>SUMIFS('свод практик'!$AH$6:$AH$277,'свод практик'!$J$6:$J$277,'свод субъектов ИБ+смежные'!AD$1)</f>
        <v>0</v>
      </c>
      <c r="AE60" s="160">
        <f>SUMIFS('свод практик'!$AH$6:$AH$277,'свод практик'!$J$6:$J$277,'свод субъектов ИБ+смежные'!AE$1)</f>
        <v>0</v>
      </c>
      <c r="AF60" s="36">
        <f>SUMIFS('свод практик'!$AH$6:$AH$277,'свод практик'!$J$6:$J$277,'свод субъектов ИБ+смежные'!AF$1)</f>
        <v>25.139099999999999</v>
      </c>
      <c r="AG60" s="160">
        <f>SUMIFS('свод практик'!$AH$6:$AH$277,'свод практик'!$J$6:$J$277,'свод субъектов ИБ+смежные'!AG$1)</f>
        <v>0</v>
      </c>
      <c r="AH60" s="160">
        <f>SUMIFS('свод практик'!$AH$6:$AH$277,'свод практик'!$J$6:$J$277,'свод субъектов ИБ+смежные'!AH$1)</f>
        <v>0</v>
      </c>
      <c r="AI60" s="36">
        <f>SUMIFS('свод практик'!$AH$6:$AH$277,'свод практик'!$J$6:$J$277,'свод субъектов ИБ+смежные'!AI$1)</f>
        <v>749.3</v>
      </c>
      <c r="AJ60" s="36">
        <f>SUMIFS('свод практик'!$AH$6:$AH$277,'свод практик'!$J$6:$J$277,'свод субъектов ИБ+смежные'!AJ$1)</f>
        <v>2</v>
      </c>
      <c r="AK60" s="36">
        <f>SUMIFS('свод практик'!$AH$6:$AH$277,'свод практик'!$J$6:$J$277,'свод субъектов ИБ+смежные'!AK$1)</f>
        <v>1785.4797060400001</v>
      </c>
      <c r="AL60" s="36">
        <f>SUMIFS('свод практик'!$AH$6:$AH$277,'свод практик'!$J$6:$J$277,'свод субъектов ИБ+смежные'!AL$1)</f>
        <v>7.5031929999999996</v>
      </c>
      <c r="AM60" s="36">
        <f>SUMIFS('свод практик'!$AH$6:$AH$277,'свод практик'!$J$6:$J$277,'свод субъектов ИБ+смежные'!AM$1)</f>
        <v>165.15105754999996</v>
      </c>
      <c r="AN60" s="160">
        <f>SUMIFS('свод практик'!$AH$6:$AH$277,'свод практик'!$J$6:$J$277,'свод субъектов ИБ+смежные'!AN$1)</f>
        <v>0</v>
      </c>
      <c r="AO60" s="160">
        <f>SUMIFS('свод практик'!$AH$6:$AH$277,'свод практик'!$J$6:$J$277,'свод субъектов ИБ+смежные'!AO$1)</f>
        <v>0</v>
      </c>
      <c r="AP60" s="36">
        <f>SUMIFS('свод практик'!$AH$6:$AH$277,'свод практик'!$J$6:$J$277,'свод субъектов ИБ+смежные'!AP$1)</f>
        <v>120.6</v>
      </c>
      <c r="AQ60" s="36">
        <f>SUMIFS('свод практик'!$AH$6:$AH$277,'свод практик'!$J$6:$J$277,'свод субъектов ИБ+смежные'!AQ$1)</f>
        <v>122.5</v>
      </c>
      <c r="AR60" s="36">
        <f>SUMIFS('свод практик'!$AH$6:$AH$277,'свод практик'!$J$6:$J$277,'свод субъектов ИБ+смежные'!AR$1)</f>
        <v>421.1</v>
      </c>
      <c r="AS60" s="36">
        <f>SUMIFS('свод практик'!$AH$6:$AH$277,'свод практик'!$J$6:$J$277,'свод субъектов ИБ+смежные'!AS$1)</f>
        <v>118.242</v>
      </c>
      <c r="AT60" s="36">
        <f>SUMIFS('свод практик'!$AH$6:$AH$277,'свод практик'!$J$6:$J$277,'свод субъектов ИБ+смежные'!AT$1)</f>
        <v>505.03300000000002</v>
      </c>
      <c r="AU60" s="36">
        <f>SUMIFS('свод практик'!$AH$6:$AH$277,'свод практик'!$J$6:$J$277,'свод субъектов ИБ+смежные'!AU$1)</f>
        <v>71.393000000000001</v>
      </c>
      <c r="AV60" s="36">
        <f>SUMIFS('свод практик'!$AH$6:$AH$277,'свод практик'!$J$6:$J$277,'свод субъектов ИБ+смежные'!AV$1)</f>
        <v>154.29</v>
      </c>
      <c r="AW60" s="36">
        <f>SUMIFS('свод практик'!$AH$6:$AH$277,'свод практик'!$J$6:$J$277,'свод субъектов ИБ+смежные'!AW$1)</f>
        <v>296.682795</v>
      </c>
      <c r="AX60" s="36">
        <f>SUMIFS('свод практик'!$AH$6:$AH$277,'свод практик'!$J$6:$J$277,'свод субъектов ИБ+смежные'!AX$1)</f>
        <v>566.93900499999995</v>
      </c>
      <c r="AY60" s="160">
        <f>SUMIFS('свод практик'!$AH$6:$AH$277,'свод практик'!$J$6:$J$277,'свод субъектов ИБ+смежные'!AY$1)</f>
        <v>0</v>
      </c>
      <c r="AZ60" s="36">
        <f>SUMIFS('свод практик'!$AH$6:$AH$277,'свод практик'!$J$6:$J$277,'свод субъектов ИБ+смежные'!AZ$1)</f>
        <v>557.14700000000005</v>
      </c>
      <c r="BA60" s="36">
        <f>SUMIFS('свод практик'!$AH$6:$AH$277,'свод практик'!$J$6:$J$277,'свод субъектов ИБ+смежные'!BA$1)</f>
        <v>82.561000000000007</v>
      </c>
      <c r="BB60" s="160">
        <f>SUMIFS('свод практик'!$AH$6:$AH$277,'свод практик'!$J$6:$J$277,'свод субъектов ИБ+смежные'!BB$1)</f>
        <v>0</v>
      </c>
      <c r="BC60" s="36">
        <f>SUMIFS('свод практик'!$AH$6:$AH$277,'свод практик'!$J$6:$J$277,'свод субъектов ИБ+смежные'!BC$1)</f>
        <v>32.349815</v>
      </c>
      <c r="BD60" s="160">
        <f>SUMIFS('свод практик'!$AH$6:$AH$277,'свод практик'!$J$6:$J$277,'свод субъектов ИБ+смежные'!BD$1)</f>
        <v>0</v>
      </c>
      <c r="BE60" s="160">
        <f>SUMIFS('свод практик'!$AH$6:$AH$277,'свод практик'!$J$6:$J$277,'свод субъектов ИБ+смежные'!BE$1)</f>
        <v>0</v>
      </c>
      <c r="BF60" s="36">
        <f>SUMIFS('свод практик'!$AH$6:$AH$277,'свод практик'!$J$6:$J$277,'свод субъектов ИБ+смежные'!BF$1)</f>
        <v>7.91</v>
      </c>
      <c r="BG60" s="36">
        <f>SUMIFS('свод практик'!$AH$6:$AH$277,'свод практик'!$J$6:$J$277,'свод субъектов ИБ+смежные'!BG$1)</f>
        <v>37.264000000000003</v>
      </c>
      <c r="BH60" s="36">
        <f>SUMIFS('свод практик'!$AH$6:$AH$277,'свод практик'!$J$6:$J$277,'свод субъектов ИБ+смежные'!BH$1)</f>
        <v>23.282</v>
      </c>
      <c r="BI60" s="36">
        <f>SUMIFS('свод практик'!$AH$6:$AH$277,'свод практик'!$J$6:$J$277,'свод субъектов ИБ+смежные'!BI$1)</f>
        <v>695.43399999999997</v>
      </c>
      <c r="BJ60" s="36">
        <f>SUMIFS('свод практик'!$AH$6:$AH$277,'свод практик'!$J$6:$J$277,'свод субъектов ИБ+смежные'!BJ$1)</f>
        <v>569.02570000000003</v>
      </c>
      <c r="BK60" s="36">
        <f>SUMIFS('свод практик'!$AH$6:$AH$277,'свод практик'!$J$6:$J$277,'свод субъектов ИБ+смежные'!BK$1)</f>
        <v>157.6</v>
      </c>
      <c r="BL60" s="36">
        <f>SUMIFS('свод практик'!$AH$6:$AH$277,'свод практик'!$J$6:$J$277,'свод субъектов ИБ+смежные'!BL$1)</f>
        <v>70.174999999999997</v>
      </c>
      <c r="BM60" s="36">
        <f>SUMIFS('свод практик'!$AH$6:$AH$277,'свод практик'!$J$6:$J$277,'свод субъектов ИБ+смежные'!BM$1)</f>
        <v>115.15290000000002</v>
      </c>
      <c r="BN60" s="36">
        <f>SUMIFS('свод практик'!$AH$6:$AH$277,'свод практик'!$J$6:$J$277,'свод субъектов ИБ+смежные'!BN$1)</f>
        <v>25.093000000000004</v>
      </c>
      <c r="BO60" s="36">
        <f>SUMIFS('свод практик'!$AH$6:$AH$277,'свод практик'!$J$6:$J$277,'свод субъектов ИБ+смежные'!BO$1)</f>
        <v>520.50199999999995</v>
      </c>
      <c r="BP60" s="36">
        <f>SUMIFS('свод практик'!$AH$6:$AH$277,'свод практик'!$J$6:$J$277,'свод субъектов ИБ+смежные'!BP$1)</f>
        <v>130.24469318000001</v>
      </c>
      <c r="BQ60" s="160">
        <f>SUMIFS('свод практик'!$AH$6:$AH$277,'свод практик'!$J$6:$J$277,'свод субъектов ИБ+смежные'!BQ$1)</f>
        <v>0</v>
      </c>
      <c r="BR60" s="36">
        <f>SUMIFS('свод практик'!$AH$6:$AH$277,'свод практик'!$J$6:$J$277,'свод субъектов ИБ+смежные'!BR$1)</f>
        <v>4.5960000000000001</v>
      </c>
      <c r="BS60" s="36">
        <f>SUMIFS('свод практик'!$AH$6:$AH$277,'свод практик'!$J$6:$J$277,'свод субъектов ИБ+смежные'!BS$1)</f>
        <v>11.481</v>
      </c>
      <c r="BT60" s="36">
        <f>SUMIFS('свод практик'!$AH$6:$AH$277,'свод практик'!$J$6:$J$277,'свод субъектов ИБ+смежные'!BT$1)</f>
        <v>209.964</v>
      </c>
      <c r="BU60" s="36">
        <f>SUMIFS('свод практик'!$AH$6:$AH$277,'свод практик'!$J$6:$J$277,'свод субъектов ИБ+смежные'!BU$1)</f>
        <v>275.24652000000003</v>
      </c>
      <c r="BV60" s="36">
        <f>SUMIFS('свод практик'!$AH$6:$AH$277,'свод практик'!$J$6:$J$277,'свод субъектов ИБ+смежные'!BV$1)</f>
        <v>181.49923999999999</v>
      </c>
      <c r="BW60" s="36">
        <f>SUMIFS('свод практик'!$AH$6:$AH$277,'свод практик'!$J$6:$J$277,'свод субъектов ИБ+смежные'!BW$1)</f>
        <v>108.22629999999999</v>
      </c>
      <c r="BX60" s="36">
        <f>SUMIFS('свод практик'!$AH$6:$AH$277,'свод практик'!$J$6:$J$277,'свод субъектов ИБ+смежные'!BX$1)</f>
        <v>807.07</v>
      </c>
      <c r="BY60" s="36">
        <f>SUMIFS('свод практик'!$AH$6:$AH$277,'свод практик'!$J$6:$J$277,'свод субъектов ИБ+смежные'!BY$1)</f>
        <v>861.8</v>
      </c>
      <c r="BZ60" s="36">
        <f>SUMIFS('свод практик'!$AH$6:$AH$277,'свод практик'!$J$6:$J$277,'свод субъектов ИБ+смежные'!BZ$1)</f>
        <v>2144.3282199999999</v>
      </c>
      <c r="CA60" s="160">
        <f>SUMIFS('свод практик'!$AH$6:$AH$277,'свод практик'!$J$6:$J$277,'свод субъектов ИБ+смежные'!CA$1)</f>
        <v>0</v>
      </c>
      <c r="CB60" s="160">
        <f>SUMIFS('свод практик'!$AH$6:$AH$277,'свод практик'!$J$6:$J$277,'свод субъектов ИБ+смежные'!CB$1)</f>
        <v>0</v>
      </c>
      <c r="CC60" s="36">
        <f>SUMIFS('свод практик'!$AH$6:$AH$277,'свод практик'!$J$6:$J$277,'свод субъектов ИБ+смежные'!CC$1)</f>
        <v>0.82</v>
      </c>
      <c r="CD60" s="36">
        <f>SUMIFS('свод практик'!$AH$6:$AH$277,'свод практик'!$J$6:$J$277,'свод субъектов ИБ+смежные'!CD$1)</f>
        <v>648.57600000000002</v>
      </c>
      <c r="CE60" s="36">
        <f>SUMIFS('свод практик'!$AH$6:$AH$277,'свод практик'!$J$6:$J$277,'свод субъектов ИБ+смежные'!CE$1)</f>
        <v>138.25299999999999</v>
      </c>
      <c r="CF60" s="36">
        <f>SUMIFS('свод практик'!$AH$6:$AH$277,'свод практик'!$J$6:$J$277,'свод субъектов ИБ+смежные'!CF$1)</f>
        <v>1346.653</v>
      </c>
      <c r="CG60" s="36">
        <f>SUMIFS('свод практик'!$AH$6:$AH$277,'свод практик'!$J$6:$J$277,'свод субъектов ИБ+смежные'!CG$1)</f>
        <v>224.2</v>
      </c>
      <c r="CH60" s="36">
        <f>SUMIFS('свод практик'!$AH$6:$AH$277,'свод практик'!$J$6:$J$277,'свод субъектов ИБ+смежные'!CH$1)</f>
        <v>53.965803960000002</v>
      </c>
      <c r="CI60" s="36">
        <f>SUMIFS('свод практик'!$AH$6:$AH$277,'свод практик'!$J$6:$J$277,'свод субъектов ИБ+смежные'!CI$1)</f>
        <v>698</v>
      </c>
      <c r="CJ60" s="160">
        <f>SUMIFS('свод практик'!$AH$6:$AH$277,'свод практик'!$J$6:$J$277,'свод субъектов ИБ+смежные'!CJ$1)</f>
        <v>0</v>
      </c>
      <c r="CK60" s="36">
        <f>SUMIFS('свод практик'!$AH$6:$AH$277,'свод практик'!$J$6:$J$277,'свод субъектов ИБ+смежные'!CK$1)</f>
        <v>434.75899999999996</v>
      </c>
      <c r="CL60" s="36">
        <f>SUMIFS('свод практик'!$AH$6:$AH$277,'свод практик'!$J$6:$J$277,'свод субъектов ИБ+смежные'!CL$1)</f>
        <v>92.413395099999988</v>
      </c>
      <c r="CM60" s="36">
        <f>SUMIFS('свод практик'!$AH$6:$AH$277,'свод практик'!$J$6:$J$277,'свод субъектов ИБ+смежные'!CM$1)</f>
        <v>192.56953250000004</v>
      </c>
      <c r="CN60" s="36">
        <f>SUMIFS('свод практик'!$AH$6:$AH$277,'свод практик'!$J$6:$J$277,'свод субъектов ИБ+смежные'!CN$1)</f>
        <v>200.36500000000001</v>
      </c>
      <c r="CO60" s="160">
        <f>SUMIFS('свод практик'!$AH$6:$AH$277,'свод практик'!$J$6:$J$277,'свод субъектов ИБ+смежные'!CO$1)</f>
        <v>0</v>
      </c>
      <c r="CP60" s="36">
        <f>SUMIFS('свод практик'!$AH$6:$AH$277,'свод практик'!$J$6:$J$277,'свод субъектов ИБ+смежные'!CP$1)</f>
        <v>783.28999534000013</v>
      </c>
      <c r="CQ60" s="36">
        <f>SUMIFS('свод практик'!$AH$6:$AH$277,'свод практик'!$J$6:$J$277,'свод субъектов ИБ+смежные'!CQ$1)</f>
        <v>17.8</v>
      </c>
      <c r="CR60" s="160">
        <f>SUMIFS('свод практик'!$AH$6:$AH$277,'свод практик'!$J$6:$J$277,'свод субъектов ИБ+смежные'!CR$1)</f>
        <v>0</v>
      </c>
      <c r="CS60" s="36">
        <f>SUMIFS('свод практик'!$AH$6:$AH$277,'свод практик'!$J$6:$J$277,'свод субъектов ИБ+смежные'!CS$1)</f>
        <v>446.73699999999997</v>
      </c>
      <c r="CT60" s="36">
        <f>SUMIFS('свод практик'!$AH$6:$AH$277,'свод практик'!$J$6:$J$277,'свод субъектов ИБ+смежные'!CT$1)</f>
        <v>26.66</v>
      </c>
      <c r="CU60" s="36">
        <f>SUMIFS('свод практик'!$AH$6:$AH$277,'свод практик'!$J$6:$J$277,'свод субъектов ИБ+смежные'!CU$1)</f>
        <v>74.995999999999981</v>
      </c>
      <c r="CV60" s="36">
        <f>SUMIFS('свод практик'!$AH$6:$AH$277,'свод практик'!$J$6:$J$277,'свод субъектов ИБ+смежные'!CV$1)</f>
        <v>739.5</v>
      </c>
    </row>
    <row r="61" spans="1:100" ht="56">
      <c r="A61" s="749"/>
      <c r="B61" s="17"/>
      <c r="C61" s="746"/>
      <c r="D61" s="64" t="s">
        <v>4949</v>
      </c>
      <c r="E61" s="64">
        <v>26</v>
      </c>
      <c r="F61" s="65" t="s">
        <v>5083</v>
      </c>
      <c r="G61" s="58" t="s">
        <v>5261</v>
      </c>
      <c r="H61" s="45" t="s">
        <v>5082</v>
      </c>
      <c r="I61" s="46" t="s">
        <v>4961</v>
      </c>
      <c r="L61" s="36" t="s">
        <v>278</v>
      </c>
      <c r="M61" s="36" t="s">
        <v>5497</v>
      </c>
      <c r="N61" s="36">
        <v>18568.369938039999</v>
      </c>
      <c r="O61" s="689">
        <f>SUM(P61:CV61)</f>
        <v>23130.056435779999</v>
      </c>
      <c r="P61" s="36">
        <f>SUMIFS('свод практик'!$AH$6:$AH$277,'свод практик'!$G$6:$G$277,"суб",'свод практик'!$J$6:$J$277,'свод субъектов ИБ+смежные'!P$1)</f>
        <v>7.1660000000000004</v>
      </c>
      <c r="Q61" s="36">
        <f>SUMIFS('свод практик'!$AH$6:$AH$277,'свод практик'!$G$6:$G$277,"суб",'свод практик'!$J$6:$J$277,'свод субъектов ИБ+смежные'!Q$1)</f>
        <v>75.972264600000003</v>
      </c>
      <c r="R61" s="36">
        <f>SUMIFS('свод практик'!$AH$6:$AH$277,'свод практик'!$G$6:$G$277,"суб",'свод практик'!$J$6:$J$277,'свод субъектов ИБ+смежные'!R$1)</f>
        <v>174.2</v>
      </c>
      <c r="S61" s="36">
        <f>SUMIFS('свод практик'!$AH$6:$AH$277,'свод практик'!$G$6:$G$277,"суб",'свод практик'!$J$6:$J$277,'свод субъектов ИБ+смежные'!S$1)</f>
        <v>89.622</v>
      </c>
      <c r="T61" s="36">
        <f>SUMIFS('свод практик'!$AH$6:$AH$277,'свод практик'!$G$6:$G$277,"суб",'свод практик'!$J$6:$J$277,'свод субъектов ИБ+смежные'!T$1)</f>
        <v>50.37</v>
      </c>
      <c r="U61" s="36">
        <f>SUMIFS('свод практик'!$AH$6:$AH$277,'свод практик'!$G$6:$G$277,"суб",'свод практик'!$J$6:$J$277,'свод субъектов ИБ+смежные'!U$1)</f>
        <v>1.2</v>
      </c>
      <c r="V61" s="36">
        <f>SUMIFS('свод практик'!$AH$6:$AH$277,'свод практик'!$G$6:$G$277,"суб",'свод практик'!$J$6:$J$277,'свод субъектов ИБ+смежные'!V$1)</f>
        <v>3142.93</v>
      </c>
      <c r="W61" s="36">
        <f>SUMIFS('свод практик'!$AH$6:$AH$277,'свод практик'!$G$6:$G$277,"суб",'свод практик'!$J$6:$J$277,'свод субъектов ИБ+смежные'!W$1)</f>
        <v>11.665000000000001</v>
      </c>
      <c r="X61" s="36">
        <f>SUMIFS('свод практик'!$AH$6:$AH$277,'свод практик'!$G$6:$G$277,"суб",'свод практик'!$J$6:$J$277,'свод субъектов ИБ+смежные'!X$1)</f>
        <v>109</v>
      </c>
      <c r="Y61" s="36">
        <f>SUMIFS('свод практик'!$AH$6:$AH$277,'свод практик'!$G$6:$G$277,"суб",'свод практик'!$J$6:$J$277,'свод субъектов ИБ+смежные'!Y$1)</f>
        <v>60</v>
      </c>
      <c r="Z61" s="36">
        <f>SUMIFS('свод практик'!$AH$6:$AH$277,'свод практик'!$G$6:$G$277,"суб",'свод практик'!$J$6:$J$277,'свод субъектов ИБ+смежные'!Z$1)</f>
        <v>713.37100000000009</v>
      </c>
      <c r="AA61" s="36">
        <f>SUMIFS('свод практик'!$AH$6:$AH$277,'свод практик'!$G$6:$G$277,"суб",'свод практик'!$J$6:$J$277,'свод субъектов ИБ+смежные'!AA$1)</f>
        <v>114.42100000000001</v>
      </c>
      <c r="AB61" s="36">
        <f>SUMIFS('свод практик'!$AH$6:$AH$277,'свод практик'!$G$6:$G$277,"суб",'свод практик'!$J$6:$J$277,'свод субъектов ИБ+смежные'!AB$1)</f>
        <v>171.38</v>
      </c>
      <c r="AC61" s="36">
        <f>SUMIFS('свод практик'!$AH$6:$AH$277,'свод практик'!$G$6:$G$277,"суб",'свод практик'!$J$6:$J$277,'свод субъектов ИБ+смежные'!AC$1)</f>
        <v>292.09700000000004</v>
      </c>
      <c r="AD61" s="160">
        <f>SUMIFS('свод практик'!$AH$6:$AH$277,'свод практик'!$G$6:$G$277,"суб",'свод практик'!$J$6:$J$277,'свод субъектов ИБ+смежные'!AD$1)</f>
        <v>0</v>
      </c>
      <c r="AE61" s="160">
        <f>SUMIFS('свод практик'!$AH$6:$AH$277,'свод практик'!$G$6:$G$277,"суб",'свод практик'!$J$6:$J$277,'свод субъектов ИБ+смежные'!AE$1)</f>
        <v>0</v>
      </c>
      <c r="AF61" s="36">
        <f>SUMIFS('свод практик'!$AH$6:$AH$277,'свод практик'!$G$6:$G$277,"суб",'свод практик'!$J$6:$J$277,'свод субъектов ИБ+смежные'!AF$1)</f>
        <v>25.139099999999999</v>
      </c>
      <c r="AG61" s="160">
        <f>SUMIFS('свод практик'!$AH$6:$AH$277,'свод практик'!$G$6:$G$277,"суб",'свод практик'!$J$6:$J$277,'свод субъектов ИБ+смежные'!AG$1)</f>
        <v>0</v>
      </c>
      <c r="AH61" s="160">
        <f>SUMIFS('свод практик'!$AH$6:$AH$277,'свод практик'!$G$6:$G$277,"суб",'свод практик'!$J$6:$J$277,'свод субъектов ИБ+смежные'!AH$1)</f>
        <v>0</v>
      </c>
      <c r="AI61" s="36">
        <f>SUMIFS('свод практик'!$AH$6:$AH$277,'свод практик'!$G$6:$G$277,"суб",'свод практик'!$J$6:$J$277,'свод субъектов ИБ+смежные'!AI$1)</f>
        <v>749.3</v>
      </c>
      <c r="AJ61" s="36">
        <f>SUMIFS('свод практик'!$AH$6:$AH$277,'свод практик'!$G$6:$G$277,"суб",'свод практик'!$J$6:$J$277,'свод субъектов ИБ+смежные'!AJ$1)</f>
        <v>0</v>
      </c>
      <c r="AK61" s="36">
        <f>SUMIFS('свод практик'!$AH$6:$AH$277,'свод практик'!$G$6:$G$277,"суб",'свод практик'!$J$6:$J$277,'свод субъектов ИБ+смежные'!AK$1)</f>
        <v>1785.4797060400001</v>
      </c>
      <c r="AL61" s="36">
        <f>SUMIFS('свод практик'!$AH$6:$AH$277,'свод практик'!$G$6:$G$277,"суб",'свод практик'!$J$6:$J$277,'свод субъектов ИБ+смежные'!AL$1)</f>
        <v>7.5031929999999996</v>
      </c>
      <c r="AM61" s="36">
        <f>SUMIFS('свод практик'!$AH$6:$AH$277,'свод практик'!$G$6:$G$277,"суб",'свод практик'!$J$6:$J$277,'свод субъектов ИБ+смежные'!AM$1)</f>
        <v>138.15299999999999</v>
      </c>
      <c r="AN61" s="160">
        <f>SUMIFS('свод практик'!$AH$6:$AH$277,'свод практик'!$G$6:$G$277,"суб",'свод практик'!$J$6:$J$277,'свод субъектов ИБ+смежные'!AN$1)</f>
        <v>0</v>
      </c>
      <c r="AO61" s="160">
        <f>SUMIFS('свод практик'!$AH$6:$AH$277,'свод практик'!$G$6:$G$277,"суб",'свод практик'!$J$6:$J$277,'свод субъектов ИБ+смежные'!AO$1)</f>
        <v>0</v>
      </c>
      <c r="AP61" s="36">
        <f>SUMIFS('свод практик'!$AH$6:$AH$277,'свод практик'!$G$6:$G$277,"суб",'свод практик'!$J$6:$J$277,'свод субъектов ИБ+смежные'!AP$1)</f>
        <v>120.6</v>
      </c>
      <c r="AQ61" s="36">
        <f>SUMIFS('свод практик'!$AH$6:$AH$277,'свод практик'!$G$6:$G$277,"суб",'свод практик'!$J$6:$J$277,'свод субъектов ИБ+смежные'!AQ$1)</f>
        <v>122.5</v>
      </c>
      <c r="AR61" s="36">
        <f>SUMIFS('свод практик'!$AH$6:$AH$277,'свод практик'!$G$6:$G$277,"суб",'свод практик'!$J$6:$J$277,'свод субъектов ИБ+смежные'!AR$1)</f>
        <v>421.1</v>
      </c>
      <c r="AS61" s="36">
        <f>SUMIFS('свод практик'!$AH$6:$AH$277,'свод практик'!$G$6:$G$277,"суб",'свод практик'!$J$6:$J$277,'свод субъектов ИБ+смежные'!AS$1)</f>
        <v>118.242</v>
      </c>
      <c r="AT61" s="36">
        <f>SUMIFS('свод практик'!$AH$6:$AH$277,'свод практик'!$G$6:$G$277,"суб",'свод практик'!$J$6:$J$277,'свод субъектов ИБ+смежные'!AT$1)</f>
        <v>505.03300000000002</v>
      </c>
      <c r="AU61" s="36">
        <f>SUMIFS('свод практик'!$AH$6:$AH$277,'свод практик'!$G$6:$G$277,"суб",'свод практик'!$J$6:$J$277,'свод субъектов ИБ+смежные'!AU$1)</f>
        <v>0</v>
      </c>
      <c r="AV61" s="36">
        <f>SUMIFS('свод практик'!$AH$6:$AH$277,'свод практик'!$G$6:$G$277,"суб",'свод практик'!$J$6:$J$277,'свод субъектов ИБ+смежные'!AV$1)</f>
        <v>120.3</v>
      </c>
      <c r="AW61" s="36">
        <f>SUMIFS('свод практик'!$AH$6:$AH$277,'свод практик'!$G$6:$G$277,"суб",'свод практик'!$J$6:$J$277,'свод субъектов ИБ+смежные'!AW$1)</f>
        <v>296.682795</v>
      </c>
      <c r="AX61" s="36">
        <f>SUMIFS('свод практик'!$AH$6:$AH$277,'свод практик'!$G$6:$G$277,"суб",'свод практик'!$J$6:$J$277,'свод субъектов ИБ+смежные'!AX$1)</f>
        <v>566.93900499999995</v>
      </c>
      <c r="AY61" s="160">
        <f>SUMIFS('свод практик'!$AH$6:$AH$277,'свод практик'!$G$6:$G$277,"суб",'свод практик'!$J$6:$J$277,'свод субъектов ИБ+смежные'!AY$1)</f>
        <v>0</v>
      </c>
      <c r="AZ61" s="36">
        <f>SUMIFS('свод практик'!$AH$6:$AH$277,'свод практик'!$G$6:$G$277,"суб",'свод практик'!$J$6:$J$277,'свод субъектов ИБ+смежные'!AZ$1)</f>
        <v>546.54700000000003</v>
      </c>
      <c r="BA61" s="36">
        <f>SUMIFS('свод практик'!$AH$6:$AH$277,'свод практик'!$G$6:$G$277,"суб",'свод практик'!$J$6:$J$277,'свод субъектов ИБ+смежные'!BA$1)</f>
        <v>82.561000000000007</v>
      </c>
      <c r="BB61" s="160">
        <f>SUMIFS('свод практик'!$AH$6:$AH$277,'свод практик'!$G$6:$G$277,"суб",'свод практик'!$J$6:$J$277,'свод субъектов ИБ+смежные'!BB$1)</f>
        <v>0</v>
      </c>
      <c r="BC61" s="36">
        <f>SUMIFS('свод практик'!$AH$6:$AH$277,'свод практик'!$G$6:$G$277,"суб",'свод практик'!$J$6:$J$277,'свод субъектов ИБ+смежные'!BC$1)</f>
        <v>32.349815</v>
      </c>
      <c r="BD61" s="160">
        <f>SUMIFS('свод практик'!$AH$6:$AH$277,'свод практик'!$G$6:$G$277,"суб",'свод практик'!$J$6:$J$277,'свод субъектов ИБ+смежные'!BD$1)</f>
        <v>0</v>
      </c>
      <c r="BE61" s="160">
        <f>SUMIFS('свод практик'!$AH$6:$AH$277,'свод практик'!$G$6:$G$277,"суб",'свод практик'!$J$6:$J$277,'свод субъектов ИБ+смежные'!BE$1)</f>
        <v>0</v>
      </c>
      <c r="BF61" s="36">
        <f>SUMIFS('свод практик'!$AH$6:$AH$277,'свод практик'!$G$6:$G$277,"суб",'свод практик'!$J$6:$J$277,'свод субъектов ИБ+смежные'!BF$1)</f>
        <v>0</v>
      </c>
      <c r="BG61" s="36">
        <f>SUMIFS('свод практик'!$AH$6:$AH$277,'свод практик'!$G$6:$G$277,"суб",'свод практик'!$J$6:$J$277,'свод субъектов ИБ+смежные'!BG$1)</f>
        <v>37.264000000000003</v>
      </c>
      <c r="BH61" s="36">
        <f>SUMIFS('свод практик'!$AH$6:$AH$277,'свод практик'!$G$6:$G$277,"суб",'свод практик'!$J$6:$J$277,'свод субъектов ИБ+смежные'!BH$1)</f>
        <v>23.282</v>
      </c>
      <c r="BI61" s="36">
        <f>SUMIFS('свод практик'!$AH$6:$AH$277,'свод практик'!$G$6:$G$277,"суб",'свод практик'!$J$6:$J$277,'свод субъектов ИБ+смежные'!BI$1)</f>
        <v>695.43399999999997</v>
      </c>
      <c r="BJ61" s="36">
        <f>SUMIFS('свод практик'!$AH$6:$AH$277,'свод практик'!$G$6:$G$277,"суб",'свод практик'!$J$6:$J$277,'свод субъектов ИБ+смежные'!BJ$1)</f>
        <v>569.02570000000003</v>
      </c>
      <c r="BK61" s="36">
        <f>SUMIFS('свод практик'!$AH$6:$AH$277,'свод практик'!$G$6:$G$277,"суб",'свод практик'!$J$6:$J$277,'свод субъектов ИБ+смежные'!BK$1)</f>
        <v>157.6</v>
      </c>
      <c r="BL61" s="36">
        <f>SUMIFS('свод практик'!$AH$6:$AH$277,'свод практик'!$G$6:$G$277,"суб",'свод практик'!$J$6:$J$277,'свод субъектов ИБ+смежные'!BL$1)</f>
        <v>0</v>
      </c>
      <c r="BM61" s="36">
        <f>SUMIFS('свод практик'!$AH$6:$AH$277,'свод практик'!$G$6:$G$277,"суб",'свод практик'!$J$6:$J$277,'свод субъектов ИБ+смежные'!BM$1)</f>
        <v>101.6</v>
      </c>
      <c r="BN61" s="36">
        <f>SUMIFS('свод практик'!$AH$6:$AH$277,'свод практик'!$G$6:$G$277,"суб",'свод практик'!$J$6:$J$277,'свод субъектов ИБ+смежные'!BN$1)</f>
        <v>25.093000000000004</v>
      </c>
      <c r="BO61" s="36">
        <f>SUMIFS('свод практик'!$AH$6:$AH$277,'свод практик'!$G$6:$G$277,"суб",'свод практик'!$J$6:$J$277,'свод субъектов ИБ+смежные'!BO$1)</f>
        <v>486.9</v>
      </c>
      <c r="BP61" s="36">
        <f>SUMIFS('свод практик'!$AH$6:$AH$277,'свод практик'!$G$6:$G$277,"суб",'свод практик'!$J$6:$J$277,'свод субъектов ИБ+смежные'!BP$1)</f>
        <v>130.24469318000001</v>
      </c>
      <c r="BQ61" s="160">
        <f>SUMIFS('свод практик'!$AH$6:$AH$277,'свод практик'!$G$6:$G$277,"суб",'свод практик'!$J$6:$J$277,'свод субъектов ИБ+смежные'!BQ$1)</f>
        <v>0</v>
      </c>
      <c r="BR61" s="36">
        <f>SUMIFS('свод практик'!$AH$6:$AH$277,'свод практик'!$G$6:$G$277,"суб",'свод практик'!$J$6:$J$277,'свод субъектов ИБ+смежные'!BR$1)</f>
        <v>4.5960000000000001</v>
      </c>
      <c r="BS61" s="36">
        <f>SUMIFS('свод практик'!$AH$6:$AH$277,'свод практик'!$G$6:$G$277,"суб",'свод практик'!$J$6:$J$277,'свод субъектов ИБ+смежные'!BS$1)</f>
        <v>0</v>
      </c>
      <c r="BT61" s="36">
        <f>SUMIFS('свод практик'!$AH$6:$AH$277,'свод практик'!$G$6:$G$277,"суб",'свод практик'!$J$6:$J$277,'свод субъектов ИБ+смежные'!BT$1)</f>
        <v>209.964</v>
      </c>
      <c r="BU61" s="36">
        <f>SUMIFS('свод практик'!$AH$6:$AH$277,'свод практик'!$G$6:$G$277,"суб",'свод практик'!$J$6:$J$277,'свод субъектов ИБ+смежные'!BU$1)</f>
        <v>229.72200000000001</v>
      </c>
      <c r="BV61" s="36">
        <f>SUMIFS('свод практик'!$AH$6:$AH$277,'свод практик'!$G$6:$G$277,"суб",'свод практик'!$J$6:$J$277,'свод субъектов ИБ+смежные'!BV$1)</f>
        <v>181.49923999999999</v>
      </c>
      <c r="BW61" s="36">
        <f>SUMIFS('свод практик'!$AH$6:$AH$277,'свод практик'!$G$6:$G$277,"суб",'свод практик'!$J$6:$J$277,'свод субъектов ИБ+смежные'!BW$1)</f>
        <v>108.22629999999999</v>
      </c>
      <c r="BX61" s="36">
        <f>SUMIFS('свод практик'!$AH$6:$AH$277,'свод практик'!$G$6:$G$277,"суб",'свод практик'!$J$6:$J$277,'свод субъектов ИБ+смежные'!BX$1)</f>
        <v>807.07</v>
      </c>
      <c r="BY61" s="36">
        <f>SUMIFS('свод практик'!$AH$6:$AH$277,'свод практик'!$G$6:$G$277,"суб",'свод практик'!$J$6:$J$277,'свод субъектов ИБ+смежные'!BY$1)</f>
        <v>861.8</v>
      </c>
      <c r="BZ61" s="36">
        <f>SUMIFS('свод практик'!$AH$6:$AH$277,'свод практик'!$G$6:$G$277,"суб",'свод практик'!$J$6:$J$277,'свод субъектов ИБ+смежные'!BZ$1)</f>
        <v>2068.4142200000001</v>
      </c>
      <c r="CA61" s="160">
        <f>SUMIFS('свод практик'!$AH$6:$AH$277,'свод практик'!$G$6:$G$277,"суб",'свод практик'!$J$6:$J$277,'свод субъектов ИБ+смежные'!CA$1)</f>
        <v>0</v>
      </c>
      <c r="CB61" s="160">
        <f>SUMIFS('свод практик'!$AH$6:$AH$277,'свод практик'!$G$6:$G$277,"суб",'свод практик'!$J$6:$J$277,'свод субъектов ИБ+смежные'!CB$1)</f>
        <v>0</v>
      </c>
      <c r="CC61" s="36">
        <f>SUMIFS('свод практик'!$AH$6:$AH$277,'свод практик'!$G$6:$G$277,"суб",'свод практик'!$J$6:$J$277,'свод субъектов ИБ+смежные'!CC$1)</f>
        <v>0.82</v>
      </c>
      <c r="CD61" s="36">
        <f>SUMIFS('свод практик'!$AH$6:$AH$277,'свод практик'!$G$6:$G$277,"суб",'свод практик'!$J$6:$J$277,'свод субъектов ИБ+смежные'!CD$1)</f>
        <v>644.96</v>
      </c>
      <c r="CE61" s="36">
        <f>SUMIFS('свод практик'!$AH$6:$AH$277,'свод практик'!$G$6:$G$277,"суб",'свод практик'!$J$6:$J$277,'свод субъектов ИБ+смежные'!CE$1)</f>
        <v>138.25299999999999</v>
      </c>
      <c r="CF61" s="36">
        <f>SUMIFS('свод практик'!$AH$6:$AH$277,'свод практик'!$G$6:$G$277,"суб",'свод практик'!$J$6:$J$277,'свод субъектов ИБ+смежные'!CF$1)</f>
        <v>1346.653</v>
      </c>
      <c r="CG61" s="36">
        <f>SUMIFS('свод практик'!$AH$6:$AH$277,'свод практик'!$G$6:$G$277,"суб",'свод практик'!$J$6:$J$277,'свод субъектов ИБ+смежные'!CG$1)</f>
        <v>224.2</v>
      </c>
      <c r="CH61" s="36">
        <f>SUMIFS('свод практик'!$AH$6:$AH$277,'свод практик'!$G$6:$G$277,"суб",'свод практик'!$J$6:$J$277,'свод субъектов ИБ+смежные'!CH$1)</f>
        <v>53.965803960000002</v>
      </c>
      <c r="CI61" s="36">
        <f>SUMIFS('свод практик'!$AH$6:$AH$277,'свод практик'!$G$6:$G$277,"суб",'свод практик'!$J$6:$J$277,'свод субъектов ИБ+смежные'!CI$1)</f>
        <v>698</v>
      </c>
      <c r="CJ61" s="160">
        <f>SUMIFS('свод практик'!$AH$6:$AH$277,'свод практик'!$G$6:$G$277,"суб",'свод практик'!$J$6:$J$277,'свод субъектов ИБ+смежные'!CJ$1)</f>
        <v>0</v>
      </c>
      <c r="CK61" s="36">
        <f>SUMIFS('свод практик'!$AH$6:$AH$277,'свод практик'!$G$6:$G$277,"суб",'свод практик'!$J$6:$J$277,'свод субъектов ИБ+смежные'!CK$1)</f>
        <v>434.75899999999996</v>
      </c>
      <c r="CL61" s="36">
        <f>SUMIFS('свод практик'!$AH$6:$AH$277,'свод практик'!$G$6:$G$277,"суб",'свод практик'!$J$6:$J$277,'свод субъектов ИБ+смежные'!CL$1)</f>
        <v>76.08</v>
      </c>
      <c r="CM61" s="36">
        <f>SUMIFS('свод практик'!$AH$6:$AH$277,'свод практик'!$G$6:$G$277,"суб",'свод практик'!$J$6:$J$277,'свод субъектов ИБ+смежные'!CM$1)</f>
        <v>146.9</v>
      </c>
      <c r="CN61" s="36">
        <f>SUMIFS('свод практик'!$AH$6:$AH$277,'свод практик'!$G$6:$G$277,"суб",'свод практик'!$J$6:$J$277,'свод субъектов ИБ+смежные'!CN$1)</f>
        <v>200.36500000000001</v>
      </c>
      <c r="CO61" s="160">
        <f>SUMIFS('свод практик'!$AH$6:$AH$277,'свод практик'!$G$6:$G$277,"суб",'свод практик'!$J$6:$J$277,'свод субъектов ИБ+смежные'!CO$1)</f>
        <v>0</v>
      </c>
      <c r="CP61" s="36">
        <f>SUMIFS('свод практик'!$AH$6:$AH$277,'свод практик'!$G$6:$G$277,"суб",'свод практик'!$J$6:$J$277,'свод субъектов ИБ+смежные'!CP$1)</f>
        <v>613.16959999999995</v>
      </c>
      <c r="CQ61" s="36">
        <f>SUMIFS('свод практик'!$AH$6:$AH$277,'свод практик'!$G$6:$G$277,"суб",'свод практик'!$J$6:$J$277,'свод субъектов ИБ+смежные'!CQ$1)</f>
        <v>0</v>
      </c>
      <c r="CR61" s="160">
        <f>SUMIFS('свод практик'!$AH$6:$AH$277,'свод практик'!$G$6:$G$277,"суб",'свод практик'!$J$6:$J$277,'свод субъектов ИБ+смежные'!CR$1)</f>
        <v>0</v>
      </c>
      <c r="CS61" s="36">
        <f>SUMIFS('свод практик'!$AH$6:$AH$277,'свод практик'!$G$6:$G$277,"суб",'свод практик'!$J$6:$J$277,'свод субъектов ИБ+смежные'!CS$1)</f>
        <v>436.21199999999999</v>
      </c>
      <c r="CT61" s="36">
        <f>SUMIFS('свод практик'!$AH$6:$AH$277,'свод практик'!$G$6:$G$277,"суб",'свод практик'!$J$6:$J$277,'свод субъектов ИБ+смежные'!CT$1)</f>
        <v>26.66</v>
      </c>
      <c r="CU61" s="36">
        <f>SUMIFS('свод практик'!$AH$6:$AH$277,'свод практик'!$G$6:$G$277,"суб",'свод практик'!$J$6:$J$277,'свод субъектов ИБ+смежные'!CU$1)</f>
        <v>0</v>
      </c>
      <c r="CV61" s="36">
        <f>SUMIFS('свод практик'!$AH$6:$AH$277,'свод практик'!$G$6:$G$277,"суб",'свод практик'!$J$6:$J$277,'свод субъектов ИБ+смежные'!CV$1)</f>
        <v>739.5</v>
      </c>
    </row>
    <row r="62" spans="1:100" ht="57" thickBot="1">
      <c r="A62" s="750"/>
      <c r="B62" s="14"/>
      <c r="C62" s="747"/>
      <c r="D62" s="64" t="s">
        <v>4949</v>
      </c>
      <c r="E62" s="64">
        <v>27</v>
      </c>
      <c r="F62" s="65" t="s">
        <v>5084</v>
      </c>
      <c r="G62" s="78" t="s">
        <v>5262</v>
      </c>
      <c r="H62" s="79" t="s">
        <v>5082</v>
      </c>
      <c r="I62" s="46" t="s">
        <v>4961</v>
      </c>
      <c r="M62" s="36" t="s">
        <v>5497</v>
      </c>
      <c r="N62" s="36">
        <v>745.92569999999989</v>
      </c>
      <c r="O62" s="224">
        <f>SUM(P62:CV62)</f>
        <v>934.12980049000009</v>
      </c>
      <c r="P62" s="36">
        <f>SUMIFS('свод практик'!$AH$6:$AH$277,'свод практик'!$H$6:$H$277,"мун",'свод практик'!$J$6:$J$277,'свод субъектов ИБ+смежные'!P$1)</f>
        <v>0</v>
      </c>
      <c r="Q62" s="36">
        <f>SUMIFS('свод практик'!$AH$6:$AH$277,'свод практик'!$H$6:$H$277,"мун",'свод практик'!$J$6:$J$277,'свод субъектов ИБ+смежные'!Q$1)</f>
        <v>0</v>
      </c>
      <c r="R62" s="36">
        <f>SUMIFS('свод практик'!$AH$6:$AH$277,'свод практик'!$H$6:$H$277,"мун",'свод практик'!$J$6:$J$277,'свод субъектов ИБ+смежные'!R$1)</f>
        <v>0</v>
      </c>
      <c r="S62" s="36">
        <f>SUMIFS('свод практик'!$AH$6:$AH$277,'свод практик'!$H$6:$H$277,"мун",'свод практик'!$J$6:$J$277,'свод субъектов ИБ+смежные'!S$1)</f>
        <v>0</v>
      </c>
      <c r="T62" s="36">
        <f>SUMIFS('свод практик'!$AH$6:$AH$277,'свод практик'!$H$6:$H$277,"мун",'свод практик'!$J$6:$J$277,'свод субъектов ИБ+смежные'!T$1)</f>
        <v>6</v>
      </c>
      <c r="U62" s="36">
        <f>SUMIFS('свод практик'!$AH$6:$AH$277,'свод практик'!$H$6:$H$277,"мун",'свод практик'!$J$6:$J$277,'свод субъектов ИБ+смежные'!U$1)</f>
        <v>0.3</v>
      </c>
      <c r="V62" s="36">
        <f>SUMIFS('свод практик'!$AH$6:$AH$277,'свод практик'!$H$6:$H$277,"мун",'свод практик'!$J$6:$J$277,'свод субъектов ИБ+смежные'!V$1)</f>
        <v>9.968</v>
      </c>
      <c r="W62" s="36">
        <f>SUMIFS('свод практик'!$AH$6:$AH$277,'свод практик'!$H$6:$H$277,"мун",'свод практик'!$J$6:$J$277,'свод субъектов ИБ+смежные'!W$1)</f>
        <v>96.175000000000011</v>
      </c>
      <c r="X62" s="36">
        <f>SUMIFS('свод практик'!$AH$6:$AH$277,'свод практик'!$H$6:$H$277,"мун",'свод практик'!$J$6:$J$277,'свод субъектов ИБ+смежные'!X$1)</f>
        <v>0</v>
      </c>
      <c r="Y62" s="36">
        <f>SUMIFS('свод практик'!$AH$6:$AH$277,'свод практик'!$H$6:$H$277,"мун",'свод практик'!$J$6:$J$277,'свод субъектов ИБ+смежные'!Y$1)</f>
        <v>0</v>
      </c>
      <c r="Z62" s="36">
        <f>SUMIFS('свод практик'!$AH$6:$AH$277,'свод практик'!$H$6:$H$277,"мун",'свод практик'!$J$6:$J$277,'свод субъектов ИБ+смежные'!Z$1)</f>
        <v>0</v>
      </c>
      <c r="AA62" s="36">
        <f>SUMIFS('свод практик'!$AH$6:$AH$277,'свод практик'!$H$6:$H$277,"мун",'свод практик'!$J$6:$J$277,'свод субъектов ИБ+смежные'!AA$1)</f>
        <v>0</v>
      </c>
      <c r="AB62" s="36">
        <f>SUMIFS('свод практик'!$AH$6:$AH$277,'свод практик'!$H$6:$H$277,"мун",'свод практик'!$J$6:$J$277,'свод субъектов ИБ+смежные'!AB$1)</f>
        <v>79.486000000000004</v>
      </c>
      <c r="AC62" s="36">
        <f>SUMIFS('свод практик'!$AH$6:$AH$277,'свод практик'!$H$6:$H$277,"мун",'свод практик'!$J$6:$J$277,'свод субъектов ИБ+смежные'!AC$1)</f>
        <v>0</v>
      </c>
      <c r="AD62" s="160">
        <f>SUMIFS('свод практик'!$AH$6:$AH$277,'свод практик'!$H$6:$H$277,"мун",'свод практик'!$J$6:$J$277,'свод субъектов ИБ+смежные'!AD$1)</f>
        <v>0</v>
      </c>
      <c r="AE62" s="160">
        <f>SUMIFS('свод практик'!$AH$6:$AH$277,'свод практик'!$H$6:$H$277,"мун",'свод практик'!$J$6:$J$277,'свод субъектов ИБ+смежные'!AE$1)</f>
        <v>0</v>
      </c>
      <c r="AF62" s="36">
        <f>SUMIFS('свод практик'!$AH$6:$AH$277,'свод практик'!$H$6:$H$277,"мун",'свод практик'!$J$6:$J$277,'свод субъектов ИБ+смежные'!AF$1)</f>
        <v>0</v>
      </c>
      <c r="AG62" s="160">
        <f>SUMIFS('свод практик'!$AH$6:$AH$277,'свод практик'!$H$6:$H$277,"мун",'свод практик'!$J$6:$J$277,'свод субъектов ИБ+смежные'!AG$1)</f>
        <v>0</v>
      </c>
      <c r="AH62" s="160">
        <f>SUMIFS('свод практик'!$AH$6:$AH$277,'свод практик'!$H$6:$H$277,"мун",'свод практик'!$J$6:$J$277,'свод субъектов ИБ+смежные'!AH$1)</f>
        <v>0</v>
      </c>
      <c r="AI62" s="36">
        <f>SUMIFS('свод практик'!$AH$6:$AH$277,'свод практик'!$H$6:$H$277,"мун",'свод практик'!$J$6:$J$277,'свод субъектов ИБ+смежные'!AI$1)</f>
        <v>0</v>
      </c>
      <c r="AJ62" s="36">
        <f>SUMIFS('свод практик'!$AH$6:$AH$277,'свод практик'!$H$6:$H$277,"мун",'свод практик'!$J$6:$J$277,'свод субъектов ИБ+смежные'!AJ$1)</f>
        <v>2</v>
      </c>
      <c r="AK62" s="36">
        <f>SUMIFS('свод практик'!$AH$6:$AH$277,'свод практик'!$H$6:$H$277,"мун",'свод практик'!$J$6:$J$277,'свод субъектов ИБ+смежные'!AK$1)</f>
        <v>0</v>
      </c>
      <c r="AL62" s="36">
        <f>SUMIFS('свод практик'!$AH$6:$AH$277,'свод практик'!$H$6:$H$277,"мун",'свод практик'!$J$6:$J$277,'свод субъектов ИБ+смежные'!AL$1)</f>
        <v>0</v>
      </c>
      <c r="AM62" s="36">
        <f>SUMIFS('свод практик'!$AH$6:$AH$277,'свод практик'!$H$6:$H$277,"мун",'свод практик'!$J$6:$J$277,'свод субъектов ИБ+смежные'!AM$1)</f>
        <v>26.998057549999999</v>
      </c>
      <c r="AN62" s="160">
        <f>SUMIFS('свод практик'!$AH$6:$AH$277,'свод практик'!$H$6:$H$277,"мун",'свод практик'!$J$6:$J$277,'свод субъектов ИБ+смежные'!AN$1)</f>
        <v>0</v>
      </c>
      <c r="AO62" s="160">
        <f>SUMIFS('свод практик'!$AH$6:$AH$277,'свод практик'!$H$6:$H$277,"мун",'свод практик'!$J$6:$J$277,'свод субъектов ИБ+смежные'!AO$1)</f>
        <v>0</v>
      </c>
      <c r="AP62" s="36">
        <f>SUMIFS('свод практик'!$AH$6:$AH$277,'свод практик'!$H$6:$H$277,"мун",'свод практик'!$J$6:$J$277,'свод субъектов ИБ+смежные'!AP$1)</f>
        <v>0</v>
      </c>
      <c r="AQ62" s="36">
        <f>SUMIFS('свод практик'!$AH$6:$AH$277,'свод практик'!$H$6:$H$277,"мун",'свод практик'!$J$6:$J$277,'свод субъектов ИБ+смежные'!AQ$1)</f>
        <v>0</v>
      </c>
      <c r="AR62" s="36">
        <f>SUMIFS('свод практик'!$AH$6:$AH$277,'свод практик'!$H$6:$H$277,"мун",'свод практик'!$J$6:$J$277,'свод субъектов ИБ+смежные'!AR$1)</f>
        <v>0</v>
      </c>
      <c r="AS62" s="36">
        <f>SUMIFS('свод практик'!$AH$6:$AH$277,'свод практик'!$H$6:$H$277,"мун",'свод практик'!$J$6:$J$277,'свод субъектов ИБ+смежные'!AS$1)</f>
        <v>0</v>
      </c>
      <c r="AT62" s="36">
        <f>SUMIFS('свод практик'!$AH$6:$AH$277,'свод практик'!$H$6:$H$277,"мун",'свод практик'!$J$6:$J$277,'свод субъектов ИБ+смежные'!AT$1)</f>
        <v>0</v>
      </c>
      <c r="AU62" s="36">
        <f>SUMIFS('свод практик'!$AH$6:$AH$277,'свод практик'!$H$6:$H$277,"мун",'свод практик'!$J$6:$J$277,'свод субъектов ИБ+смежные'!AU$1)</f>
        <v>71.393000000000001</v>
      </c>
      <c r="AV62" s="36">
        <f>SUMIFS('свод практик'!$AH$6:$AH$277,'свод практик'!$H$6:$H$277,"мун",'свод практик'!$J$6:$J$277,'свод субъектов ИБ+смежные'!AV$1)</f>
        <v>33.99</v>
      </c>
      <c r="AW62" s="36">
        <f>SUMIFS('свод практик'!$AH$6:$AH$277,'свод практик'!$H$6:$H$277,"мун",'свод практик'!$J$6:$J$277,'свод субъектов ИБ+смежные'!AW$1)</f>
        <v>0</v>
      </c>
      <c r="AX62" s="36">
        <f>SUMIFS('свод практик'!$AH$6:$AH$277,'свод практик'!$H$6:$H$277,"мун",'свод практик'!$J$6:$J$277,'свод субъектов ИБ+смежные'!AX$1)</f>
        <v>0</v>
      </c>
      <c r="AY62" s="160">
        <f>SUMIFS('свод практик'!$AH$6:$AH$277,'свод практик'!$H$6:$H$277,"мун",'свод практик'!$J$6:$J$277,'свод субъектов ИБ+смежные'!AY$1)</f>
        <v>0</v>
      </c>
      <c r="AZ62" s="36">
        <f>SUMIFS('свод практик'!$AH$6:$AH$277,'свод практик'!$H$6:$H$277,"мун",'свод практик'!$J$6:$J$277,'свод субъектов ИБ+смежные'!AZ$1)</f>
        <v>10.6</v>
      </c>
      <c r="BA62" s="36">
        <f>SUMIFS('свод практик'!$AH$6:$AH$277,'свод практик'!$H$6:$H$277,"мун",'свод практик'!$J$6:$J$277,'свод субъектов ИБ+смежные'!BA$1)</f>
        <v>0</v>
      </c>
      <c r="BB62" s="160">
        <f>SUMIFS('свод практик'!$AH$6:$AH$277,'свод практик'!$H$6:$H$277,"мун",'свод практик'!$J$6:$J$277,'свод субъектов ИБ+смежные'!BB$1)</f>
        <v>0</v>
      </c>
      <c r="BC62" s="36">
        <f>SUMIFS('свод практик'!$AH$6:$AH$277,'свод практик'!$H$6:$H$277,"мун",'свод практик'!$J$6:$J$277,'свод субъектов ИБ+смежные'!BC$1)</f>
        <v>0</v>
      </c>
      <c r="BD62" s="160">
        <f>SUMIFS('свод практик'!$AH$6:$AH$277,'свод практик'!$H$6:$H$277,"мун",'свод практик'!$J$6:$J$277,'свод субъектов ИБ+смежные'!BD$1)</f>
        <v>0</v>
      </c>
      <c r="BE62" s="160">
        <f>SUMIFS('свод практик'!$AH$6:$AH$277,'свод практик'!$H$6:$H$277,"мун",'свод практик'!$J$6:$J$277,'свод субъектов ИБ+смежные'!BE$1)</f>
        <v>0</v>
      </c>
      <c r="BF62" s="36">
        <f>SUMIFS('свод практик'!$AH$6:$AH$277,'свод практик'!$H$6:$H$277,"мун",'свод практик'!$J$6:$J$277,'свод субъектов ИБ+смежные'!BF$1)</f>
        <v>7.91</v>
      </c>
      <c r="BG62" s="36">
        <f>SUMIFS('свод практик'!$AH$6:$AH$277,'свод практик'!$H$6:$H$277,"мун",'свод практик'!$J$6:$J$277,'свод субъектов ИБ+смежные'!BG$1)</f>
        <v>0</v>
      </c>
      <c r="BH62" s="36">
        <f>SUMIFS('свод практик'!$AH$6:$AH$277,'свод практик'!$H$6:$H$277,"мун",'свод практик'!$J$6:$J$277,'свод субъектов ИБ+смежные'!BH$1)</f>
        <v>0</v>
      </c>
      <c r="BI62" s="36">
        <f>SUMIFS('свод практик'!$AH$6:$AH$277,'свод практик'!$H$6:$H$277,"мун",'свод практик'!$J$6:$J$277,'свод субъектов ИБ+смежные'!BI$1)</f>
        <v>0</v>
      </c>
      <c r="BJ62" s="36">
        <f>SUMIFS('свод практик'!$AH$6:$AH$277,'свод практик'!$H$6:$H$277,"мун",'свод практик'!$J$6:$J$277,'свод субъектов ИБ+смежные'!BJ$1)</f>
        <v>0</v>
      </c>
      <c r="BK62" s="36">
        <f>SUMIFS('свод практик'!$AH$6:$AH$277,'свод практик'!$H$6:$H$277,"мун",'свод практик'!$J$6:$J$277,'свод субъектов ИБ+смежные'!BK$1)</f>
        <v>0</v>
      </c>
      <c r="BL62" s="36">
        <f>SUMIFS('свод практик'!$AH$6:$AH$277,'свод практик'!$H$6:$H$277,"мун",'свод практик'!$J$6:$J$277,'свод субъектов ИБ+смежные'!BL$1)</f>
        <v>70.174999999999997</v>
      </c>
      <c r="BM62" s="36">
        <f>SUMIFS('свод практик'!$AH$6:$AH$277,'свод практик'!$H$6:$H$277,"мун",'свод практик'!$J$6:$J$277,'свод субъектов ИБ+смежные'!BM$1)</f>
        <v>13.552899999999999</v>
      </c>
      <c r="BN62" s="36">
        <f>SUMIFS('свод практик'!$AH$6:$AH$277,'свод практик'!$H$6:$H$277,"мун",'свод практик'!$J$6:$J$277,'свод субъектов ИБ+смежные'!BN$1)</f>
        <v>0</v>
      </c>
      <c r="BO62" s="36">
        <f>SUMIFS('свод практик'!$AH$6:$AH$277,'свод практик'!$H$6:$H$277,"мун",'свод практик'!$J$6:$J$277,'свод субъектов ИБ+смежные'!BO$1)</f>
        <v>33.601999999999997</v>
      </c>
      <c r="BP62" s="36">
        <f>SUMIFS('свод практик'!$AH$6:$AH$277,'свод практик'!$H$6:$H$277,"мун",'свод практик'!$J$6:$J$277,'свод субъектов ИБ+смежные'!BP$1)</f>
        <v>0</v>
      </c>
      <c r="BQ62" s="160">
        <f>SUMIFS('свод практик'!$AH$6:$AH$277,'свод практик'!$H$6:$H$277,"мун",'свод практик'!$J$6:$J$277,'свод субъектов ИБ+смежные'!BQ$1)</f>
        <v>0</v>
      </c>
      <c r="BR62" s="36">
        <f>SUMIFS('свод практик'!$AH$6:$AH$277,'свод практик'!$H$6:$H$277,"мун",'свод практик'!$J$6:$J$277,'свод субъектов ИБ+смежные'!BR$1)</f>
        <v>0</v>
      </c>
      <c r="BS62" s="36">
        <f>SUMIFS('свод практик'!$AH$6:$AH$277,'свод практик'!$H$6:$H$277,"мун",'свод практик'!$J$6:$J$277,'свод субъектов ИБ+смежные'!BS$1)</f>
        <v>11.481</v>
      </c>
      <c r="BT62" s="36">
        <f>SUMIFS('свод практик'!$AH$6:$AH$277,'свод практик'!$H$6:$H$277,"мун",'свод практик'!$J$6:$J$277,'свод субъектов ИБ+смежные'!BT$1)</f>
        <v>0</v>
      </c>
      <c r="BU62" s="36">
        <f>SUMIFS('свод практик'!$AH$6:$AH$277,'свод практик'!$H$6:$H$277,"мун",'свод практик'!$J$6:$J$277,'свод субъектов ИБ+смежные'!BU$1)</f>
        <v>45.524520000000003</v>
      </c>
      <c r="BV62" s="36">
        <f>SUMIFS('свод практик'!$AH$6:$AH$277,'свод практик'!$H$6:$H$277,"мун",'свод практик'!$J$6:$J$277,'свод субъектов ИБ+смежные'!BV$1)</f>
        <v>0</v>
      </c>
      <c r="BW62" s="36">
        <f>SUMIFS('свод практик'!$AH$6:$AH$277,'свод практик'!$H$6:$H$277,"мун",'свод практик'!$J$6:$J$277,'свод субъектов ИБ+смежные'!BW$1)</f>
        <v>0</v>
      </c>
      <c r="BX62" s="36">
        <f>SUMIFS('свод практик'!$AH$6:$AH$277,'свод практик'!$H$6:$H$277,"мун",'свод практик'!$J$6:$J$277,'свод субъектов ИБ+смежные'!BX$1)</f>
        <v>0</v>
      </c>
      <c r="BY62" s="36">
        <f>SUMIFS('свод практик'!$AH$6:$AH$277,'свод практик'!$H$6:$H$277,"мун",'свод практик'!$J$6:$J$277,'свод субъектов ИБ+смежные'!BY$1)</f>
        <v>0</v>
      </c>
      <c r="BZ62" s="36">
        <f>SUMIFS('свод практик'!$AH$6:$AH$277,'свод практик'!$H$6:$H$277,"мун",'свод практик'!$J$6:$J$277,'свод субъектов ИБ+смежные'!BZ$1)</f>
        <v>75.914000000000001</v>
      </c>
      <c r="CA62" s="160">
        <f>SUMIFS('свод практик'!$AH$6:$AH$277,'свод практик'!$H$6:$H$277,"мун",'свод практик'!$J$6:$J$277,'свод субъектов ИБ+смежные'!CA$1)</f>
        <v>0</v>
      </c>
      <c r="CB62" s="160">
        <f>SUMIFS('свод практик'!$AH$6:$AH$277,'свод практик'!$H$6:$H$277,"мун",'свод практик'!$J$6:$J$277,'свод субъектов ИБ+смежные'!CB$1)</f>
        <v>0</v>
      </c>
      <c r="CC62" s="36">
        <f>SUMIFS('свод практик'!$AH$6:$AH$277,'свод практик'!$H$6:$H$277,"мун",'свод практик'!$J$6:$J$277,'свод субъектов ИБ+смежные'!CC$1)</f>
        <v>0</v>
      </c>
      <c r="CD62" s="36">
        <f>SUMIFS('свод практик'!$AH$6:$AH$277,'свод практик'!$H$6:$H$277,"мун",'свод практик'!$J$6:$J$277,'свод субъектов ИБ+смежные'!CD$1)</f>
        <v>3.6160000000000001</v>
      </c>
      <c r="CE62" s="36">
        <f>SUMIFS('свод практик'!$AH$6:$AH$277,'свод практик'!$H$6:$H$277,"мун",'свод практик'!$J$6:$J$277,'свод субъектов ИБ+смежные'!CE$1)</f>
        <v>0</v>
      </c>
      <c r="CF62" s="36">
        <f>SUMIFS('свод практик'!$AH$6:$AH$277,'свод практик'!$H$6:$H$277,"мун",'свод практик'!$J$6:$J$277,'свод субъектов ИБ+смежные'!CF$1)</f>
        <v>0</v>
      </c>
      <c r="CG62" s="36">
        <f>SUMIFS('свод практик'!$AH$6:$AH$277,'свод практик'!$H$6:$H$277,"мун",'свод практик'!$J$6:$J$277,'свод субъектов ИБ+смежные'!CG$1)</f>
        <v>0</v>
      </c>
      <c r="CH62" s="36">
        <f>SUMIFS('свод практик'!$AH$6:$AH$277,'свод практик'!$H$6:$H$277,"мун",'свод практик'!$J$6:$J$277,'свод субъектов ИБ+смежные'!CH$1)</f>
        <v>0</v>
      </c>
      <c r="CI62" s="36">
        <f>SUMIFS('свод практик'!$AH$6:$AH$277,'свод практик'!$H$6:$H$277,"мун",'свод практик'!$J$6:$J$277,'свод субъектов ИБ+смежные'!CI$1)</f>
        <v>0</v>
      </c>
      <c r="CJ62" s="160">
        <f>SUMIFS('свод практик'!$AH$6:$AH$277,'свод практик'!$H$6:$H$277,"мун",'свод практик'!$J$6:$J$277,'свод субъектов ИБ+смежные'!CJ$1)</f>
        <v>0</v>
      </c>
      <c r="CK62" s="36">
        <f>SUMIFS('свод практик'!$AH$6:$AH$277,'свод практик'!$H$6:$H$277,"мун",'свод практик'!$J$6:$J$277,'свод субъектов ИБ+смежные'!CK$1)</f>
        <v>0</v>
      </c>
      <c r="CL62" s="36">
        <f>SUMIFS('свод практик'!$AH$6:$AH$277,'свод практик'!$H$6:$H$277,"мун",'свод практик'!$J$6:$J$277,'свод субъектов ИБ+смежные'!CL$1)</f>
        <v>16.333395100000001</v>
      </c>
      <c r="CM62" s="36">
        <f>SUMIFS('свод практик'!$AH$6:$AH$277,'свод практик'!$H$6:$H$277,"мун",'свод практик'!$J$6:$J$277,'свод субъектов ИБ+смежные'!CM$1)</f>
        <v>45.669532500000003</v>
      </c>
      <c r="CN62" s="36">
        <f>SUMIFS('свод практик'!$AH$6:$AH$277,'свод практик'!$H$6:$H$277,"мун",'свод практик'!$J$6:$J$277,'свод субъектов ИБ+смежные'!CN$1)</f>
        <v>0</v>
      </c>
      <c r="CO62" s="160">
        <f>SUMIFS('свод практик'!$AH$6:$AH$277,'свод практик'!$H$6:$H$277,"мун",'свод практик'!$J$6:$J$277,'свод субъектов ИБ+смежные'!CO$1)</f>
        <v>0</v>
      </c>
      <c r="CP62" s="36">
        <f>SUMIFS('свод практик'!$AH$6:$AH$277,'свод практик'!$H$6:$H$277,"мун",'свод практик'!$J$6:$J$277,'свод субъектов ИБ+смежные'!CP$1)</f>
        <v>170.12039534000004</v>
      </c>
      <c r="CQ62" s="36">
        <f>SUMIFS('свод практик'!$AH$6:$AH$277,'свод практик'!$H$6:$H$277,"мун",'свод практик'!$J$6:$J$277,'свод субъектов ИБ+смежные'!CQ$1)</f>
        <v>17.8</v>
      </c>
      <c r="CR62" s="160">
        <f>SUMIFS('свод практик'!$AH$6:$AH$277,'свод практик'!$H$6:$H$277,"мун",'свод практик'!$J$6:$J$277,'свод субъектов ИБ+смежные'!CR$1)</f>
        <v>0</v>
      </c>
      <c r="CS62" s="36">
        <f>SUMIFS('свод практик'!$AH$6:$AH$277,'свод практик'!$H$6:$H$277,"мун",'свод практик'!$J$6:$J$277,'свод субъектов ИБ+смежные'!CS$1)</f>
        <v>10.525</v>
      </c>
      <c r="CT62" s="36">
        <f>SUMIFS('свод практик'!$AH$6:$AH$277,'свод практик'!$H$6:$H$277,"мун",'свод практик'!$J$6:$J$277,'свод субъектов ИБ+смежные'!CT$1)</f>
        <v>0</v>
      </c>
      <c r="CU62" s="36">
        <f>SUMIFS('свод практик'!$AH$6:$AH$277,'свод практик'!$H$6:$H$277,"мун",'свод практик'!$J$6:$J$277,'свод субъектов ИБ+смежные'!CU$1)</f>
        <v>74.995999999999981</v>
      </c>
      <c r="CV62" s="36">
        <f>SUMIFS('свод практик'!$AH$6:$AH$277,'свод практик'!$H$6:$H$277,"мун",'свод практик'!$J$6:$J$277,'свод субъектов ИБ+смежные'!CV$1)</f>
        <v>0</v>
      </c>
    </row>
    <row r="63" spans="1:100" ht="42">
      <c r="A63" s="720" t="s">
        <v>5085</v>
      </c>
      <c r="B63" s="715" t="s">
        <v>4990</v>
      </c>
      <c r="C63" s="717" t="s">
        <v>5086</v>
      </c>
      <c r="D63" s="37" t="s">
        <v>4949</v>
      </c>
      <c r="E63" s="37">
        <v>26</v>
      </c>
      <c r="F63" s="38" t="s">
        <v>5087</v>
      </c>
      <c r="G63" s="140" t="s">
        <v>5263</v>
      </c>
      <c r="H63" s="40" t="s">
        <v>5082</v>
      </c>
      <c r="I63" s="55" t="s">
        <v>4961</v>
      </c>
      <c r="L63" s="36" t="s">
        <v>278</v>
      </c>
      <c r="M63" s="36">
        <v>7678.9611190000014</v>
      </c>
      <c r="N63" s="36">
        <v>10499.313935439999</v>
      </c>
      <c r="O63" s="686">
        <f>SUM(P63:CV63)</f>
        <v>13110.686485000002</v>
      </c>
      <c r="P63" s="688">
        <f>SUMIFS('свод практик'!$AK$6:$AK$277,'свод практик'!$J$6:$J$277,'свод субъектов ИБ+смежные'!P$1)</f>
        <v>4.9550000000000001</v>
      </c>
      <c r="Q63" s="139">
        <f>SUMIFS('свод практик'!$AK$6:$AK$277,'свод практик'!$J$6:$J$277,'свод субъектов ИБ+смежные'!Q$1)</f>
        <v>2.5810926800000003</v>
      </c>
      <c r="R63" s="139">
        <f>SUMIFS('свод практик'!$AK$6:$AK$277,'свод практик'!$J$6:$J$277,'свод субъектов ИБ+смежные'!R$1)</f>
        <v>117.9</v>
      </c>
      <c r="S63" s="139">
        <f>SUMIFS('свод практик'!$AK$6:$AK$277,'свод практик'!$J$6:$J$277,'свод субъектов ИБ+смежные'!S$1)</f>
        <v>71.326999999999998</v>
      </c>
      <c r="T63" s="139">
        <f>SUMIFS('свод практик'!$AK$6:$AK$277,'свод практик'!$J$6:$J$277,'свод субъектов ИБ+смежные'!T$1)</f>
        <v>20.82</v>
      </c>
      <c r="U63" s="139">
        <f>SUMIFS('свод практик'!$AK$6:$AK$277,'свод практик'!$J$6:$J$277,'свод субъектов ИБ+смежные'!U$1)</f>
        <v>1.2</v>
      </c>
      <c r="V63" s="139">
        <f>SUMIFS('свод практик'!$AK$6:$AK$277,'свод практик'!$J$6:$J$277,'свод субъектов ИБ+смежные'!V$1)</f>
        <v>2699.2629999999999</v>
      </c>
      <c r="W63" s="139">
        <f>SUMIFS('свод практик'!$AK$6:$AK$277,'свод практик'!$J$6:$J$277,'свод субъектов ИБ+смежные'!W$1)</f>
        <v>8.9989999999999988</v>
      </c>
      <c r="X63" s="139">
        <f>SUMIFS('свод практик'!$AK$6:$AK$277,'свод практик'!$J$6:$J$277,'свод субъектов ИБ+смежные'!X$1)</f>
        <v>96</v>
      </c>
      <c r="Y63" s="139">
        <f>SUMIFS('свод практик'!$AK$6:$AK$277,'свод практик'!$J$6:$J$277,'свод субъектов ИБ+смежные'!Y$1)</f>
        <v>60</v>
      </c>
      <c r="Z63" s="139">
        <f>SUMIFS('свод практик'!$AK$6:$AK$277,'свод практик'!$J$6:$J$277,'свод субъектов ИБ+смежные'!Z$1)</f>
        <v>61.939</v>
      </c>
      <c r="AA63" s="139">
        <f>SUMIFS('свод практик'!$AK$6:$AK$277,'свод практик'!$J$6:$J$277,'свод субъектов ИБ+смежные'!AA$1)</f>
        <v>52.185000000000002</v>
      </c>
      <c r="AB63" s="139">
        <f>SUMIFS('свод практик'!$AK$6:$AK$277,'свод практик'!$J$6:$J$277,'свод субъектов ИБ+смежные'!AB$1)</f>
        <v>82.058000000000007</v>
      </c>
      <c r="AC63" s="139">
        <f>SUMIFS('свод практик'!$AK$6:$AK$277,'свод практик'!$J$6:$J$277,'свод субъектов ИБ+смежные'!AC$1)</f>
        <v>203.74299999999999</v>
      </c>
      <c r="AD63" s="161">
        <f>SUMIFS('свод практик'!$AK$6:$AK$277,'свод практик'!$J$6:$J$277,'свод субъектов ИБ+смежные'!AD$1)</f>
        <v>0</v>
      </c>
      <c r="AE63" s="161">
        <f>SUMIFS('свод практик'!$AK$6:$AK$277,'свод практик'!$J$6:$J$277,'свод субъектов ИБ+смежные'!AE$1)</f>
        <v>0</v>
      </c>
      <c r="AF63" s="139">
        <f>SUMIFS('свод практик'!$AK$6:$AK$277,'свод практик'!$J$6:$J$277,'свод субъектов ИБ+смежные'!AF$1)</f>
        <v>25.139099999999999</v>
      </c>
      <c r="AG63" s="161">
        <f>SUMIFS('свод практик'!$AK$6:$AK$277,'свод практик'!$J$6:$J$277,'свод субъектов ИБ+смежные'!AG$1)</f>
        <v>0</v>
      </c>
      <c r="AH63" s="161">
        <f>SUMIFS('свод практик'!$AK$6:$AK$277,'свод практик'!$J$6:$J$277,'свод субъектов ИБ+смежные'!AH$1)</f>
        <v>0</v>
      </c>
      <c r="AI63" s="139">
        <f>SUMIFS('свод практик'!$AK$6:$AK$277,'свод практик'!$J$6:$J$277,'свод субъектов ИБ+смежные'!AI$1)</f>
        <v>650</v>
      </c>
      <c r="AJ63" s="139">
        <f>SUMIFS('свод практик'!$AK$6:$AK$277,'свод практик'!$J$6:$J$277,'свод субъектов ИБ+смежные'!AJ$1)</f>
        <v>0</v>
      </c>
      <c r="AK63" s="139">
        <f>SUMIFS('свод практик'!$AK$6:$AK$277,'свод практик'!$J$6:$J$277,'свод субъектов ИБ+смежные'!AK$1)</f>
        <v>903.7577060399999</v>
      </c>
      <c r="AL63" s="139">
        <f>SUMIFS('свод практик'!$AK$6:$AK$277,'свод практик'!$J$6:$J$277,'свод субъектов ИБ+смежные'!AL$1)</f>
        <v>5.3776929999999998</v>
      </c>
      <c r="AM63" s="139">
        <f>SUMIFS('свод практик'!$AK$6:$AK$277,'свод практик'!$J$6:$J$277,'свод субъектов ИБ+смежные'!AM$1)</f>
        <v>92.531999999999996</v>
      </c>
      <c r="AN63" s="161">
        <f>SUMIFS('свод практик'!$AK$6:$AK$277,'свод практик'!$J$6:$J$277,'свод субъектов ИБ+смежные'!AN$1)</f>
        <v>0</v>
      </c>
      <c r="AO63" s="161">
        <f>SUMIFS('свод практик'!$AK$6:$AK$277,'свод практик'!$J$6:$J$277,'свод субъектов ИБ+смежные'!AO$1)</f>
        <v>0</v>
      </c>
      <c r="AP63" s="139">
        <f>SUMIFS('свод практик'!$AK$6:$AK$277,'свод практик'!$J$6:$J$277,'свод субъектов ИБ+смежные'!AP$1)</f>
        <v>75.8</v>
      </c>
      <c r="AQ63" s="139">
        <f>SUMIFS('свод практик'!$AK$6:$AK$277,'свод практик'!$J$6:$J$277,'свод субъектов ИБ+смежные'!AQ$1)</f>
        <v>87.6</v>
      </c>
      <c r="AR63" s="139">
        <f>SUMIFS('свод практик'!$AK$6:$AK$277,'свод практик'!$J$6:$J$277,'свод субъектов ИБ+смежные'!AR$1)</f>
        <v>259.58</v>
      </c>
      <c r="AS63" s="139">
        <f>SUMIFS('свод практик'!$AK$6:$AK$277,'свод практик'!$J$6:$J$277,'свод субъектов ИБ+смежные'!AS$1)</f>
        <v>90.042000000000002</v>
      </c>
      <c r="AT63" s="139">
        <f>SUMIFS('свод практик'!$AK$6:$AK$277,'свод практик'!$J$6:$J$277,'свод субъектов ИБ+смежные'!AT$1)</f>
        <v>92.712999999999994</v>
      </c>
      <c r="AU63" s="139">
        <f>SUMIFS('свод практик'!$AK$6:$AK$277,'свод практик'!$J$6:$J$277,'свод субъектов ИБ+смежные'!AU$1)</f>
        <v>0</v>
      </c>
      <c r="AV63" s="139">
        <f>SUMIFS('свод практик'!$AK$6:$AK$277,'свод практик'!$J$6:$J$277,'свод субъектов ИБ+смежные'!AV$1)</f>
        <v>98.6</v>
      </c>
      <c r="AW63" s="139">
        <f>SUMIFS('свод практик'!$AK$6:$AK$277,'свод практик'!$J$6:$J$277,'свод субъектов ИБ+смежные'!AW$1)</f>
        <v>11.396095000000001</v>
      </c>
      <c r="AX63" s="139">
        <f>SUMIFS('свод практик'!$AK$6:$AK$277,'свод практик'!$J$6:$J$277,'свод субъектов ИБ+смежные'!AX$1)</f>
        <v>112.43950000000001</v>
      </c>
      <c r="AY63" s="161">
        <f>SUMIFS('свод практик'!$AK$6:$AK$277,'свод практик'!$J$6:$J$277,'свод субъектов ИБ+смежные'!AY$1)</f>
        <v>0</v>
      </c>
      <c r="AZ63" s="139">
        <f>SUMIFS('свод практик'!$AK$6:$AK$277,'свод практик'!$J$6:$J$277,'свод субъектов ИБ+смежные'!AZ$1)</f>
        <v>441.39699999999999</v>
      </c>
      <c r="BA63" s="139">
        <f>SUMIFS('свод практик'!$AK$6:$AK$277,'свод практик'!$J$6:$J$277,'свод субъектов ИБ+смежные'!BA$1)</f>
        <v>70.656755559999993</v>
      </c>
      <c r="BB63" s="161">
        <f>SUMIFS('свод практик'!$AK$6:$AK$277,'свод практик'!$J$6:$J$277,'свод субъектов ИБ+смежные'!BB$1)</f>
        <v>0</v>
      </c>
      <c r="BC63" s="139">
        <f>SUMIFS('свод практик'!$AK$6:$AK$277,'свод практик'!$J$6:$J$277,'свод субъектов ИБ+смежные'!BC$1)</f>
        <v>21.801919999999999</v>
      </c>
      <c r="BD63" s="161">
        <f>SUMIFS('свод практик'!$AK$6:$AK$277,'свод практик'!$J$6:$J$277,'свод субъектов ИБ+смежные'!BD$1)</f>
        <v>0</v>
      </c>
      <c r="BE63" s="161">
        <f>SUMIFS('свод практик'!$AK$6:$AK$277,'свод практик'!$J$6:$J$277,'свод субъектов ИБ+смежные'!BE$1)</f>
        <v>0</v>
      </c>
      <c r="BF63" s="139">
        <f>SUMIFS('свод практик'!$AK$6:$AK$277,'свод практик'!$J$6:$J$277,'свод субъектов ИБ+смежные'!BF$1)</f>
        <v>0</v>
      </c>
      <c r="BG63" s="139">
        <f>SUMIFS('свод практик'!$AK$6:$AK$277,'свод практик'!$J$6:$J$277,'свод субъектов ИБ+смежные'!BG$1)</f>
        <v>22.6</v>
      </c>
      <c r="BH63" s="139">
        <f>SUMIFS('свод практик'!$AK$6:$AK$277,'свод практик'!$J$6:$J$277,'свод субъектов ИБ+смежные'!BH$1)</f>
        <v>19.481000000000002</v>
      </c>
      <c r="BI63" s="139">
        <f>SUMIFS('свод практик'!$AK$6:$AK$277,'свод практик'!$J$6:$J$277,'свод субъектов ИБ+смежные'!BI$1)</f>
        <v>364.10899999999998</v>
      </c>
      <c r="BJ63" s="139">
        <f>SUMIFS('свод практик'!$AK$6:$AK$277,'свод практик'!$J$6:$J$277,'свод субъектов ИБ+смежные'!BJ$1)</f>
        <v>280.56630000000001</v>
      </c>
      <c r="BK63" s="139">
        <f>SUMIFS('свод практик'!$AK$6:$AK$277,'свод практик'!$J$6:$J$277,'свод субъектов ИБ+смежные'!BK$1)</f>
        <v>112.8</v>
      </c>
      <c r="BL63" s="139">
        <f>SUMIFS('свод практик'!$AK$6:$AK$277,'свод практик'!$J$6:$J$277,'свод субъектов ИБ+смежные'!BL$1)</f>
        <v>0</v>
      </c>
      <c r="BM63" s="139">
        <f>SUMIFS('свод практик'!$AK$6:$AK$277,'свод практик'!$J$6:$J$277,'свод субъектов ИБ+смежные'!BM$1)</f>
        <v>70</v>
      </c>
      <c r="BN63" s="139">
        <f>SUMIFS('свод практик'!$AK$6:$AK$277,'свод практик'!$J$6:$J$277,'свод субъектов ИБ+смежные'!BN$1)</f>
        <v>17.013999999999999</v>
      </c>
      <c r="BO63" s="139">
        <f>SUMIFS('свод практик'!$AK$6:$AK$277,'свод практик'!$J$6:$J$277,'свод субъектов ИБ+смежные'!BO$1)</f>
        <v>4.0999999999999996</v>
      </c>
      <c r="BP63" s="139">
        <f>SUMIFS('свод практик'!$AK$6:$AK$277,'свод практик'!$J$6:$J$277,'свод субъектов ИБ+смежные'!BP$1)</f>
        <v>115.74010325</v>
      </c>
      <c r="BQ63" s="161">
        <f>SUMIFS('свод практик'!$AK$6:$AK$277,'свод практик'!$J$6:$J$277,'свод субъектов ИБ+смежные'!BQ$1)</f>
        <v>0</v>
      </c>
      <c r="BR63" s="139">
        <f>SUMIFS('свод практик'!$AK$6:$AK$277,'свод практик'!$J$6:$J$277,'свод субъектов ИБ+смежные'!BR$1)</f>
        <v>3.5</v>
      </c>
      <c r="BS63" s="139">
        <f>SUMIFS('свод практик'!$AK$6:$AK$277,'свод практик'!$J$6:$J$277,'свод субъектов ИБ+смежные'!BS$1)</f>
        <v>0</v>
      </c>
      <c r="BT63" s="139">
        <f>SUMIFS('свод практик'!$AK$6:$AK$277,'свод практик'!$J$6:$J$277,'свод субъектов ИБ+смежные'!BT$1)</f>
        <v>144.55699999999999</v>
      </c>
      <c r="BU63" s="139">
        <f>SUMIFS('свод практик'!$AK$6:$AK$277,'свод практик'!$J$6:$J$277,'свод субъектов ИБ+смежные'!BU$1)</f>
        <v>165.10599999999999</v>
      </c>
      <c r="BV63" s="139">
        <f>SUMIFS('свод практик'!$AK$6:$AK$277,'свод практик'!$J$6:$J$277,'свод субъектов ИБ+смежные'!BV$1)</f>
        <v>181.49923999999999</v>
      </c>
      <c r="BW63" s="139">
        <f>SUMIFS('свод практик'!$AK$6:$AK$277,'свод практик'!$J$6:$J$277,'свод субъектов ИБ+смежные'!BW$1)</f>
        <v>75.990099999999998</v>
      </c>
      <c r="BX63" s="139">
        <f>SUMIFS('свод практик'!$AK$6:$AK$277,'свод практик'!$J$6:$J$277,'свод субъектов ИБ+смежные'!BX$1)</f>
        <v>499.45</v>
      </c>
      <c r="BY63" s="139">
        <f>SUMIFS('свод практик'!$AK$6:$AK$277,'свод практик'!$J$6:$J$277,'свод субъектов ИБ+смежные'!BY$1)</f>
        <v>814.69999999999993</v>
      </c>
      <c r="BZ63" s="139">
        <f>SUMIFS('свод практик'!$AK$6:$AK$277,'свод практик'!$J$6:$J$277,'свод субъектов ИБ+смежные'!BZ$1)</f>
        <v>139.46710000000002</v>
      </c>
      <c r="CA63" s="161">
        <f>SUMIFS('свод практик'!$AK$6:$AK$277,'свод практик'!$J$6:$J$277,'свод субъектов ИБ+смежные'!CA$1)</f>
        <v>0</v>
      </c>
      <c r="CB63" s="161">
        <f>SUMIFS('свод практик'!$AK$6:$AK$277,'свод практик'!$J$6:$J$277,'свод субъектов ИБ+смежные'!CB$1)</f>
        <v>0</v>
      </c>
      <c r="CC63" s="139">
        <f>SUMIFS('свод практик'!$AK$6:$AK$277,'свод практик'!$J$6:$J$277,'свод субъектов ИБ+смежные'!CC$1)</f>
        <v>0.5</v>
      </c>
      <c r="CD63" s="139">
        <f>SUMIFS('свод практик'!$AK$6:$AK$277,'свод практик'!$J$6:$J$277,'свод субъектов ИБ+смежные'!CD$1)</f>
        <v>396.16</v>
      </c>
      <c r="CE63" s="139">
        <f>SUMIFS('свод практик'!$AK$6:$AK$277,'свод практик'!$J$6:$J$277,'свод субъектов ИБ+смежные'!CE$1)</f>
        <v>125.453</v>
      </c>
      <c r="CF63" s="139">
        <f>SUMIFS('свод практик'!$AK$6:$AK$277,'свод практик'!$J$6:$J$277,'свод субъектов ИБ+смежные'!CF$1)</f>
        <v>1061.53</v>
      </c>
      <c r="CG63" s="139">
        <f>SUMIFS('свод практик'!$AK$6:$AK$277,'свод практик'!$J$6:$J$277,'свод субъектов ИБ+смежные'!CG$1)</f>
        <v>117.6</v>
      </c>
      <c r="CH63" s="139">
        <f>SUMIFS('свод практик'!$AK$6:$AK$277,'свод практик'!$J$6:$J$277,'свод субъектов ИБ+смежные'!CH$1)</f>
        <v>39.420593400000001</v>
      </c>
      <c r="CI63" s="139">
        <f>SUMIFS('свод практик'!$AK$6:$AK$277,'свод практик'!$J$6:$J$277,'свод субъектов ИБ+смежные'!CI$1)</f>
        <v>448</v>
      </c>
      <c r="CJ63" s="161">
        <f>SUMIFS('свод практик'!$AK$6:$AK$277,'свод практик'!$J$6:$J$277,'свод субъектов ИБ+смежные'!CJ$1)</f>
        <v>0</v>
      </c>
      <c r="CK63" s="139">
        <f>SUMIFS('свод практик'!$AK$6:$AK$277,'свод практик'!$J$6:$J$277,'свод субъектов ИБ+смежные'!CK$1)</f>
        <v>316.51500000000004</v>
      </c>
      <c r="CL63" s="139">
        <f>SUMIFS('свод практик'!$AK$6:$AK$277,'свод практик'!$J$6:$J$277,'свод субъектов ИБ+смежные'!CL$1)</f>
        <v>48.65</v>
      </c>
      <c r="CM63" s="139">
        <f>SUMIFS('свод практик'!$AK$6:$AK$277,'свод практик'!$J$6:$J$277,'свод субъектов ИБ+смежные'!CM$1)</f>
        <v>113</v>
      </c>
      <c r="CN63" s="139">
        <f>SUMIFS('свод практик'!$AK$6:$AK$277,'свод практик'!$J$6:$J$277,'свод субъектов ИБ+смежные'!CN$1)</f>
        <v>120.1</v>
      </c>
      <c r="CO63" s="161">
        <f>SUMIFS('свод практик'!$AK$6:$AK$277,'свод практик'!$J$6:$J$277,'свод субъектов ИБ+смежные'!CO$1)</f>
        <v>0</v>
      </c>
      <c r="CP63" s="139">
        <f>SUMIFS('свод практик'!$AK$6:$AK$277,'свод практик'!$J$6:$J$277,'свод субъектов ИБ+смежные'!CP$1)</f>
        <v>316.52499999999998</v>
      </c>
      <c r="CQ63" s="139">
        <f>SUMIFS('свод практик'!$AK$6:$AK$277,'свод практик'!$J$6:$J$277,'свод субъектов ИБ+смежные'!CQ$1)</f>
        <v>0</v>
      </c>
      <c r="CR63" s="161">
        <f>SUMIFS('свод практик'!$AK$6:$AK$277,'свод практик'!$J$6:$J$277,'свод субъектов ИБ+смежные'!CR$1)</f>
        <v>0</v>
      </c>
      <c r="CS63" s="139">
        <f>SUMIFS('свод практик'!$AK$6:$AK$277,'свод практик'!$J$6:$J$277,'свод субъектов ИБ+смежные'!CS$1)</f>
        <v>263.51900000000001</v>
      </c>
      <c r="CT63" s="139">
        <f>SUMIFS('свод практик'!$AK$6:$AK$277,'свод практик'!$J$6:$J$277,'свод субъектов ИБ+смежные'!CT$1)</f>
        <v>21.331186070000001</v>
      </c>
      <c r="CU63" s="139">
        <f>SUMIFS('свод практик'!$AK$6:$AK$277,'свод практик'!$J$6:$J$277,'свод субъектов ИБ+смежные'!CU$1)</f>
        <v>0</v>
      </c>
      <c r="CV63" s="139">
        <f>SUMIFS('свод практик'!$AK$6:$AK$277,'свод практик'!$J$6:$J$277,'свод субъектов ИБ+смежные'!CV$1)</f>
        <v>169.9</v>
      </c>
    </row>
    <row r="64" spans="1:100" ht="29" thickBot="1">
      <c r="A64" s="721"/>
      <c r="B64" s="722"/>
      <c r="C64" s="722"/>
      <c r="D64" s="49" t="s">
        <v>4949</v>
      </c>
      <c r="E64" s="49">
        <v>27</v>
      </c>
      <c r="F64" s="59" t="s">
        <v>5088</v>
      </c>
      <c r="G64" s="141" t="s">
        <v>5089</v>
      </c>
      <c r="H64" s="52" t="s">
        <v>60</v>
      </c>
      <c r="I64" s="82" t="s">
        <v>5090</v>
      </c>
      <c r="M64" s="36">
        <v>0.52952022181701863</v>
      </c>
      <c r="N64" s="36">
        <v>0.54360325285491307</v>
      </c>
      <c r="O64" s="228">
        <f>O63/O60</f>
        <v>0.54482151842888105</v>
      </c>
      <c r="P64" s="145">
        <f>P63/P$60</f>
        <v>0.69145967066703873</v>
      </c>
      <c r="Q64" s="145">
        <f t="shared" ref="Q64:CB64" si="21">Q63/Q$60</f>
        <v>3.3974144295811873E-2</v>
      </c>
      <c r="R64" s="145">
        <f t="shared" si="21"/>
        <v>0.67680826636050528</v>
      </c>
      <c r="S64" s="145">
        <f t="shared" si="21"/>
        <v>0.79586485461159084</v>
      </c>
      <c r="T64" s="145">
        <f t="shared" si="21"/>
        <v>0.36934539648749337</v>
      </c>
      <c r="U64" s="145">
        <f t="shared" si="21"/>
        <v>0.79999999999999993</v>
      </c>
      <c r="V64" s="145">
        <f t="shared" si="21"/>
        <v>0.85612125733214317</v>
      </c>
      <c r="W64" s="145">
        <f t="shared" si="21"/>
        <v>8.3447700296735886E-2</v>
      </c>
      <c r="X64" s="145">
        <f t="shared" si="21"/>
        <v>0.88073394495412849</v>
      </c>
      <c r="Y64" s="145">
        <f t="shared" si="21"/>
        <v>1</v>
      </c>
      <c r="Z64" s="145">
        <f t="shared" si="21"/>
        <v>8.6825789105528531E-2</v>
      </c>
      <c r="AA64" s="145">
        <f t="shared" si="21"/>
        <v>0.45607886664161301</v>
      </c>
      <c r="AB64" s="145">
        <f t="shared" si="21"/>
        <v>0.32709892930887413</v>
      </c>
      <c r="AC64" s="145">
        <f t="shared" si="21"/>
        <v>0.69751829015703681</v>
      </c>
      <c r="AD64" s="162" t="e">
        <f t="shared" si="21"/>
        <v>#DIV/0!</v>
      </c>
      <c r="AE64" s="162" t="e">
        <f t="shared" si="21"/>
        <v>#DIV/0!</v>
      </c>
      <c r="AF64" s="145">
        <f t="shared" si="21"/>
        <v>1</v>
      </c>
      <c r="AG64" s="162" t="e">
        <f t="shared" si="21"/>
        <v>#DIV/0!</v>
      </c>
      <c r="AH64" s="162" t="e">
        <f t="shared" si="21"/>
        <v>#DIV/0!</v>
      </c>
      <c r="AI64" s="145">
        <f t="shared" si="21"/>
        <v>0.86747631122380897</v>
      </c>
      <c r="AJ64" s="145">
        <f t="shared" si="21"/>
        <v>0</v>
      </c>
      <c r="AK64" s="145">
        <f t="shared" si="21"/>
        <v>0.50617080831707473</v>
      </c>
      <c r="AL64" s="145">
        <f t="shared" si="21"/>
        <v>0.71672060148259553</v>
      </c>
      <c r="AM64" s="145">
        <f t="shared" si="21"/>
        <v>0.56028705702950565</v>
      </c>
      <c r="AN64" s="162" t="e">
        <f t="shared" si="21"/>
        <v>#DIV/0!</v>
      </c>
      <c r="AO64" s="162" t="e">
        <f t="shared" si="21"/>
        <v>#DIV/0!</v>
      </c>
      <c r="AP64" s="145">
        <f t="shared" si="21"/>
        <v>0.62852404643449422</v>
      </c>
      <c r="AQ64" s="145">
        <f t="shared" si="21"/>
        <v>0.71510204081632645</v>
      </c>
      <c r="AR64" s="145">
        <f t="shared" si="21"/>
        <v>0.61643315127048204</v>
      </c>
      <c r="AS64" s="145">
        <f t="shared" si="21"/>
        <v>0.76150606383518549</v>
      </c>
      <c r="AT64" s="145">
        <f t="shared" si="21"/>
        <v>0.18357810281704362</v>
      </c>
      <c r="AU64" s="145">
        <f t="shared" si="21"/>
        <v>0</v>
      </c>
      <c r="AV64" s="145">
        <f t="shared" si="21"/>
        <v>0.6390563225095599</v>
      </c>
      <c r="AW64" s="145">
        <f t="shared" si="21"/>
        <v>3.8411715111420601E-2</v>
      </c>
      <c r="AX64" s="145">
        <f t="shared" si="21"/>
        <v>0.19832733152660756</v>
      </c>
      <c r="AY64" s="162" t="e">
        <f t="shared" si="21"/>
        <v>#DIV/0!</v>
      </c>
      <c r="AZ64" s="145">
        <f t="shared" si="21"/>
        <v>0.79224513458746071</v>
      </c>
      <c r="BA64" s="145">
        <f t="shared" si="21"/>
        <v>0.85581273918678291</v>
      </c>
      <c r="BB64" s="162" t="e">
        <f t="shared" si="21"/>
        <v>#DIV/0!</v>
      </c>
      <c r="BC64" s="145">
        <f t="shared" si="21"/>
        <v>0.67394264851282759</v>
      </c>
      <c r="BD64" s="162" t="e">
        <f t="shared" si="21"/>
        <v>#DIV/0!</v>
      </c>
      <c r="BE64" s="162" t="e">
        <f t="shared" si="21"/>
        <v>#DIV/0!</v>
      </c>
      <c r="BF64" s="145">
        <f t="shared" si="21"/>
        <v>0</v>
      </c>
      <c r="BG64" s="145">
        <f t="shared" si="21"/>
        <v>0.60648346930012875</v>
      </c>
      <c r="BH64" s="145">
        <f t="shared" si="21"/>
        <v>0.83674082982561637</v>
      </c>
      <c r="BI64" s="145">
        <f t="shared" si="21"/>
        <v>0.52357089242113553</v>
      </c>
      <c r="BJ64" s="145">
        <f t="shared" si="21"/>
        <v>0.493064373015138</v>
      </c>
      <c r="BK64" s="145">
        <f t="shared" si="21"/>
        <v>0.71573604060913709</v>
      </c>
      <c r="BL64" s="145">
        <f t="shared" si="21"/>
        <v>0</v>
      </c>
      <c r="BM64" s="145">
        <f t="shared" si="21"/>
        <v>0.60788742619595326</v>
      </c>
      <c r="BN64" s="145">
        <f t="shared" si="21"/>
        <v>0.6780376997569042</v>
      </c>
      <c r="BO64" s="145">
        <f t="shared" si="21"/>
        <v>7.8770110393427892E-3</v>
      </c>
      <c r="BP64" s="145">
        <f t="shared" si="21"/>
        <v>0.88863584706707044</v>
      </c>
      <c r="BQ64" s="162" t="e">
        <f t="shared" si="21"/>
        <v>#DIV/0!</v>
      </c>
      <c r="BR64" s="145">
        <f t="shared" si="21"/>
        <v>0.76153176675369882</v>
      </c>
      <c r="BS64" s="145">
        <f t="shared" si="21"/>
        <v>0</v>
      </c>
      <c r="BT64" s="145">
        <f t="shared" si="21"/>
        <v>0.68848469261397183</v>
      </c>
      <c r="BU64" s="145">
        <f t="shared" si="21"/>
        <v>0.59984772922832952</v>
      </c>
      <c r="BV64" s="145">
        <f t="shared" si="21"/>
        <v>1</v>
      </c>
      <c r="BW64" s="145">
        <f t="shared" si="21"/>
        <v>0.7021407920255982</v>
      </c>
      <c r="BX64" s="145">
        <f t="shared" si="21"/>
        <v>0.6188434708265701</v>
      </c>
      <c r="BY64" s="145">
        <f t="shared" si="21"/>
        <v>0.94534694824785326</v>
      </c>
      <c r="BZ64" s="145">
        <f t="shared" si="21"/>
        <v>6.5039996535604994E-2</v>
      </c>
      <c r="CA64" s="162" t="e">
        <f t="shared" si="21"/>
        <v>#DIV/0!</v>
      </c>
      <c r="CB64" s="162" t="e">
        <f t="shared" si="21"/>
        <v>#DIV/0!</v>
      </c>
      <c r="CC64" s="145">
        <f t="shared" ref="CC64:CV64" si="22">CC63/CC$60</f>
        <v>0.6097560975609756</v>
      </c>
      <c r="CD64" s="145">
        <f t="shared" si="22"/>
        <v>0.61081507795539769</v>
      </c>
      <c r="CE64" s="145">
        <f t="shared" si="22"/>
        <v>0.90741611393604493</v>
      </c>
      <c r="CF64" s="145">
        <f t="shared" si="22"/>
        <v>0.7882728512838868</v>
      </c>
      <c r="CG64" s="145">
        <f t="shared" si="22"/>
        <v>0.52453166815343444</v>
      </c>
      <c r="CH64" s="145">
        <f t="shared" si="22"/>
        <v>0.73047356858092849</v>
      </c>
      <c r="CI64" s="145">
        <f t="shared" si="22"/>
        <v>0.6418338108882522</v>
      </c>
      <c r="CJ64" s="162" t="e">
        <f t="shared" si="22"/>
        <v>#DIV/0!</v>
      </c>
      <c r="CK64" s="145">
        <f t="shared" si="22"/>
        <v>0.72802403170492169</v>
      </c>
      <c r="CL64" s="145">
        <f t="shared" si="22"/>
        <v>0.52643883440659356</v>
      </c>
      <c r="CM64" s="145">
        <f t="shared" si="22"/>
        <v>0.58680102990850835</v>
      </c>
      <c r="CN64" s="145">
        <f t="shared" si="22"/>
        <v>0.5994060838968881</v>
      </c>
      <c r="CO64" s="162" t="e">
        <f t="shared" si="22"/>
        <v>#DIV/0!</v>
      </c>
      <c r="CP64" s="145">
        <f t="shared" si="22"/>
        <v>0.40409682478148723</v>
      </c>
      <c r="CQ64" s="145">
        <f t="shared" si="22"/>
        <v>0</v>
      </c>
      <c r="CR64" s="162" t="e">
        <f t="shared" si="22"/>
        <v>#DIV/0!</v>
      </c>
      <c r="CS64" s="145">
        <f t="shared" si="22"/>
        <v>0.58987502714124873</v>
      </c>
      <c r="CT64" s="145">
        <f t="shared" si="22"/>
        <v>0.80011950750187555</v>
      </c>
      <c r="CU64" s="145">
        <f t="shared" si="22"/>
        <v>0</v>
      </c>
      <c r="CV64" s="145">
        <f t="shared" si="22"/>
        <v>0.22974983096686952</v>
      </c>
    </row>
    <row r="65" spans="1:100" ht="42">
      <c r="A65" s="720" t="s">
        <v>5091</v>
      </c>
      <c r="B65" s="715" t="s">
        <v>4990</v>
      </c>
      <c r="C65" s="717" t="s">
        <v>5092</v>
      </c>
      <c r="D65" s="37" t="s">
        <v>4949</v>
      </c>
      <c r="E65" s="37">
        <v>28</v>
      </c>
      <c r="F65" s="38" t="s">
        <v>5093</v>
      </c>
      <c r="G65" s="140" t="s">
        <v>5264</v>
      </c>
      <c r="H65" s="40" t="s">
        <v>5082</v>
      </c>
      <c r="I65" s="55" t="s">
        <v>4961</v>
      </c>
      <c r="L65" s="36" t="s">
        <v>278</v>
      </c>
      <c r="M65" s="36">
        <v>1926.2231559999993</v>
      </c>
      <c r="N65" s="36">
        <v>2964.5685994099999</v>
      </c>
      <c r="O65" s="687">
        <f>SUM(P65:CV65)</f>
        <v>3937.5416459700004</v>
      </c>
      <c r="P65" s="36">
        <f>SUMIFS('свод практик'!$AU$6:$AU$277,'свод практик'!$J$6:$J$277,'свод субъектов ИБ+смежные'!P$1)</f>
        <v>0.97799999999999998</v>
      </c>
      <c r="Q65" s="36">
        <f>SUMIFS('свод практик'!$AU$6:$AU$277,'свод практик'!$J$6:$J$277,'свод субъектов ИБ+смежные'!Q$1)</f>
        <v>1.5866</v>
      </c>
      <c r="R65" s="36">
        <f>SUMIFS('свод практик'!$AU$6:$AU$277,'свод практик'!$J$6:$J$277,'свод субъектов ИБ+смежные'!R$1)</f>
        <v>33.4</v>
      </c>
      <c r="S65" s="36">
        <f>SUMIFS('свод практик'!$AU$6:$AU$277,'свод практик'!$J$6:$J$277,'свод субъектов ИБ+смежные'!S$1)</f>
        <v>12.093</v>
      </c>
      <c r="T65" s="36">
        <f>SUMIFS('свод практик'!$AU$6:$AU$277,'свод практик'!$J$6:$J$277,'свод субъектов ИБ+смежные'!T$1)</f>
        <v>20.399999999999999</v>
      </c>
      <c r="U65" s="36">
        <f>SUMIFS('свод практик'!$AU$6:$AU$277,'свод практик'!$J$6:$J$277,'свод субъектов ИБ+смежные'!U$1)</f>
        <v>0.33799999999999997</v>
      </c>
      <c r="V65" s="36">
        <f>SUMIFS('свод практик'!$AU$6:$AU$277,'свод практик'!$J$6:$J$277,'свод субъектов ИБ+смежные'!V$1)</f>
        <v>239.62</v>
      </c>
      <c r="W65" s="36">
        <f>SUMIFS('свод практик'!$AU$6:$AU$277,'свод практик'!$J$6:$J$277,'свод субъектов ИБ+смежные'!W$1)</f>
        <v>98.629000000000005</v>
      </c>
      <c r="X65" s="36">
        <f>SUMIFS('свод практик'!$AU$6:$AU$277,'свод практик'!$J$6:$J$277,'свод субъектов ИБ+смежные'!X$1)</f>
        <v>8</v>
      </c>
      <c r="Y65" s="36">
        <f>SUMIFS('свод практик'!$AU$6:$AU$277,'свод практик'!$J$6:$J$277,'свод субъектов ИБ+смежные'!Y$1)</f>
        <v>0</v>
      </c>
      <c r="Z65" s="36">
        <f>SUMIFS('свод практик'!$AU$6:$AU$277,'свод практик'!$J$6:$J$277,'свод субъектов ИБ+смежные'!Z$1)</f>
        <v>65.938000000000002</v>
      </c>
      <c r="AA65" s="36">
        <f>SUMIFS('свод практик'!$AU$6:$AU$277,'свод практик'!$J$6:$J$277,'свод субъектов ИБ+смежные'!AA$1)</f>
        <v>60.6676</v>
      </c>
      <c r="AB65" s="36">
        <f>SUMIFS('свод практик'!$AU$6:$AU$277,'свод практик'!$J$6:$J$277,'свод субъектов ИБ+смежные'!AB$1)</f>
        <v>140.95499999999998</v>
      </c>
      <c r="AC65" s="36">
        <f>SUMIFS('свод практик'!$AU$6:$AU$277,'свод практик'!$J$6:$J$277,'свод субъектов ИБ+смежные'!AC$1)</f>
        <v>38.521000000000001</v>
      </c>
      <c r="AD65" s="160">
        <f>SUMIFS('свод практик'!$AU$6:$AU$277,'свод практик'!$J$6:$J$277,'свод субъектов ИБ+смежные'!AD$1)</f>
        <v>0</v>
      </c>
      <c r="AE65" s="160">
        <f>SUMIFS('свод практик'!$AU$6:$AU$277,'свод практик'!$J$6:$J$277,'свод субъектов ИБ+смежные'!AE$1)</f>
        <v>0</v>
      </c>
      <c r="AF65" s="36">
        <f>SUMIFS('свод практик'!$AU$6:$AU$277,'свод практик'!$J$6:$J$277,'свод субъектов ИБ+смежные'!AF$1)</f>
        <v>0</v>
      </c>
      <c r="AG65" s="160">
        <f>SUMIFS('свод практик'!$AU$6:$AU$277,'свод практик'!$J$6:$J$277,'свод субъектов ИБ+смежные'!AG$1)</f>
        <v>0</v>
      </c>
      <c r="AH65" s="160">
        <f>SUMIFS('свод практик'!$AU$6:$AU$277,'свод практик'!$J$6:$J$277,'свод субъектов ИБ+смежные'!AH$1)</f>
        <v>0</v>
      </c>
      <c r="AI65" s="36">
        <f>SUMIFS('свод практик'!$AU$6:$AU$277,'свод практик'!$J$6:$J$277,'свод субъектов ИБ+смежные'!AI$1)</f>
        <v>99.3</v>
      </c>
      <c r="AJ65" s="36">
        <f>SUMIFS('свод практик'!$AU$6:$AU$277,'свод практик'!$J$6:$J$277,'свод субъектов ИБ+смежные'!AJ$1)</f>
        <v>1</v>
      </c>
      <c r="AK65" s="36">
        <f>SUMIFS('свод практик'!$AU$6:$AU$277,'свод практик'!$J$6:$J$277,'свод субъектов ИБ+смежные'!AK$1)</f>
        <v>415.03599999999994</v>
      </c>
      <c r="AL65" s="36">
        <f>SUMIFS('свод практик'!$AU$6:$AU$277,'свод практик'!$J$6:$J$277,'свод субъектов ИБ+смежные'!AL$1)</f>
        <v>1.0269999999999999</v>
      </c>
      <c r="AM65" s="36">
        <f>SUMIFS('свод практик'!$AU$6:$AU$277,'свод практик'!$J$6:$J$277,'свод субъектов ИБ+смежные'!AM$1)</f>
        <v>55.384</v>
      </c>
      <c r="AN65" s="160">
        <f>SUMIFS('свод практик'!$AU$6:$AU$277,'свод практик'!$J$6:$J$277,'свод субъектов ИБ+смежные'!AN$1)</f>
        <v>0</v>
      </c>
      <c r="AO65" s="160">
        <f>SUMIFS('свод практик'!$AU$6:$AU$277,'свод практик'!$J$6:$J$277,'свод субъектов ИБ+смежные'!AO$1)</f>
        <v>0</v>
      </c>
      <c r="AP65" s="36">
        <f>SUMIFS('свод практик'!$AU$6:$AU$277,'свод практик'!$J$6:$J$277,'свод субъектов ИБ+смежные'!AP$1)</f>
        <v>29.7</v>
      </c>
      <c r="AQ65" s="36">
        <f>SUMIFS('свод практик'!$AU$6:$AU$277,'свод практик'!$J$6:$J$277,'свод субъектов ИБ+смежные'!AQ$1)</f>
        <v>25.3</v>
      </c>
      <c r="AR65" s="36">
        <f>SUMIFS('свод практик'!$AU$6:$AU$277,'свод практик'!$J$6:$J$277,'свод субъектов ИБ+смежные'!AR$1)</f>
        <v>75.100000000000009</v>
      </c>
      <c r="AS65" s="36">
        <f>SUMIFS('свод практик'!$AU$6:$AU$277,'свод практик'!$J$6:$J$277,'свод субъектов ИБ+смежные'!AS$1)</f>
        <v>19.797999999999998</v>
      </c>
      <c r="AT65" s="36">
        <f>SUMIFS('свод практик'!$AU$6:$AU$277,'свод практик'!$J$6:$J$277,'свод субъектов ИБ+смежные'!AT$1)</f>
        <v>163.102</v>
      </c>
      <c r="AU65" s="36">
        <f>SUMIFS('свод практик'!$AU$6:$AU$277,'свод практик'!$J$6:$J$277,'свод субъектов ИБ+смежные'!AU$1)</f>
        <v>11.882999999999999</v>
      </c>
      <c r="AV65" s="36">
        <f>SUMIFS('свод практик'!$AU$6:$AU$277,'свод практик'!$J$6:$J$277,'свод субъектов ИБ+смежные'!AV$1)</f>
        <v>41.320000000000007</v>
      </c>
      <c r="AW65" s="36">
        <f>SUMIFS('свод практик'!$AU$6:$AU$277,'свод практик'!$J$6:$J$277,'свод субъектов ИБ+смежные'!AW$1)</f>
        <v>28.754290000000001</v>
      </c>
      <c r="AX65" s="36">
        <f>SUMIFS('свод практик'!$AU$6:$AU$277,'свод практик'!$J$6:$J$277,'свод субъектов ИБ+смежные'!AX$1)</f>
        <v>102.20200000000001</v>
      </c>
      <c r="AY65" s="160">
        <f>SUMIFS('свод практик'!$AU$6:$AU$277,'свод практик'!$J$6:$J$277,'свод субъектов ИБ+смежные'!AY$1)</f>
        <v>0</v>
      </c>
      <c r="AZ65" s="36">
        <f>SUMIFS('свод практик'!$AU$6:$AU$277,'свод практик'!$J$6:$J$277,'свод субъектов ИБ+смежные'!AZ$1)</f>
        <v>114.67099999999999</v>
      </c>
      <c r="BA65" s="36">
        <f>SUMIFS('свод практик'!$AU$6:$AU$277,'свод практик'!$J$6:$J$277,'свод субъектов ИБ+смежные'!BA$1)</f>
        <v>4.5254814699999999</v>
      </c>
      <c r="BB65" s="160">
        <f>SUMIFS('свод практик'!$AU$6:$AU$277,'свод практик'!$J$6:$J$277,'свод субъектов ИБ+смежные'!BB$1)</f>
        <v>0</v>
      </c>
      <c r="BC65" s="36">
        <f>SUMIFS('свод практик'!$AU$6:$AU$277,'свод практик'!$J$6:$J$277,'свод субъектов ИБ+смежные'!BC$1)</f>
        <v>5.4236829999999996</v>
      </c>
      <c r="BD65" s="160">
        <f>SUMIFS('свод практик'!$AU$6:$AU$277,'свод практик'!$J$6:$J$277,'свод субъектов ИБ+смежные'!BD$1)</f>
        <v>0</v>
      </c>
      <c r="BE65" s="160">
        <f>SUMIFS('свод практик'!$AU$6:$AU$277,'свод практик'!$J$6:$J$277,'свод субъектов ИБ+смежные'!BE$1)</f>
        <v>0</v>
      </c>
      <c r="BF65" s="36">
        <f>SUMIFS('свод практик'!$AU$6:$AU$277,'свод практик'!$J$6:$J$277,'свод субъектов ИБ+смежные'!BF$1)</f>
        <v>7.4</v>
      </c>
      <c r="BG65" s="36">
        <f>SUMIFS('свод практик'!$AU$6:$AU$277,'свод практик'!$J$6:$J$277,'свод субъектов ИБ+смежные'!BG$1)</f>
        <v>5.0949999999999998</v>
      </c>
      <c r="BH65" s="36">
        <f>SUMIFS('свод практик'!$AU$6:$AU$277,'свод практик'!$J$6:$J$277,'свод субъектов ИБ+смежные'!BH$1)</f>
        <v>3.484</v>
      </c>
      <c r="BI65" s="36">
        <f>SUMIFS('свод практик'!$AU$6:$AU$277,'свод практик'!$J$6:$J$277,'свод субъектов ИБ+смежные'!BI$1)</f>
        <v>228.06299999999999</v>
      </c>
      <c r="BJ65" s="36">
        <f>SUMIFS('свод практик'!$AU$6:$AU$277,'свод практик'!$J$6:$J$277,'свод субъектов ИБ+смежные'!BJ$1)</f>
        <v>86.090299999999999</v>
      </c>
      <c r="BK65" s="36">
        <f>SUMIFS('свод практик'!$AU$6:$AU$277,'свод практик'!$J$6:$J$277,'свод субъектов ИБ+смежные'!BK$1)</f>
        <v>30.8</v>
      </c>
      <c r="BL65" s="36">
        <f>SUMIFS('свод практик'!$AU$6:$AU$277,'свод практик'!$J$6:$J$277,'свод субъектов ИБ+смежные'!BL$1)</f>
        <v>25</v>
      </c>
      <c r="BM65" s="36">
        <f>SUMIFS('свод практик'!$AU$6:$AU$277,'свод практик'!$J$6:$J$277,'свод субъектов ИБ+смежные'!BM$1)</f>
        <v>28.63</v>
      </c>
      <c r="BN65" s="36">
        <f>SUMIFS('свод практик'!$AU$6:$AU$277,'свод практик'!$J$6:$J$277,'свод субъектов ИБ+смежные'!BN$1)</f>
        <v>4.3579999999999997</v>
      </c>
      <c r="BO65" s="36">
        <f>SUMIFS('свод практик'!$AU$6:$AU$277,'свод практик'!$J$6:$J$277,'свод субъектов ИБ+смежные'!BO$1)</f>
        <v>93.927999999999997</v>
      </c>
      <c r="BP65" s="36">
        <f>SUMIFS('свод практик'!$AU$6:$AU$277,'свод практик'!$J$6:$J$277,'свод субъектов ИБ+смежные'!BP$1)</f>
        <v>0.69513455999999996</v>
      </c>
      <c r="BQ65" s="160">
        <f>SUMIFS('свод практик'!$AU$6:$AU$277,'свод практик'!$J$6:$J$277,'свод субъектов ИБ+смежные'!BQ$1)</f>
        <v>0</v>
      </c>
      <c r="BR65" s="36">
        <f>SUMIFS('свод практик'!$AU$6:$AU$277,'свод практик'!$J$6:$J$277,'свод субъектов ИБ+смежные'!BR$1)</f>
        <v>0.99</v>
      </c>
      <c r="BS65" s="36">
        <f>SUMIFS('свод практик'!$AU$6:$AU$277,'свод практик'!$J$6:$J$277,'свод субъектов ИБ+смежные'!BS$1)</f>
        <v>0.80100000000000005</v>
      </c>
      <c r="BT65" s="36">
        <f>SUMIFS('свод практик'!$AU$6:$AU$277,'свод практик'!$J$6:$J$277,'свод субъектов ИБ+смежные'!BT$1)</f>
        <v>44.431000000000004</v>
      </c>
      <c r="BU65" s="36">
        <f>SUMIFS('свод практик'!$AU$6:$AU$277,'свод практик'!$J$6:$J$277,'свод субъектов ИБ+смежные'!BU$1)</f>
        <v>81.089000000000013</v>
      </c>
      <c r="BV65" s="36">
        <f>SUMIFS('свод практик'!$AU$6:$AU$277,'свод практик'!$J$6:$J$277,'свод субъектов ИБ+смежные'!BV$1)</f>
        <v>0</v>
      </c>
      <c r="BW65" s="36">
        <f>SUMIFS('свод практик'!$AU$6:$AU$277,'свод практик'!$J$6:$J$277,'свод субъектов ИБ+смежные'!BW$1)</f>
        <v>17.645600000000002</v>
      </c>
      <c r="BX65" s="36">
        <f>SUMIFS('свод практик'!$AU$6:$AU$277,'свод практик'!$J$6:$J$277,'свод субъектов ИБ+смежные'!BX$1)</f>
        <v>137.1</v>
      </c>
      <c r="BY65" s="36">
        <f>SUMIFS('свод практик'!$AU$6:$AU$277,'свод практик'!$J$6:$J$277,'свод субъектов ИБ+смежные'!BY$1)</f>
        <v>43.5</v>
      </c>
      <c r="BZ65" s="36">
        <f>SUMIFS('свод практик'!$AU$6:$AU$277,'свод практик'!$J$6:$J$277,'свод субъектов ИБ+смежные'!BZ$1)</f>
        <v>182.55811600000001</v>
      </c>
      <c r="CA65" s="160">
        <f>SUMIFS('свод практик'!$AU$6:$AU$277,'свод практик'!$J$6:$J$277,'свод субъектов ИБ+смежные'!CA$1)</f>
        <v>0</v>
      </c>
      <c r="CB65" s="160">
        <f>SUMIFS('свод практик'!$AU$6:$AU$277,'свод практик'!$J$6:$J$277,'свод субъектов ИБ+смежные'!CB$1)</f>
        <v>0</v>
      </c>
      <c r="CC65" s="36">
        <f>SUMIFS('свод практик'!$AU$6:$AU$277,'свод практик'!$J$6:$J$277,'свод субъектов ИБ+смежные'!CC$1)</f>
        <v>0.318</v>
      </c>
      <c r="CD65" s="36">
        <f>SUMIFS('свод практик'!$AU$6:$AU$277,'свод практик'!$J$6:$J$277,'свод субъектов ИБ+смежные'!CD$1)</f>
        <v>162.19900000000001</v>
      </c>
      <c r="CE65" s="36">
        <f>SUMIFS('свод практик'!$AU$6:$AU$277,'свод практик'!$J$6:$J$277,'свод субъектов ИБ+смежные'!CE$1)</f>
        <v>7.6</v>
      </c>
      <c r="CF65" s="36">
        <f>SUMIFS('свод практик'!$AU$6:$AU$277,'свод практик'!$J$6:$J$277,'свод субъектов ИБ+смежные'!CF$1)</f>
        <v>0</v>
      </c>
      <c r="CG65" s="36">
        <f>SUMIFS('свод практик'!$AU$6:$AU$277,'свод практик'!$J$6:$J$277,'свод субъектов ИБ+смежные'!CG$1)</f>
        <v>71.099999999999994</v>
      </c>
      <c r="CH65" s="36">
        <f>SUMIFS('свод практик'!$AU$6:$AU$277,'свод практик'!$J$6:$J$277,'свод субъектов ИБ+смежные'!CH$1)</f>
        <v>8.4418261000000001</v>
      </c>
      <c r="CI65" s="36">
        <f>SUMIFS('свод практик'!$AU$6:$AU$277,'свод практик'!$J$6:$J$277,'свод субъектов ИБ+смежные'!CI$1)</f>
        <v>130</v>
      </c>
      <c r="CJ65" s="160">
        <f>SUMIFS('свод практик'!$AU$6:$AU$277,'свод практик'!$J$6:$J$277,'свод субъектов ИБ+смежные'!CJ$1)</f>
        <v>0</v>
      </c>
      <c r="CK65" s="36">
        <f>SUMIFS('свод практик'!$AU$6:$AU$277,'свод практик'!$J$6:$J$277,'свод субъектов ИБ+смежные'!CK$1)</f>
        <v>9.0999999999999998E-2</v>
      </c>
      <c r="CL65" s="36">
        <f>SUMIFS('свод практик'!$AU$6:$AU$277,'свод практик'!$J$6:$J$277,'свод субъектов ИБ+смежные'!CL$1)</f>
        <v>25.062999999999999</v>
      </c>
      <c r="CM65" s="36">
        <f>SUMIFS('свод практик'!$AU$6:$AU$277,'свод практик'!$J$6:$J$277,'свод субъектов ИБ+смежные'!CM$1)</f>
        <v>62.413632500000006</v>
      </c>
      <c r="CN65" s="36">
        <f>SUMIFS('свод практик'!$AU$6:$AU$277,'свод практик'!$J$6:$J$277,'свод субъектов ИБ+смежные'!CN$1)</f>
        <v>12.488999999999999</v>
      </c>
      <c r="CO65" s="160">
        <f>SUMIFS('свод практик'!$AU$6:$AU$277,'свод практик'!$J$6:$J$277,'свод субъектов ИБ+смежные'!CO$1)</f>
        <v>0</v>
      </c>
      <c r="CP65" s="36">
        <f>SUMIFS('свод практик'!$AU$6:$AU$277,'свод практик'!$J$6:$J$277,'свод субъектов ИБ+смежные'!CP$1)</f>
        <v>248.96410534</v>
      </c>
      <c r="CQ65" s="36">
        <f>SUMIFS('свод практик'!$AU$6:$AU$277,'свод практик'!$J$6:$J$277,'свод субъектов ИБ+смежные'!CQ$1)</f>
        <v>17.8</v>
      </c>
      <c r="CR65" s="160">
        <f>SUMIFS('свод практик'!$AU$6:$AU$277,'свод практик'!$J$6:$J$277,'свод субъектов ИБ+смежные'!CR$1)</f>
        <v>0</v>
      </c>
      <c r="CS65" s="36">
        <f>SUMIFS('свод практик'!$AU$6:$AU$277,'свод практик'!$J$6:$J$277,'свод субъектов ИБ+смежные'!CS$1)</f>
        <v>120.57300000000001</v>
      </c>
      <c r="CT65" s="36">
        <f>SUMIFS('свод практик'!$AU$6:$AU$277,'свод практик'!$J$6:$J$277,'свод субъектов ИБ+смежные'!CT$1)</f>
        <v>5.285177</v>
      </c>
      <c r="CU65" s="36">
        <f>SUMIFS('свод практик'!$AU$6:$AU$277,'свод практик'!$J$6:$J$277,'свод субъектов ИБ+смежные'!CU$1)</f>
        <v>61.493100000000005</v>
      </c>
      <c r="CV65" s="36">
        <f>SUMIFS('свод практик'!$AU$6:$AU$277,'свод практик'!$J$6:$J$277,'свод субъектов ИБ+смежные'!CV$1)</f>
        <v>67.400000000000006</v>
      </c>
    </row>
    <row r="66" spans="1:100" ht="29" thickBot="1">
      <c r="A66" s="721"/>
      <c r="B66" s="722"/>
      <c r="C66" s="722"/>
      <c r="D66" s="49" t="s">
        <v>4949</v>
      </c>
      <c r="E66" s="49">
        <v>29</v>
      </c>
      <c r="F66" s="59" t="s">
        <v>5094</v>
      </c>
      <c r="G66" s="141" t="s">
        <v>5089</v>
      </c>
      <c r="H66" s="52" t="s">
        <v>60</v>
      </c>
      <c r="I66" s="82" t="s">
        <v>5090</v>
      </c>
      <c r="M66" s="36">
        <v>0.13282709692467154</v>
      </c>
      <c r="N66" s="36">
        <v>0.15349089891588938</v>
      </c>
      <c r="O66" s="228">
        <f>O65/O60</f>
        <v>0.16362662785726212</v>
      </c>
      <c r="P66" s="145">
        <f>P65/P$60</f>
        <v>0.13647781188947808</v>
      </c>
      <c r="Q66" s="145">
        <f t="shared" ref="Q66:CB66" si="23">Q65/Q$60</f>
        <v>2.0883937162510226E-2</v>
      </c>
      <c r="R66" s="145">
        <f t="shared" si="23"/>
        <v>0.19173363949483352</v>
      </c>
      <c r="S66" s="145">
        <f t="shared" si="23"/>
        <v>0.13493338689161144</v>
      </c>
      <c r="T66" s="145">
        <f t="shared" si="23"/>
        <v>0.36189462480042572</v>
      </c>
      <c r="U66" s="145">
        <f t="shared" si="23"/>
        <v>0.2253333333333333</v>
      </c>
      <c r="V66" s="145">
        <f t="shared" si="23"/>
        <v>7.5999921342206428E-2</v>
      </c>
      <c r="W66" s="145">
        <f t="shared" si="23"/>
        <v>0.91458642433234416</v>
      </c>
      <c r="X66" s="145">
        <f t="shared" si="23"/>
        <v>7.3394495412844041E-2</v>
      </c>
      <c r="Y66" s="145">
        <f t="shared" si="23"/>
        <v>0</v>
      </c>
      <c r="Z66" s="145">
        <f t="shared" si="23"/>
        <v>9.2431567865808945E-2</v>
      </c>
      <c r="AA66" s="145">
        <f t="shared" si="23"/>
        <v>0.53021385934400156</v>
      </c>
      <c r="AB66" s="145">
        <f t="shared" si="23"/>
        <v>0.56187366960847618</v>
      </c>
      <c r="AC66" s="145">
        <f t="shared" si="23"/>
        <v>0.13187742428029045</v>
      </c>
      <c r="AD66" s="162" t="e">
        <f t="shared" si="23"/>
        <v>#DIV/0!</v>
      </c>
      <c r="AE66" s="162" t="e">
        <f t="shared" si="23"/>
        <v>#DIV/0!</v>
      </c>
      <c r="AF66" s="145">
        <f t="shared" si="23"/>
        <v>0</v>
      </c>
      <c r="AG66" s="162" t="e">
        <f t="shared" si="23"/>
        <v>#DIV/0!</v>
      </c>
      <c r="AH66" s="162" t="e">
        <f t="shared" si="23"/>
        <v>#DIV/0!</v>
      </c>
      <c r="AI66" s="145">
        <f t="shared" si="23"/>
        <v>0.13252368877619111</v>
      </c>
      <c r="AJ66" s="145">
        <f t="shared" si="23"/>
        <v>0.5</v>
      </c>
      <c r="AK66" s="145">
        <f t="shared" si="23"/>
        <v>0.23245069579676414</v>
      </c>
      <c r="AL66" s="145">
        <f t="shared" si="23"/>
        <v>0.13687506105733918</v>
      </c>
      <c r="AM66" s="145">
        <f t="shared" si="23"/>
        <v>0.33535358974756996</v>
      </c>
      <c r="AN66" s="162" t="e">
        <f t="shared" si="23"/>
        <v>#DIV/0!</v>
      </c>
      <c r="AO66" s="162" t="e">
        <f t="shared" si="23"/>
        <v>#DIV/0!</v>
      </c>
      <c r="AP66" s="145">
        <f t="shared" si="23"/>
        <v>0.24626865671641793</v>
      </c>
      <c r="AQ66" s="145">
        <f t="shared" si="23"/>
        <v>0.20653061224489797</v>
      </c>
      <c r="AR66" s="145">
        <f t="shared" si="23"/>
        <v>0.17834243647589648</v>
      </c>
      <c r="AS66" s="145">
        <f t="shared" si="23"/>
        <v>0.167436274758546</v>
      </c>
      <c r="AT66" s="145">
        <f t="shared" si="23"/>
        <v>0.32295315355630227</v>
      </c>
      <c r="AU66" s="145">
        <f t="shared" si="23"/>
        <v>0.16644488955499837</v>
      </c>
      <c r="AV66" s="145">
        <f t="shared" si="23"/>
        <v>0.26780737572104485</v>
      </c>
      <c r="AW66" s="145">
        <f t="shared" si="23"/>
        <v>9.6919303999411233E-2</v>
      </c>
      <c r="AX66" s="145">
        <f t="shared" si="23"/>
        <v>0.18026983343649114</v>
      </c>
      <c r="AY66" s="162" t="e">
        <f t="shared" si="23"/>
        <v>#DIV/0!</v>
      </c>
      <c r="AZ66" s="145">
        <f t="shared" si="23"/>
        <v>0.20581821314662016</v>
      </c>
      <c r="BA66" s="145">
        <f t="shared" si="23"/>
        <v>5.4813791862986148E-2</v>
      </c>
      <c r="BB66" s="162" t="e">
        <f t="shared" si="23"/>
        <v>#DIV/0!</v>
      </c>
      <c r="BC66" s="145">
        <f t="shared" si="23"/>
        <v>0.16765731117782279</v>
      </c>
      <c r="BD66" s="162" t="e">
        <f t="shared" si="23"/>
        <v>#DIV/0!</v>
      </c>
      <c r="BE66" s="162" t="e">
        <f t="shared" si="23"/>
        <v>#DIV/0!</v>
      </c>
      <c r="BF66" s="145">
        <f t="shared" si="23"/>
        <v>0.93552465233881166</v>
      </c>
      <c r="BG66" s="145">
        <f t="shared" si="23"/>
        <v>0.13672713610991841</v>
      </c>
      <c r="BH66" s="145">
        <f t="shared" si="23"/>
        <v>0.14964350141740401</v>
      </c>
      <c r="BI66" s="145">
        <f t="shared" si="23"/>
        <v>0.32794341375313835</v>
      </c>
      <c r="BJ66" s="145">
        <f t="shared" si="23"/>
        <v>0.15129422098158307</v>
      </c>
      <c r="BK66" s="145">
        <f t="shared" si="23"/>
        <v>0.19543147208121828</v>
      </c>
      <c r="BL66" s="145">
        <f t="shared" si="23"/>
        <v>0.35625222657641614</v>
      </c>
      <c r="BM66" s="145">
        <f t="shared" si="23"/>
        <v>0.24862595731414489</v>
      </c>
      <c r="BN66" s="145">
        <f t="shared" si="23"/>
        <v>0.17367393296935396</v>
      </c>
      <c r="BO66" s="145">
        <f t="shared" si="23"/>
        <v>0.18045655924472914</v>
      </c>
      <c r="BP66" s="145">
        <f t="shared" si="23"/>
        <v>5.3371430576393169E-3</v>
      </c>
      <c r="BQ66" s="162" t="e">
        <f t="shared" si="23"/>
        <v>#DIV/0!</v>
      </c>
      <c r="BR66" s="145">
        <f t="shared" si="23"/>
        <v>0.21540469973890339</v>
      </c>
      <c r="BS66" s="145">
        <f t="shared" si="23"/>
        <v>6.9767441860465115E-2</v>
      </c>
      <c r="BT66" s="145">
        <f t="shared" si="23"/>
        <v>0.2116124668990875</v>
      </c>
      <c r="BU66" s="145">
        <f t="shared" si="23"/>
        <v>0.29460499627751879</v>
      </c>
      <c r="BV66" s="145">
        <f t="shared" si="23"/>
        <v>0</v>
      </c>
      <c r="BW66" s="145">
        <f t="shared" si="23"/>
        <v>0.16304354856444322</v>
      </c>
      <c r="BX66" s="145">
        <f t="shared" si="23"/>
        <v>0.16987374081554263</v>
      </c>
      <c r="BY66" s="145">
        <f t="shared" si="23"/>
        <v>5.0475748433511256E-2</v>
      </c>
      <c r="BZ66" s="145">
        <f t="shared" si="23"/>
        <v>8.5135341827474537E-2</v>
      </c>
      <c r="CA66" s="162" t="e">
        <f t="shared" si="23"/>
        <v>#DIV/0!</v>
      </c>
      <c r="CB66" s="162" t="e">
        <f t="shared" si="23"/>
        <v>#DIV/0!</v>
      </c>
      <c r="CC66" s="145">
        <f t="shared" ref="CC66:CV66" si="24">CC65/CC$60</f>
        <v>0.3878048780487805</v>
      </c>
      <c r="CD66" s="145">
        <f t="shared" si="24"/>
        <v>0.25008480116439707</v>
      </c>
      <c r="CE66" s="145">
        <f t="shared" si="24"/>
        <v>5.4971682350473408E-2</v>
      </c>
      <c r="CF66" s="145">
        <f t="shared" si="24"/>
        <v>0</v>
      </c>
      <c r="CG66" s="145">
        <f t="shared" si="24"/>
        <v>0.31712756467439784</v>
      </c>
      <c r="CH66" s="145">
        <f t="shared" si="24"/>
        <v>0.1564291733012477</v>
      </c>
      <c r="CI66" s="145">
        <f t="shared" si="24"/>
        <v>0.18624641833810887</v>
      </c>
      <c r="CJ66" s="162" t="e">
        <f t="shared" si="24"/>
        <v>#DIV/0!</v>
      </c>
      <c r="CK66" s="145">
        <f t="shared" si="24"/>
        <v>2.0931136560715249E-4</v>
      </c>
      <c r="CL66" s="145">
        <f t="shared" si="24"/>
        <v>0.27120527249193122</v>
      </c>
      <c r="CM66" s="145">
        <f t="shared" si="24"/>
        <v>0.32410959142770934</v>
      </c>
      <c r="CN66" s="145">
        <f t="shared" si="24"/>
        <v>6.2331245477004457E-2</v>
      </c>
      <c r="CO66" s="162" t="e">
        <f t="shared" si="24"/>
        <v>#DIV/0!</v>
      </c>
      <c r="CP66" s="145">
        <f t="shared" si="24"/>
        <v>0.3178441022113821</v>
      </c>
      <c r="CQ66" s="145">
        <f t="shared" si="24"/>
        <v>1</v>
      </c>
      <c r="CR66" s="162" t="e">
        <f t="shared" si="24"/>
        <v>#DIV/0!</v>
      </c>
      <c r="CS66" s="145">
        <f t="shared" si="24"/>
        <v>0.26989705352366161</v>
      </c>
      <c r="CT66" s="145">
        <f t="shared" si="24"/>
        <v>0.19824369842460615</v>
      </c>
      <c r="CU66" s="145">
        <f t="shared" si="24"/>
        <v>0.8199517307589741</v>
      </c>
      <c r="CV66" s="145">
        <f t="shared" si="24"/>
        <v>9.1142663962136591E-2</v>
      </c>
    </row>
    <row r="67" spans="1:100" ht="42">
      <c r="A67" s="720" t="s">
        <v>5095</v>
      </c>
      <c r="B67" s="715" t="s">
        <v>4990</v>
      </c>
      <c r="C67" s="717" t="s">
        <v>5096</v>
      </c>
      <c r="D67" s="37" t="s">
        <v>4949</v>
      </c>
      <c r="E67" s="37">
        <v>30</v>
      </c>
      <c r="F67" s="38" t="s">
        <v>5097</v>
      </c>
      <c r="G67" s="140" t="s">
        <v>5265</v>
      </c>
      <c r="H67" s="40" t="s">
        <v>5082</v>
      </c>
      <c r="I67" s="55" t="s">
        <v>4961</v>
      </c>
      <c r="L67" s="36" t="s">
        <v>278</v>
      </c>
      <c r="M67" s="36">
        <v>776.5529130000001</v>
      </c>
      <c r="N67" s="36">
        <v>1123.1145690999999</v>
      </c>
      <c r="O67" s="687">
        <f>SUM(P67:CV67)</f>
        <v>1267.2471590900002</v>
      </c>
      <c r="P67" s="36">
        <f>SUMIFS('свод практик'!$AY$6:$AY$277,'свод практик'!$J$6:$J$277,'свод субъектов ИБ+смежные'!P$1)</f>
        <v>0.68100000000000005</v>
      </c>
      <c r="Q67" s="36">
        <f>SUMIFS('свод практик'!$AY$6:$AY$277,'свод практик'!$J$6:$J$277,'свод субъектов ИБ+смежные'!Q$1)</f>
        <v>3.9630000000000001</v>
      </c>
      <c r="R67" s="36">
        <f>SUMIFS('свод практик'!$AY$6:$AY$277,'свод практик'!$J$6:$J$277,'свод субъектов ИБ+смежные'!R$1)</f>
        <v>14</v>
      </c>
      <c r="S67" s="36">
        <f>SUMIFS('свод практик'!$AY$6:$AY$277,'свод практик'!$J$6:$J$277,'свод субъектов ИБ+смежные'!S$1)</f>
        <v>3.3490000000000002</v>
      </c>
      <c r="T67" s="36">
        <f>SUMIFS('свод практик'!$AY$6:$AY$277,'свод практик'!$J$6:$J$277,'свод субъектов ИБ+смежные'!T$1)</f>
        <v>15.15</v>
      </c>
      <c r="U67" s="36">
        <f>SUMIFS('свод практик'!$AY$6:$AY$277,'свод практик'!$J$6:$J$277,'свод субъектов ИБ+смежные'!U$1)</f>
        <v>2.5000000000000001E-2</v>
      </c>
      <c r="V67" s="36">
        <f>SUMIFS('свод практик'!$AY$6:$AY$277,'свод практик'!$J$6:$J$277,'свод субъектов ИБ+смежные'!V$1)</f>
        <v>104.80600000000003</v>
      </c>
      <c r="W67" s="36">
        <f>SUMIFS('свод практик'!$AY$6:$AY$277,'свод практик'!$J$6:$J$277,'свод субъектов ИБ+смежные'!W$1)</f>
        <v>0.21199999999999999</v>
      </c>
      <c r="X67" s="36">
        <f>SUMIFS('свод практик'!$AY$6:$AY$277,'свод практик'!$J$6:$J$277,'свод субъектов ИБ+смежные'!X$1)</f>
        <v>5</v>
      </c>
      <c r="Y67" s="36">
        <f>SUMIFS('свод практик'!$AY$6:$AY$277,'свод практик'!$J$6:$J$277,'свод субъектов ИБ+смежные'!Y$1)</f>
        <v>0</v>
      </c>
      <c r="Z67" s="36">
        <f>SUMIFS('свод практик'!$AY$6:$AY$277,'свод практик'!$J$6:$J$277,'свод субъектов ИБ+смежные'!Z$1)</f>
        <v>60.765999999999998</v>
      </c>
      <c r="AA67" s="36">
        <f>SUMIFS('свод практик'!$AY$6:$AY$277,'свод практик'!$J$6:$J$277,'свод субъектов ИБ+смежные'!AA$1)</f>
        <v>1.5086999999999999</v>
      </c>
      <c r="AB67" s="36">
        <f>SUMIFS('свод практик'!$AY$6:$AY$277,'свод практик'!$J$6:$J$277,'свод субъектов ИБ+смежные'!AB$1)</f>
        <v>15.617000000000001</v>
      </c>
      <c r="AC67" s="36">
        <f>SUMIFS('свод практик'!$AY$6:$AY$277,'свод практик'!$J$6:$J$277,'свод субъектов ИБ+смежные'!AC$1)</f>
        <v>22.771999999999998</v>
      </c>
      <c r="AD67" s="160">
        <f>SUMIFS('свод практик'!$AY$6:$AY$277,'свод практик'!$J$6:$J$277,'свод субъектов ИБ+смежные'!AD$1)</f>
        <v>0</v>
      </c>
      <c r="AE67" s="160">
        <f>SUMIFS('свод практик'!$AY$6:$AY$277,'свод практик'!$J$6:$J$277,'свод субъектов ИБ+смежные'!AE$1)</f>
        <v>0</v>
      </c>
      <c r="AF67" s="36">
        <f>SUMIFS('свод практик'!$AY$6:$AY$277,'свод практик'!$J$6:$J$277,'свод субъектов ИБ+смежные'!AF$1)</f>
        <v>0</v>
      </c>
      <c r="AG67" s="160">
        <f>SUMIFS('свод практик'!$AY$6:$AY$277,'свод практик'!$J$6:$J$277,'свод субъектов ИБ+смежные'!AG$1)</f>
        <v>0</v>
      </c>
      <c r="AH67" s="160">
        <f>SUMIFS('свод практик'!$AY$6:$AY$277,'свод практик'!$J$6:$J$277,'свод субъектов ИБ+смежные'!AH$1)</f>
        <v>0</v>
      </c>
      <c r="AI67" s="36">
        <f>SUMIFS('свод практик'!$AY$6:$AY$277,'свод практик'!$J$6:$J$277,'свод субъектов ИБ+смежные'!AI$1)</f>
        <v>0</v>
      </c>
      <c r="AJ67" s="36">
        <f>SUMIFS('свод практик'!$AY$6:$AY$277,'свод практик'!$J$6:$J$277,'свод субъектов ИБ+смежные'!AJ$1)</f>
        <v>1</v>
      </c>
      <c r="AK67" s="36">
        <f>SUMIFS('свод практик'!$AY$6:$AY$277,'свод практик'!$J$6:$J$277,'свод субъектов ИБ+смежные'!AK$1)</f>
        <v>16.882999999999999</v>
      </c>
      <c r="AL67" s="36">
        <f>SUMIFS('свод практик'!$AY$6:$AY$277,'свод практик'!$J$6:$J$277,'свод субъектов ИБ+смежные'!AL$1)</f>
        <v>0.68300000000000005</v>
      </c>
      <c r="AM67" s="36">
        <f>SUMIFS('свод практик'!$AY$6:$AY$277,'свод практик'!$J$6:$J$277,'свод субъектов ИБ+смежные'!AM$1)</f>
        <v>11.540226929999999</v>
      </c>
      <c r="AN67" s="160">
        <f>SUMIFS('свод практик'!$AY$6:$AY$277,'свод практик'!$J$6:$J$277,'свод субъектов ИБ+смежные'!AN$1)</f>
        <v>0</v>
      </c>
      <c r="AO67" s="160">
        <f>SUMIFS('свод практик'!$AY$6:$AY$277,'свод практик'!$J$6:$J$277,'свод субъектов ИБ+смежные'!AO$1)</f>
        <v>0</v>
      </c>
      <c r="AP67" s="36">
        <f>SUMIFS('свод практик'!$AY$6:$AY$277,'свод практик'!$J$6:$J$277,'свод субъектов ИБ+смежные'!AP$1)</f>
        <v>14.8</v>
      </c>
      <c r="AQ67" s="36">
        <f>SUMIFS('свод практик'!$AY$6:$AY$277,'свод практик'!$J$6:$J$277,'свод субъектов ИБ+смежные'!AQ$1)</f>
        <v>4</v>
      </c>
      <c r="AR67" s="36">
        <f>SUMIFS('свод практик'!$AY$6:$AY$277,'свод практик'!$J$6:$J$277,'свод субъектов ИБ+смежные'!AR$1)</f>
        <v>58.42</v>
      </c>
      <c r="AS67" s="36">
        <f>SUMIFS('свод практик'!$AY$6:$AY$277,'свод практик'!$J$6:$J$277,'свод субъектов ИБ+смежные'!AS$1)</f>
        <v>1.466</v>
      </c>
      <c r="AT67" s="36">
        <f>SUMIFS('свод практик'!$AY$6:$AY$277,'свод практик'!$J$6:$J$277,'свод субъектов ИБ+смежные'!AT$1)</f>
        <v>12.190999999999999</v>
      </c>
      <c r="AU67" s="36">
        <f>SUMIFS('свод практик'!$AY$6:$AY$277,'свод практик'!$J$6:$J$277,'свод субъектов ИБ+смежные'!AU$1)</f>
        <v>21.074000000000002</v>
      </c>
      <c r="AV67" s="36">
        <f>SUMIFS('свод практик'!$AY$6:$AY$277,'свод практик'!$J$6:$J$277,'свод субъектов ИБ+смежные'!AV$1)</f>
        <v>6.0600000000000005</v>
      </c>
      <c r="AW67" s="36">
        <f>SUMIFS('свод практик'!$AY$6:$AY$277,'свод практик'!$J$6:$J$277,'свод субъектов ИБ+смежные'!AW$1)</f>
        <v>3.5070000000000001</v>
      </c>
      <c r="AX67" s="36">
        <f>SUMIFS('свод практик'!$AY$6:$AY$277,'свод практик'!$J$6:$J$277,'свод субъектов ИБ+смежные'!AX$1)</f>
        <v>11.9445</v>
      </c>
      <c r="AY67" s="160">
        <f>SUMIFS('свод практик'!$AY$6:$AY$277,'свод практик'!$J$6:$J$277,'свод субъектов ИБ+смежные'!AY$1)</f>
        <v>0</v>
      </c>
      <c r="AZ67" s="36">
        <f>SUMIFS('свод практик'!$AY$6:$AY$277,'свод практик'!$J$6:$J$277,'свод субъектов ИБ+смежные'!AZ$1)</f>
        <v>0.20899999999999999</v>
      </c>
      <c r="BA67" s="36">
        <f>SUMIFS('свод практик'!$AY$6:$AY$277,'свод практик'!$J$6:$J$277,'свод субъектов ИБ+смежные'!BA$1)</f>
        <v>4.72</v>
      </c>
      <c r="BB67" s="160">
        <f>SUMIFS('свод практик'!$AY$6:$AY$277,'свод практик'!$J$6:$J$277,'свод субъектов ИБ+смежные'!BB$1)</f>
        <v>0</v>
      </c>
      <c r="BC67" s="36">
        <f>SUMIFS('свод практик'!$AY$6:$AY$277,'свод практик'!$J$6:$J$277,'свод субъектов ИБ+смежные'!BC$1)</f>
        <v>5.1242109999999998</v>
      </c>
      <c r="BD67" s="160">
        <f>SUMIFS('свод практик'!$AY$6:$AY$277,'свод практик'!$J$6:$J$277,'свод субъектов ИБ+смежные'!BD$1)</f>
        <v>0</v>
      </c>
      <c r="BE67" s="160">
        <f>SUMIFS('свод практик'!$AY$6:$AY$277,'свод практик'!$J$6:$J$277,'свод субъектов ИБ+смежные'!BE$1)</f>
        <v>0</v>
      </c>
      <c r="BF67" s="36">
        <f>SUMIFS('свод практик'!$AY$6:$AY$277,'свод практик'!$J$6:$J$277,'свод субъектов ИБ+смежные'!BF$1)</f>
        <v>0</v>
      </c>
      <c r="BG67" s="36">
        <f>SUMIFS('свод практик'!$AY$6:$AY$277,'свод практик'!$J$6:$J$277,'свод субъектов ИБ+смежные'!BG$1)</f>
        <v>4.3170000000000002</v>
      </c>
      <c r="BH67" s="36">
        <f>SUMIFS('свод практик'!$AY$6:$AY$277,'свод практик'!$J$6:$J$277,'свод субъектов ИБ+смежные'!BH$1)</f>
        <v>0.20799999999999999</v>
      </c>
      <c r="BI67" s="36">
        <f>SUMIFS('свод практик'!$AY$6:$AY$277,'свод практик'!$J$6:$J$277,'свод субъектов ИБ+смежные'!BI$1)</f>
        <v>37.768000000000001</v>
      </c>
      <c r="BJ67" s="36">
        <f>SUMIFS('свод практик'!$AY$6:$AY$277,'свод практик'!$J$6:$J$277,'свод субъектов ИБ+смежные'!BJ$1)</f>
        <v>14.983499999999999</v>
      </c>
      <c r="BK67" s="36">
        <f>SUMIFS('свод практик'!$AY$6:$AY$277,'свод практик'!$J$6:$J$277,'свод субъектов ИБ+смежные'!BK$1)</f>
        <v>13.4</v>
      </c>
      <c r="BL67" s="36">
        <f>SUMIFS('свод практик'!$AY$6:$AY$277,'свод практик'!$J$6:$J$277,'свод субъектов ИБ+смежные'!BL$1)</f>
        <v>45.174999999999997</v>
      </c>
      <c r="BM67" s="36">
        <f>SUMIFS('свод практик'!$AY$6:$AY$277,'свод практик'!$J$6:$J$277,'свод субъектов ИБ+смежные'!BM$1)</f>
        <v>9.1731999999999978</v>
      </c>
      <c r="BN67" s="36">
        <f>SUMIFS('свод практик'!$AY$6:$AY$277,'свод практик'!$J$6:$J$277,'свод субъектов ИБ+смежные'!BN$1)</f>
        <v>1.5931</v>
      </c>
      <c r="BO67" s="36">
        <f>SUMIFS('свод практик'!$AY$6:$AY$277,'свод практик'!$J$6:$J$277,'свод субъектов ИБ+смежные'!BO$1)</f>
        <v>16.074000000000002</v>
      </c>
      <c r="BP67" s="36">
        <f>SUMIFS('свод практик'!$AY$6:$AY$277,'свод практик'!$J$6:$J$277,'свод субъектов ИБ+смежные'!BP$1)</f>
        <v>10.79590851</v>
      </c>
      <c r="BQ67" s="160">
        <f>SUMIFS('свод практик'!$AY$6:$AY$277,'свод практик'!$J$6:$J$277,'свод субъектов ИБ+смежные'!BQ$1)</f>
        <v>0</v>
      </c>
      <c r="BR67" s="36">
        <f>SUMIFS('свод практик'!$AY$6:$AY$277,'свод практик'!$J$6:$J$277,'свод субъектов ИБ+смежные'!BR$1)</f>
        <v>0.106</v>
      </c>
      <c r="BS67" s="36">
        <f>SUMIFS('свод практик'!$AY$6:$AY$277,'свод практик'!$J$6:$J$277,'свод субъектов ИБ+смежные'!BS$1)</f>
        <v>3.9119999999999999</v>
      </c>
      <c r="BT67" s="36">
        <f>SUMIFS('свод практик'!$AY$6:$AY$277,'свод практик'!$J$6:$J$277,'свод субъектов ИБ+смежные'!BT$1)</f>
        <v>13.515000000000001</v>
      </c>
      <c r="BU67" s="36">
        <f>SUMIFS('свод практик'!$AY$6:$AY$277,'свод практик'!$J$6:$J$277,'свод субъектов ИБ+смежные'!BU$1)</f>
        <v>15.091999999999999</v>
      </c>
      <c r="BV67" s="36">
        <f>SUMIFS('свод практик'!$AY$6:$AY$277,'свод практик'!$J$6:$J$277,'свод субъектов ИБ+смежные'!BV$1)</f>
        <v>0</v>
      </c>
      <c r="BW67" s="36">
        <f>SUMIFS('свод практик'!$AY$6:$AY$277,'свод практик'!$J$6:$J$277,'свод субъектов ИБ+смежные'!BW$1)</f>
        <v>6.1233000000000004</v>
      </c>
      <c r="BX67" s="36">
        <f>SUMIFS('свод практик'!$AY$6:$AY$277,'свод практик'!$J$6:$J$277,'свод субъектов ИБ+смежные'!BX$1)</f>
        <v>49.4</v>
      </c>
      <c r="BY67" s="36">
        <f>SUMIFS('свод практик'!$AY$6:$AY$277,'свод практик'!$J$6:$J$277,'свод субъектов ИБ+смежные'!BY$1)</f>
        <v>1.5</v>
      </c>
      <c r="BZ67" s="36">
        <f>SUMIFS('свод практик'!$AY$6:$AY$277,'свод практик'!$J$6:$J$277,'свод субъектов ИБ+смежные'!BZ$1)</f>
        <v>39.092274000000003</v>
      </c>
      <c r="CA67" s="160">
        <f>SUMIFS('свод практик'!$AY$6:$AY$277,'свод практик'!$J$6:$J$277,'свод субъектов ИБ+смежные'!CA$1)</f>
        <v>0</v>
      </c>
      <c r="CB67" s="160">
        <f>SUMIFS('свод практик'!$AY$6:$AY$277,'свод практик'!$J$6:$J$277,'свод субъектов ИБ+смежные'!CB$1)</f>
        <v>0</v>
      </c>
      <c r="CC67" s="36">
        <f>SUMIFS('свод практик'!$AY$6:$AY$277,'свод практик'!$J$6:$J$277,'свод субъектов ИБ+смежные'!CC$1)</f>
        <v>2E-3</v>
      </c>
      <c r="CD67" s="36">
        <f>SUMIFS('свод практик'!$AY$6:$AY$277,'свод практик'!$J$6:$J$277,'свод субъектов ИБ+смежные'!CD$1)</f>
        <v>22.027000000000001</v>
      </c>
      <c r="CE67" s="36">
        <f>SUMIFS('свод практик'!$AY$6:$AY$277,'свод практик'!$J$6:$J$277,'свод субъектов ИБ+смежные'!CE$1)</f>
        <v>2.2000000000000002</v>
      </c>
      <c r="CF67" s="36">
        <f>SUMIFS('свод практик'!$AY$6:$AY$277,'свод практик'!$J$6:$J$277,'свод субъектов ИБ+смежные'!CF$1)</f>
        <v>251.65700000000001</v>
      </c>
      <c r="CG67" s="36">
        <f>SUMIFS('свод практик'!$AY$6:$AY$277,'свод практик'!$J$6:$J$277,'свод субъектов ИБ+смежные'!CG$1)</f>
        <v>24.7</v>
      </c>
      <c r="CH67" s="36">
        <f>SUMIFS('свод практик'!$AY$6:$AY$277,'свод практик'!$J$6:$J$277,'свод субъектов ИБ+смежные'!CH$1)</f>
        <v>3.81820665</v>
      </c>
      <c r="CI67" s="36">
        <f>SUMIFS('свод практик'!$AY$6:$AY$277,'свод практик'!$J$6:$J$277,'свод субъектов ИБ+смежные'!CI$1)</f>
        <v>120</v>
      </c>
      <c r="CJ67" s="160">
        <f>SUMIFS('свод практик'!$AY$6:$AY$277,'свод практик'!$J$6:$J$277,'свод субъектов ИБ+смежные'!CJ$1)</f>
        <v>0</v>
      </c>
      <c r="CK67" s="36">
        <f>SUMIFS('свод практик'!$AY$6:$AY$277,'свод практик'!$J$6:$J$277,'свод субъектов ИБ+смежные'!CK$1)</f>
        <v>0.51100000000000001</v>
      </c>
      <c r="CL67" s="36">
        <f>SUMIFS('свод практик'!$AY$6:$AY$277,'свод практик'!$J$6:$J$277,'свод субъектов ИБ+смежные'!CL$1)</f>
        <v>10.101000000000001</v>
      </c>
      <c r="CM67" s="36">
        <f>SUMIFS('свод практик'!$AY$6:$AY$277,'свод практик'!$J$6:$J$277,'свод субъектов ИБ+смежные'!CM$1)</f>
        <v>10.699</v>
      </c>
      <c r="CN67" s="36">
        <f>SUMIFS('свод практик'!$AY$6:$AY$277,'свод практик'!$J$6:$J$277,'свод субъектов ИБ+смежные'!CN$1)</f>
        <v>54.674999999999997</v>
      </c>
      <c r="CO67" s="160">
        <f>SUMIFS('свод практик'!$AY$6:$AY$277,'свод практик'!$J$6:$J$277,'свод субъектов ИБ+смежные'!CO$1)</f>
        <v>0</v>
      </c>
      <c r="CP67" s="36">
        <f>SUMIFS('свод практик'!$AY$6:$AY$277,'свод практик'!$J$6:$J$277,'свод субъектов ИБ+смежные'!CP$1)</f>
        <v>8.0823900000000002</v>
      </c>
      <c r="CQ67" s="36">
        <f>SUMIFS('свод практик'!$AY$6:$AY$277,'свод практик'!$J$6:$J$277,'свод субъектов ИБ+смежные'!CQ$1)</f>
        <v>0</v>
      </c>
      <c r="CR67" s="160">
        <f>SUMIFS('свод практик'!$AY$6:$AY$277,'свод практик'!$J$6:$J$277,'свод субъектов ИБ+смежные'!CR$1)</f>
        <v>0</v>
      </c>
      <c r="CS67" s="36">
        <f>SUMIFS('свод практик'!$AY$6:$AY$277,'свод практик'!$J$6:$J$277,'свод субъектов ИБ+смежные'!CS$1)</f>
        <v>48.672000000000004</v>
      </c>
      <c r="CT67" s="36">
        <f>SUMIFS('свод практик'!$AY$6:$AY$277,'свод практик'!$J$6:$J$277,'свод субъектов ИБ+смежные'!CT$1)</f>
        <v>4.3341999999999999E-2</v>
      </c>
      <c r="CU67" s="36">
        <f>SUMIFS('свод практик'!$AY$6:$AY$277,'свод практик'!$J$6:$J$277,'свод субъектов ИБ+смежные'!CU$1)</f>
        <v>2.4593000000000003</v>
      </c>
      <c r="CV67" s="36">
        <f>SUMIFS('свод практик'!$AY$6:$AY$277,'свод практик'!$J$6:$J$277,'свод субъектов ИБ+смежные'!CV$1)</f>
        <v>3.9</v>
      </c>
    </row>
    <row r="68" spans="1:100" ht="29" thickBot="1">
      <c r="A68" s="721"/>
      <c r="B68" s="722"/>
      <c r="C68" s="722"/>
      <c r="D68" s="49" t="s">
        <v>4949</v>
      </c>
      <c r="E68" s="49">
        <v>31</v>
      </c>
      <c r="F68" s="59" t="s">
        <v>5098</v>
      </c>
      <c r="G68" s="141" t="s">
        <v>5089</v>
      </c>
      <c r="H68" s="52" t="s">
        <v>60</v>
      </c>
      <c r="I68" s="82" t="s">
        <v>5090</v>
      </c>
      <c r="M68" s="36">
        <v>5.3548971582494602E-2</v>
      </c>
      <c r="N68" s="36">
        <v>5.8149393078979143E-2</v>
      </c>
      <c r="O68" s="228">
        <f>O67/O60</f>
        <v>5.2661126648861328E-2</v>
      </c>
      <c r="P68" s="145">
        <f>P67/P$60</f>
        <v>9.5032096008931061E-2</v>
      </c>
      <c r="Q68" s="145">
        <f t="shared" ref="Q68:CB68" si="25">Q67/Q$60</f>
        <v>5.2163773462137915E-2</v>
      </c>
      <c r="R68" s="145">
        <f t="shared" si="25"/>
        <v>8.0367393800229628E-2</v>
      </c>
      <c r="S68" s="145">
        <f t="shared" si="25"/>
        <v>3.7368056950302382E-2</v>
      </c>
      <c r="T68" s="145">
        <f t="shared" si="25"/>
        <v>0.2687599787120809</v>
      </c>
      <c r="U68" s="145">
        <f t="shared" si="25"/>
        <v>1.6666666666666666E-2</v>
      </c>
      <c r="V68" s="145">
        <f t="shared" si="25"/>
        <v>3.3241164160718172E-2</v>
      </c>
      <c r="W68" s="145">
        <f t="shared" si="25"/>
        <v>1.9658753709198809E-3</v>
      </c>
      <c r="X68" s="145">
        <f t="shared" si="25"/>
        <v>4.5871559633027525E-2</v>
      </c>
      <c r="Y68" s="145">
        <f t="shared" si="25"/>
        <v>0</v>
      </c>
      <c r="Z68" s="145">
        <f t="shared" si="25"/>
        <v>8.5181483407651831E-2</v>
      </c>
      <c r="AA68" s="145">
        <f t="shared" si="25"/>
        <v>1.3185516644671868E-2</v>
      </c>
      <c r="AB68" s="145">
        <f t="shared" si="25"/>
        <v>6.2252357832468339E-2</v>
      </c>
      <c r="AC68" s="145">
        <f t="shared" si="25"/>
        <v>7.7960403564569292E-2</v>
      </c>
      <c r="AD68" s="162" t="e">
        <f t="shared" si="25"/>
        <v>#DIV/0!</v>
      </c>
      <c r="AE68" s="162" t="e">
        <f t="shared" si="25"/>
        <v>#DIV/0!</v>
      </c>
      <c r="AF68" s="145">
        <f t="shared" si="25"/>
        <v>0</v>
      </c>
      <c r="AG68" s="162" t="e">
        <f t="shared" si="25"/>
        <v>#DIV/0!</v>
      </c>
      <c r="AH68" s="162" t="e">
        <f t="shared" si="25"/>
        <v>#DIV/0!</v>
      </c>
      <c r="AI68" s="145">
        <f t="shared" si="25"/>
        <v>0</v>
      </c>
      <c r="AJ68" s="145">
        <f t="shared" si="25"/>
        <v>0.5</v>
      </c>
      <c r="AK68" s="145">
        <f t="shared" si="25"/>
        <v>9.4557221473240138E-3</v>
      </c>
      <c r="AL68" s="145">
        <f t="shared" si="25"/>
        <v>9.1027913049817596E-2</v>
      </c>
      <c r="AM68" s="145">
        <f t="shared" si="25"/>
        <v>6.9876797043858851E-2</v>
      </c>
      <c r="AN68" s="162" t="e">
        <f t="shared" si="25"/>
        <v>#DIV/0!</v>
      </c>
      <c r="AO68" s="162" t="e">
        <f t="shared" si="25"/>
        <v>#DIV/0!</v>
      </c>
      <c r="AP68" s="145">
        <f t="shared" si="25"/>
        <v>0.12271973466003318</v>
      </c>
      <c r="AQ68" s="145">
        <f t="shared" si="25"/>
        <v>3.2653061224489799E-2</v>
      </c>
      <c r="AR68" s="145">
        <f t="shared" si="25"/>
        <v>0.1387318926620755</v>
      </c>
      <c r="AS68" s="145">
        <f t="shared" si="25"/>
        <v>1.2398301787858798E-2</v>
      </c>
      <c r="AT68" s="145">
        <f t="shared" si="25"/>
        <v>2.4139016658317376E-2</v>
      </c>
      <c r="AU68" s="145">
        <f t="shared" si="25"/>
        <v>0.29518300113456503</v>
      </c>
      <c r="AV68" s="145">
        <f t="shared" si="25"/>
        <v>3.9276686758701156E-2</v>
      </c>
      <c r="AW68" s="145">
        <f t="shared" si="25"/>
        <v>1.1820705679950198E-2</v>
      </c>
      <c r="AX68" s="145">
        <f t="shared" si="25"/>
        <v>2.1068403998768793E-2</v>
      </c>
      <c r="AY68" s="162" t="e">
        <f t="shared" si="25"/>
        <v>#DIV/0!</v>
      </c>
      <c r="AZ68" s="145">
        <f t="shared" si="25"/>
        <v>3.7512541573408808E-4</v>
      </c>
      <c r="BA68" s="145">
        <f t="shared" si="25"/>
        <v>5.7169850171388419E-2</v>
      </c>
      <c r="BB68" s="162" t="e">
        <f t="shared" si="25"/>
        <v>#DIV/0!</v>
      </c>
      <c r="BC68" s="145">
        <f t="shared" si="25"/>
        <v>0.15840000939727167</v>
      </c>
      <c r="BD68" s="162" t="e">
        <f t="shared" si="25"/>
        <v>#DIV/0!</v>
      </c>
      <c r="BE68" s="162" t="e">
        <f t="shared" si="25"/>
        <v>#DIV/0!</v>
      </c>
      <c r="BF68" s="145">
        <f t="shared" si="25"/>
        <v>0</v>
      </c>
      <c r="BG68" s="145">
        <f t="shared" si="25"/>
        <v>0.11584907685702017</v>
      </c>
      <c r="BH68" s="145">
        <f t="shared" si="25"/>
        <v>8.9339403831285961E-3</v>
      </c>
      <c r="BI68" s="145">
        <f t="shared" si="25"/>
        <v>5.4308532513509554E-2</v>
      </c>
      <c r="BJ68" s="145">
        <f t="shared" si="25"/>
        <v>2.6331851092138717E-2</v>
      </c>
      <c r="BK68" s="145">
        <f t="shared" si="25"/>
        <v>8.5025380710659904E-2</v>
      </c>
      <c r="BL68" s="145">
        <f t="shared" si="25"/>
        <v>0.64374777342358391</v>
      </c>
      <c r="BM68" s="145">
        <f t="shared" si="25"/>
        <v>7.9661041971153104E-2</v>
      </c>
      <c r="BN68" s="145">
        <f t="shared" si="25"/>
        <v>6.3487825289921487E-2</v>
      </c>
      <c r="BO68" s="145">
        <f t="shared" si="25"/>
        <v>3.0881725718633173E-2</v>
      </c>
      <c r="BP68" s="145">
        <f t="shared" si="25"/>
        <v>8.2889431011825582E-2</v>
      </c>
      <c r="BQ68" s="162" t="e">
        <f t="shared" si="25"/>
        <v>#DIV/0!</v>
      </c>
      <c r="BR68" s="145">
        <f t="shared" si="25"/>
        <v>2.3063533507397736E-2</v>
      </c>
      <c r="BS68" s="145">
        <f t="shared" si="25"/>
        <v>0.34073686961066108</v>
      </c>
      <c r="BT68" s="145">
        <f t="shared" si="25"/>
        <v>6.4368177401840324E-2</v>
      </c>
      <c r="BU68" s="145">
        <f t="shared" si="25"/>
        <v>5.4830847634331568E-2</v>
      </c>
      <c r="BV68" s="145">
        <f t="shared" si="25"/>
        <v>0</v>
      </c>
      <c r="BW68" s="145">
        <f t="shared" si="25"/>
        <v>5.6578668955697464E-2</v>
      </c>
      <c r="BX68" s="145">
        <f t="shared" si="25"/>
        <v>6.1209064889043076E-2</v>
      </c>
      <c r="BY68" s="145">
        <f t="shared" si="25"/>
        <v>1.7405430494314227E-3</v>
      </c>
      <c r="BZ68" s="145">
        <f t="shared" si="25"/>
        <v>1.8230545881637469E-2</v>
      </c>
      <c r="CA68" s="162" t="e">
        <f t="shared" si="25"/>
        <v>#DIV/0!</v>
      </c>
      <c r="CB68" s="162" t="e">
        <f t="shared" si="25"/>
        <v>#DIV/0!</v>
      </c>
      <c r="CC68" s="145">
        <f t="shared" ref="CC68:CV68" si="26">CC67/CC$60</f>
        <v>2.4390243902439024E-3</v>
      </c>
      <c r="CD68" s="145">
        <f t="shared" si="26"/>
        <v>3.3962095421353859E-2</v>
      </c>
      <c r="CE68" s="145">
        <f t="shared" si="26"/>
        <v>1.5912855417242307E-2</v>
      </c>
      <c r="CF68" s="145">
        <f t="shared" si="26"/>
        <v>0.18687590641390173</v>
      </c>
      <c r="CG68" s="145">
        <f t="shared" si="26"/>
        <v>0.11016949152542373</v>
      </c>
      <c r="CH68" s="145">
        <f t="shared" si="26"/>
        <v>7.0752335179331216E-2</v>
      </c>
      <c r="CI68" s="145">
        <f t="shared" si="26"/>
        <v>0.17191977077363896</v>
      </c>
      <c r="CJ68" s="162" t="e">
        <f t="shared" si="26"/>
        <v>#DIV/0!</v>
      </c>
      <c r="CK68" s="145">
        <f t="shared" si="26"/>
        <v>1.1753638222555486E-3</v>
      </c>
      <c r="CL68" s="145">
        <f t="shared" si="26"/>
        <v>0.10930233640988699</v>
      </c>
      <c r="CM68" s="145">
        <f t="shared" si="26"/>
        <v>5.5559152380452489E-2</v>
      </c>
      <c r="CN68" s="145">
        <f t="shared" si="26"/>
        <v>0.27287699947595634</v>
      </c>
      <c r="CO68" s="162" t="e">
        <f t="shared" si="26"/>
        <v>#DIV/0!</v>
      </c>
      <c r="CP68" s="145">
        <f t="shared" si="26"/>
        <v>1.031851555373397E-2</v>
      </c>
      <c r="CQ68" s="145">
        <f t="shared" si="26"/>
        <v>0</v>
      </c>
      <c r="CR68" s="162" t="e">
        <f t="shared" si="26"/>
        <v>#DIV/0!</v>
      </c>
      <c r="CS68" s="145">
        <f t="shared" si="26"/>
        <v>0.10895000861804598</v>
      </c>
      <c r="CT68" s="145">
        <f t="shared" si="26"/>
        <v>1.6257314328582144E-3</v>
      </c>
      <c r="CU68" s="145">
        <f t="shared" si="26"/>
        <v>3.2792415595498441E-2</v>
      </c>
      <c r="CV68" s="145">
        <f t="shared" si="26"/>
        <v>5.2738336713995942E-3</v>
      </c>
    </row>
    <row r="69" spans="1:100" ht="56">
      <c r="A69" s="720" t="s">
        <v>5099</v>
      </c>
      <c r="B69" s="715" t="s">
        <v>4990</v>
      </c>
      <c r="C69" s="717" t="s">
        <v>5100</v>
      </c>
      <c r="D69" s="37" t="s">
        <v>4949</v>
      </c>
      <c r="E69" s="37">
        <v>32</v>
      </c>
      <c r="F69" s="38" t="s">
        <v>5101</v>
      </c>
      <c r="G69" s="140" t="s">
        <v>5266</v>
      </c>
      <c r="H69" s="40" t="s">
        <v>5082</v>
      </c>
      <c r="I69" s="55" t="s">
        <v>4961</v>
      </c>
      <c r="L69" s="36" t="s">
        <v>278</v>
      </c>
      <c r="M69" s="36">
        <v>344.49962099999993</v>
      </c>
      <c r="N69" s="36">
        <v>714.58004827000002</v>
      </c>
      <c r="O69" s="687">
        <f>SUM(P69:CV69)</f>
        <v>811.29691905000004</v>
      </c>
      <c r="P69" s="36">
        <f>SUMIFS('свод практик'!$BC$6:$BC$277,'свод практик'!$J$6:$J$277,'свод субъектов ИБ+смежные'!P$1)</f>
        <v>0.55200000000000005</v>
      </c>
      <c r="Q69" s="36">
        <f>SUMIFS('свод практик'!$BC$6:$BC$277,'свод практик'!$J$6:$J$277,'свод субъектов ИБ+смежные'!Q$1)</f>
        <v>0.63700000000000001</v>
      </c>
      <c r="R69" s="36">
        <f>SUMIFS('свод практик'!$BC$6:$BC$277,'свод практик'!$J$6:$J$277,'свод субъектов ИБ+смежные'!R$1)</f>
        <v>8.9</v>
      </c>
      <c r="S69" s="36">
        <f>SUMIFS('свод практик'!$BC$6:$BC$277,'свод практик'!$J$6:$J$277,'свод субъектов ИБ+смежные'!S$1)</f>
        <v>2.8530000000000002</v>
      </c>
      <c r="T69" s="36">
        <f>SUMIFS('свод практик'!$BC$6:$BC$277,'свод практик'!$J$6:$J$277,'свод субъектов ИБ+смежные'!T$1)</f>
        <v>0</v>
      </c>
      <c r="U69" s="36">
        <f>SUMIFS('свод практик'!$BC$6:$BC$277,'свод практик'!$J$6:$J$277,'свод субъектов ИБ+смежные'!U$1)</f>
        <v>0</v>
      </c>
      <c r="V69" s="36">
        <f>SUMIFS('свод практик'!$BC$6:$BC$277,'свод практик'!$J$6:$J$277,'свод субъектов ИБ+смежные'!V$1)</f>
        <v>109.209</v>
      </c>
      <c r="W69" s="36">
        <f>SUMIFS('свод практик'!$BC$6:$BC$277,'свод практик'!$J$6:$J$277,'свод субъектов ИБ+смежные'!W$1)</f>
        <v>0</v>
      </c>
      <c r="X69" s="36">
        <f>SUMIFS('свод практик'!$BC$6:$BC$277,'свод практик'!$J$6:$J$277,'свод субъектов ИБ+смежные'!X$1)</f>
        <v>0</v>
      </c>
      <c r="Y69" s="36">
        <f>SUMIFS('свод практик'!$BC$6:$BC$277,'свод практик'!$J$6:$J$277,'свод субъектов ИБ+смежные'!Y$1)</f>
        <v>0</v>
      </c>
      <c r="Z69" s="36">
        <f>SUMIFS('свод практик'!$BC$6:$BC$277,'свод практик'!$J$6:$J$277,'свод субъектов ИБ+смежные'!Z$1)</f>
        <v>6.9889999999999999</v>
      </c>
      <c r="AA69" s="36">
        <f>SUMIFS('свод практик'!$BC$6:$BC$277,'свод практик'!$J$6:$J$277,'свод субъектов ИБ+смежные'!AA$1)</f>
        <v>5.9607E-2</v>
      </c>
      <c r="AB69" s="36">
        <f>SUMIFS('свод практик'!$BC$6:$BC$277,'свод практик'!$J$6:$J$277,'свод субъектов ИБ+смежные'!AB$1)</f>
        <v>12.236000000000001</v>
      </c>
      <c r="AC69" s="36">
        <f>SUMIFS('свод практик'!$BC$6:$BC$277,'свод практик'!$J$6:$J$277,'свод субъектов ИБ+смежные'!AC$1)</f>
        <v>26.154</v>
      </c>
      <c r="AD69" s="160">
        <f>SUMIFS('свод практик'!$BC$6:$BC$277,'свод практик'!$J$6:$J$277,'свод субъектов ИБ+смежные'!AD$1)</f>
        <v>0</v>
      </c>
      <c r="AE69" s="160">
        <f>SUMIFS('свод практик'!$BC$6:$BC$277,'свод практик'!$J$6:$J$277,'свод субъектов ИБ+смежные'!AE$1)</f>
        <v>0</v>
      </c>
      <c r="AF69" s="36">
        <f>SUMIFS('свод практик'!$BC$6:$BC$277,'свод практик'!$J$6:$J$277,'свод субъектов ИБ+смежные'!AF$1)</f>
        <v>0</v>
      </c>
      <c r="AG69" s="160">
        <f>SUMIFS('свод практик'!$BC$6:$BC$277,'свод практик'!$J$6:$J$277,'свод субъектов ИБ+смежные'!AG$1)</f>
        <v>0</v>
      </c>
      <c r="AH69" s="160">
        <f>SUMIFS('свод практик'!$BC$6:$BC$277,'свод практик'!$J$6:$J$277,'свод субъектов ИБ+смежные'!AH$1)</f>
        <v>0</v>
      </c>
      <c r="AI69" s="36">
        <f>SUMIFS('свод практик'!$BC$6:$BC$277,'свод практик'!$J$6:$J$277,'свод субъектов ИБ+смежные'!AI$1)</f>
        <v>0</v>
      </c>
      <c r="AJ69" s="36">
        <f>SUMIFS('свод практик'!$BC$6:$BC$277,'свод практик'!$J$6:$J$277,'свод субъектов ИБ+смежные'!AJ$1)</f>
        <v>0</v>
      </c>
      <c r="AK69" s="36">
        <f>SUMIFS('свод практик'!$BC$6:$BC$277,'свод практик'!$J$6:$J$277,'свод субъектов ИБ+смежные'!AK$1)</f>
        <v>145.364</v>
      </c>
      <c r="AL69" s="36">
        <f>SUMIFS('свод практик'!$BC$6:$BC$277,'свод практик'!$J$6:$J$277,'свод субъектов ИБ+смежные'!AL$1)</f>
        <v>0.41499999999999998</v>
      </c>
      <c r="AM69" s="36">
        <f>SUMIFS('свод практик'!$BC$6:$BC$277,'свод практик'!$J$6:$J$277,'свод субъектов ИБ+смежные'!AM$1)</f>
        <v>5.6949647500000005</v>
      </c>
      <c r="AN69" s="160">
        <f>SUMIFS('свод практик'!$BC$6:$BC$277,'свод практик'!$J$6:$J$277,'свод субъектов ИБ+смежные'!AN$1)</f>
        <v>0</v>
      </c>
      <c r="AO69" s="160">
        <f>SUMIFS('свод практик'!$BC$6:$BC$277,'свод практик'!$J$6:$J$277,'свод субъектов ИБ+смежные'!AO$1)</f>
        <v>0</v>
      </c>
      <c r="AP69" s="36">
        <f>SUMIFS('свод практик'!$BC$6:$BC$277,'свод практик'!$J$6:$J$277,'свод субъектов ИБ+смежные'!AP$1)</f>
        <v>0.3</v>
      </c>
      <c r="AQ69" s="36">
        <f>SUMIFS('свод практик'!$BC$6:$BC$277,'свод практик'!$J$6:$J$277,'свод субъектов ИБ+смежные'!AQ$1)</f>
        <v>5.6</v>
      </c>
      <c r="AR69" s="36">
        <f>SUMIFS('свод практик'!$BC$6:$BC$277,'свод практик'!$J$6:$J$277,'свод субъектов ИБ+смежные'!AR$1)</f>
        <v>28</v>
      </c>
      <c r="AS69" s="36">
        <f>SUMIFS('свод практик'!$BC$6:$BC$277,'свод практик'!$J$6:$J$277,'свод субъектов ИБ+смежные'!AS$1)</f>
        <v>6.9359999999999999</v>
      </c>
      <c r="AT69" s="36">
        <f>SUMIFS('свод практик'!$BC$6:$BC$277,'свод практик'!$J$6:$J$277,'свод субъектов ИБ+смежные'!AT$1)</f>
        <v>17.899999999999999</v>
      </c>
      <c r="AU69" s="36">
        <f>SUMIFS('свод практик'!$BC$6:$BC$277,'свод практик'!$J$6:$J$277,'свод субъектов ИБ+смежные'!AU$1)</f>
        <v>38.436</v>
      </c>
      <c r="AV69" s="36">
        <f>SUMIFS('свод практик'!$BC$6:$BC$277,'свод практик'!$J$6:$J$277,'свод субъектов ИБ+смежные'!AV$1)</f>
        <v>8.31</v>
      </c>
      <c r="AW69" s="36">
        <f>SUMIFS('свод практик'!$BC$6:$BC$277,'свод практик'!$J$6:$J$277,'свод субъектов ИБ+смежные'!AW$1)</f>
        <v>1.8520000000000001</v>
      </c>
      <c r="AX69" s="36">
        <f>SUMIFS('свод практик'!$BC$6:$BC$277,'свод практик'!$J$6:$J$277,'свод субъектов ИБ+смежные'!AX$1)</f>
        <v>2.9958999999999998</v>
      </c>
      <c r="AY69" s="160">
        <f>SUMIFS('свод практик'!$BC$6:$BC$277,'свод практик'!$J$6:$J$277,'свод субъектов ИБ+смежные'!AY$1)</f>
        <v>0</v>
      </c>
      <c r="AZ69" s="36">
        <f>SUMIFS('свод практик'!$BC$6:$BC$277,'свод практик'!$J$6:$J$277,'свод субъектов ИБ+смежные'!AZ$1)</f>
        <v>0.87</v>
      </c>
      <c r="BA69" s="36">
        <f>SUMIFS('свод практик'!$BC$6:$BC$277,'свод практик'!$J$6:$J$277,'свод субъектов ИБ+смежные'!BA$1)</f>
        <v>0.51282262999999995</v>
      </c>
      <c r="BB69" s="160">
        <f>SUMIFS('свод практик'!$BC$6:$BC$277,'свод практик'!$J$6:$J$277,'свод субъектов ИБ+смежные'!BB$1)</f>
        <v>0</v>
      </c>
      <c r="BC69" s="36">
        <f>SUMIFS('свод практик'!$BC$6:$BC$277,'свод практик'!$J$6:$J$277,'свод субъектов ИБ+смежные'!BC$1)</f>
        <v>0</v>
      </c>
      <c r="BD69" s="160">
        <f>SUMIFS('свод практик'!$BC$6:$BC$277,'свод практик'!$J$6:$J$277,'свод субъектов ИБ+смежные'!BD$1)</f>
        <v>0</v>
      </c>
      <c r="BE69" s="160">
        <f>SUMIFS('свод практик'!$BC$6:$BC$277,'свод практик'!$J$6:$J$277,'свод субъектов ИБ+смежные'!BE$1)</f>
        <v>0</v>
      </c>
      <c r="BF69" s="36">
        <f>SUMIFS('свод практик'!$BC$6:$BC$277,'свод практик'!$J$6:$J$277,'свод субъектов ИБ+смежные'!BF$1)</f>
        <v>0.5</v>
      </c>
      <c r="BG69" s="36">
        <f>SUMIFS('свод практик'!$BC$6:$BC$277,'свод практик'!$J$6:$J$277,'свод субъектов ИБ+смежные'!BG$1)</f>
        <v>5.2519999999999998</v>
      </c>
      <c r="BH69" s="36">
        <f>SUMIFS('свод практик'!$BC$6:$BC$277,'свод практик'!$J$6:$J$277,'свод субъектов ИБ+смежные'!BH$1)</f>
        <v>0.108</v>
      </c>
      <c r="BI69" s="36">
        <f>SUMIFS('свод практик'!$BC$6:$BC$277,'свод практик'!$J$6:$J$277,'свод субъектов ИБ+смежные'!BI$1)</f>
        <v>65.494</v>
      </c>
      <c r="BJ69" s="36">
        <f>SUMIFS('свод практик'!$BC$6:$BC$277,'свод практик'!$J$6:$J$277,'свод субъектов ИБ+смежные'!BJ$1)</f>
        <v>4.7106000000000003</v>
      </c>
      <c r="BK69" s="36">
        <f>SUMIFS('свод практик'!$BC$6:$BC$277,'свод практик'!$J$6:$J$277,'свод субъектов ИБ+смежные'!BK$1)</f>
        <v>0.6</v>
      </c>
      <c r="BL69" s="36">
        <f>SUMIFS('свод практик'!$BC$6:$BC$277,'свод практик'!$J$6:$J$277,'свод субъектов ИБ+смежные'!BL$1)</f>
        <v>0</v>
      </c>
      <c r="BM69" s="36">
        <f>SUMIFS('свод практик'!$BC$6:$BC$277,'свод практик'!$J$6:$J$277,'свод субъектов ИБ+смежные'!BM$1)</f>
        <v>7.3500999999999994</v>
      </c>
      <c r="BN69" s="36">
        <f>SUMIFS('свод практик'!$BC$6:$BC$277,'свод практик'!$J$6:$J$277,'свод субъектов ИБ+смежные'!BN$1)</f>
        <v>1.46</v>
      </c>
      <c r="BO69" s="36">
        <f>SUMIFS('свод практик'!$BC$6:$BC$277,'свод практик'!$J$6:$J$277,'свод субъектов ИБ+смежные'!BO$1)</f>
        <v>0</v>
      </c>
      <c r="BP69" s="36">
        <f>SUMIFS('свод практик'!$BC$6:$BC$277,'свод практик'!$J$6:$J$277,'свод субъектов ИБ+смежные'!BP$1)</f>
        <v>3.0135468599999999</v>
      </c>
      <c r="BQ69" s="160">
        <f>SUMIFS('свод практик'!$BC$6:$BC$277,'свод практик'!$J$6:$J$277,'свод субъектов ИБ+смежные'!BQ$1)</f>
        <v>0</v>
      </c>
      <c r="BR69" s="36">
        <f>SUMIFS('свод практик'!$BC$6:$BC$277,'свод практик'!$J$6:$J$277,'свод субъектов ИБ+смежные'!BR$1)</f>
        <v>0</v>
      </c>
      <c r="BS69" s="36">
        <f>SUMIFS('свод практик'!$BC$6:$BC$277,'свод практик'!$J$6:$J$277,'свод субъектов ИБ+смежные'!BS$1)</f>
        <v>3.2679999999999998</v>
      </c>
      <c r="BT69" s="36">
        <f>SUMIFS('свод практик'!$BC$6:$BC$277,'свод практик'!$J$6:$J$277,'свод субъектов ИБ+смежные'!BT$1)</f>
        <v>6.8079999999999998</v>
      </c>
      <c r="BU69" s="36">
        <f>SUMIFS('свод практик'!$BC$6:$BC$277,'свод практик'!$J$6:$J$277,'свод субъектов ИБ+смежные'!BU$1)</f>
        <v>14.454000000000001</v>
      </c>
      <c r="BV69" s="36">
        <f>SUMIFS('свод практик'!$BC$6:$BC$277,'свод практик'!$J$6:$J$277,'свод субъектов ИБ+смежные'!BV$1)</f>
        <v>0</v>
      </c>
      <c r="BW69" s="36">
        <f>SUMIFS('свод практик'!$BC$6:$BC$277,'свод практик'!$J$6:$J$277,'свод субъектов ИБ+смежные'!BW$1)</f>
        <v>8.4672999999999998</v>
      </c>
      <c r="BX69" s="36">
        <f>SUMIFS('свод практик'!$BC$6:$BC$277,'свод практик'!$J$6:$J$277,'свод субъектов ИБ+смежные'!BX$1)</f>
        <v>40.4</v>
      </c>
      <c r="BY69" s="36">
        <f>SUMIFS('свод практик'!$BC$6:$BC$277,'свод практик'!$J$6:$J$277,'свод субъектов ИБ+смежные'!BY$1)</f>
        <v>2</v>
      </c>
      <c r="BZ69" s="36">
        <f>SUMIFS('свод практик'!$BC$6:$BC$277,'свод практик'!$J$6:$J$277,'свод субъектов ИБ+смежные'!BZ$1)</f>
        <v>51.873500000000007</v>
      </c>
      <c r="CA69" s="160">
        <f>SUMIFS('свод практик'!$BC$6:$BC$277,'свод практик'!$J$6:$J$277,'свод субъектов ИБ+смежные'!CA$1)</f>
        <v>0</v>
      </c>
      <c r="CB69" s="160">
        <f>SUMIFS('свод практик'!$BC$6:$BC$277,'свод практик'!$J$6:$J$277,'свод субъектов ИБ+смежные'!CB$1)</f>
        <v>0</v>
      </c>
      <c r="CC69" s="36">
        <f>SUMIFS('свод практик'!$BC$6:$BC$277,'свод практик'!$J$6:$J$277,'свод субъектов ИБ+смежные'!CC$1)</f>
        <v>0</v>
      </c>
      <c r="CD69" s="36">
        <f>SUMIFS('свод практик'!$BC$6:$BC$277,'свод практик'!$J$6:$J$277,'свод субъектов ИБ+смежные'!CD$1)</f>
        <v>68.19</v>
      </c>
      <c r="CE69" s="36">
        <f>SUMIFS('свод практик'!$BC$6:$BC$277,'свод практик'!$J$6:$J$277,'свод субъектов ИБ+смежные'!CE$1)</f>
        <v>0</v>
      </c>
      <c r="CF69" s="36">
        <f>SUMIFS('свод практик'!$BC$6:$BC$277,'свод практик'!$J$6:$J$277,'свод субъектов ИБ+смежные'!CF$1)</f>
        <v>33.466000000000001</v>
      </c>
      <c r="CG69" s="36">
        <f>SUMIFS('свод практик'!$BC$6:$BC$277,'свод практик'!$J$6:$J$277,'свод субъектов ИБ+смежные'!CG$1)</f>
        <v>10.8</v>
      </c>
      <c r="CH69" s="36">
        <f>SUMIFS('свод практик'!$BC$6:$BC$277,'свод практик'!$J$6:$J$277,'свод субъектов ИБ+смежные'!CH$1)</f>
        <v>2.28517781</v>
      </c>
      <c r="CI69" s="36">
        <f>SUMIFS('свод практик'!$BC$6:$BC$277,'свод практик'!$J$6:$J$277,'свод субъектов ИБ+смежные'!CI$1)</f>
        <v>0</v>
      </c>
      <c r="CJ69" s="160">
        <f>SUMIFS('свод практик'!$BC$6:$BC$277,'свод практик'!$J$6:$J$277,'свод субъектов ИБ+смежные'!CJ$1)</f>
        <v>0</v>
      </c>
      <c r="CK69" s="36">
        <f>SUMIFS('свод практик'!$BC$6:$BC$277,'свод практик'!$J$6:$J$277,'свод субъектов ИБ+смежные'!CK$1)</f>
        <v>0.68600000000000005</v>
      </c>
      <c r="CL69" s="36">
        <f>SUMIFS('свод практик'!$BC$6:$BC$277,'свод практик'!$J$6:$J$277,'свод субъектов ИБ+смежные'!CL$1)</f>
        <v>8.5950000000000006</v>
      </c>
      <c r="CM69" s="36">
        <f>SUMIFS('свод практик'!$BC$6:$BC$277,'свод практик'!$J$6:$J$277,'свод субъектов ИБ+смежные'!CM$1)</f>
        <v>6.4</v>
      </c>
      <c r="CN69" s="36">
        <f>SUMIFS('свод практик'!$BC$6:$BC$277,'свод практик'!$J$6:$J$277,'свод субъектов ИБ+смежные'!CN$1)</f>
        <v>9.4</v>
      </c>
      <c r="CO69" s="160">
        <f>SUMIFS('свод практик'!$BC$6:$BC$277,'свод практик'!$J$6:$J$277,'свод субъектов ИБ+смежные'!CO$1)</f>
        <v>0</v>
      </c>
      <c r="CP69" s="36">
        <f>SUMIFS('свод практик'!$BC$6:$BC$277,'свод практик'!$J$6:$J$277,'свод субъектов ИБ+смежные'!CP$1)</f>
        <v>5.1583999999999994</v>
      </c>
      <c r="CQ69" s="36">
        <f>SUMIFS('свод практик'!$BC$6:$BC$277,'свод практик'!$J$6:$J$277,'свод субъектов ИБ+смежные'!CQ$1)</f>
        <v>0</v>
      </c>
      <c r="CR69" s="160">
        <f>SUMIFS('свод практик'!$BC$6:$BC$277,'свод практик'!$J$6:$J$277,'свод субъектов ИБ+смежные'!CR$1)</f>
        <v>0</v>
      </c>
      <c r="CS69" s="36">
        <f>SUMIFS('свод практик'!$BC$6:$BC$277,'свод практик'!$J$6:$J$277,'свод субъектов ИБ+смежные'!CS$1)</f>
        <v>13.973000000000001</v>
      </c>
      <c r="CT69" s="36">
        <f>SUMIFS('свод практик'!$BC$6:$BC$277,'свод практик'!$J$6:$J$277,'свод субъектов ИБ+смежные'!CT$1)</f>
        <v>0</v>
      </c>
      <c r="CU69" s="36">
        <f>SUMIFS('свод практик'!$BC$6:$BC$277,'свод практик'!$J$6:$J$277,'свод субъектов ИБ+смежные'!CU$1)</f>
        <v>5.2079999999999993</v>
      </c>
      <c r="CV69" s="36">
        <f>SUMIFS('свод практик'!$BC$6:$BC$277,'свод практик'!$J$6:$J$277,'свод субъектов ИБ+смежные'!CV$1)</f>
        <v>0.6</v>
      </c>
    </row>
    <row r="70" spans="1:100" ht="29" thickBot="1">
      <c r="A70" s="721"/>
      <c r="B70" s="722"/>
      <c r="C70" s="722"/>
      <c r="D70" s="76" t="s">
        <v>4949</v>
      </c>
      <c r="E70" s="76">
        <v>33</v>
      </c>
      <c r="F70" s="83" t="s">
        <v>5102</v>
      </c>
      <c r="G70" s="142" t="s">
        <v>5089</v>
      </c>
      <c r="H70" s="79" t="s">
        <v>60</v>
      </c>
      <c r="I70" s="84" t="s">
        <v>5090</v>
      </c>
      <c r="M70" s="36">
        <v>2.3755754574201378E-2</v>
      </c>
      <c r="N70" s="36">
        <v>3.6997468696845275E-2</v>
      </c>
      <c r="O70" s="228">
        <f>O69/O60</f>
        <v>3.3713873017953866E-2</v>
      </c>
      <c r="P70" s="145">
        <f>P69/P$60</f>
        <v>7.7030421434552049E-2</v>
      </c>
      <c r="Q70" s="145">
        <f t="shared" ref="Q70:CB70" si="27">Q69/Q$60</f>
        <v>8.3846388330511869E-3</v>
      </c>
      <c r="R70" s="145">
        <f t="shared" si="27"/>
        <v>5.1090700344431694E-2</v>
      </c>
      <c r="S70" s="145">
        <f t="shared" si="27"/>
        <v>3.1833701546495285E-2</v>
      </c>
      <c r="T70" s="145">
        <f t="shared" si="27"/>
        <v>0</v>
      </c>
      <c r="U70" s="145">
        <f t="shared" si="27"/>
        <v>0</v>
      </c>
      <c r="V70" s="145">
        <f t="shared" si="27"/>
        <v>3.4637657164932063E-2</v>
      </c>
      <c r="W70" s="145">
        <f t="shared" si="27"/>
        <v>0</v>
      </c>
      <c r="X70" s="145">
        <f t="shared" si="27"/>
        <v>0</v>
      </c>
      <c r="Y70" s="145">
        <f t="shared" si="27"/>
        <v>0</v>
      </c>
      <c r="Z70" s="145">
        <f t="shared" si="27"/>
        <v>9.7971462254563182E-3</v>
      </c>
      <c r="AA70" s="145">
        <f t="shared" si="27"/>
        <v>5.2094458185123361E-4</v>
      </c>
      <c r="AB70" s="145">
        <f t="shared" si="27"/>
        <v>4.877504325018138E-2</v>
      </c>
      <c r="AC70" s="145">
        <f t="shared" si="27"/>
        <v>8.9538749114164123E-2</v>
      </c>
      <c r="AD70" s="162" t="e">
        <f t="shared" si="27"/>
        <v>#DIV/0!</v>
      </c>
      <c r="AE70" s="162" t="e">
        <f t="shared" si="27"/>
        <v>#DIV/0!</v>
      </c>
      <c r="AF70" s="145">
        <f t="shared" si="27"/>
        <v>0</v>
      </c>
      <c r="AG70" s="162" t="e">
        <f t="shared" si="27"/>
        <v>#DIV/0!</v>
      </c>
      <c r="AH70" s="162" t="e">
        <f t="shared" si="27"/>
        <v>#DIV/0!</v>
      </c>
      <c r="AI70" s="145">
        <f t="shared" si="27"/>
        <v>0</v>
      </c>
      <c r="AJ70" s="145">
        <f t="shared" si="27"/>
        <v>0</v>
      </c>
      <c r="AK70" s="145">
        <f t="shared" si="27"/>
        <v>8.1414534989255938E-2</v>
      </c>
      <c r="AL70" s="145">
        <f t="shared" si="27"/>
        <v>5.5309786113725182E-2</v>
      </c>
      <c r="AM70" s="145">
        <f t="shared" si="27"/>
        <v>3.4483368344618882E-2</v>
      </c>
      <c r="AN70" s="162" t="e">
        <f t="shared" si="27"/>
        <v>#DIV/0!</v>
      </c>
      <c r="AO70" s="162" t="e">
        <f t="shared" si="27"/>
        <v>#DIV/0!</v>
      </c>
      <c r="AP70" s="145">
        <f t="shared" si="27"/>
        <v>2.4875621890547263E-3</v>
      </c>
      <c r="AQ70" s="145">
        <f t="shared" si="27"/>
        <v>4.5714285714285714E-2</v>
      </c>
      <c r="AR70" s="145">
        <f t="shared" si="27"/>
        <v>6.6492519591545951E-2</v>
      </c>
      <c r="AS70" s="145">
        <f t="shared" si="27"/>
        <v>5.86593596184097E-2</v>
      </c>
      <c r="AT70" s="145">
        <f t="shared" si="27"/>
        <v>3.5443228462298498E-2</v>
      </c>
      <c r="AU70" s="145">
        <f t="shared" si="27"/>
        <v>0.53837210931043655</v>
      </c>
      <c r="AV70" s="145">
        <f t="shared" si="27"/>
        <v>5.3859615010694153E-2</v>
      </c>
      <c r="AW70" s="145">
        <f t="shared" si="27"/>
        <v>6.2423572624088304E-3</v>
      </c>
      <c r="AX70" s="145">
        <f t="shared" si="27"/>
        <v>5.2843427133753128E-3</v>
      </c>
      <c r="AY70" s="162" t="e">
        <f t="shared" si="27"/>
        <v>#DIV/0!</v>
      </c>
      <c r="AZ70" s="145">
        <f t="shared" si="27"/>
        <v>1.5615268501849601E-3</v>
      </c>
      <c r="BA70" s="145">
        <f t="shared" si="27"/>
        <v>6.2114391783045248E-3</v>
      </c>
      <c r="BB70" s="162" t="e">
        <f t="shared" si="27"/>
        <v>#DIV/0!</v>
      </c>
      <c r="BC70" s="145">
        <f t="shared" si="27"/>
        <v>0</v>
      </c>
      <c r="BD70" s="162" t="e">
        <f t="shared" si="27"/>
        <v>#DIV/0!</v>
      </c>
      <c r="BE70" s="162" t="e">
        <f t="shared" si="27"/>
        <v>#DIV/0!</v>
      </c>
      <c r="BF70" s="145">
        <f t="shared" si="27"/>
        <v>6.3211125158027806E-2</v>
      </c>
      <c r="BG70" s="145">
        <f t="shared" si="27"/>
        <v>0.14094031773293259</v>
      </c>
      <c r="BH70" s="145">
        <f t="shared" si="27"/>
        <v>4.6387767373936946E-3</v>
      </c>
      <c r="BI70" s="145">
        <f t="shared" si="27"/>
        <v>9.4177161312216554E-2</v>
      </c>
      <c r="BJ70" s="145">
        <f t="shared" si="27"/>
        <v>8.2783607137603809E-3</v>
      </c>
      <c r="BK70" s="145">
        <f t="shared" si="27"/>
        <v>3.8071065989847717E-3</v>
      </c>
      <c r="BL70" s="145">
        <f t="shared" si="27"/>
        <v>0</v>
      </c>
      <c r="BM70" s="145">
        <f t="shared" si="27"/>
        <v>6.3829048161183941E-2</v>
      </c>
      <c r="BN70" s="145">
        <f t="shared" si="27"/>
        <v>5.8183557167337495E-2</v>
      </c>
      <c r="BO70" s="145">
        <f t="shared" si="27"/>
        <v>0</v>
      </c>
      <c r="BP70" s="145">
        <f t="shared" si="27"/>
        <v>2.3137578863464597E-2</v>
      </c>
      <c r="BQ70" s="162" t="e">
        <f t="shared" si="27"/>
        <v>#DIV/0!</v>
      </c>
      <c r="BR70" s="145">
        <f t="shared" si="27"/>
        <v>0</v>
      </c>
      <c r="BS70" s="145">
        <f t="shared" si="27"/>
        <v>0.28464419475655428</v>
      </c>
      <c r="BT70" s="145">
        <f t="shared" si="27"/>
        <v>3.2424606122954412E-2</v>
      </c>
      <c r="BU70" s="145">
        <f t="shared" si="27"/>
        <v>5.2512925504017267E-2</v>
      </c>
      <c r="BV70" s="145">
        <f t="shared" si="27"/>
        <v>0</v>
      </c>
      <c r="BW70" s="145">
        <f t="shared" si="27"/>
        <v>7.8236990454261121E-2</v>
      </c>
      <c r="BX70" s="145">
        <f t="shared" si="27"/>
        <v>5.0057615820189076E-2</v>
      </c>
      <c r="BY70" s="145">
        <f t="shared" si="27"/>
        <v>2.3207240659085635E-3</v>
      </c>
      <c r="BZ70" s="145">
        <f t="shared" si="27"/>
        <v>2.419102612938611E-2</v>
      </c>
      <c r="CA70" s="162" t="e">
        <f t="shared" si="27"/>
        <v>#DIV/0!</v>
      </c>
      <c r="CB70" s="162" t="e">
        <f t="shared" si="27"/>
        <v>#DIV/0!</v>
      </c>
      <c r="CC70" s="145">
        <f t="shared" ref="CC70:CV70" si="28">CC69/CC$60</f>
        <v>0</v>
      </c>
      <c r="CD70" s="145">
        <f t="shared" si="28"/>
        <v>0.10513802545885138</v>
      </c>
      <c r="CE70" s="145">
        <f t="shared" si="28"/>
        <v>0</v>
      </c>
      <c r="CF70" s="145">
        <f t="shared" si="28"/>
        <v>2.4851242302211484E-2</v>
      </c>
      <c r="CG70" s="145">
        <f t="shared" si="28"/>
        <v>4.8171275646743984E-2</v>
      </c>
      <c r="CH70" s="145">
        <f t="shared" si="28"/>
        <v>4.2344922938492617E-2</v>
      </c>
      <c r="CI70" s="145">
        <f t="shared" si="28"/>
        <v>0</v>
      </c>
      <c r="CJ70" s="162" t="e">
        <f t="shared" si="28"/>
        <v>#DIV/0!</v>
      </c>
      <c r="CK70" s="145">
        <f t="shared" si="28"/>
        <v>1.5778856791923805E-3</v>
      </c>
      <c r="CL70" s="145">
        <f t="shared" si="28"/>
        <v>9.3005997568852458E-2</v>
      </c>
      <c r="CM70" s="145">
        <f t="shared" si="28"/>
        <v>3.3234748596588086E-2</v>
      </c>
      <c r="CN70" s="145">
        <f t="shared" si="28"/>
        <v>4.6914381254211067E-2</v>
      </c>
      <c r="CO70" s="162" t="e">
        <f t="shared" si="28"/>
        <v>#DIV/0!</v>
      </c>
      <c r="CP70" s="145">
        <f t="shared" si="28"/>
        <v>6.5855558358828645E-3</v>
      </c>
      <c r="CQ70" s="145">
        <f t="shared" si="28"/>
        <v>0</v>
      </c>
      <c r="CR70" s="162" t="e">
        <f t="shared" si="28"/>
        <v>#DIV/0!</v>
      </c>
      <c r="CS70" s="145">
        <f t="shared" si="28"/>
        <v>3.1277910717043812E-2</v>
      </c>
      <c r="CT70" s="145">
        <f t="shared" si="28"/>
        <v>0</v>
      </c>
      <c r="CU70" s="145">
        <f t="shared" si="28"/>
        <v>6.944370366419543E-2</v>
      </c>
      <c r="CV70" s="145">
        <f t="shared" si="28"/>
        <v>8.1135902636916835E-4</v>
      </c>
    </row>
    <row r="71" spans="1:100" ht="56">
      <c r="A71" s="720" t="s">
        <v>5103</v>
      </c>
      <c r="B71" s="715" t="s">
        <v>4990</v>
      </c>
      <c r="C71" s="717" t="s">
        <v>5104</v>
      </c>
      <c r="D71" s="37" t="s">
        <v>4949</v>
      </c>
      <c r="E71" s="37">
        <v>34</v>
      </c>
      <c r="F71" s="38" t="s">
        <v>5105</v>
      </c>
      <c r="G71" s="140" t="s">
        <v>5267</v>
      </c>
      <c r="H71" s="40" t="s">
        <v>5082</v>
      </c>
      <c r="I71" s="55" t="s">
        <v>4961</v>
      </c>
      <c r="L71" s="36" t="s">
        <v>278</v>
      </c>
      <c r="M71" s="36">
        <v>8.1867000000000001</v>
      </c>
      <c r="N71" s="36">
        <v>105.38817269000002</v>
      </c>
      <c r="O71" s="687">
        <f>SUM(P71:CV71)</f>
        <v>101.8599196</v>
      </c>
      <c r="P71" s="36">
        <f>SUMIFS('свод практик'!$BN$6:$BN$277,'свод практик'!$J$6:$J$277,'свод субъектов ИБ+смежные'!P$1)</f>
        <v>0</v>
      </c>
      <c r="Q71" s="36">
        <f>SUMIFS('свод практик'!$BN$6:$BN$277,'свод практик'!$J$6:$J$277,'свод субъектов ИБ+смежные'!Q$1)</f>
        <v>0</v>
      </c>
      <c r="R71" s="36">
        <f>SUMIFS('свод практик'!$BN$6:$BN$277,'свод практик'!$J$6:$J$277,'свод субъектов ИБ+смежные'!R$1)</f>
        <v>0</v>
      </c>
      <c r="S71" s="36">
        <f>SUMIFS('свод практик'!$BN$6:$BN$277,'свод практик'!$J$6:$J$277,'свод субъектов ИБ+смежные'!S$1)</f>
        <v>0</v>
      </c>
      <c r="T71" s="36">
        <f>SUMIFS('свод практик'!$BN$6:$BN$277,'свод практик'!$J$6:$J$277,'свод субъектов ИБ+смежные'!T$1)</f>
        <v>0</v>
      </c>
      <c r="U71" s="36">
        <f>SUMIFS('свод практик'!$BN$6:$BN$277,'свод практик'!$J$6:$J$277,'свод субъектов ИБ+смежные'!U$1)</f>
        <v>0</v>
      </c>
      <c r="V71" s="36">
        <f>SUMIFS('свод практик'!$BN$6:$BN$277,'свод практик'!$J$6:$J$277,'свод субъектов ИБ+смежные'!V$1)</f>
        <v>0</v>
      </c>
      <c r="W71" s="36">
        <f>SUMIFS('свод практик'!$BN$6:$BN$277,'свод практик'!$J$6:$J$277,'свод субъектов ИБ+смежные'!W$1)</f>
        <v>0</v>
      </c>
      <c r="X71" s="36">
        <f>SUMIFS('свод практик'!$BN$6:$BN$277,'свод практик'!$J$6:$J$277,'свод субъектов ИБ+смежные'!X$1)</f>
        <v>0</v>
      </c>
      <c r="Y71" s="36">
        <f>SUMIFS('свод практик'!$BN$6:$BN$277,'свод практик'!$J$6:$J$277,'свод субъектов ИБ+смежные'!Y$1)</f>
        <v>0</v>
      </c>
      <c r="Z71" s="36">
        <f>SUMIFS('свод практик'!$BN$6:$BN$277,'свод практик'!$J$6:$J$277,'свод субъектов ИБ+смежные'!Z$1)</f>
        <v>0</v>
      </c>
      <c r="AA71" s="36">
        <f>SUMIFS('свод практик'!$BN$6:$BN$277,'свод практик'!$J$6:$J$277,'свод субъектов ИБ+смежные'!AA$1)</f>
        <v>0</v>
      </c>
      <c r="AB71" s="36">
        <f>SUMIFS('свод практик'!$BN$6:$BN$277,'свод практик'!$J$6:$J$277,'свод субъектов ИБ+смежные'!AB$1)</f>
        <v>0</v>
      </c>
      <c r="AC71" s="36">
        <f>SUMIFS('свод практик'!$BN$6:$BN$277,'свод практик'!$J$6:$J$277,'свод субъектов ИБ+смежные'!AC$1)</f>
        <v>0.26400000000000023</v>
      </c>
      <c r="AD71" s="160">
        <f>SUMIFS('свод практик'!$BN$6:$BN$277,'свод практик'!$J$6:$J$277,'свод субъектов ИБ+смежные'!AD$1)</f>
        <v>0</v>
      </c>
      <c r="AE71" s="160">
        <f>SUMIFS('свод практик'!$BN$6:$BN$277,'свод практик'!$J$6:$J$277,'свод субъектов ИБ+смежные'!AE$1)</f>
        <v>0</v>
      </c>
      <c r="AF71" s="36">
        <f>SUMIFS('свод практик'!$BN$6:$BN$277,'свод практик'!$J$6:$J$277,'свод субъектов ИБ+смежные'!AF$1)</f>
        <v>0</v>
      </c>
      <c r="AG71" s="160">
        <f>SUMIFS('свод практик'!$BN$6:$BN$277,'свод практик'!$J$6:$J$277,'свод субъектов ИБ+смежные'!AG$1)</f>
        <v>0</v>
      </c>
      <c r="AH71" s="160">
        <f>SUMIFS('свод практик'!$BN$6:$BN$277,'свод практик'!$J$6:$J$277,'свод субъектов ИБ+смежные'!AH$1)</f>
        <v>0</v>
      </c>
      <c r="AI71" s="36">
        <f>SUMIFS('свод практик'!$BN$6:$BN$277,'свод практик'!$J$6:$J$277,'свод субъектов ИБ+смежные'!AI$1)</f>
        <v>0</v>
      </c>
      <c r="AJ71" s="36">
        <f>SUMIFS('свод практик'!$BN$6:$BN$277,'свод практик'!$J$6:$J$277,'свод субъектов ИБ+смежные'!AJ$1)</f>
        <v>0</v>
      </c>
      <c r="AK71" s="36">
        <f>SUMIFS('свод практик'!$BN$6:$BN$277,'свод практик'!$J$6:$J$277,'свод субъектов ИБ+смежные'!AK$1)</f>
        <v>0</v>
      </c>
      <c r="AL71" s="36">
        <f>SUMIFS('свод практик'!$BN$6:$BN$277,'свод практик'!$J$6:$J$277,'свод субъектов ИБ+смежные'!AL$1)</f>
        <v>0</v>
      </c>
      <c r="AM71" s="36">
        <f>SUMIFS('свод практик'!$BN$6:$BN$277,'свод практик'!$J$6:$J$277,'свод субъектов ИБ+смежные'!AM$1)</f>
        <v>0</v>
      </c>
      <c r="AN71" s="160">
        <f>SUMIFS('свод практик'!$BN$6:$BN$277,'свод практик'!$J$6:$J$277,'свод субъектов ИБ+смежные'!AN$1)</f>
        <v>0</v>
      </c>
      <c r="AO71" s="160">
        <f>SUMIFS('свод практик'!$BN$6:$BN$277,'свод практик'!$J$6:$J$277,'свод субъектов ИБ+смежные'!AO$1)</f>
        <v>0</v>
      </c>
      <c r="AP71" s="36">
        <f>SUMIFS('свод практик'!$BN$6:$BN$277,'свод практик'!$J$6:$J$277,'свод субъектов ИБ+смежные'!AP$1)</f>
        <v>0</v>
      </c>
      <c r="AQ71" s="36">
        <f>SUMIFS('свод практик'!$BN$6:$BN$277,'свод практик'!$J$6:$J$277,'свод субъектов ИБ+смежные'!AQ$1)</f>
        <v>0</v>
      </c>
      <c r="AR71" s="36">
        <f>SUMIFS('свод практик'!$BN$6:$BN$277,'свод практик'!$J$6:$J$277,'свод субъектов ИБ+смежные'!AR$1)</f>
        <v>0</v>
      </c>
      <c r="AS71" s="36">
        <f>SUMIFS('свод практик'!$BN$6:$BN$277,'свод практик'!$J$6:$J$277,'свод субъектов ИБ+смежные'!AS$1)</f>
        <v>0</v>
      </c>
      <c r="AT71" s="36">
        <f>SUMIFS('свод практик'!$BN$6:$BN$277,'свод практик'!$J$6:$J$277,'свод субъектов ИБ+смежные'!AT$1)</f>
        <v>0</v>
      </c>
      <c r="AU71" s="36">
        <f>SUMIFS('свод практик'!$BN$6:$BN$277,'свод практик'!$J$6:$J$277,'свод субъектов ИБ+смежные'!AU$1)</f>
        <v>0</v>
      </c>
      <c r="AV71" s="36">
        <f>SUMIFS('свод практик'!$BN$6:$BN$277,'свод практик'!$J$6:$J$277,'свод субъектов ИБ+смежные'!AV$1)</f>
        <v>0</v>
      </c>
      <c r="AW71" s="36">
        <f>SUMIFS('свод практик'!$BN$6:$BN$277,'свод практик'!$J$6:$J$277,'свод субъектов ИБ+смежные'!AW$1)</f>
        <v>0</v>
      </c>
      <c r="AX71" s="36">
        <f>SUMIFS('свод практик'!$BN$6:$BN$277,'свод практик'!$J$6:$J$277,'свод субъектов ИБ+смежные'!AX$1)</f>
        <v>0</v>
      </c>
      <c r="AY71" s="160">
        <f>SUMIFS('свод практик'!$BN$6:$BN$277,'свод практик'!$J$6:$J$277,'свод субъектов ИБ+смежные'!AY$1)</f>
        <v>0</v>
      </c>
      <c r="AZ71" s="36">
        <f>SUMIFS('свод практик'!$BN$6:$BN$277,'свод практик'!$J$6:$J$277,'свод субъектов ИБ+смежные'!AZ$1)</f>
        <v>0</v>
      </c>
      <c r="BA71" s="36">
        <f>SUMIFS('свод практик'!$BN$6:$BN$277,'свод практик'!$J$6:$J$277,'свод субъектов ИБ+смежные'!BA$1)</f>
        <v>0.42539959999999999</v>
      </c>
      <c r="BB71" s="160">
        <f>SUMIFS('свод практик'!$BN$6:$BN$277,'свод практик'!$J$6:$J$277,'свод субъектов ИБ+смежные'!BB$1)</f>
        <v>0</v>
      </c>
      <c r="BC71" s="36">
        <f>SUMIFS('свод практик'!$BN$6:$BN$277,'свод практик'!$J$6:$J$277,'свод субъектов ИБ+смежные'!BC$1)</f>
        <v>0</v>
      </c>
      <c r="BD71" s="160">
        <f>SUMIFS('свод практик'!$BN$6:$BN$277,'свод практик'!$J$6:$J$277,'свод субъектов ИБ+смежные'!BD$1)</f>
        <v>0</v>
      </c>
      <c r="BE71" s="160">
        <f>SUMIFS('свод практик'!$BN$6:$BN$277,'свод практик'!$J$6:$J$277,'свод субъектов ИБ+смежные'!BE$1)</f>
        <v>0</v>
      </c>
      <c r="BF71" s="36">
        <f>SUMIFS('свод практик'!$BN$6:$BN$277,'свод практик'!$J$6:$J$277,'свод субъектов ИБ+смежные'!BF$1)</f>
        <v>0</v>
      </c>
      <c r="BG71" s="36">
        <f>SUMIFS('свод практик'!$BN$6:$BN$277,'свод практик'!$J$6:$J$277,'свод субъектов ИБ+смежные'!BG$1)</f>
        <v>0</v>
      </c>
      <c r="BH71" s="36">
        <f>SUMIFS('свод практик'!$BN$6:$BN$277,'свод практик'!$J$6:$J$277,'свод субъектов ИБ+смежные'!BH$1)</f>
        <v>0</v>
      </c>
      <c r="BI71" s="36">
        <f>SUMIFS('свод практик'!$BN$6:$BN$277,'свод практик'!$J$6:$J$277,'свод субъектов ИБ+смежные'!BI$1)</f>
        <v>0</v>
      </c>
      <c r="BJ71" s="36">
        <f>SUMIFS('свод практик'!$BN$6:$BN$277,'свод практик'!$J$6:$J$277,'свод субъектов ИБ+смежные'!BJ$1)</f>
        <v>0</v>
      </c>
      <c r="BK71" s="36">
        <f>SUMIFS('свод практик'!$BN$6:$BN$277,'свод практик'!$J$6:$J$277,'свод субъектов ИБ+смежные'!BK$1)</f>
        <v>0</v>
      </c>
      <c r="BL71" s="36">
        <f>SUMIFS('свод практик'!$BN$6:$BN$277,'свод практик'!$J$6:$J$277,'свод субъектов ИБ+смежные'!BL$1)</f>
        <v>0</v>
      </c>
      <c r="BM71" s="36">
        <f>SUMIFS('свод практик'!$BN$6:$BN$277,'свод практик'!$J$6:$J$277,'свод субъектов ИБ+смежные'!BM$1)</f>
        <v>0</v>
      </c>
      <c r="BN71" s="36">
        <f>SUMIFS('свод практик'!$BN$6:$BN$277,'свод практик'!$J$6:$J$277,'свод субъектов ИБ+смежные'!BN$1)</f>
        <v>0</v>
      </c>
      <c r="BO71" s="36">
        <f>SUMIFS('свод практик'!$BN$6:$BN$277,'свод практик'!$J$6:$J$277,'свод субъектов ИБ+смежные'!BO$1)</f>
        <v>0</v>
      </c>
      <c r="BP71" s="36">
        <f>SUMIFS('свод практик'!$BN$6:$BN$277,'свод практик'!$J$6:$J$277,'свод субъектов ИБ+смежные'!BP$1)</f>
        <v>0</v>
      </c>
      <c r="BQ71" s="160">
        <f>SUMIFS('свод практик'!$BN$6:$BN$277,'свод практик'!$J$6:$J$277,'свод субъектов ИБ+смежные'!BQ$1)</f>
        <v>0</v>
      </c>
      <c r="BR71" s="36">
        <f>SUMIFS('свод практик'!$BN$6:$BN$277,'свод практик'!$J$6:$J$277,'свод субъектов ИБ+смежные'!BR$1)</f>
        <v>0</v>
      </c>
      <c r="BS71" s="36">
        <f>SUMIFS('свод практик'!$BN$6:$BN$277,'свод практик'!$J$6:$J$277,'свод субъектов ИБ+смежные'!BS$1)</f>
        <v>3.5</v>
      </c>
      <c r="BT71" s="36">
        <f>SUMIFS('свод практик'!$BN$6:$BN$277,'свод практик'!$J$6:$J$277,'свод субъектов ИБ+смежные'!BT$1)</f>
        <v>0</v>
      </c>
      <c r="BU71" s="36">
        <f>SUMIFS('свод практик'!$BN$6:$BN$277,'свод практик'!$J$6:$J$277,'свод субъектов ИБ+смежные'!BU$1)</f>
        <v>0.6555200000000001</v>
      </c>
      <c r="BV71" s="36">
        <f>SUMIFS('свод практик'!$BN$6:$BN$277,'свод практик'!$J$6:$J$277,'свод субъектов ИБ+смежные'!BV$1)</f>
        <v>0</v>
      </c>
      <c r="BW71" s="36">
        <f>SUMIFS('свод практик'!$BN$6:$BN$277,'свод практик'!$J$6:$J$277,'свод субъектов ИБ+смежные'!BW$1)</f>
        <v>0</v>
      </c>
      <c r="BX71" s="36">
        <f>SUMIFS('свод практик'!$BN$6:$BN$277,'свод практик'!$J$6:$J$277,'свод субъектов ИБ+смежные'!BX$1)</f>
        <v>80.72</v>
      </c>
      <c r="BY71" s="36">
        <f>SUMIFS('свод практик'!$BN$6:$BN$277,'свод практик'!$J$6:$J$277,'свод субъектов ИБ+смежные'!BY$1)</f>
        <v>0</v>
      </c>
      <c r="BZ71" s="36">
        <f>SUMIFS('свод практик'!$BN$6:$BN$277,'свод практик'!$J$6:$J$277,'свод субъектов ИБ+смежные'!BZ$1)</f>
        <v>0</v>
      </c>
      <c r="CA71" s="160">
        <f>SUMIFS('свод практик'!$BN$6:$BN$277,'свод практик'!$J$6:$J$277,'свод субъектов ИБ+смежные'!CA$1)</f>
        <v>0</v>
      </c>
      <c r="CB71" s="160">
        <f>SUMIFS('свод практик'!$BN$6:$BN$277,'свод практик'!$J$6:$J$277,'свод субъектов ИБ+смежные'!CB$1)</f>
        <v>0</v>
      </c>
      <c r="CC71" s="36">
        <f>SUMIFS('свод практик'!$BN$6:$BN$277,'свод практик'!$J$6:$J$277,'свод субъектов ИБ+смежные'!CC$1)</f>
        <v>0</v>
      </c>
      <c r="CD71" s="36">
        <f>SUMIFS('свод практик'!$BN$6:$BN$277,'свод практик'!$J$6:$J$277,'свод субъектов ИБ+смежные'!CD$1)</f>
        <v>0</v>
      </c>
      <c r="CE71" s="36">
        <f>SUMIFS('свод практик'!$BN$6:$BN$277,'свод практик'!$J$6:$J$277,'свод субъектов ИБ+смежные'!CE$1)</f>
        <v>0</v>
      </c>
      <c r="CF71" s="36">
        <f>SUMIFS('свод практик'!$BN$6:$BN$277,'свод практик'!$J$6:$J$277,'свод субъектов ИБ+смежные'!CF$1)</f>
        <v>0</v>
      </c>
      <c r="CG71" s="36">
        <f>SUMIFS('свод практик'!$BN$6:$BN$277,'свод практик'!$J$6:$J$277,'свод субъектов ИБ+смежные'!CG$1)</f>
        <v>0</v>
      </c>
      <c r="CH71" s="36">
        <f>SUMIFS('свод практик'!$BN$6:$BN$277,'свод практик'!$J$6:$J$277,'свод субъектов ИБ+смежные'!CH$1)</f>
        <v>0</v>
      </c>
      <c r="CI71" s="36">
        <f>SUMIFS('свод практик'!$BN$6:$BN$277,'свод практик'!$J$6:$J$277,'свод субъектов ИБ+смежные'!CI$1)</f>
        <v>0</v>
      </c>
      <c r="CJ71" s="160">
        <f>SUMIFS('свод практик'!$BN$6:$BN$277,'свод практик'!$J$6:$J$277,'свод субъектов ИБ+смежные'!CJ$1)</f>
        <v>0</v>
      </c>
      <c r="CK71" s="36">
        <f>SUMIFS('свод практик'!$BN$6:$BN$277,'свод практик'!$J$6:$J$277,'свод субъектов ИБ+смежные'!CK$1)</f>
        <v>0</v>
      </c>
      <c r="CL71" s="36">
        <f>SUMIFS('свод практик'!$BN$6:$BN$277,'свод практик'!$J$6:$J$277,'свод субъектов ИБ+смежные'!CL$1)</f>
        <v>0</v>
      </c>
      <c r="CM71" s="36">
        <f>SUMIFS('свод практик'!$BN$6:$BN$277,'свод практик'!$J$6:$J$277,'свод субъектов ИБ+смежные'!CM$1)</f>
        <v>0</v>
      </c>
      <c r="CN71" s="36">
        <f>SUMIFS('свод практик'!$BN$6:$BN$277,'свод практик'!$J$6:$J$277,'свод субъектов ИБ+смежные'!CN$1)</f>
        <v>0</v>
      </c>
      <c r="CO71" s="160">
        <f>SUMIFS('свод практик'!$BN$6:$BN$277,'свод практик'!$J$6:$J$277,'свод субъектов ИБ+смежные'!CO$1)</f>
        <v>0</v>
      </c>
      <c r="CP71" s="36">
        <f>SUMIFS('свод практик'!$BN$6:$BN$277,'свод практик'!$J$6:$J$277,'свод субъектов ИБ+смежные'!CP$1)</f>
        <v>10.457999999999998</v>
      </c>
      <c r="CQ71" s="36">
        <f>SUMIFS('свод практик'!$BN$6:$BN$277,'свод практик'!$J$6:$J$277,'свод субъектов ИБ+смежные'!CQ$1)</f>
        <v>0</v>
      </c>
      <c r="CR71" s="160">
        <f>SUMIFS('свод практик'!$BN$6:$BN$277,'свод практик'!$J$6:$J$277,'свод субъектов ИБ+смежные'!CR$1)</f>
        <v>0</v>
      </c>
      <c r="CS71" s="36">
        <f>SUMIFS('свод практик'!$BN$6:$BN$277,'свод практик'!$J$6:$J$277,'свод субъектов ИБ+смежные'!CS$1)</f>
        <v>0</v>
      </c>
      <c r="CT71" s="36">
        <f>SUMIFS('свод практик'!$BN$6:$BN$277,'свод практик'!$J$6:$J$277,'свод субъектов ИБ+смежные'!CT$1)</f>
        <v>0</v>
      </c>
      <c r="CU71" s="36">
        <f>SUMIFS('свод практик'!$BN$6:$BN$277,'свод практик'!$J$6:$J$277,'свод субъектов ИБ+смежные'!CU$1)</f>
        <v>5.8369999999999997</v>
      </c>
      <c r="CV71" s="36">
        <f>SUMIFS('свод практик'!$BN$6:$BN$277,'свод практик'!$J$6:$J$277,'свод субъектов ИБ+смежные'!CV$1)</f>
        <v>0</v>
      </c>
    </row>
    <row r="72" spans="1:100" ht="29" thickBot="1">
      <c r="A72" s="721"/>
      <c r="B72" s="722"/>
      <c r="C72" s="722"/>
      <c r="D72" s="49" t="s">
        <v>4949</v>
      </c>
      <c r="E72" s="49">
        <v>35</v>
      </c>
      <c r="F72" s="59" t="s">
        <v>5106</v>
      </c>
      <c r="G72" s="141" t="s">
        <v>5089</v>
      </c>
      <c r="H72" s="52" t="s">
        <v>60</v>
      </c>
      <c r="I72" s="82" t="s">
        <v>5090</v>
      </c>
      <c r="M72" s="36">
        <v>5.6453251068341371E-4</v>
      </c>
      <c r="N72" s="36">
        <v>5.4564854274279278E-3</v>
      </c>
      <c r="O72" s="228">
        <f>O71/O$60</f>
        <v>4.2328428894252311E-3</v>
      </c>
      <c r="P72" s="145">
        <f t="shared" ref="P72:CA72" si="29">P71/P$60</f>
        <v>0</v>
      </c>
      <c r="Q72" s="145">
        <f t="shared" si="29"/>
        <v>0</v>
      </c>
      <c r="R72" s="145">
        <f t="shared" si="29"/>
        <v>0</v>
      </c>
      <c r="S72" s="145">
        <f t="shared" si="29"/>
        <v>0</v>
      </c>
      <c r="T72" s="145">
        <f t="shared" si="29"/>
        <v>0</v>
      </c>
      <c r="U72" s="145">
        <f t="shared" si="29"/>
        <v>0</v>
      </c>
      <c r="V72" s="145">
        <f t="shared" si="29"/>
        <v>0</v>
      </c>
      <c r="W72" s="145">
        <f t="shared" si="29"/>
        <v>0</v>
      </c>
      <c r="X72" s="145">
        <f t="shared" si="29"/>
        <v>0</v>
      </c>
      <c r="Y72" s="145">
        <f t="shared" si="29"/>
        <v>0</v>
      </c>
      <c r="Z72" s="145">
        <f t="shared" si="29"/>
        <v>0</v>
      </c>
      <c r="AA72" s="145">
        <f t="shared" si="29"/>
        <v>0</v>
      </c>
      <c r="AB72" s="145">
        <f t="shared" si="29"/>
        <v>0</v>
      </c>
      <c r="AC72" s="145">
        <f t="shared" si="29"/>
        <v>9.0380935100326334E-4</v>
      </c>
      <c r="AD72" s="162" t="e">
        <f t="shared" si="29"/>
        <v>#DIV/0!</v>
      </c>
      <c r="AE72" s="162" t="e">
        <f t="shared" si="29"/>
        <v>#DIV/0!</v>
      </c>
      <c r="AF72" s="145">
        <f t="shared" si="29"/>
        <v>0</v>
      </c>
      <c r="AG72" s="162" t="e">
        <f t="shared" si="29"/>
        <v>#DIV/0!</v>
      </c>
      <c r="AH72" s="162" t="e">
        <f t="shared" si="29"/>
        <v>#DIV/0!</v>
      </c>
      <c r="AI72" s="145">
        <f t="shared" si="29"/>
        <v>0</v>
      </c>
      <c r="AJ72" s="145">
        <f t="shared" si="29"/>
        <v>0</v>
      </c>
      <c r="AK72" s="145">
        <f t="shared" si="29"/>
        <v>0</v>
      </c>
      <c r="AL72" s="145">
        <f t="shared" si="29"/>
        <v>0</v>
      </c>
      <c r="AM72" s="145">
        <f t="shared" si="29"/>
        <v>0</v>
      </c>
      <c r="AN72" s="162" t="e">
        <f t="shared" si="29"/>
        <v>#DIV/0!</v>
      </c>
      <c r="AO72" s="162" t="e">
        <f t="shared" si="29"/>
        <v>#DIV/0!</v>
      </c>
      <c r="AP72" s="145">
        <f t="shared" si="29"/>
        <v>0</v>
      </c>
      <c r="AQ72" s="145">
        <f t="shared" si="29"/>
        <v>0</v>
      </c>
      <c r="AR72" s="145">
        <f t="shared" si="29"/>
        <v>0</v>
      </c>
      <c r="AS72" s="145">
        <f t="shared" si="29"/>
        <v>0</v>
      </c>
      <c r="AT72" s="145">
        <f t="shared" si="29"/>
        <v>0</v>
      </c>
      <c r="AU72" s="145">
        <f t="shared" si="29"/>
        <v>0</v>
      </c>
      <c r="AV72" s="145">
        <f t="shared" si="29"/>
        <v>0</v>
      </c>
      <c r="AW72" s="145">
        <f t="shared" si="29"/>
        <v>0</v>
      </c>
      <c r="AX72" s="145">
        <f t="shared" si="29"/>
        <v>0</v>
      </c>
      <c r="AY72" s="162" t="e">
        <f t="shared" si="29"/>
        <v>#DIV/0!</v>
      </c>
      <c r="AZ72" s="145">
        <f t="shared" si="29"/>
        <v>0</v>
      </c>
      <c r="BA72" s="145">
        <f t="shared" si="29"/>
        <v>5.1525490243577469E-3</v>
      </c>
      <c r="BB72" s="162" t="e">
        <f t="shared" si="29"/>
        <v>#DIV/0!</v>
      </c>
      <c r="BC72" s="145">
        <f t="shared" si="29"/>
        <v>0</v>
      </c>
      <c r="BD72" s="162" t="e">
        <f t="shared" si="29"/>
        <v>#DIV/0!</v>
      </c>
      <c r="BE72" s="162" t="e">
        <f t="shared" si="29"/>
        <v>#DIV/0!</v>
      </c>
      <c r="BF72" s="145">
        <f t="shared" si="29"/>
        <v>0</v>
      </c>
      <c r="BG72" s="145">
        <f t="shared" si="29"/>
        <v>0</v>
      </c>
      <c r="BH72" s="145">
        <f t="shared" si="29"/>
        <v>0</v>
      </c>
      <c r="BI72" s="145">
        <f t="shared" si="29"/>
        <v>0</v>
      </c>
      <c r="BJ72" s="145">
        <f t="shared" si="29"/>
        <v>0</v>
      </c>
      <c r="BK72" s="145">
        <f t="shared" si="29"/>
        <v>0</v>
      </c>
      <c r="BL72" s="145">
        <f t="shared" si="29"/>
        <v>0</v>
      </c>
      <c r="BM72" s="145">
        <f t="shared" si="29"/>
        <v>0</v>
      </c>
      <c r="BN72" s="145">
        <f t="shared" si="29"/>
        <v>0</v>
      </c>
      <c r="BO72" s="145">
        <f t="shared" si="29"/>
        <v>0</v>
      </c>
      <c r="BP72" s="145">
        <f t="shared" si="29"/>
        <v>0</v>
      </c>
      <c r="BQ72" s="162" t="e">
        <f t="shared" si="29"/>
        <v>#DIV/0!</v>
      </c>
      <c r="BR72" s="145">
        <f t="shared" si="29"/>
        <v>0</v>
      </c>
      <c r="BS72" s="145">
        <f t="shared" si="29"/>
        <v>0.30485149377231952</v>
      </c>
      <c r="BT72" s="145">
        <f t="shared" si="29"/>
        <v>0</v>
      </c>
      <c r="BU72" s="145">
        <f t="shared" si="29"/>
        <v>2.381574161228269E-3</v>
      </c>
      <c r="BV72" s="145">
        <f t="shared" si="29"/>
        <v>0</v>
      </c>
      <c r="BW72" s="145">
        <f t="shared" si="29"/>
        <v>0</v>
      </c>
      <c r="BX72" s="145">
        <f t="shared" si="29"/>
        <v>0.100016107648655</v>
      </c>
      <c r="BY72" s="145">
        <f t="shared" si="29"/>
        <v>0</v>
      </c>
      <c r="BZ72" s="145">
        <f t="shared" si="29"/>
        <v>0</v>
      </c>
      <c r="CA72" s="162" t="e">
        <f t="shared" si="29"/>
        <v>#DIV/0!</v>
      </c>
      <c r="CB72" s="162" t="e">
        <f t="shared" ref="CB72:CV72" si="30">CB71/CB$60</f>
        <v>#DIV/0!</v>
      </c>
      <c r="CC72" s="145">
        <f t="shared" si="30"/>
        <v>0</v>
      </c>
      <c r="CD72" s="145">
        <f t="shared" si="30"/>
        <v>0</v>
      </c>
      <c r="CE72" s="145">
        <f t="shared" si="30"/>
        <v>0</v>
      </c>
      <c r="CF72" s="145">
        <f t="shared" si="30"/>
        <v>0</v>
      </c>
      <c r="CG72" s="145">
        <f t="shared" si="30"/>
        <v>0</v>
      </c>
      <c r="CH72" s="145">
        <f t="shared" si="30"/>
        <v>0</v>
      </c>
      <c r="CI72" s="145">
        <f t="shared" si="30"/>
        <v>0</v>
      </c>
      <c r="CJ72" s="162" t="e">
        <f t="shared" si="30"/>
        <v>#DIV/0!</v>
      </c>
      <c r="CK72" s="145">
        <f t="shared" si="30"/>
        <v>0</v>
      </c>
      <c r="CL72" s="145">
        <f t="shared" si="30"/>
        <v>0</v>
      </c>
      <c r="CM72" s="145">
        <f t="shared" si="30"/>
        <v>0</v>
      </c>
      <c r="CN72" s="145">
        <f t="shared" si="30"/>
        <v>0</v>
      </c>
      <c r="CO72" s="162" t="e">
        <f t="shared" si="30"/>
        <v>#DIV/0!</v>
      </c>
      <c r="CP72" s="145">
        <f t="shared" si="30"/>
        <v>1.3351376964109606E-2</v>
      </c>
      <c r="CQ72" s="145">
        <f t="shared" si="30"/>
        <v>0</v>
      </c>
      <c r="CR72" s="162" t="e">
        <f t="shared" si="30"/>
        <v>#DIV/0!</v>
      </c>
      <c r="CS72" s="145">
        <f t="shared" si="30"/>
        <v>0</v>
      </c>
      <c r="CT72" s="145">
        <f t="shared" si="30"/>
        <v>0</v>
      </c>
      <c r="CU72" s="145">
        <f t="shared" si="30"/>
        <v>7.7830817643607678E-2</v>
      </c>
      <c r="CV72" s="145">
        <f t="shared" si="30"/>
        <v>0</v>
      </c>
    </row>
    <row r="73" spans="1:100" ht="56">
      <c r="A73" s="720" t="s">
        <v>5107</v>
      </c>
      <c r="B73" s="715" t="s">
        <v>4947</v>
      </c>
      <c r="C73" s="717" t="s">
        <v>5108</v>
      </c>
      <c r="D73" s="37" t="s">
        <v>4949</v>
      </c>
      <c r="E73" s="37">
        <v>36</v>
      </c>
      <c r="F73" s="38" t="s">
        <v>5109</v>
      </c>
      <c r="G73" s="140" t="s">
        <v>5268</v>
      </c>
      <c r="H73" s="85" t="s">
        <v>5082</v>
      </c>
      <c r="I73" s="55" t="s">
        <v>4961</v>
      </c>
      <c r="L73" s="36" t="s">
        <v>278</v>
      </c>
      <c r="M73" s="36">
        <v>1129.2392339999999</v>
      </c>
      <c r="N73" s="36">
        <v>1943.0827900599993</v>
      </c>
      <c r="O73" s="224">
        <f>O67+O69+O71</f>
        <v>2180.4039977400002</v>
      </c>
      <c r="P73" s="36">
        <f>P67+P69+P71</f>
        <v>1.2330000000000001</v>
      </c>
      <c r="Q73" s="36">
        <f t="shared" ref="Q73:CB73" si="31">Q67+Q69+Q71</f>
        <v>4.5999999999999996</v>
      </c>
      <c r="R73" s="36">
        <f t="shared" si="31"/>
        <v>22.9</v>
      </c>
      <c r="S73" s="36">
        <f t="shared" si="31"/>
        <v>6.202</v>
      </c>
      <c r="T73" s="36">
        <f t="shared" si="31"/>
        <v>15.15</v>
      </c>
      <c r="U73" s="36">
        <f t="shared" si="31"/>
        <v>2.5000000000000001E-2</v>
      </c>
      <c r="V73" s="36">
        <f t="shared" si="31"/>
        <v>214.01500000000004</v>
      </c>
      <c r="W73" s="36">
        <f t="shared" si="31"/>
        <v>0.21199999999999999</v>
      </c>
      <c r="X73" s="36">
        <f t="shared" si="31"/>
        <v>5</v>
      </c>
      <c r="Y73" s="36">
        <f t="shared" si="31"/>
        <v>0</v>
      </c>
      <c r="Z73" s="36">
        <f t="shared" si="31"/>
        <v>67.754999999999995</v>
      </c>
      <c r="AA73" s="36">
        <f t="shared" si="31"/>
        <v>1.5683069999999999</v>
      </c>
      <c r="AB73" s="36">
        <f t="shared" si="31"/>
        <v>27.853000000000002</v>
      </c>
      <c r="AC73" s="36">
        <f t="shared" si="31"/>
        <v>49.190000000000005</v>
      </c>
      <c r="AD73" s="160">
        <f t="shared" si="31"/>
        <v>0</v>
      </c>
      <c r="AE73" s="160">
        <f t="shared" si="31"/>
        <v>0</v>
      </c>
      <c r="AF73" s="36">
        <f t="shared" si="31"/>
        <v>0</v>
      </c>
      <c r="AG73" s="160">
        <f t="shared" si="31"/>
        <v>0</v>
      </c>
      <c r="AH73" s="160">
        <f t="shared" si="31"/>
        <v>0</v>
      </c>
      <c r="AI73" s="36">
        <f t="shared" si="31"/>
        <v>0</v>
      </c>
      <c r="AJ73" s="36">
        <f t="shared" si="31"/>
        <v>1</v>
      </c>
      <c r="AK73" s="36">
        <f t="shared" si="31"/>
        <v>162.24700000000001</v>
      </c>
      <c r="AL73" s="36">
        <f t="shared" si="31"/>
        <v>1.0980000000000001</v>
      </c>
      <c r="AM73" s="36">
        <f t="shared" si="31"/>
        <v>17.23519168</v>
      </c>
      <c r="AN73" s="160">
        <f t="shared" si="31"/>
        <v>0</v>
      </c>
      <c r="AO73" s="160">
        <f t="shared" si="31"/>
        <v>0</v>
      </c>
      <c r="AP73" s="36">
        <f t="shared" si="31"/>
        <v>15.100000000000001</v>
      </c>
      <c r="AQ73" s="36">
        <f t="shared" si="31"/>
        <v>9.6</v>
      </c>
      <c r="AR73" s="36">
        <f t="shared" si="31"/>
        <v>86.42</v>
      </c>
      <c r="AS73" s="36">
        <f t="shared" si="31"/>
        <v>8.4019999999999992</v>
      </c>
      <c r="AT73" s="36">
        <f t="shared" si="31"/>
        <v>30.090999999999998</v>
      </c>
      <c r="AU73" s="36">
        <f t="shared" si="31"/>
        <v>59.510000000000005</v>
      </c>
      <c r="AV73" s="36">
        <f t="shared" si="31"/>
        <v>14.370000000000001</v>
      </c>
      <c r="AW73" s="36">
        <f t="shared" si="31"/>
        <v>5.359</v>
      </c>
      <c r="AX73" s="36">
        <f t="shared" si="31"/>
        <v>14.9404</v>
      </c>
      <c r="AY73" s="160">
        <f t="shared" si="31"/>
        <v>0</v>
      </c>
      <c r="AZ73" s="36">
        <f t="shared" si="31"/>
        <v>1.079</v>
      </c>
      <c r="BA73" s="36">
        <f t="shared" si="31"/>
        <v>5.6582222299999998</v>
      </c>
      <c r="BB73" s="160">
        <f t="shared" si="31"/>
        <v>0</v>
      </c>
      <c r="BC73" s="36">
        <f t="shared" si="31"/>
        <v>5.1242109999999998</v>
      </c>
      <c r="BD73" s="160">
        <f t="shared" si="31"/>
        <v>0</v>
      </c>
      <c r="BE73" s="160">
        <f t="shared" si="31"/>
        <v>0</v>
      </c>
      <c r="BF73" s="36">
        <f t="shared" si="31"/>
        <v>0.5</v>
      </c>
      <c r="BG73" s="36">
        <f t="shared" si="31"/>
        <v>9.5689999999999991</v>
      </c>
      <c r="BH73" s="36">
        <f t="shared" si="31"/>
        <v>0.316</v>
      </c>
      <c r="BI73" s="36">
        <f t="shared" si="31"/>
        <v>103.262</v>
      </c>
      <c r="BJ73" s="36">
        <f t="shared" si="31"/>
        <v>19.694099999999999</v>
      </c>
      <c r="BK73" s="36">
        <f t="shared" si="31"/>
        <v>14</v>
      </c>
      <c r="BL73" s="36">
        <f t="shared" si="31"/>
        <v>45.174999999999997</v>
      </c>
      <c r="BM73" s="36">
        <f t="shared" si="31"/>
        <v>16.523299999999999</v>
      </c>
      <c r="BN73" s="36">
        <f t="shared" si="31"/>
        <v>3.0530999999999997</v>
      </c>
      <c r="BO73" s="36">
        <f t="shared" si="31"/>
        <v>16.074000000000002</v>
      </c>
      <c r="BP73" s="36">
        <f t="shared" si="31"/>
        <v>13.80945537</v>
      </c>
      <c r="BQ73" s="160">
        <f t="shared" si="31"/>
        <v>0</v>
      </c>
      <c r="BR73" s="36">
        <f t="shared" si="31"/>
        <v>0.106</v>
      </c>
      <c r="BS73" s="36">
        <f t="shared" si="31"/>
        <v>10.68</v>
      </c>
      <c r="BT73" s="36">
        <f t="shared" si="31"/>
        <v>20.323</v>
      </c>
      <c r="BU73" s="36">
        <f t="shared" si="31"/>
        <v>30.201519999999999</v>
      </c>
      <c r="BV73" s="36">
        <f t="shared" si="31"/>
        <v>0</v>
      </c>
      <c r="BW73" s="36">
        <f t="shared" si="31"/>
        <v>14.5906</v>
      </c>
      <c r="BX73" s="36">
        <f t="shared" si="31"/>
        <v>170.51999999999998</v>
      </c>
      <c r="BY73" s="36">
        <f t="shared" si="31"/>
        <v>3.5</v>
      </c>
      <c r="BZ73" s="36">
        <f t="shared" si="31"/>
        <v>90.96577400000001</v>
      </c>
      <c r="CA73" s="160">
        <f t="shared" si="31"/>
        <v>0</v>
      </c>
      <c r="CB73" s="160">
        <f t="shared" si="31"/>
        <v>0</v>
      </c>
      <c r="CC73" s="36">
        <f t="shared" ref="CC73:CV73" si="32">CC67+CC69+CC71</f>
        <v>2E-3</v>
      </c>
      <c r="CD73" s="36">
        <f t="shared" si="32"/>
        <v>90.216999999999999</v>
      </c>
      <c r="CE73" s="36">
        <f t="shared" si="32"/>
        <v>2.2000000000000002</v>
      </c>
      <c r="CF73" s="36">
        <f t="shared" si="32"/>
        <v>285.12299999999999</v>
      </c>
      <c r="CG73" s="36">
        <f t="shared" si="32"/>
        <v>35.5</v>
      </c>
      <c r="CH73" s="36">
        <f t="shared" si="32"/>
        <v>6.10338446</v>
      </c>
      <c r="CI73" s="36">
        <f t="shared" si="32"/>
        <v>120</v>
      </c>
      <c r="CJ73" s="160">
        <f t="shared" si="32"/>
        <v>0</v>
      </c>
      <c r="CK73" s="36">
        <f t="shared" si="32"/>
        <v>1.1970000000000001</v>
      </c>
      <c r="CL73" s="36">
        <f t="shared" si="32"/>
        <v>18.696000000000002</v>
      </c>
      <c r="CM73" s="36">
        <f t="shared" si="32"/>
        <v>17.099</v>
      </c>
      <c r="CN73" s="36">
        <f t="shared" si="32"/>
        <v>64.075000000000003</v>
      </c>
      <c r="CO73" s="160">
        <f t="shared" si="32"/>
        <v>0</v>
      </c>
      <c r="CP73" s="36">
        <f t="shared" si="32"/>
        <v>23.698789999999999</v>
      </c>
      <c r="CQ73" s="36">
        <f t="shared" si="32"/>
        <v>0</v>
      </c>
      <c r="CR73" s="160">
        <f t="shared" si="32"/>
        <v>0</v>
      </c>
      <c r="CS73" s="36">
        <f t="shared" si="32"/>
        <v>62.645000000000003</v>
      </c>
      <c r="CT73" s="36">
        <f t="shared" si="32"/>
        <v>4.3341999999999999E-2</v>
      </c>
      <c r="CU73" s="36">
        <f t="shared" si="32"/>
        <v>13.504299999999999</v>
      </c>
      <c r="CV73" s="36">
        <f t="shared" si="32"/>
        <v>4.5</v>
      </c>
    </row>
    <row r="74" spans="1:100" ht="29" thickBot="1">
      <c r="A74" s="721"/>
      <c r="B74" s="722"/>
      <c r="C74" s="722"/>
      <c r="D74" s="49" t="s">
        <v>4949</v>
      </c>
      <c r="E74" s="49">
        <v>37</v>
      </c>
      <c r="F74" s="59" t="s">
        <v>5110</v>
      </c>
      <c r="G74" s="141" t="s">
        <v>5089</v>
      </c>
      <c r="H74" s="86" t="s">
        <v>60</v>
      </c>
      <c r="I74" s="82" t="s">
        <v>5090</v>
      </c>
      <c r="M74" s="36">
        <v>7.7869258667379385E-2</v>
      </c>
      <c r="N74" s="36">
        <v>0.10060334720325231</v>
      </c>
      <c r="O74" s="228">
        <f>O73/O$60</f>
        <v>9.0607842556240437E-2</v>
      </c>
      <c r="P74" s="145">
        <f t="shared" ref="P74:CA74" si="33">P73/P$60</f>
        <v>0.17206251744348311</v>
      </c>
      <c r="Q74" s="145">
        <f t="shared" si="33"/>
        <v>6.0548412295189098E-2</v>
      </c>
      <c r="R74" s="145">
        <f t="shared" si="33"/>
        <v>0.13145809414466131</v>
      </c>
      <c r="S74" s="145">
        <f t="shared" si="33"/>
        <v>6.9201758496797661E-2</v>
      </c>
      <c r="T74" s="145">
        <f t="shared" si="33"/>
        <v>0.2687599787120809</v>
      </c>
      <c r="U74" s="145">
        <f t="shared" si="33"/>
        <v>1.6666666666666666E-2</v>
      </c>
      <c r="V74" s="145">
        <f t="shared" si="33"/>
        <v>6.7878821325650249E-2</v>
      </c>
      <c r="W74" s="145">
        <f t="shared" si="33"/>
        <v>1.9658753709198809E-3</v>
      </c>
      <c r="X74" s="145">
        <f t="shared" si="33"/>
        <v>4.5871559633027525E-2</v>
      </c>
      <c r="Y74" s="145">
        <f t="shared" si="33"/>
        <v>0</v>
      </c>
      <c r="Z74" s="145">
        <f t="shared" si="33"/>
        <v>9.4978629633108144E-2</v>
      </c>
      <c r="AA74" s="145">
        <f t="shared" si="33"/>
        <v>1.3706461226523102E-2</v>
      </c>
      <c r="AB74" s="145">
        <f t="shared" si="33"/>
        <v>0.11102740108264972</v>
      </c>
      <c r="AC74" s="145">
        <f t="shared" si="33"/>
        <v>0.1684029620297367</v>
      </c>
      <c r="AD74" s="162" t="e">
        <f t="shared" si="33"/>
        <v>#DIV/0!</v>
      </c>
      <c r="AE74" s="162" t="e">
        <f t="shared" si="33"/>
        <v>#DIV/0!</v>
      </c>
      <c r="AF74" s="145">
        <f t="shared" si="33"/>
        <v>0</v>
      </c>
      <c r="AG74" s="162" t="e">
        <f t="shared" si="33"/>
        <v>#DIV/0!</v>
      </c>
      <c r="AH74" s="162" t="e">
        <f t="shared" si="33"/>
        <v>#DIV/0!</v>
      </c>
      <c r="AI74" s="145">
        <f t="shared" si="33"/>
        <v>0</v>
      </c>
      <c r="AJ74" s="145">
        <f t="shared" si="33"/>
        <v>0.5</v>
      </c>
      <c r="AK74" s="145">
        <f t="shared" si="33"/>
        <v>9.0870257136579966E-2</v>
      </c>
      <c r="AL74" s="145">
        <f t="shared" si="33"/>
        <v>0.14633769916354281</v>
      </c>
      <c r="AM74" s="145">
        <f t="shared" si="33"/>
        <v>0.10436016538847773</v>
      </c>
      <c r="AN74" s="162" t="e">
        <f t="shared" si="33"/>
        <v>#DIV/0!</v>
      </c>
      <c r="AO74" s="162" t="e">
        <f t="shared" si="33"/>
        <v>#DIV/0!</v>
      </c>
      <c r="AP74" s="145">
        <f t="shared" si="33"/>
        <v>0.12520729684908791</v>
      </c>
      <c r="AQ74" s="145">
        <f t="shared" si="33"/>
        <v>7.8367346938775506E-2</v>
      </c>
      <c r="AR74" s="145">
        <f t="shared" si="33"/>
        <v>0.20522441225362145</v>
      </c>
      <c r="AS74" s="145">
        <f t="shared" si="33"/>
        <v>7.1057661406268485E-2</v>
      </c>
      <c r="AT74" s="145">
        <f t="shared" si="33"/>
        <v>5.958224512061587E-2</v>
      </c>
      <c r="AU74" s="145">
        <f t="shared" si="33"/>
        <v>0.83355511044500163</v>
      </c>
      <c r="AV74" s="145">
        <f t="shared" si="33"/>
        <v>9.3136301769395302E-2</v>
      </c>
      <c r="AW74" s="145">
        <f t="shared" si="33"/>
        <v>1.8063062942359025E-2</v>
      </c>
      <c r="AX74" s="145">
        <f t="shared" si="33"/>
        <v>2.6352746712144107E-2</v>
      </c>
      <c r="AY74" s="162" t="e">
        <f t="shared" si="33"/>
        <v>#DIV/0!</v>
      </c>
      <c r="AZ74" s="145">
        <f t="shared" si="33"/>
        <v>1.9366522659190481E-3</v>
      </c>
      <c r="BA74" s="145">
        <f t="shared" si="33"/>
        <v>6.8533838374050693E-2</v>
      </c>
      <c r="BB74" s="162" t="e">
        <f t="shared" si="33"/>
        <v>#DIV/0!</v>
      </c>
      <c r="BC74" s="145">
        <f t="shared" si="33"/>
        <v>0.15840000939727167</v>
      </c>
      <c r="BD74" s="162" t="e">
        <f t="shared" si="33"/>
        <v>#DIV/0!</v>
      </c>
      <c r="BE74" s="162" t="e">
        <f t="shared" si="33"/>
        <v>#DIV/0!</v>
      </c>
      <c r="BF74" s="145">
        <f t="shared" si="33"/>
        <v>6.3211125158027806E-2</v>
      </c>
      <c r="BG74" s="145">
        <f t="shared" si="33"/>
        <v>0.2567893945899527</v>
      </c>
      <c r="BH74" s="145">
        <f t="shared" si="33"/>
        <v>1.3572717120522292E-2</v>
      </c>
      <c r="BI74" s="145">
        <f t="shared" si="33"/>
        <v>0.1484856938257261</v>
      </c>
      <c r="BJ74" s="145">
        <f t="shared" si="33"/>
        <v>3.4610211805899099E-2</v>
      </c>
      <c r="BK74" s="145">
        <f t="shared" si="33"/>
        <v>8.8832487309644673E-2</v>
      </c>
      <c r="BL74" s="145">
        <f t="shared" si="33"/>
        <v>0.64374777342358391</v>
      </c>
      <c r="BM74" s="145">
        <f t="shared" si="33"/>
        <v>0.14349009013233707</v>
      </c>
      <c r="BN74" s="145">
        <f t="shared" si="33"/>
        <v>0.12167138245725896</v>
      </c>
      <c r="BO74" s="145">
        <f t="shared" si="33"/>
        <v>3.0881725718633173E-2</v>
      </c>
      <c r="BP74" s="145">
        <f t="shared" si="33"/>
        <v>0.10602700987529018</v>
      </c>
      <c r="BQ74" s="162" t="e">
        <f t="shared" si="33"/>
        <v>#DIV/0!</v>
      </c>
      <c r="BR74" s="145">
        <f t="shared" si="33"/>
        <v>2.3063533507397736E-2</v>
      </c>
      <c r="BS74" s="145">
        <f t="shared" si="33"/>
        <v>0.93023255813953487</v>
      </c>
      <c r="BT74" s="145">
        <f t="shared" si="33"/>
        <v>9.6792783524794729E-2</v>
      </c>
      <c r="BU74" s="145">
        <f t="shared" si="33"/>
        <v>0.1097253472995771</v>
      </c>
      <c r="BV74" s="145">
        <f t="shared" si="33"/>
        <v>0</v>
      </c>
      <c r="BW74" s="145">
        <f t="shared" si="33"/>
        <v>0.1348156594099586</v>
      </c>
      <c r="BX74" s="145">
        <f t="shared" si="33"/>
        <v>0.21128278835788714</v>
      </c>
      <c r="BY74" s="145">
        <f t="shared" si="33"/>
        <v>4.0612671153399862E-3</v>
      </c>
      <c r="BZ74" s="145">
        <f t="shared" si="33"/>
        <v>4.2421572011023582E-2</v>
      </c>
      <c r="CA74" s="162" t="e">
        <f t="shared" si="33"/>
        <v>#DIV/0!</v>
      </c>
      <c r="CB74" s="162" t="e">
        <f t="shared" ref="CB74:CV74" si="34">CB73/CB$60</f>
        <v>#DIV/0!</v>
      </c>
      <c r="CC74" s="145">
        <f t="shared" si="34"/>
        <v>2.4390243902439024E-3</v>
      </c>
      <c r="CD74" s="145">
        <f t="shared" si="34"/>
        <v>0.13910012088020524</v>
      </c>
      <c r="CE74" s="145">
        <f t="shared" si="34"/>
        <v>1.5912855417242307E-2</v>
      </c>
      <c r="CF74" s="145">
        <f t="shared" si="34"/>
        <v>0.2117271487161132</v>
      </c>
      <c r="CG74" s="145">
        <f t="shared" si="34"/>
        <v>0.15834076717216772</v>
      </c>
      <c r="CH74" s="145">
        <f t="shared" si="34"/>
        <v>0.11309725811782384</v>
      </c>
      <c r="CI74" s="145">
        <f t="shared" si="34"/>
        <v>0.17191977077363896</v>
      </c>
      <c r="CJ74" s="162" t="e">
        <f t="shared" si="34"/>
        <v>#DIV/0!</v>
      </c>
      <c r="CK74" s="145">
        <f t="shared" si="34"/>
        <v>2.7532495014479289E-3</v>
      </c>
      <c r="CL74" s="145">
        <f t="shared" si="34"/>
        <v>0.20230833397873946</v>
      </c>
      <c r="CM74" s="145">
        <f t="shared" si="34"/>
        <v>8.8793900977040582E-2</v>
      </c>
      <c r="CN74" s="145">
        <f t="shared" si="34"/>
        <v>0.31979138073016744</v>
      </c>
      <c r="CO74" s="162" t="e">
        <f t="shared" si="34"/>
        <v>#DIV/0!</v>
      </c>
      <c r="CP74" s="145">
        <f t="shared" si="34"/>
        <v>3.0255448353726441E-2</v>
      </c>
      <c r="CQ74" s="145">
        <f t="shared" si="34"/>
        <v>0</v>
      </c>
      <c r="CR74" s="162" t="e">
        <f t="shared" si="34"/>
        <v>#DIV/0!</v>
      </c>
      <c r="CS74" s="145">
        <f t="shared" si="34"/>
        <v>0.1402279193350898</v>
      </c>
      <c r="CT74" s="145">
        <f t="shared" si="34"/>
        <v>1.6257314328582144E-3</v>
      </c>
      <c r="CU74" s="145">
        <f t="shared" si="34"/>
        <v>0.18006693690330153</v>
      </c>
      <c r="CV74" s="145">
        <f t="shared" si="34"/>
        <v>6.0851926977687626E-3</v>
      </c>
    </row>
    <row r="75" spans="1:100" ht="57" thickBot="1">
      <c r="A75" s="18" t="s">
        <v>5111</v>
      </c>
      <c r="B75" s="19" t="s">
        <v>4947</v>
      </c>
      <c r="C75" s="87" t="s">
        <v>5112</v>
      </c>
      <c r="D75" s="88" t="s">
        <v>4949</v>
      </c>
      <c r="E75" s="88">
        <v>38</v>
      </c>
      <c r="F75" s="89" t="s">
        <v>5113</v>
      </c>
      <c r="G75" s="143" t="s">
        <v>5114</v>
      </c>
      <c r="H75" s="90" t="s">
        <v>5115</v>
      </c>
      <c r="I75" s="91" t="s">
        <v>4956</v>
      </c>
      <c r="M75" s="232">
        <v>0.14705625103452222</v>
      </c>
      <c r="N75" s="232">
        <v>0.18506759603608039</v>
      </c>
      <c r="O75" s="233">
        <f>O73/O63</f>
        <v>0.16630738598124598</v>
      </c>
      <c r="P75" s="233">
        <f t="shared" ref="P75:CA75" si="35">P73/P63</f>
        <v>0.24883955600403634</v>
      </c>
      <c r="Q75" s="233">
        <f t="shared" si="35"/>
        <v>1.7821909440307271</v>
      </c>
      <c r="R75" s="233">
        <f t="shared" si="35"/>
        <v>0.19423240033927056</v>
      </c>
      <c r="S75" s="233">
        <f t="shared" si="35"/>
        <v>8.6951645239530612E-2</v>
      </c>
      <c r="T75" s="233">
        <f t="shared" si="35"/>
        <v>0.7276657060518732</v>
      </c>
      <c r="U75" s="233">
        <f t="shared" si="35"/>
        <v>2.0833333333333336E-2</v>
      </c>
      <c r="V75" s="233">
        <f t="shared" si="35"/>
        <v>7.9286457081062522E-2</v>
      </c>
      <c r="W75" s="233">
        <f t="shared" si="35"/>
        <v>2.3558173130347818E-2</v>
      </c>
      <c r="X75" s="233">
        <f t="shared" si="35"/>
        <v>5.2083333333333336E-2</v>
      </c>
      <c r="Y75" s="233">
        <f t="shared" si="35"/>
        <v>0</v>
      </c>
      <c r="Z75" s="233">
        <f t="shared" si="35"/>
        <v>1.0938988359515005</v>
      </c>
      <c r="AA75" s="233">
        <f t="shared" si="35"/>
        <v>3.0052831273354407E-2</v>
      </c>
      <c r="AB75" s="233">
        <f t="shared" si="35"/>
        <v>0.3394306466158083</v>
      </c>
      <c r="AC75" s="233">
        <f t="shared" si="35"/>
        <v>0.24143160746626882</v>
      </c>
      <c r="AD75" s="233" t="e">
        <f t="shared" si="35"/>
        <v>#DIV/0!</v>
      </c>
      <c r="AE75" s="233" t="e">
        <f t="shared" si="35"/>
        <v>#DIV/0!</v>
      </c>
      <c r="AF75" s="233">
        <f t="shared" si="35"/>
        <v>0</v>
      </c>
      <c r="AG75" s="233" t="e">
        <f t="shared" si="35"/>
        <v>#DIV/0!</v>
      </c>
      <c r="AH75" s="233" t="e">
        <f t="shared" si="35"/>
        <v>#DIV/0!</v>
      </c>
      <c r="AI75" s="233">
        <f t="shared" si="35"/>
        <v>0</v>
      </c>
      <c r="AJ75" s="233" t="e">
        <f t="shared" si="35"/>
        <v>#DIV/0!</v>
      </c>
      <c r="AK75" s="233">
        <f t="shared" si="35"/>
        <v>0.17952488694222987</v>
      </c>
      <c r="AL75" s="233">
        <f t="shared" si="35"/>
        <v>0.20417677245614432</v>
      </c>
      <c r="AM75" s="233">
        <f t="shared" si="35"/>
        <v>0.18626195997060477</v>
      </c>
      <c r="AN75" s="233" t="e">
        <f t="shared" si="35"/>
        <v>#DIV/0!</v>
      </c>
      <c r="AO75" s="233" t="e">
        <f t="shared" si="35"/>
        <v>#DIV/0!</v>
      </c>
      <c r="AP75" s="233">
        <f t="shared" si="35"/>
        <v>0.19920844327176784</v>
      </c>
      <c r="AQ75" s="233">
        <f t="shared" si="35"/>
        <v>0.10958904109589042</v>
      </c>
      <c r="AR75" s="233">
        <f t="shared" si="35"/>
        <v>0.33292241312890059</v>
      </c>
      <c r="AS75" s="233">
        <f t="shared" si="35"/>
        <v>9.3312009950911781E-2</v>
      </c>
      <c r="AT75" s="233">
        <f t="shared" si="35"/>
        <v>0.32456074121212775</v>
      </c>
      <c r="AU75" s="233" t="e">
        <f t="shared" si="35"/>
        <v>#DIV/0!</v>
      </c>
      <c r="AV75" s="233">
        <f t="shared" si="35"/>
        <v>0.14574036511156188</v>
      </c>
      <c r="AW75" s="233">
        <f t="shared" si="35"/>
        <v>0.47024880013723996</v>
      </c>
      <c r="AX75" s="233">
        <f t="shared" si="35"/>
        <v>0.13287501278465308</v>
      </c>
      <c r="AY75" s="233" t="e">
        <f t="shared" si="35"/>
        <v>#DIV/0!</v>
      </c>
      <c r="AZ75" s="233">
        <f t="shared" si="35"/>
        <v>2.4445114035664037E-3</v>
      </c>
      <c r="BA75" s="233">
        <f t="shared" si="35"/>
        <v>8.0080413898925423E-2</v>
      </c>
      <c r="BB75" s="233" t="e">
        <f t="shared" si="35"/>
        <v>#DIV/0!</v>
      </c>
      <c r="BC75" s="233">
        <f t="shared" si="35"/>
        <v>0.23503485014163891</v>
      </c>
      <c r="BD75" s="233" t="e">
        <f t="shared" si="35"/>
        <v>#DIV/0!</v>
      </c>
      <c r="BE75" s="233" t="e">
        <f t="shared" si="35"/>
        <v>#DIV/0!</v>
      </c>
      <c r="BF75" s="233" t="e">
        <f t="shared" si="35"/>
        <v>#DIV/0!</v>
      </c>
      <c r="BG75" s="233">
        <f t="shared" si="35"/>
        <v>0.42340707964601765</v>
      </c>
      <c r="BH75" s="233">
        <f t="shared" si="35"/>
        <v>1.6220933216980645E-2</v>
      </c>
      <c r="BI75" s="233">
        <f t="shared" si="35"/>
        <v>0.283601888445493</v>
      </c>
      <c r="BJ75" s="233">
        <f t="shared" si="35"/>
        <v>7.0194103853527659E-2</v>
      </c>
      <c r="BK75" s="233">
        <f t="shared" si="35"/>
        <v>0.12411347517730496</v>
      </c>
      <c r="BL75" s="233" t="e">
        <f t="shared" si="35"/>
        <v>#DIV/0!</v>
      </c>
      <c r="BM75" s="233">
        <f t="shared" si="35"/>
        <v>0.23604714285714284</v>
      </c>
      <c r="BN75" s="233">
        <f t="shared" si="35"/>
        <v>0.17944633830962736</v>
      </c>
      <c r="BO75" s="233">
        <f t="shared" si="35"/>
        <v>3.9204878048780496</v>
      </c>
      <c r="BP75" s="233">
        <f t="shared" si="35"/>
        <v>0.1193143515707033</v>
      </c>
      <c r="BQ75" s="233" t="e">
        <f t="shared" si="35"/>
        <v>#DIV/0!</v>
      </c>
      <c r="BR75" s="233">
        <f t="shared" si="35"/>
        <v>3.0285714285714284E-2</v>
      </c>
      <c r="BS75" s="233" t="e">
        <f t="shared" si="35"/>
        <v>#DIV/0!</v>
      </c>
      <c r="BT75" s="233">
        <f t="shared" si="35"/>
        <v>0.14058814170188924</v>
      </c>
      <c r="BU75" s="233">
        <f t="shared" si="35"/>
        <v>0.18292200162319963</v>
      </c>
      <c r="BV75" s="233">
        <f t="shared" si="35"/>
        <v>0</v>
      </c>
      <c r="BW75" s="233">
        <f t="shared" si="35"/>
        <v>0.19200659033216169</v>
      </c>
      <c r="BX75" s="233">
        <f t="shared" si="35"/>
        <v>0.34141555711282406</v>
      </c>
      <c r="BY75" s="233">
        <f t="shared" si="35"/>
        <v>4.2960598993494539E-3</v>
      </c>
      <c r="BZ75" s="233">
        <f t="shared" si="35"/>
        <v>0.65223822679327237</v>
      </c>
      <c r="CA75" s="233" t="e">
        <f t="shared" si="35"/>
        <v>#DIV/0!</v>
      </c>
      <c r="CB75" s="233" t="e">
        <f t="shared" ref="CB75:CV75" si="36">CB73/CB63</f>
        <v>#DIV/0!</v>
      </c>
      <c r="CC75" s="233">
        <f t="shared" si="36"/>
        <v>4.0000000000000001E-3</v>
      </c>
      <c r="CD75" s="233">
        <f t="shared" si="36"/>
        <v>0.22772869547657509</v>
      </c>
      <c r="CE75" s="233">
        <f t="shared" si="36"/>
        <v>1.7536447912764142E-2</v>
      </c>
      <c r="CF75" s="233">
        <f t="shared" si="36"/>
        <v>0.26859627141955478</v>
      </c>
      <c r="CG75" s="233">
        <f t="shared" si="36"/>
        <v>0.30187074829931976</v>
      </c>
      <c r="CH75" s="233">
        <f t="shared" si="36"/>
        <v>0.15482731064114322</v>
      </c>
      <c r="CI75" s="233">
        <f t="shared" si="36"/>
        <v>0.26785714285714285</v>
      </c>
      <c r="CJ75" s="233" t="e">
        <f t="shared" si="36"/>
        <v>#DIV/0!</v>
      </c>
      <c r="CK75" s="233">
        <f t="shared" si="36"/>
        <v>3.7818112885645225E-3</v>
      </c>
      <c r="CL75" s="233">
        <f t="shared" si="36"/>
        <v>0.38429599177800622</v>
      </c>
      <c r="CM75" s="233">
        <f t="shared" si="36"/>
        <v>0.15131858407079646</v>
      </c>
      <c r="CN75" s="233">
        <f t="shared" si="36"/>
        <v>0.53351373855120743</v>
      </c>
      <c r="CO75" s="233" t="e">
        <f t="shared" si="36"/>
        <v>#DIV/0!</v>
      </c>
      <c r="CP75" s="233">
        <f t="shared" si="36"/>
        <v>7.4871779480293818E-2</v>
      </c>
      <c r="CQ75" s="233" t="e">
        <f t="shared" si="36"/>
        <v>#DIV/0!</v>
      </c>
      <c r="CR75" s="233" t="e">
        <f t="shared" si="36"/>
        <v>#DIV/0!</v>
      </c>
      <c r="CS75" s="233">
        <f t="shared" si="36"/>
        <v>0.23772479403762159</v>
      </c>
      <c r="CT75" s="233">
        <f t="shared" si="36"/>
        <v>2.0318607628178639E-3</v>
      </c>
      <c r="CU75" s="233" t="e">
        <f t="shared" si="36"/>
        <v>#DIV/0!</v>
      </c>
      <c r="CV75" s="233">
        <f t="shared" si="36"/>
        <v>2.6486168334314303E-2</v>
      </c>
    </row>
    <row r="76" spans="1:100" ht="42">
      <c r="A76" s="720" t="s">
        <v>5116</v>
      </c>
      <c r="B76" s="715" t="s">
        <v>4990</v>
      </c>
      <c r="C76" s="717" t="s">
        <v>5117</v>
      </c>
      <c r="D76" s="37" t="s">
        <v>4949</v>
      </c>
      <c r="E76" s="37">
        <v>39</v>
      </c>
      <c r="F76" s="38" t="s">
        <v>5118</v>
      </c>
      <c r="G76" s="140" t="s">
        <v>5269</v>
      </c>
      <c r="H76" s="40" t="s">
        <v>5082</v>
      </c>
      <c r="I76" s="55" t="s">
        <v>4961</v>
      </c>
      <c r="L76" s="36" t="s">
        <v>278</v>
      </c>
      <c r="M76" s="36">
        <v>3782.6800000000007</v>
      </c>
      <c r="N76" s="36">
        <v>3907.3331850799996</v>
      </c>
      <c r="O76" s="687">
        <f>SUM(P76:CV76)</f>
        <v>4835.6631719199995</v>
      </c>
      <c r="P76" s="36">
        <f>SUMIFS('свод практик'!$BG$6:$BG$277,'свод практик'!$J$6:$J$277,'свод субъектов ИБ+смежные'!P$1)</f>
        <v>0</v>
      </c>
      <c r="Q76" s="36">
        <f>SUMIFS('свод практик'!$BG$6:$BG$277,'свод практик'!$J$6:$J$277,'свод субъектов ИБ+смежные'!Q$1)</f>
        <v>67.204571919999992</v>
      </c>
      <c r="R76" s="36">
        <f>SUMIFS('свод практик'!$BG$6:$BG$277,'свод практик'!$J$6:$J$277,'свод субъектов ИБ+смежные'!R$1)</f>
        <v>0</v>
      </c>
      <c r="S76" s="36">
        <f>SUMIFS('свод практик'!$BG$6:$BG$277,'свод практик'!$J$6:$J$277,'свод субъектов ИБ+смежные'!S$1)</f>
        <v>0</v>
      </c>
      <c r="T76" s="36">
        <f>SUMIFS('свод практик'!$BG$6:$BG$277,'свод практик'!$J$6:$J$277,'свод субъектов ИБ+смежные'!T$1)</f>
        <v>0</v>
      </c>
      <c r="U76" s="36">
        <f>SUMIFS('свод практик'!$BG$6:$BG$277,'свод практик'!$J$6:$J$277,'свод субъектов ИБ+смежные'!U$1)</f>
        <v>0</v>
      </c>
      <c r="V76" s="36">
        <f>SUMIFS('свод практик'!$BG$6:$BG$277,'свод практик'!$J$6:$J$277,'свод субъектов ИБ+смежные'!V$1)</f>
        <v>0</v>
      </c>
      <c r="W76" s="36">
        <f>SUMIFS('свод практик'!$BG$6:$BG$277,'свод практик'!$J$6:$J$277,'свод субъектов ИБ+смежные'!W$1)</f>
        <v>0</v>
      </c>
      <c r="X76" s="36">
        <f>SUMIFS('свод практик'!$BG$6:$BG$277,'свод практик'!$J$6:$J$277,'свод субъектов ИБ+смежные'!X$1)</f>
        <v>0</v>
      </c>
      <c r="Y76" s="36">
        <f>SUMIFS('свод практик'!$BG$6:$BG$277,'свод практик'!$J$6:$J$277,'свод субъектов ИБ+смежные'!Y$1)</f>
        <v>0</v>
      </c>
      <c r="Z76" s="36">
        <f>SUMIFS('свод практик'!$BG$6:$BG$277,'свод практик'!$J$6:$J$277,'свод субъектов ИБ+смежные'!Z$1)</f>
        <v>517.74</v>
      </c>
      <c r="AA76" s="36">
        <f>SUMIFS('свод практик'!$BG$6:$BG$277,'свод практик'!$J$6:$J$277,'свод субъектов ИБ+смежные'!AA$1)</f>
        <v>0</v>
      </c>
      <c r="AB76" s="36">
        <f>SUMIFS('свод практик'!$BG$6:$BG$277,'свод практик'!$J$6:$J$277,'свод субъектов ИБ+смежные'!AB$1)</f>
        <v>0</v>
      </c>
      <c r="AC76" s="36">
        <f>SUMIFS('свод практик'!$BG$6:$BG$277,'свод практик'!$J$6:$J$277,'свод субъектов ИБ+смежные'!AC$1)</f>
        <v>0.64</v>
      </c>
      <c r="AD76" s="160">
        <f>SUMIFS('свод практик'!$BG$6:$BG$277,'свод практик'!$J$6:$J$277,'свод субъектов ИБ+смежные'!AD$1)</f>
        <v>0</v>
      </c>
      <c r="AE76" s="160">
        <f>SUMIFS('свод практик'!$BG$6:$BG$277,'свод практик'!$J$6:$J$277,'свод субъектов ИБ+смежные'!AE$1)</f>
        <v>0</v>
      </c>
      <c r="AF76" s="36">
        <f>SUMIFS('свод практик'!$BG$6:$BG$277,'свод практик'!$J$6:$J$277,'свод субъектов ИБ+смежные'!AF$1)</f>
        <v>0</v>
      </c>
      <c r="AG76" s="160">
        <f>SUMIFS('свод практик'!$BG$6:$BG$277,'свод практик'!$J$6:$J$277,'свод субъектов ИБ+смежные'!AG$1)</f>
        <v>0</v>
      </c>
      <c r="AH76" s="160">
        <f>SUMIFS('свод практик'!$BG$6:$BG$277,'свод практик'!$J$6:$J$277,'свод субъектов ИБ+смежные'!AH$1)</f>
        <v>0</v>
      </c>
      <c r="AI76" s="36">
        <f>SUMIFS('свод практик'!$BG$6:$BG$277,'свод практик'!$J$6:$J$277,'свод субъектов ИБ+смежные'!AI$1)</f>
        <v>0</v>
      </c>
      <c r="AJ76" s="36">
        <f>SUMIFS('свод практик'!$BG$6:$BG$277,'свод практик'!$J$6:$J$277,'свод субъектов ИБ+смежные'!AJ$1)</f>
        <v>0</v>
      </c>
      <c r="AK76" s="36">
        <f>SUMIFS('свод практик'!$BG$6:$BG$277,'свод практик'!$J$6:$J$277,'свод субъектов ИБ+смежные'!AK$1)</f>
        <v>304.43900000000002</v>
      </c>
      <c r="AL76" s="36">
        <f>SUMIFS('свод практик'!$BG$6:$BG$277,'свод практик'!$J$6:$J$277,'свод субъектов ИБ+смежные'!AL$1)</f>
        <v>0</v>
      </c>
      <c r="AM76" s="36">
        <f>SUMIFS('свод практик'!$BG$6:$BG$277,'свод практик'!$J$6:$J$277,'свод субъектов ИБ+смежные'!AM$1)</f>
        <v>0</v>
      </c>
      <c r="AN76" s="160">
        <f>SUMIFS('свод практик'!$BG$6:$BG$277,'свод практик'!$J$6:$J$277,'свод субъектов ИБ+смежные'!AN$1)</f>
        <v>0</v>
      </c>
      <c r="AO76" s="160">
        <f>SUMIFS('свод практик'!$BG$6:$BG$277,'свод практик'!$J$6:$J$277,'свод субъектов ИБ+смежные'!AO$1)</f>
        <v>0</v>
      </c>
      <c r="AP76" s="36">
        <f>SUMIFS('свод практик'!$BG$6:$BG$277,'свод практик'!$J$6:$J$277,'свод субъектов ИБ+смежные'!AP$1)</f>
        <v>0</v>
      </c>
      <c r="AQ76" s="36">
        <f>SUMIFS('свод практик'!$BG$6:$BG$277,'свод практик'!$J$6:$J$277,'свод субъектов ИБ+смежные'!AQ$1)</f>
        <v>0</v>
      </c>
      <c r="AR76" s="36">
        <f>SUMIFS('свод практик'!$BG$6:$BG$277,'свод практик'!$J$6:$J$277,'свод субъектов ИБ+смежные'!AR$1)</f>
        <v>0</v>
      </c>
      <c r="AS76" s="36">
        <f>SUMIFS('свод практик'!$BG$6:$BG$277,'свод практик'!$J$6:$J$277,'свод субъектов ИБ+смежные'!AS$1)</f>
        <v>0</v>
      </c>
      <c r="AT76" s="36">
        <f>SUMIFS('свод практик'!$BG$6:$BG$277,'свод практик'!$J$6:$J$277,'свод субъектов ИБ+смежные'!AT$1)</f>
        <v>219.12700000000001</v>
      </c>
      <c r="AU76" s="36">
        <f>SUMIFS('свод практик'!$BG$6:$BG$277,'свод практик'!$J$6:$J$277,'свод субъектов ИБ+смежные'!AU$1)</f>
        <v>0</v>
      </c>
      <c r="AV76" s="36">
        <f>SUMIFS('свод практик'!$BG$6:$BG$277,'свод практик'!$J$6:$J$277,'свод субъектов ИБ+смежные'!AV$1)</f>
        <v>0</v>
      </c>
      <c r="AW76" s="36">
        <f>SUMIFS('свод практик'!$BG$6:$BG$277,'свод практик'!$J$6:$J$277,'свод субъектов ИБ+смежные'!AW$1)</f>
        <v>251.17340000000002</v>
      </c>
      <c r="AX76" s="36">
        <f>SUMIFS('свод практик'!$BG$6:$BG$277,'свод практик'!$J$6:$J$277,'свод субъектов ИБ+смежные'!AX$1)</f>
        <v>337.35599999999999</v>
      </c>
      <c r="AY76" s="160">
        <f>SUMIFS('свод практик'!$BG$6:$BG$277,'свод практик'!$J$6:$J$277,'свод субъектов ИБ+смежные'!AY$1)</f>
        <v>0</v>
      </c>
      <c r="AZ76" s="36">
        <f>SUMIFS('свод практик'!$BG$6:$BG$277,'свод практик'!$J$6:$J$277,'свод субъектов ИБ+смежные'!AZ$1)</f>
        <v>0</v>
      </c>
      <c r="BA76" s="36">
        <f>SUMIFS('свод практик'!$BG$6:$BG$277,'свод практик'!$J$6:$J$277,'свод субъектов ИБ+смежные'!BA$1)</f>
        <v>1.6888000000000001</v>
      </c>
      <c r="BB76" s="160">
        <f>SUMIFS('свод практик'!$BG$6:$BG$277,'свод практик'!$J$6:$J$277,'свод субъектов ИБ+смежные'!BB$1)</f>
        <v>0</v>
      </c>
      <c r="BC76" s="36">
        <f>SUMIFS('свод практик'!$BG$6:$BG$277,'свод практик'!$J$6:$J$277,'свод субъектов ИБ+смежные'!BC$1)</f>
        <v>0</v>
      </c>
      <c r="BD76" s="160">
        <f>SUMIFS('свод практик'!$BG$6:$BG$277,'свод практик'!$J$6:$J$277,'свод субъектов ИБ+смежные'!BD$1)</f>
        <v>0</v>
      </c>
      <c r="BE76" s="160">
        <f>SUMIFS('свод практик'!$BG$6:$BG$277,'свод практик'!$J$6:$J$277,'свод субъектов ИБ+смежные'!BE$1)</f>
        <v>0</v>
      </c>
      <c r="BF76" s="36">
        <f>SUMIFS('свод практик'!$BG$6:$BG$277,'свод практик'!$J$6:$J$277,'свод субъектов ИБ+смежные'!BF$1)</f>
        <v>0</v>
      </c>
      <c r="BG76" s="36">
        <f>SUMIFS('свод практик'!$BG$6:$BG$277,'свод практик'!$J$6:$J$277,'свод субъектов ИБ+смежные'!BG$1)</f>
        <v>0</v>
      </c>
      <c r="BH76" s="36">
        <f>SUMIFS('свод практик'!$BG$6:$BG$277,'свод практик'!$J$6:$J$277,'свод субъектов ИБ+смежные'!BH$1)</f>
        <v>0</v>
      </c>
      <c r="BI76" s="36">
        <f>SUMIFS('свод практик'!$BG$6:$BG$277,'свод практик'!$J$6:$J$277,'свод субъектов ИБ+смежные'!BI$1)</f>
        <v>0</v>
      </c>
      <c r="BJ76" s="36">
        <f>SUMIFS('свод практик'!$BG$6:$BG$277,'свод практик'!$J$6:$J$277,'свод субъектов ИБ+смежные'!BJ$1)</f>
        <v>182.67100000000002</v>
      </c>
      <c r="BK76" s="36">
        <f>SUMIFS('свод практик'!$BG$6:$BG$277,'свод практик'!$J$6:$J$277,'свод субъектов ИБ+смежные'!BK$1)</f>
        <v>0</v>
      </c>
      <c r="BL76" s="36">
        <f>SUMIFS('свод практик'!$BG$6:$BG$277,'свод практик'!$J$6:$J$277,'свод субъектов ИБ+смежные'!BL$1)</f>
        <v>0</v>
      </c>
      <c r="BM76" s="36">
        <f>SUMIFS('свод практик'!$BG$6:$BG$277,'свод практик'!$J$6:$J$277,'свод субъектов ИБ+смежные'!BM$1)</f>
        <v>0</v>
      </c>
      <c r="BN76" s="36">
        <f>SUMIFS('свод практик'!$BG$6:$BG$277,'свод практик'!$J$6:$J$277,'свод субъектов ИБ+смежные'!BN$1)</f>
        <v>0.61699999999999999</v>
      </c>
      <c r="BO76" s="36">
        <f>SUMIFS('свод практик'!$BG$6:$BG$277,'свод практик'!$J$6:$J$277,'свод субъектов ИБ+смежные'!BO$1)</f>
        <v>406.4</v>
      </c>
      <c r="BP76" s="36">
        <f>SUMIFS('свод практик'!$BG$6:$BG$277,'свод практик'!$J$6:$J$277,'свод субъектов ИБ+смежные'!BP$1)</f>
        <v>0</v>
      </c>
      <c r="BQ76" s="160">
        <f>SUMIFS('свод практик'!$BG$6:$BG$277,'свод практик'!$J$6:$J$277,'свод субъектов ИБ+смежные'!BQ$1)</f>
        <v>0</v>
      </c>
      <c r="BR76" s="36">
        <f>SUMIFS('свод практик'!$BG$6:$BG$277,'свод практик'!$J$6:$J$277,'свод субъектов ИБ+смежные'!BR$1)</f>
        <v>0</v>
      </c>
      <c r="BS76" s="36">
        <f>SUMIFS('свод практик'!$BG$6:$BG$277,'свод практик'!$J$6:$J$277,'свод субъектов ИБ+смежные'!BS$1)</f>
        <v>0</v>
      </c>
      <c r="BT76" s="36">
        <f>SUMIFS('свод практик'!$BG$6:$BG$277,'свод практик'!$J$6:$J$277,'свод субъектов ИБ+смежные'!BT$1)</f>
        <v>0.65200000000000002</v>
      </c>
      <c r="BU76" s="36">
        <f>SUMIFS('свод практик'!$BG$6:$BG$277,'свод практик'!$J$6:$J$277,'свод субъектов ИБ+смежные'!BU$1)</f>
        <v>0</v>
      </c>
      <c r="BV76" s="36">
        <f>SUMIFS('свод практик'!$BG$6:$BG$277,'свод практик'!$J$6:$J$277,'свод субъектов ИБ+смежные'!BV$1)</f>
        <v>0</v>
      </c>
      <c r="BW76" s="36">
        <f>SUMIFS('свод практик'!$BG$6:$BG$277,'свод практик'!$J$6:$J$277,'свод субъектов ИБ+смежные'!BW$1)</f>
        <v>0</v>
      </c>
      <c r="BX76" s="36">
        <f>SUMIFS('свод практик'!$BG$6:$BG$277,'свод практик'!$J$6:$J$277,'свод субъектов ИБ+смежные'!BX$1)</f>
        <v>0</v>
      </c>
      <c r="BY76" s="36">
        <f>SUMIFS('свод практик'!$BG$6:$BG$277,'свод практик'!$J$6:$J$277,'свод субъектов ИБ+смежные'!BY$1)</f>
        <v>0</v>
      </c>
      <c r="BZ76" s="36">
        <f>SUMIFS('свод практик'!$BG$6:$BG$277,'свод практик'!$J$6:$J$277,'свод субъектов ИБ+смежные'!BZ$1)</f>
        <v>1731.3376000000001</v>
      </c>
      <c r="CA76" s="160">
        <f>SUMIFS('свод практик'!$BG$6:$BG$277,'свод практик'!$J$6:$J$277,'свод субъектов ИБ+смежные'!CA$1)</f>
        <v>0</v>
      </c>
      <c r="CB76" s="160">
        <f>SUMIFS('свод практик'!$BG$6:$BG$277,'свод практик'!$J$6:$J$277,'свод субъектов ИБ+смежные'!CB$1)</f>
        <v>0</v>
      </c>
      <c r="CC76" s="36">
        <f>SUMIFS('свод практик'!$BG$6:$BG$277,'свод практик'!$J$6:$J$277,'свод субъектов ИБ+смежные'!CC$1)</f>
        <v>0</v>
      </c>
      <c r="CD76" s="36">
        <f>SUMIFS('свод практик'!$BG$6:$BG$277,'свод практик'!$J$6:$J$277,'свод субъектов ИБ+смежные'!CD$1)</f>
        <v>0</v>
      </c>
      <c r="CE76" s="36">
        <f>SUMIFS('свод практик'!$BG$6:$BG$277,'свод практик'!$J$6:$J$277,'свод субъектов ИБ+смежные'!CE$1)</f>
        <v>3</v>
      </c>
      <c r="CF76" s="36">
        <f>SUMIFS('свод практик'!$BG$6:$BG$277,'свод практик'!$J$6:$J$277,'свод субъектов ИБ+смежные'!CF$1)</f>
        <v>0</v>
      </c>
      <c r="CG76" s="36">
        <f>SUMIFS('свод практик'!$BG$6:$BG$277,'свод практик'!$J$6:$J$277,'свод субъектов ИБ+смежные'!CG$1)</f>
        <v>0</v>
      </c>
      <c r="CH76" s="36">
        <f>SUMIFS('свод практик'!$BG$6:$BG$277,'свод практик'!$J$6:$J$277,'свод субъектов ИБ+смежные'!CH$1)</f>
        <v>0</v>
      </c>
      <c r="CI76" s="36">
        <f>SUMIFS('свод практик'!$BG$6:$BG$277,'свод практик'!$J$6:$J$277,'свод субъектов ИБ+смежные'!CI$1)</f>
        <v>0</v>
      </c>
      <c r="CJ76" s="160">
        <f>SUMIFS('свод практик'!$BG$6:$BG$277,'свод практик'!$J$6:$J$277,'свод субъектов ИБ+смежные'!CJ$1)</f>
        <v>0</v>
      </c>
      <c r="CK76" s="36">
        <f>SUMIFS('свод практик'!$BG$6:$BG$277,'свод практик'!$J$6:$J$277,'свод субъектов ИБ+смежные'!CK$1)</f>
        <v>116.956</v>
      </c>
      <c r="CL76" s="36">
        <f>SUMIFS('свод практик'!$BG$6:$BG$277,'свод практик'!$J$6:$J$277,'свод субъектов ИБ+смежные'!CL$1)</f>
        <v>0</v>
      </c>
      <c r="CM76" s="36">
        <f>SUMIFS('свод практик'!$BG$6:$BG$277,'свод практик'!$J$6:$J$277,'свод субъектов ИБ+смежные'!CM$1)</f>
        <v>0</v>
      </c>
      <c r="CN76" s="36">
        <f>SUMIFS('свод практик'!$BG$6:$BG$277,'свод практик'!$J$6:$J$277,'свод субъектов ИБ+смежные'!CN$1)</f>
        <v>1.4</v>
      </c>
      <c r="CO76" s="160">
        <f>SUMIFS('свод практик'!$BG$6:$BG$277,'свод практик'!$J$6:$J$277,'свод субъектов ИБ+смежные'!CO$1)</f>
        <v>0</v>
      </c>
      <c r="CP76" s="36">
        <f>SUMIFS('свод практик'!$BG$6:$BG$277,'свод практик'!$J$6:$J$277,'свод субъектов ИБ+смежные'!CP$1)</f>
        <v>195.5608</v>
      </c>
      <c r="CQ76" s="36">
        <f>SUMIFS('свод практик'!$BG$6:$BG$277,'свод практик'!$J$6:$J$277,'свод субъектов ИБ+смежные'!CQ$1)</f>
        <v>0</v>
      </c>
      <c r="CR76" s="160">
        <f>SUMIFS('свод практик'!$BG$6:$BG$277,'свод практик'!$J$6:$J$277,'свод субъектов ИБ+смежные'!CR$1)</f>
        <v>0</v>
      </c>
      <c r="CS76" s="36">
        <f>SUMIFS('свод практик'!$BG$6:$BG$277,'свод практик'!$J$6:$J$277,'свод субъектов ИБ+смежные'!CS$1)</f>
        <v>0</v>
      </c>
      <c r="CT76" s="36">
        <f>SUMIFS('свод практик'!$BG$6:$BG$277,'свод практик'!$J$6:$J$277,'свод субъектов ИБ+смежные'!CT$1)</f>
        <v>0</v>
      </c>
      <c r="CU76" s="36">
        <f>SUMIFS('свод практик'!$BG$6:$BG$277,'свод практик'!$J$6:$J$277,'свод субъектов ИБ+смежные'!CU$1)</f>
        <v>0</v>
      </c>
      <c r="CV76" s="36">
        <f>SUMIFS('свод практик'!$BG$6:$BG$277,'свод практик'!$J$6:$J$277,'свод субъектов ИБ+смежные'!CV$1)</f>
        <v>497.7</v>
      </c>
    </row>
    <row r="77" spans="1:100" ht="29" thickBot="1">
      <c r="A77" s="721"/>
      <c r="B77" s="722"/>
      <c r="C77" s="722"/>
      <c r="D77" s="49" t="s">
        <v>4949</v>
      </c>
      <c r="E77" s="49">
        <v>40</v>
      </c>
      <c r="F77" s="59" t="s">
        <v>5119</v>
      </c>
      <c r="G77" s="141" t="s">
        <v>5089</v>
      </c>
      <c r="H77" s="52" t="s">
        <v>60</v>
      </c>
      <c r="I77" s="82" t="s">
        <v>5090</v>
      </c>
      <c r="M77" s="36">
        <v>0.2608432991940508</v>
      </c>
      <c r="N77" s="36">
        <v>0.20230264972150513</v>
      </c>
      <c r="O77" s="228">
        <f>O76/O$60</f>
        <v>0.20094854338484114</v>
      </c>
      <c r="P77" s="145">
        <f t="shared" ref="P77:CA77" si="37">P76/P$60</f>
        <v>0</v>
      </c>
      <c r="Q77" s="145">
        <f t="shared" si="37"/>
        <v>0.88459350624648869</v>
      </c>
      <c r="R77" s="145">
        <f t="shared" si="37"/>
        <v>0</v>
      </c>
      <c r="S77" s="145">
        <f t="shared" si="37"/>
        <v>0</v>
      </c>
      <c r="T77" s="145">
        <f t="shared" si="37"/>
        <v>0</v>
      </c>
      <c r="U77" s="145">
        <f t="shared" si="37"/>
        <v>0</v>
      </c>
      <c r="V77" s="145">
        <f t="shared" si="37"/>
        <v>0</v>
      </c>
      <c r="W77" s="145">
        <f t="shared" si="37"/>
        <v>0</v>
      </c>
      <c r="X77" s="145">
        <f t="shared" si="37"/>
        <v>0</v>
      </c>
      <c r="Y77" s="145">
        <f t="shared" si="37"/>
        <v>0</v>
      </c>
      <c r="Z77" s="145">
        <f t="shared" si="37"/>
        <v>0.72576541519069315</v>
      </c>
      <c r="AA77" s="145">
        <f t="shared" si="37"/>
        <v>0</v>
      </c>
      <c r="AB77" s="145">
        <f t="shared" si="37"/>
        <v>0</v>
      </c>
      <c r="AC77" s="145">
        <f t="shared" si="37"/>
        <v>2.1910529721291213E-3</v>
      </c>
      <c r="AD77" s="162" t="e">
        <f t="shared" si="37"/>
        <v>#DIV/0!</v>
      </c>
      <c r="AE77" s="162" t="e">
        <f t="shared" si="37"/>
        <v>#DIV/0!</v>
      </c>
      <c r="AF77" s="145">
        <f t="shared" si="37"/>
        <v>0</v>
      </c>
      <c r="AG77" s="162" t="e">
        <f t="shared" si="37"/>
        <v>#DIV/0!</v>
      </c>
      <c r="AH77" s="162" t="e">
        <f t="shared" si="37"/>
        <v>#DIV/0!</v>
      </c>
      <c r="AI77" s="145">
        <f t="shared" si="37"/>
        <v>0</v>
      </c>
      <c r="AJ77" s="145">
        <f t="shared" si="37"/>
        <v>0</v>
      </c>
      <c r="AK77" s="145">
        <f t="shared" si="37"/>
        <v>0.17050823874958099</v>
      </c>
      <c r="AL77" s="145">
        <f t="shared" si="37"/>
        <v>0</v>
      </c>
      <c r="AM77" s="145">
        <f t="shared" si="37"/>
        <v>0</v>
      </c>
      <c r="AN77" s="162" t="e">
        <f t="shared" si="37"/>
        <v>#DIV/0!</v>
      </c>
      <c r="AO77" s="162" t="e">
        <f t="shared" si="37"/>
        <v>#DIV/0!</v>
      </c>
      <c r="AP77" s="145">
        <f t="shared" si="37"/>
        <v>0</v>
      </c>
      <c r="AQ77" s="145">
        <f t="shared" si="37"/>
        <v>0</v>
      </c>
      <c r="AR77" s="145">
        <f t="shared" si="37"/>
        <v>0</v>
      </c>
      <c r="AS77" s="145">
        <f t="shared" si="37"/>
        <v>0</v>
      </c>
      <c r="AT77" s="145">
        <f t="shared" si="37"/>
        <v>0.43388649850603822</v>
      </c>
      <c r="AU77" s="145">
        <f t="shared" si="37"/>
        <v>0</v>
      </c>
      <c r="AV77" s="145">
        <f t="shared" si="37"/>
        <v>0</v>
      </c>
      <c r="AW77" s="145">
        <f t="shared" si="37"/>
        <v>0.84660588424077643</v>
      </c>
      <c r="AX77" s="145">
        <f t="shared" si="37"/>
        <v>0.59504813926147138</v>
      </c>
      <c r="AY77" s="162" t="e">
        <f t="shared" si="37"/>
        <v>#DIV/0!</v>
      </c>
      <c r="AZ77" s="145">
        <f t="shared" si="37"/>
        <v>0</v>
      </c>
      <c r="BA77" s="145">
        <f t="shared" si="37"/>
        <v>2.0455178595220502E-2</v>
      </c>
      <c r="BB77" s="162" t="e">
        <f t="shared" si="37"/>
        <v>#DIV/0!</v>
      </c>
      <c r="BC77" s="145">
        <f t="shared" si="37"/>
        <v>0</v>
      </c>
      <c r="BD77" s="162" t="e">
        <f t="shared" si="37"/>
        <v>#DIV/0!</v>
      </c>
      <c r="BE77" s="162" t="e">
        <f t="shared" si="37"/>
        <v>#DIV/0!</v>
      </c>
      <c r="BF77" s="145">
        <f t="shared" si="37"/>
        <v>0</v>
      </c>
      <c r="BG77" s="145">
        <f t="shared" si="37"/>
        <v>0</v>
      </c>
      <c r="BH77" s="145">
        <f t="shared" si="37"/>
        <v>0</v>
      </c>
      <c r="BI77" s="145">
        <f t="shared" si="37"/>
        <v>0</v>
      </c>
      <c r="BJ77" s="145">
        <f t="shared" si="37"/>
        <v>0.32102416463790651</v>
      </c>
      <c r="BK77" s="145">
        <f t="shared" si="37"/>
        <v>0</v>
      </c>
      <c r="BL77" s="145">
        <f t="shared" si="37"/>
        <v>0</v>
      </c>
      <c r="BM77" s="145">
        <f t="shared" si="37"/>
        <v>0</v>
      </c>
      <c r="BN77" s="145">
        <f t="shared" si="37"/>
        <v>2.4588530665922762E-2</v>
      </c>
      <c r="BO77" s="145">
        <f t="shared" si="37"/>
        <v>0.78078470399729494</v>
      </c>
      <c r="BP77" s="145">
        <f t="shared" si="37"/>
        <v>0</v>
      </c>
      <c r="BQ77" s="162" t="e">
        <f t="shared" si="37"/>
        <v>#DIV/0!</v>
      </c>
      <c r="BR77" s="145">
        <f t="shared" si="37"/>
        <v>0</v>
      </c>
      <c r="BS77" s="145">
        <f t="shared" si="37"/>
        <v>0</v>
      </c>
      <c r="BT77" s="145">
        <f t="shared" si="37"/>
        <v>3.1052942409174906E-3</v>
      </c>
      <c r="BU77" s="145">
        <f t="shared" si="37"/>
        <v>0</v>
      </c>
      <c r="BV77" s="145">
        <f t="shared" si="37"/>
        <v>0</v>
      </c>
      <c r="BW77" s="145">
        <f t="shared" si="37"/>
        <v>0</v>
      </c>
      <c r="BX77" s="145">
        <f t="shared" si="37"/>
        <v>0</v>
      </c>
      <c r="BY77" s="145">
        <f t="shared" si="37"/>
        <v>0</v>
      </c>
      <c r="BZ77" s="145">
        <f t="shared" si="37"/>
        <v>0.80740326217410885</v>
      </c>
      <c r="CA77" s="162" t="e">
        <f t="shared" si="37"/>
        <v>#DIV/0!</v>
      </c>
      <c r="CB77" s="162" t="e">
        <f t="shared" ref="CB77:CV77" si="38">CB76/CB$60</f>
        <v>#DIV/0!</v>
      </c>
      <c r="CC77" s="145">
        <f t="shared" si="38"/>
        <v>0</v>
      </c>
      <c r="CD77" s="145">
        <f t="shared" si="38"/>
        <v>0</v>
      </c>
      <c r="CE77" s="145">
        <f t="shared" si="38"/>
        <v>2.1699348296239505E-2</v>
      </c>
      <c r="CF77" s="145">
        <f t="shared" si="38"/>
        <v>0</v>
      </c>
      <c r="CG77" s="145">
        <f t="shared" si="38"/>
        <v>0</v>
      </c>
      <c r="CH77" s="145">
        <f t="shared" si="38"/>
        <v>0</v>
      </c>
      <c r="CI77" s="145">
        <f t="shared" si="38"/>
        <v>0</v>
      </c>
      <c r="CJ77" s="162" t="e">
        <f t="shared" si="38"/>
        <v>#DIV/0!</v>
      </c>
      <c r="CK77" s="145">
        <f t="shared" si="38"/>
        <v>0.26901340742802338</v>
      </c>
      <c r="CL77" s="145">
        <f t="shared" si="38"/>
        <v>0</v>
      </c>
      <c r="CM77" s="145">
        <f t="shared" si="38"/>
        <v>0</v>
      </c>
      <c r="CN77" s="145">
        <f t="shared" si="38"/>
        <v>6.9872482719037753E-3</v>
      </c>
      <c r="CO77" s="162" t="e">
        <f t="shared" si="38"/>
        <v>#DIV/0!</v>
      </c>
      <c r="CP77" s="145">
        <f t="shared" si="38"/>
        <v>0.24966589789661944</v>
      </c>
      <c r="CQ77" s="145">
        <f t="shared" si="38"/>
        <v>0</v>
      </c>
      <c r="CR77" s="162" t="e">
        <f t="shared" si="38"/>
        <v>#DIV/0!</v>
      </c>
      <c r="CS77" s="145">
        <f t="shared" si="38"/>
        <v>0</v>
      </c>
      <c r="CT77" s="145">
        <f t="shared" si="38"/>
        <v>0</v>
      </c>
      <c r="CU77" s="145">
        <f t="shared" si="38"/>
        <v>0</v>
      </c>
      <c r="CV77" s="145">
        <f t="shared" si="38"/>
        <v>0.67302231237322518</v>
      </c>
    </row>
    <row r="78" spans="1:100" s="178" customFormat="1" ht="71" thickBot="1">
      <c r="A78" s="170" t="s">
        <v>5120</v>
      </c>
      <c r="B78" s="171" t="s">
        <v>4990</v>
      </c>
      <c r="C78" s="172" t="s">
        <v>5121</v>
      </c>
      <c r="D78" s="173" t="s">
        <v>4949</v>
      </c>
      <c r="E78" s="173">
        <v>41</v>
      </c>
      <c r="F78" s="174" t="s">
        <v>5122</v>
      </c>
      <c r="G78" s="175" t="s">
        <v>5123</v>
      </c>
      <c r="H78" s="176" t="s">
        <v>60</v>
      </c>
      <c r="I78" s="177" t="s">
        <v>4961</v>
      </c>
      <c r="M78" s="178" t="s">
        <v>5476</v>
      </c>
      <c r="N78" s="178" t="s">
        <v>5476</v>
      </c>
      <c r="O78" s="178" t="s">
        <v>5476</v>
      </c>
      <c r="P78" s="179">
        <f>SUMIFS('свод практик'!$AM$6:$AM$277, 'свод практик'!$J$6:$J$277,'свод субъектов ИБ+смежные'!P$1)</f>
        <v>2.0000000000000001E-4</v>
      </c>
      <c r="Q78" s="179">
        <f>SUMIFS('свод практик'!$AM$6:$AM$277, 'свод практик'!$J$6:$J$277,'свод субъектов ИБ+смежные'!Q$1)</f>
        <v>6.0787034043341447E-4</v>
      </c>
      <c r="R78" s="169">
        <f>SUMIFS('свод практик'!$AM$6:$AM$277, 'свод практик'!$J$6:$J$277,'свод субъектов ИБ+смежные'!R$1)</f>
        <v>4.3E-3</v>
      </c>
      <c r="S78" s="179">
        <f>SUMIFS('свод практик'!$AM$6:$AM$277, 'свод практик'!$J$6:$J$277,'свод субъектов ИБ+смежные'!S$1)</f>
        <v>1.1000000000000001E-3</v>
      </c>
      <c r="T78" s="179">
        <f>SUMIFS('свод практик'!$AM$6:$AM$277, 'свод практик'!$J$6:$J$277,'свод субъектов ИБ+смежные'!T$1)</f>
        <v>0</v>
      </c>
      <c r="U78" s="179">
        <f>SUMIFS('свод практик'!$AM$6:$AM$277, 'свод практик'!$J$6:$J$277,'свод субъектов ИБ+смежные'!U$1)</f>
        <v>3.0000000000000001E-5</v>
      </c>
      <c r="V78" s="169">
        <f>SUMIFS('свод практик'!$AM$6:$AM$277, 'свод практик'!$J$6:$J$277,'свод субъектов ИБ+смежные'!V$1)</f>
        <v>1.2500000000000001E-2</v>
      </c>
      <c r="W78" s="179">
        <f>SUMIFS('свод практик'!$AM$6:$AM$277, 'свод практик'!$J$6:$J$277,'свод субъектов ИБ+смежные'!W$1)</f>
        <v>8.8000000000000004E-7</v>
      </c>
      <c r="X78" s="179">
        <f>SUMIFS('свод практик'!$AM$6:$AM$277, 'свод практик'!$J$6:$J$277,'свод субъектов ИБ+смежные'!X$1)</f>
        <v>1.5E-3</v>
      </c>
      <c r="Y78" s="179">
        <f>SUMIFS('свод практик'!$AM$6:$AM$277, 'свод практик'!$J$6:$J$277,'свод субъектов ИБ+смежные'!Y$1)</f>
        <v>8.9999999999999998E-4</v>
      </c>
      <c r="Z78" s="179">
        <f>SUMIFS('свод практик'!$AM$6:$AM$277, 'свод практик'!$J$6:$J$277,'свод субъектов ИБ+смежные'!Z$1)</f>
        <v>8.0000000000000004E-4</v>
      </c>
      <c r="AA78" s="179">
        <f>SUMIFS('свод практик'!$AM$6:$AM$277, 'свод практик'!$J$6:$J$277,'свод субъектов ИБ+смежные'!AA$1)</f>
        <v>4.8326478184357221E-4</v>
      </c>
      <c r="AB78" s="179">
        <f>SUMIFS('свод практик'!$AM$6:$AM$277, 'свод практик'!$J$6:$J$277,'свод субъектов ИБ+смежные'!AB$1)</f>
        <v>9.9711397367051899E-4</v>
      </c>
      <c r="AC78" s="179">
        <f>SUMIFS('свод практик'!$AM$6:$AM$277, 'свод практик'!$J$6:$J$277,'свод субъектов ИБ+смежные'!AC$1)</f>
        <v>1.7643982004685015E-3</v>
      </c>
      <c r="AD78" s="179">
        <f>SUMIFS('свод практик'!$AM$6:$AM$277, 'свод практик'!$J$6:$J$277,'свод субъектов ИБ+смежные'!AD$1)</f>
        <v>0</v>
      </c>
      <c r="AE78" s="179">
        <f>SUMIFS('свод практик'!$AM$6:$AM$277, 'свод практик'!$J$6:$J$277,'свод субъектов ИБ+смежные'!AE$1)</f>
        <v>0</v>
      </c>
      <c r="AF78" s="179">
        <f>SUMIFS('свод практик'!$AM$6:$AM$277, 'свод практик'!$J$6:$J$277,'свод субъектов ИБ+смежные'!AF$1)</f>
        <v>2.9999999999999997E-4</v>
      </c>
      <c r="AG78" s="179">
        <f>SUMIFS('свод практик'!$AM$6:$AM$277, 'свод практик'!$J$6:$J$277,'свод субъектов ИБ+смежные'!AG$1)</f>
        <v>0</v>
      </c>
      <c r="AH78" s="179">
        <f>SUMIFS('свод практик'!$AM$6:$AM$277, 'свод практик'!$J$6:$J$277,'свод субъектов ИБ+смежные'!AH$1)</f>
        <v>0</v>
      </c>
      <c r="AI78" s="179">
        <f>SUMIFS('свод практик'!$AM$6:$AM$277, 'свод практик'!$J$6:$J$277,'свод субъектов ИБ+смежные'!AI$1)</f>
        <v>3.0000000000000001E-3</v>
      </c>
      <c r="AJ78" s="179">
        <f>SUMIFS('свод практик'!$AM$6:$AM$277, 'свод практик'!$J$6:$J$277,'свод субъектов ИБ+смежные'!AJ$1)</f>
        <v>0</v>
      </c>
      <c r="AK78" s="169">
        <f>SUMIFS('свод практик'!$AM$6:$AM$277, 'свод практик'!$J$6:$J$277,'свод субъектов ИБ+смежные'!AK$1)</f>
        <v>7.7653892574069908E-3</v>
      </c>
      <c r="AL78" s="179">
        <f>SUMIFS('свод практик'!$AM$6:$AM$277, 'свод практик'!$J$6:$J$277,'свод субъектов ИБ+смежные'!AL$1)</f>
        <v>3.1E-4</v>
      </c>
      <c r="AM78" s="179">
        <f>SUMIFS('свод практик'!$AM$6:$AM$277, 'свод практик'!$J$6:$J$277,'свод субъектов ИБ+смежные'!AM$1)</f>
        <v>1.3600126388932301E-3</v>
      </c>
      <c r="AN78" s="179">
        <f>SUMIFS('свод практик'!$AM$6:$AM$277, 'свод практик'!$J$6:$J$277,'свод субъектов ИБ+смежные'!AN$1)</f>
        <v>0</v>
      </c>
      <c r="AO78" s="179">
        <f>SUMIFS('свод практик'!$AM$6:$AM$277, 'свод практик'!$J$6:$J$277,'свод субъектов ИБ+смежные'!AO$1)</f>
        <v>0</v>
      </c>
      <c r="AP78" s="179">
        <f>SUMIFS('свод практик'!$AM$6:$AM$277, 'свод практик'!$J$6:$J$277,'свод субъектов ИБ+смежные'!AP$1)</f>
        <v>1.3755764552658841E-3</v>
      </c>
      <c r="AQ78" s="179">
        <f>SUMIFS('свод практик'!$AM$6:$AM$277, 'свод практик'!$J$6:$J$277,'свод субъектов ИБ+смежные'!AQ$1)</f>
        <v>1E-3</v>
      </c>
      <c r="AR78" s="179">
        <f>SUMIFS('свод практик'!$AM$6:$AM$277, 'свод практик'!$J$6:$J$277,'свод субъектов ИБ+смежные'!AR$1)</f>
        <v>4.3999999999999994E-3</v>
      </c>
      <c r="AS78" s="179">
        <f>SUMIFS('свод практик'!$AM$6:$AM$277, 'свод практик'!$J$6:$J$277,'свод субъектов ИБ+смежные'!AS$1)</f>
        <v>1.1000000000000001E-3</v>
      </c>
      <c r="AT78" s="179">
        <f>SUMIFS('свод практик'!$AM$6:$AM$277, 'свод практик'!$J$6:$J$277,'свод субъектов ИБ+смежные'!AT$1)</f>
        <v>4.1999999999999997E-3</v>
      </c>
      <c r="AU78" s="179">
        <f>SUMIFS('свод практик'!$AM$6:$AM$277, 'свод практик'!$J$6:$J$277,'свод субъектов ИБ+смежные'!AU$1)</f>
        <v>0</v>
      </c>
      <c r="AV78" s="179">
        <f>SUMIFS('свод практик'!$AM$6:$AM$277, 'свод практик'!$J$6:$J$277,'свод субъектов ИБ+смежные'!AV$1)</f>
        <v>4.0000000000000002E-4</v>
      </c>
      <c r="AW78" s="179">
        <f>SUMIFS('свод практик'!$AM$6:$AM$277, 'свод практик'!$J$6:$J$277,'свод субъектов ИБ+смежные'!AW$1)</f>
        <v>2.3150000000000002E-4</v>
      </c>
      <c r="AX78" s="179">
        <f>SUMIFS('свод практик'!$AM$6:$AM$277, 'свод практик'!$J$6:$J$277,'свод субъектов ИБ+смежные'!AX$1)</f>
        <v>1.737E-3</v>
      </c>
      <c r="AY78" s="222">
        <f>SUMIFS('свод практик'!$AM$6:$AM$277, 'свод практик'!$J$6:$J$277,'свод субъектов ИБ+смежные'!AY$1)</f>
        <v>0</v>
      </c>
      <c r="AZ78" s="179">
        <f>SUMIFS('свод практик'!$AM$6:$AM$277, 'свод практик'!$J$6:$J$277,'свод субъектов ИБ+смежные'!AZ$1)</f>
        <v>3.0999999999999999E-3</v>
      </c>
      <c r="BA78" s="179">
        <f>SUMIFS('свод практик'!$AM$6:$AM$277, 'свод практик'!$J$6:$J$277,'свод субъектов ИБ+смежные'!BA$1)</f>
        <v>9.9099999999999991E-4</v>
      </c>
      <c r="BB78" s="222">
        <f>SUMIFS('свод практик'!$AM$6:$AM$277, 'свод практик'!$J$6:$J$277,'свод субъектов ИБ+смежные'!BB$1)</f>
        <v>0</v>
      </c>
      <c r="BC78" s="179">
        <f>SUMIFS('свод практик'!$AM$6:$AM$277, 'свод практик'!$J$6:$J$277,'свод субъектов ИБ+смежные'!BC$1)</f>
        <v>6.9999999999999999E-4</v>
      </c>
      <c r="BD78" s="222">
        <f>SUMIFS('свод практик'!$AM$6:$AM$277, 'свод практик'!$J$6:$J$277,'свод субъектов ИБ+смежные'!BD$1)</f>
        <v>0</v>
      </c>
      <c r="BE78" s="222">
        <f>SUMIFS('свод практик'!$AM$6:$AM$277, 'свод практик'!$J$6:$J$277,'свод субъектов ИБ+смежные'!BE$1)</f>
        <v>0</v>
      </c>
      <c r="BF78" s="179">
        <f>SUMIFS('свод практик'!$AM$6:$AM$277, 'свод практик'!$J$6:$J$277,'свод субъектов ИБ+смежные'!BF$1)</f>
        <v>0</v>
      </c>
      <c r="BG78" s="179">
        <f>SUMIFS('свод практик'!$AM$6:$AM$277, 'свод практик'!$J$6:$J$277,'свод субъектов ИБ+смежные'!BG$1)</f>
        <v>2.9999999999999997E-4</v>
      </c>
      <c r="BH78" s="179">
        <f>SUMIFS('свод практик'!$AM$6:$AM$277, 'свод практик'!$J$6:$J$277,'свод субъектов ИБ+смежные'!BH$1)</f>
        <v>8.0000000000000004E-4</v>
      </c>
      <c r="BI78" s="179">
        <f>SUMIFS('свод практик'!$AM$6:$AM$277, 'свод практик'!$J$6:$J$277,'свод субъектов ИБ+смежные'!BI$1)</f>
        <v>1.8709589236779644E-3</v>
      </c>
      <c r="BJ78" s="169">
        <f>SUMIFS('свод практик'!$AM$6:$AM$277, 'свод практик'!$J$6:$J$277,'свод субъектов ИБ+смежные'!BJ$1)</f>
        <v>7.4899999999999993E-3</v>
      </c>
      <c r="BK78" s="179">
        <f>SUMIFS('свод практик'!$AM$6:$AM$277, 'свод практик'!$J$6:$J$277,'свод субъектов ИБ+смежные'!BK$1)</f>
        <v>6.9999999999999999E-4</v>
      </c>
      <c r="BL78" s="179">
        <f>SUMIFS('свод практик'!$AM$6:$AM$277, 'свод практик'!$J$6:$J$277,'свод субъектов ИБ+смежные'!BL$1)</f>
        <v>0</v>
      </c>
      <c r="BM78" s="179">
        <f>SUMIFS('свод практик'!$AM$6:$AM$277, 'свод практик'!$J$6:$J$277,'свод субъектов ИБ+смежные'!BM$1)</f>
        <v>6.9999999999999999E-4</v>
      </c>
      <c r="BN78" s="179">
        <f>SUMIFS('свод практик'!$AM$6:$AM$277, 'свод практик'!$J$6:$J$277,'свод субъектов ИБ+смежные'!BN$1)</f>
        <v>4.8325272964118974E-4</v>
      </c>
      <c r="BO78" s="179">
        <f>SUMIFS('свод практик'!$AM$6:$AM$277, 'свод практик'!$J$6:$J$277,'свод субъектов ИБ+смежные'!BO$1)</f>
        <v>1E-4</v>
      </c>
      <c r="BP78" s="179">
        <f>SUMIFS('свод практик'!$AM$6:$AM$277, 'свод практик'!$J$6:$J$277,'свод субъектов ИБ+смежные'!BP$1)</f>
        <v>9.1751418188019713E-4</v>
      </c>
      <c r="BQ78" s="179">
        <f>SUMIFS('свод практик'!$AM$6:$AM$277, 'свод практик'!$J$6:$J$277,'свод субъектов ИБ+смежные'!BQ$1)</f>
        <v>0</v>
      </c>
      <c r="BR78" s="179">
        <f>SUMIFS('свод практик'!$AM$6:$AM$277, 'свод практик'!$J$6:$J$277,'свод субъектов ИБ+смежные'!BR$1)</f>
        <v>9.5977974425983159E-5</v>
      </c>
      <c r="BS78" s="179">
        <f>SUMIFS('свод практик'!$AM$6:$AM$277, 'свод практик'!$J$6:$J$277,'свод субъектов ИБ+смежные'!BS$1)</f>
        <v>0</v>
      </c>
      <c r="BT78" s="179">
        <f>SUMIFS('свод практик'!$AM$6:$AM$277, 'свод практик'!$J$6:$J$277,'свод субъектов ИБ+смежные'!BT$1)</f>
        <v>3.6884443138242709E-5</v>
      </c>
      <c r="BU78" s="179">
        <f>SUMIFS('свод практик'!$AM$6:$AM$277, 'свод практик'!$J$6:$J$277,'свод субъектов ИБ+смежные'!BU$1)</f>
        <v>8.9999999999999998E-4</v>
      </c>
      <c r="BV78" s="179">
        <f>SUMIFS('свод практик'!$AM$6:$AM$277, 'свод практик'!$J$6:$J$277,'свод субъектов ИБ+смежные'!BV$1)</f>
        <v>2.7935952938648503E-4</v>
      </c>
      <c r="BW78" s="179">
        <f>SUMIFS('свод практик'!$AM$6:$AM$277, 'свод практик'!$J$6:$J$277,'свод субъектов ИБ+смежные'!BW$1)</f>
        <v>7.2900000000000005E-4</v>
      </c>
      <c r="BX78" s="179">
        <f>SUMIFS('свод практик'!$AM$6:$AM$277, 'свод практик'!$J$6:$J$277,'свод субъектов ИБ+смежные'!BX$1)</f>
        <v>2.3E-3</v>
      </c>
      <c r="BY78" s="179">
        <f>SUMIFS('свод практик'!$AM$6:$AM$277, 'свод практик'!$J$6:$J$277,'свод субъектов ИБ+смежные'!BY$1)</f>
        <v>4.4999999999999997E-3</v>
      </c>
      <c r="BZ78" s="179">
        <f>SUMIFS('свод практик'!$AM$6:$AM$277, 'свод практик'!$J$6:$J$277,'свод субъектов ИБ+смежные'!BZ$1)</f>
        <v>4.7329981444704951E-4</v>
      </c>
      <c r="CA78" s="179">
        <f>SUMIFS('свод практик'!$AM$6:$AM$277, 'свод практик'!$J$6:$J$277,'свод субъектов ИБ+смежные'!CA$1)</f>
        <v>0</v>
      </c>
      <c r="CB78" s="179">
        <f>SUMIFS('свод практик'!$AM$6:$AM$277, 'свод практик'!$J$6:$J$277,'свод субъектов ИБ+смежные'!CB$1)</f>
        <v>0</v>
      </c>
      <c r="CC78" s="179">
        <f>SUMIFS('свод практик'!$AM$6:$AM$277, 'свод практик'!$J$6:$J$277,'свод субъектов ИБ+смежные'!CC$1)</f>
        <v>1.0000000000000001E-5</v>
      </c>
      <c r="CD78" s="179">
        <f>SUMIFS('свод практик'!$AM$6:$AM$277, 'свод практик'!$J$6:$J$277,'свод субъектов ИБ+смежные'!CD$1)</f>
        <v>3.5000000000000001E-3</v>
      </c>
      <c r="CE78" s="179">
        <f>SUMIFS('свод практик'!$AM$6:$AM$277, 'свод практик'!$J$6:$J$277,'свод субъектов ИБ+смежные'!CE$1)</f>
        <v>2.6700000000000001E-3</v>
      </c>
      <c r="CF78" s="179">
        <f>SUMIFS('свод практик'!$AM$6:$AM$277, 'свод практик'!$J$6:$J$277,'свод субъектов ИБ+смежные'!CF$1)</f>
        <v>3.7300000000000002E-3</v>
      </c>
      <c r="CG78" s="179">
        <f>SUMIFS('свод практик'!$AM$6:$AM$277, 'свод практик'!$J$6:$J$277,'свод субъектов ИБ+смежные'!CG$1)</f>
        <v>1.8E-3</v>
      </c>
      <c r="CH78" s="179">
        <f>SUMIFS('свод практик'!$AM$6:$AM$277, 'свод практик'!$J$6:$J$277,'свод субъектов ИБ+смежные'!CH$1)</f>
        <v>5.5999999999999995E-4</v>
      </c>
      <c r="CI78" s="169">
        <f>SUMIFS('свод практик'!$AM$6:$AM$277, 'свод практик'!$J$6:$J$277,'свод субъектов ИБ+смежные'!CI$1)</f>
        <v>6.4999999999999997E-3</v>
      </c>
      <c r="CJ78" s="179">
        <f>SUMIFS('свод практик'!$AM$6:$AM$277, 'свод практик'!$J$6:$J$277,'свод субъектов ИБ+смежные'!CJ$1)</f>
        <v>0</v>
      </c>
      <c r="CK78" s="179">
        <f>SUMIFS('свод практик'!$AM$6:$AM$277, 'свод практик'!$J$6:$J$277,'свод субъектов ИБ+смежные'!CK$1)</f>
        <v>1.6222470516480533E-3</v>
      </c>
      <c r="CL78" s="179">
        <f>SUMIFS('свод практик'!$AM$6:$AM$277, 'свод практик'!$J$6:$J$277,'свод субъектов ИБ+смежные'!CL$1)</f>
        <v>5.5999999999999995E-4</v>
      </c>
      <c r="CM78" s="179">
        <f>SUMIFS('свод практик'!$AM$6:$AM$277, 'свод практик'!$J$6:$J$277,'свод субъектов ИБ+смежные'!CM$1)</f>
        <v>1.8E-3</v>
      </c>
      <c r="CN78" s="179">
        <f>SUMIFS('свод практик'!$AM$6:$AM$277, 'свод практик'!$J$6:$J$277,'свод субъектов ИБ+смежные'!CN$1)</f>
        <v>9.3000000000000005E-4</v>
      </c>
      <c r="CO78" s="179">
        <f>SUMIFS('свод практик'!$AM$6:$AM$277, 'свод практик'!$J$6:$J$277,'свод субъектов ИБ+смежные'!CO$1)</f>
        <v>0</v>
      </c>
      <c r="CP78" s="179">
        <f>SUMIFS('свод практик'!$AM$6:$AM$277, 'свод практик'!$J$6:$J$277,'свод субъектов ИБ+смежные'!CP$1)</f>
        <v>1.2120000000000002E-3</v>
      </c>
      <c r="CQ78" s="179">
        <f>SUMIFS('свод практик'!$AM$6:$AM$277, 'свод практик'!$J$6:$J$277,'свод субъектов ИБ+смежные'!CQ$1)</f>
        <v>0</v>
      </c>
      <c r="CR78" s="179">
        <f>SUMIFS('свод практик'!$AM$6:$AM$277, 'свод практик'!$J$6:$J$277,'свод субъектов ИБ+смежные'!CR$1)</f>
        <v>0</v>
      </c>
      <c r="CS78" s="169">
        <f>SUMIFS('свод практик'!$AM$6:$AM$277, 'свод практик'!$J$6:$J$277,'свод субъектов ИБ+смежные'!CS$1)</f>
        <v>4.5841460080453386E-3</v>
      </c>
      <c r="CT78" s="179">
        <f>SUMIFS('свод практик'!$AM$6:$AM$277, 'свод практик'!$J$6:$J$277,'свод субъектов ИБ+смежные'!CT$1)</f>
        <v>4.0000000000000002E-4</v>
      </c>
      <c r="CU78" s="179">
        <f>SUMIFS('свод практик'!$AM$6:$AM$277, 'свод практик'!$J$6:$J$277,'свод субъектов ИБ+смежные'!CU$1)</f>
        <v>0</v>
      </c>
      <c r="CV78" s="179">
        <f>SUMIFS('свод практик'!$AM$6:$AM$277, 'свод практик'!$J$6:$J$277,'свод субъектов ИБ+смежные'!CV$1)</f>
        <v>2E-3</v>
      </c>
    </row>
    <row r="79" spans="1:100" s="189" customFormat="1" ht="42">
      <c r="A79" s="758" t="s">
        <v>5124</v>
      </c>
      <c r="B79" s="16" t="s">
        <v>4990</v>
      </c>
      <c r="C79" s="186" t="s">
        <v>5125</v>
      </c>
      <c r="D79" s="64" t="s">
        <v>4949</v>
      </c>
      <c r="E79" s="64">
        <v>42</v>
      </c>
      <c r="F79" s="80" t="s">
        <v>5126</v>
      </c>
      <c r="G79" s="66" t="s">
        <v>5270</v>
      </c>
      <c r="H79" s="196" t="s">
        <v>5115</v>
      </c>
      <c r="I79" s="197" t="s">
        <v>4956</v>
      </c>
      <c r="M79" s="189">
        <v>151.49940797452095</v>
      </c>
      <c r="N79" s="189">
        <v>161.83562221886461</v>
      </c>
      <c r="O79" s="229">
        <f>O60/O142*1000</f>
        <v>196.03077949056186</v>
      </c>
      <c r="P79" s="189">
        <f>P$60/P$142*1000</f>
        <v>15.615058433679771</v>
      </c>
      <c r="Q79" s="189">
        <f t="shared" ref="Q79:CB79" si="39">Q$60/Q$142*1000</f>
        <v>346.0772608006414</v>
      </c>
      <c r="R79" s="189">
        <f t="shared" si="39"/>
        <v>74.925279023545542</v>
      </c>
      <c r="S79" s="189">
        <f t="shared" si="39"/>
        <v>113.21355348974696</v>
      </c>
      <c r="T79" s="189">
        <f t="shared" si="39"/>
        <v>49.433188901078374</v>
      </c>
      <c r="U79" s="189">
        <f t="shared" si="39"/>
        <v>1.4852602770109435</v>
      </c>
      <c r="V79" s="189">
        <f t="shared" si="39"/>
        <v>779.53695045564723</v>
      </c>
      <c r="W79" s="189">
        <f t="shared" si="39"/>
        <v>69.651304282676819</v>
      </c>
      <c r="X79" s="189">
        <f t="shared" si="39"/>
        <v>91.111298720513176</v>
      </c>
      <c r="Y79" s="189">
        <f t="shared" si="39"/>
        <v>60.938143325883402</v>
      </c>
      <c r="Z79" s="189">
        <f t="shared" si="39"/>
        <v>523.72495613423303</v>
      </c>
      <c r="AA79" s="189">
        <f t="shared" si="39"/>
        <v>45.781731640253646</v>
      </c>
      <c r="AB79" s="189">
        <f t="shared" si="39"/>
        <v>215.50599229090122</v>
      </c>
      <c r="AC79" s="189">
        <f t="shared" si="39"/>
        <v>125.57840390401948</v>
      </c>
      <c r="AD79" s="189" t="e">
        <f t="shared" si="39"/>
        <v>#DIV/0!</v>
      </c>
      <c r="AE79" s="189" t="e">
        <f t="shared" si="39"/>
        <v>#DIV/0!</v>
      </c>
      <c r="AF79" s="189">
        <f t="shared" si="39"/>
        <v>23.654941650936919</v>
      </c>
      <c r="AG79" s="189" t="e">
        <f t="shared" si="39"/>
        <v>#DIV/0!</v>
      </c>
      <c r="AH79" s="189" t="e">
        <f t="shared" si="39"/>
        <v>#DIV/0!</v>
      </c>
      <c r="AI79" s="189">
        <f t="shared" si="39"/>
        <v>312.92832926424882</v>
      </c>
      <c r="AJ79" s="189">
        <f t="shared" si="39"/>
        <v>2.3060470584184793</v>
      </c>
      <c r="AK79" s="189">
        <f t="shared" si="39"/>
        <v>1772.4539420200945</v>
      </c>
      <c r="AL79" s="189">
        <f t="shared" si="39"/>
        <v>27.59632720465186</v>
      </c>
      <c r="AM79" s="189">
        <f t="shared" si="39"/>
        <v>164.16965137408567</v>
      </c>
      <c r="AN79" s="189" t="e">
        <f t="shared" si="39"/>
        <v>#DIV/0!</v>
      </c>
      <c r="AO79" s="189" t="e">
        <f t="shared" si="39"/>
        <v>#DIV/0!</v>
      </c>
      <c r="AP79" s="189">
        <f t="shared" si="39"/>
        <v>195.76015640944317</v>
      </c>
      <c r="AQ79" s="189">
        <f t="shared" si="39"/>
        <v>45.94803933152167</v>
      </c>
      <c r="AR79" s="189">
        <f t="shared" si="39"/>
        <v>332.2930270545391</v>
      </c>
      <c r="AS79" s="189">
        <f t="shared" si="39"/>
        <v>143.26216560726874</v>
      </c>
      <c r="AT79" s="189">
        <f t="shared" si="39"/>
        <v>794.91947118360451</v>
      </c>
      <c r="AU79" s="189">
        <f t="shared" si="39"/>
        <v>12.609487220426971</v>
      </c>
      <c r="AV79" s="189">
        <f t="shared" si="39"/>
        <v>53.756959590821353</v>
      </c>
      <c r="AW79" s="189">
        <f t="shared" si="39"/>
        <v>357.04736906959363</v>
      </c>
      <c r="AX79" s="189">
        <f t="shared" si="39"/>
        <v>512.82378763373754</v>
      </c>
      <c r="AY79" s="160" t="e">
        <f t="shared" si="39"/>
        <v>#DIV/0!</v>
      </c>
      <c r="AZ79" s="189">
        <f t="shared" si="39"/>
        <v>299.24055008803282</v>
      </c>
      <c r="BA79" s="189">
        <f t="shared" si="39"/>
        <v>72.313903002794959</v>
      </c>
      <c r="BB79" s="160">
        <f t="shared" si="39"/>
        <v>0</v>
      </c>
      <c r="BC79" s="189">
        <f t="shared" si="39"/>
        <v>47.546687145418737</v>
      </c>
      <c r="BD79" s="160" t="e">
        <f t="shared" si="39"/>
        <v>#DIV/0!</v>
      </c>
      <c r="BE79" s="160" t="e">
        <f t="shared" si="39"/>
        <v>#DIV/0!</v>
      </c>
      <c r="BF79" s="189">
        <f t="shared" si="39"/>
        <v>1.0346286683701198</v>
      </c>
      <c r="BG79" s="189">
        <f t="shared" si="39"/>
        <v>50.036926806183807</v>
      </c>
      <c r="BH79" s="189">
        <f t="shared" si="39"/>
        <v>529.49738458039576</v>
      </c>
      <c r="BI79" s="189">
        <f t="shared" si="39"/>
        <v>216.72813853218585</v>
      </c>
      <c r="BJ79" s="189">
        <f t="shared" si="39"/>
        <v>950.9087695380158</v>
      </c>
      <c r="BK79" s="189">
        <f t="shared" si="39"/>
        <v>56.370733431171367</v>
      </c>
      <c r="BL79" s="189">
        <f t="shared" si="39"/>
        <v>36.258092516908384</v>
      </c>
      <c r="BM79" s="189">
        <f t="shared" si="39"/>
        <v>58.753847731617768</v>
      </c>
      <c r="BN79" s="189">
        <f t="shared" si="39"/>
        <v>34.07139064988602</v>
      </c>
      <c r="BO79" s="189">
        <f t="shared" si="39"/>
        <v>396.7745894485044</v>
      </c>
      <c r="BP79" s="189">
        <f t="shared" si="39"/>
        <v>49.997387047366061</v>
      </c>
      <c r="BQ79" s="189" t="e">
        <f t="shared" si="39"/>
        <v>#DIV/0!</v>
      </c>
      <c r="BR79" s="189">
        <f t="shared" si="39"/>
        <v>7.3198351813926354</v>
      </c>
      <c r="BS79" s="189">
        <f t="shared" si="39"/>
        <v>2.7335252189784409</v>
      </c>
      <c r="BT79" s="189">
        <f t="shared" si="39"/>
        <v>188.9028441050408</v>
      </c>
      <c r="BU79" s="189">
        <f t="shared" si="39"/>
        <v>86.520547514604957</v>
      </c>
      <c r="BV79" s="189">
        <f t="shared" si="39"/>
        <v>33.667225810831688</v>
      </c>
      <c r="BW79" s="189">
        <f t="shared" si="39"/>
        <v>44.512751120260099</v>
      </c>
      <c r="BX79" s="189">
        <f t="shared" si="39"/>
        <v>832.45746359173177</v>
      </c>
      <c r="BY79" s="189">
        <f t="shared" si="39"/>
        <v>1762.5596538396649</v>
      </c>
      <c r="BZ79" s="189">
        <f t="shared" si="39"/>
        <v>497.15598431787151</v>
      </c>
      <c r="CA79" s="189" t="e">
        <f t="shared" si="39"/>
        <v>#DIV/0!</v>
      </c>
      <c r="CB79" s="189" t="e">
        <f t="shared" si="39"/>
        <v>#DIV/0!</v>
      </c>
      <c r="CC79" s="189">
        <f t="shared" ref="CC79:CU79" si="40">CC$60/CC$142*1000</f>
        <v>0.87361740324279746</v>
      </c>
      <c r="CD79" s="189">
        <f t="shared" si="40"/>
        <v>231.68327017712318</v>
      </c>
      <c r="CE79" s="189">
        <f t="shared" si="40"/>
        <v>136.70049250660253</v>
      </c>
      <c r="CF79" s="189">
        <f t="shared" si="40"/>
        <v>345.22854276015073</v>
      </c>
      <c r="CG79" s="189">
        <f t="shared" si="40"/>
        <v>177.23222084937078</v>
      </c>
      <c r="CH79" s="189">
        <f t="shared" si="40"/>
        <v>50.044516338245593</v>
      </c>
      <c r="CI79" s="189">
        <f t="shared" si="40"/>
        <v>474.03278296633147</v>
      </c>
      <c r="CJ79" s="189" t="e">
        <f t="shared" si="40"/>
        <v>#DIV/0!</v>
      </c>
      <c r="CK79" s="189">
        <f t="shared" si="40"/>
        <v>116.23788985341093</v>
      </c>
      <c r="CL79" s="189">
        <f t="shared" si="40"/>
        <v>61.438050369239683</v>
      </c>
      <c r="CM79" s="189">
        <f t="shared" si="40"/>
        <v>156.03793188668854</v>
      </c>
      <c r="CN79" s="189">
        <f t="shared" si="40"/>
        <v>151.9576700604575</v>
      </c>
      <c r="CO79" s="189" t="e">
        <f t="shared" si="40"/>
        <v>#DIV/0!</v>
      </c>
      <c r="CP79" s="189">
        <f t="shared" si="40"/>
        <v>469.25060047830272</v>
      </c>
      <c r="CQ79" s="189">
        <f t="shared" si="40"/>
        <v>5.1281150057576053</v>
      </c>
      <c r="CR79" s="189" t="e">
        <f t="shared" si="40"/>
        <v>#DIV/0!</v>
      </c>
      <c r="CS79" s="189">
        <f t="shared" si="40"/>
        <v>365.99607380265269</v>
      </c>
      <c r="CT79" s="189">
        <f t="shared" si="40"/>
        <v>533.46673336668334</v>
      </c>
      <c r="CU79" s="189">
        <f t="shared" si="40"/>
        <v>138.12410099436235</v>
      </c>
      <c r="CV79" s="189">
        <f>CV$60/CV$142*1000</f>
        <v>588.53912571498154</v>
      </c>
    </row>
    <row r="80" spans="1:100" s="199" customFormat="1" ht="42">
      <c r="A80" s="772"/>
      <c r="B80" s="201"/>
      <c r="C80" s="202"/>
      <c r="D80" s="203"/>
      <c r="E80" s="203"/>
      <c r="F80" s="204"/>
      <c r="G80" s="205" t="s">
        <v>5517</v>
      </c>
      <c r="H80" s="206"/>
      <c r="I80" s="207"/>
      <c r="M80" s="220"/>
      <c r="N80" s="220"/>
      <c r="O80" s="230"/>
      <c r="P80" s="200">
        <f>P$63/P$142*1000</f>
        <v>10.797183161998779</v>
      </c>
      <c r="Q80" s="200">
        <f>Q$63/Q$142*1000</f>
        <v>11.75767879594031</v>
      </c>
      <c r="R80" s="200">
        <f>R$63/R$142*1000</f>
        <v>50.710048202502989</v>
      </c>
      <c r="S80" s="200">
        <f t="shared" ref="S80:CD80" si="41">S$63/S$142*1000</f>
        <v>90.102688288179039</v>
      </c>
      <c r="T80" s="200">
        <f t="shared" si="41"/>
        <v>18.25792075430995</v>
      </c>
      <c r="U80" s="200">
        <f t="shared" si="41"/>
        <v>1.1882082216087546</v>
      </c>
      <c r="V80" s="200">
        <f t="shared" si="41"/>
        <v>667.37815416095327</v>
      </c>
      <c r="W80" s="200">
        <f t="shared" si="41"/>
        <v>5.8122411650575723</v>
      </c>
      <c r="X80" s="200">
        <f t="shared" si="41"/>
        <v>80.244813552011607</v>
      </c>
      <c r="Y80" s="200">
        <f t="shared" si="41"/>
        <v>60.938143325883402</v>
      </c>
      <c r="Z80" s="200">
        <f t="shared" si="41"/>
        <v>45.472832590613095</v>
      </c>
      <c r="AA80" s="200">
        <f t="shared" si="41"/>
        <v>20.880080279377356</v>
      </c>
      <c r="AB80" s="200">
        <f t="shared" si="41"/>
        <v>70.491779338000271</v>
      </c>
      <c r="AC80" s="200">
        <f t="shared" si="41"/>
        <v>87.593233571781425</v>
      </c>
      <c r="AD80" s="200" t="e">
        <f t="shared" si="41"/>
        <v>#DIV/0!</v>
      </c>
      <c r="AE80" s="200" t="e">
        <f t="shared" si="41"/>
        <v>#DIV/0!</v>
      </c>
      <c r="AF80" s="200">
        <f t="shared" si="41"/>
        <v>23.654941650936919</v>
      </c>
      <c r="AG80" s="200" t="e">
        <f t="shared" si="41"/>
        <v>#DIV/0!</v>
      </c>
      <c r="AH80" s="200" t="e">
        <f t="shared" si="41"/>
        <v>#DIV/0!</v>
      </c>
      <c r="AI80" s="200">
        <f t="shared" si="41"/>
        <v>271.45791274758005</v>
      </c>
      <c r="AJ80" s="200">
        <f t="shared" si="41"/>
        <v>0</v>
      </c>
      <c r="AK80" s="200">
        <f t="shared" si="41"/>
        <v>897.16444453709676</v>
      </c>
      <c r="AL80" s="200">
        <f t="shared" si="41"/>
        <v>19.778856232828595</v>
      </c>
      <c r="AM80" s="200">
        <f t="shared" si="41"/>
        <v>91.982130821946413</v>
      </c>
      <c r="AN80" s="200" t="e">
        <f t="shared" si="41"/>
        <v>#DIV/0!</v>
      </c>
      <c r="AO80" s="200" t="e">
        <f t="shared" si="41"/>
        <v>#DIV/0!</v>
      </c>
      <c r="AP80" s="200">
        <f t="shared" si="41"/>
        <v>123.03996563711272</v>
      </c>
      <c r="AQ80" s="200">
        <f t="shared" si="41"/>
        <v>32.857536697479986</v>
      </c>
      <c r="AR80" s="200">
        <f t="shared" si="41"/>
        <v>204.83643781243711</v>
      </c>
      <c r="AS80" s="200">
        <f t="shared" si="41"/>
        <v>109.09500782809569</v>
      </c>
      <c r="AT80" s="200">
        <f t="shared" si="41"/>
        <v>145.92980841221367</v>
      </c>
      <c r="AU80" s="200">
        <f t="shared" si="41"/>
        <v>0</v>
      </c>
      <c r="AV80" s="200">
        <f t="shared" si="41"/>
        <v>34.353724905405308</v>
      </c>
      <c r="AW80" s="200">
        <f t="shared" si="41"/>
        <v>13.714801821983478</v>
      </c>
      <c r="AX80" s="200">
        <f t="shared" si="41"/>
        <v>101.70697334476685</v>
      </c>
      <c r="AY80" s="223" t="e">
        <f t="shared" si="41"/>
        <v>#DIV/0!</v>
      </c>
      <c r="AZ80" s="200">
        <f t="shared" si="41"/>
        <v>237.07186987851929</v>
      </c>
      <c r="BA80" s="200">
        <f t="shared" si="41"/>
        <v>61.887159410109277</v>
      </c>
      <c r="BB80" s="223">
        <f t="shared" si="41"/>
        <v>0</v>
      </c>
      <c r="BC80" s="200">
        <f t="shared" si="41"/>
        <v>32.043740262794323</v>
      </c>
      <c r="BD80" s="223" t="e">
        <f t="shared" si="41"/>
        <v>#DIV/0!</v>
      </c>
      <c r="BE80" s="223" t="e">
        <f t="shared" si="41"/>
        <v>#DIV/0!</v>
      </c>
      <c r="BF80" s="200">
        <f t="shared" si="41"/>
        <v>0</v>
      </c>
      <c r="BG80" s="200">
        <f t="shared" si="41"/>
        <v>30.34656896253097</v>
      </c>
      <c r="BH80" s="200">
        <f t="shared" si="41"/>
        <v>443.05208096429391</v>
      </c>
      <c r="BI80" s="200">
        <f t="shared" si="41"/>
        <v>113.47254490406804</v>
      </c>
      <c r="BJ80" s="200">
        <f t="shared" si="41"/>
        <v>468.85923624685807</v>
      </c>
      <c r="BK80" s="200">
        <f t="shared" si="41"/>
        <v>40.346565552259712</v>
      </c>
      <c r="BL80" s="200">
        <f t="shared" si="41"/>
        <v>0</v>
      </c>
      <c r="BM80" s="200">
        <f t="shared" si="41"/>
        <v>35.715725276682072</v>
      </c>
      <c r="BN80" s="200">
        <f t="shared" si="41"/>
        <v>23.101687343767612</v>
      </c>
      <c r="BO80" s="200">
        <f t="shared" si="41"/>
        <v>3.1253978212165721</v>
      </c>
      <c r="BP80" s="200">
        <f t="shared" si="41"/>
        <v>44.429470389976316</v>
      </c>
      <c r="BQ80" s="200" t="e">
        <f t="shared" si="41"/>
        <v>#DIV/0!</v>
      </c>
      <c r="BR80" s="200">
        <f t="shared" si="41"/>
        <v>5.5742870180318151</v>
      </c>
      <c r="BS80" s="200">
        <f t="shared" si="41"/>
        <v>0</v>
      </c>
      <c r="BT80" s="200">
        <f t="shared" si="41"/>
        <v>130.05671655756407</v>
      </c>
      <c r="BU80" s="200">
        <f t="shared" si="41"/>
        <v>51.899153958227572</v>
      </c>
      <c r="BV80" s="200">
        <f t="shared" si="41"/>
        <v>33.667225810831688</v>
      </c>
      <c r="BW80" s="200">
        <f t="shared" si="41"/>
        <v>31.25421832681776</v>
      </c>
      <c r="BX80" s="200">
        <f t="shared" si="41"/>
        <v>515.16086608459045</v>
      </c>
      <c r="BY80" s="200">
        <f t="shared" si="41"/>
        <v>1666.2303898621201</v>
      </c>
      <c r="BZ80" s="200">
        <f t="shared" si="41"/>
        <v>32.335023497689647</v>
      </c>
      <c r="CA80" s="200" t="e">
        <f t="shared" si="41"/>
        <v>#DIV/0!</v>
      </c>
      <c r="CB80" s="200" t="e">
        <f t="shared" si="41"/>
        <v>#DIV/0!</v>
      </c>
      <c r="CC80" s="200">
        <f t="shared" si="41"/>
        <v>0.53269353856268142</v>
      </c>
      <c r="CD80" s="200">
        <f t="shared" si="41"/>
        <v>141.51563473420094</v>
      </c>
      <c r="CE80" s="200">
        <f t="shared" ref="CE80:CV80" si="42">CE$63/CE$142*1000</f>
        <v>124.04422968348467</v>
      </c>
      <c r="CF80" s="200">
        <f t="shared" si="42"/>
        <v>272.13428774612527</v>
      </c>
      <c r="CG80" s="200">
        <f t="shared" si="42"/>
        <v>92.963912452658349</v>
      </c>
      <c r="CH80" s="200">
        <f t="shared" si="42"/>
        <v>36.556196437504838</v>
      </c>
      <c r="CI80" s="200">
        <f t="shared" si="42"/>
        <v>304.25026757724424</v>
      </c>
      <c r="CJ80" s="200" t="e">
        <f t="shared" si="42"/>
        <v>#DIV/0!</v>
      </c>
      <c r="CK80" s="200">
        <f t="shared" si="42"/>
        <v>84.623977207952848</v>
      </c>
      <c r="CL80" s="200">
        <f t="shared" si="42"/>
        <v>32.343375624596121</v>
      </c>
      <c r="CM80" s="200">
        <f t="shared" si="42"/>
        <v>91.563219135902514</v>
      </c>
      <c r="CN80" s="200">
        <f t="shared" si="42"/>
        <v>91.084351929034227</v>
      </c>
      <c r="CO80" s="200" t="e">
        <f t="shared" si="42"/>
        <v>#DIV/0!</v>
      </c>
      <c r="CP80" s="200">
        <f t="shared" si="42"/>
        <v>189.62267768008837</v>
      </c>
      <c r="CQ80" s="200">
        <f t="shared" si="42"/>
        <v>0</v>
      </c>
      <c r="CR80" s="200" t="e">
        <f t="shared" si="42"/>
        <v>#DIV/0!</v>
      </c>
      <c r="CS80" s="200">
        <f t="shared" si="42"/>
        <v>215.89194396793025</v>
      </c>
      <c r="CT80" s="200">
        <f t="shared" si="42"/>
        <v>426.837139969985</v>
      </c>
      <c r="CU80" s="200">
        <f t="shared" si="42"/>
        <v>0</v>
      </c>
      <c r="CV80" s="200">
        <f t="shared" si="42"/>
        <v>135.21676465040616</v>
      </c>
    </row>
    <row r="81" spans="1:100" ht="29" thickBot="1">
      <c r="A81" s="759"/>
      <c r="B81" s="20" t="s">
        <v>4947</v>
      </c>
      <c r="C81" s="93" t="s">
        <v>5127</v>
      </c>
      <c r="D81" s="94" t="s">
        <v>4949</v>
      </c>
      <c r="E81" s="94">
        <v>43</v>
      </c>
      <c r="F81" s="95" t="s">
        <v>5128</v>
      </c>
      <c r="G81" s="96" t="s">
        <v>5271</v>
      </c>
      <c r="H81" s="97" t="s">
        <v>5115</v>
      </c>
      <c r="I81" s="98" t="s">
        <v>4956</v>
      </c>
      <c r="M81" s="189">
        <v>98.757125077537196</v>
      </c>
      <c r="N81" s="189">
        <v>131.54137349457784</v>
      </c>
      <c r="O81" s="233">
        <f>O60/O143*1000</f>
        <v>163.96445204242127</v>
      </c>
    </row>
    <row r="82" spans="1:100" ht="56">
      <c r="A82" s="720" t="s">
        <v>5129</v>
      </c>
      <c r="B82" s="715" t="s">
        <v>4990</v>
      </c>
      <c r="C82" s="717" t="s">
        <v>5130</v>
      </c>
      <c r="D82" s="37" t="s">
        <v>4949</v>
      </c>
      <c r="E82" s="37">
        <v>44</v>
      </c>
      <c r="F82" s="38" t="s">
        <v>5131</v>
      </c>
      <c r="G82" s="57" t="s">
        <v>5279</v>
      </c>
      <c r="H82" s="40" t="s">
        <v>5082</v>
      </c>
      <c r="I82" s="55" t="s">
        <v>4961</v>
      </c>
      <c r="M82" s="36">
        <v>14479.747054480002</v>
      </c>
      <c r="N82" s="36">
        <v>13878.172658840002</v>
      </c>
      <c r="O82" s="224">
        <f>SUM(P82:CV82)</f>
        <v>16507.709297650003</v>
      </c>
      <c r="P82" s="36">
        <f>SUMIFS('свод практик'!$BR$6:$BR$277,'свод практик'!$J$6:$J$277,'свод субъектов ИБ+смежные'!P$1)</f>
        <v>10</v>
      </c>
      <c r="Q82" s="36">
        <f>SUMIFS('свод практик'!$BR$6:$BR$277,'свод практик'!$J$6:$J$277,'свод субъектов ИБ+смежные'!Q$1)</f>
        <v>3.3688181999999975</v>
      </c>
      <c r="R82" s="36">
        <f>SUMIFS('свод практик'!$BR$6:$BR$277,'свод практик'!$J$6:$J$277,'свод субъектов ИБ+смежные'!R$1)</f>
        <v>250</v>
      </c>
      <c r="S82" s="36">
        <f>SUMIFS('свод практик'!$BR$6:$BR$277,'свод практик'!$J$6:$J$277,'свод субъектов ИБ+смежные'!S$1)</f>
        <v>165.50399999999999</v>
      </c>
      <c r="T82" s="36">
        <f>SUMIFS('свод практик'!$BR$6:$BR$277,'свод практик'!$J$6:$J$277,'свод субъектов ИБ+смежные'!T$1)</f>
        <v>26</v>
      </c>
      <c r="U82" s="36">
        <f>SUMIFS('свод практик'!$BR$6:$BR$277,'свод практик'!$J$6:$J$277,'свод субъектов ИБ+смежные'!U$1)</f>
        <v>1.2</v>
      </c>
      <c r="V82" s="36">
        <f>SUMIFS('свод практик'!$BR$6:$BR$277,'свод практик'!$J$6:$J$277,'свод субъектов ИБ+смежные'!V$1)</f>
        <v>3012.482</v>
      </c>
      <c r="W82" s="36">
        <f>SUMIFS('свод практик'!$BR$6:$BR$277,'свод практик'!$J$6:$J$277,'свод субъектов ИБ+смежные'!W$1)</f>
        <v>20</v>
      </c>
      <c r="X82" s="36">
        <f>SUMIFS('свод практик'!$BR$6:$BR$277,'свод практик'!$J$6:$J$277,'свод субъектов ИБ+смежные'!X$1)</f>
        <v>100</v>
      </c>
      <c r="Y82" s="36">
        <f>SUMIFS('свод практик'!$BR$6:$BR$277,'свод практик'!$J$6:$J$277,'свод субъектов ИБ+смежные'!Y$1)</f>
        <v>60</v>
      </c>
      <c r="Z82" s="36">
        <f>SUMIFS('свод практик'!$BR$6:$BR$277,'свод практик'!$J$6:$J$277,'свод субъектов ИБ+смежные'!Z$1)</f>
        <v>607.68849999999998</v>
      </c>
      <c r="AA82" s="36">
        <f>SUMIFS('свод практик'!$BR$6:$BR$277,'свод практик'!$J$6:$J$277,'свод субъектов ИБ+смежные'!AA$1)</f>
        <v>73.5</v>
      </c>
      <c r="AB82" s="36">
        <f>SUMIFS('свод практик'!$BR$6:$BR$277,'свод практик'!$J$6:$J$277,'свод субъектов ИБ+смежные'!AB$1)</f>
        <v>167.267</v>
      </c>
      <c r="AC82" s="36">
        <f>SUMIFS('свод практик'!$BR$6:$BR$277,'свод практик'!$J$6:$J$277,'свод субъектов ИБ+смежные'!AC$1)</f>
        <v>210</v>
      </c>
      <c r="AD82" s="36">
        <f>SUMIFS('свод практик'!$BR$6:$BR$277,'свод практик'!$J$6:$J$277,'свод субъектов ИБ+смежные'!AD$1)</f>
        <v>0</v>
      </c>
      <c r="AE82" s="36">
        <f>SUMIFS('свод практик'!$BR$6:$BR$277,'свод практик'!$J$6:$J$277,'свод субъектов ИБ+смежные'!AE$1)</f>
        <v>0</v>
      </c>
      <c r="AF82" s="36">
        <f>SUMIFS('свод практик'!$BR$6:$BR$277,'свод практик'!$J$6:$J$277,'свод субъектов ИБ+смежные'!AF$1)</f>
        <v>0</v>
      </c>
      <c r="AG82" s="36">
        <f>SUMIFS('свод практик'!$BR$6:$BR$277,'свод практик'!$J$6:$J$277,'свод субъектов ИБ+смежные'!AG$1)</f>
        <v>0</v>
      </c>
      <c r="AH82" s="36">
        <f>SUMIFS('свод практик'!$BR$6:$BR$277,'свод практик'!$J$6:$J$277,'свод субъектов ИБ+смежные'!AH$1)</f>
        <v>0</v>
      </c>
      <c r="AI82" s="36">
        <f>SUMIFS('свод практик'!$BR$6:$BR$277,'свод практик'!$J$6:$J$277,'свод субъектов ИБ+смежные'!AI$1)</f>
        <v>850</v>
      </c>
      <c r="AJ82" s="36">
        <f>SUMIFS('свод практик'!$BR$6:$BR$277,'свод практик'!$J$6:$J$277,'свод субъектов ИБ+смежные'!AJ$1)</f>
        <v>0</v>
      </c>
      <c r="AK82" s="36">
        <f>SUMIFS('свод практик'!$BR$6:$BR$277,'свод практик'!$J$6:$J$277,'свод субъектов ИБ+смежные'!AK$1)</f>
        <v>797.00729999999999</v>
      </c>
      <c r="AL82" s="36">
        <f>SUMIFS('свод практик'!$BR$6:$BR$277,'свод практик'!$J$6:$J$277,'свод субъектов ИБ+смежные'!AL$1)</f>
        <v>10</v>
      </c>
      <c r="AM82" s="36">
        <f>SUMIFS('свод практик'!$BR$6:$BR$277,'свод практик'!$J$6:$J$277,'свод субъектов ИБ+смежные'!AM$1)</f>
        <v>133.10900000000001</v>
      </c>
      <c r="AN82" s="36">
        <f>SUMIFS('свод практик'!$BR$6:$BR$277,'свод практик'!$J$6:$J$277,'свод субъектов ИБ+смежные'!AN$1)</f>
        <v>0</v>
      </c>
      <c r="AO82" s="36">
        <f>SUMIFS('свод практик'!$BR$6:$BR$277,'свод практик'!$J$6:$J$277,'свод субъектов ИБ+смежные'!AO$1)</f>
        <v>0</v>
      </c>
      <c r="AP82" s="36">
        <f>SUMIFS('свод практик'!$BR$6:$BR$277,'свод практик'!$J$6:$J$277,'свод субъектов ИБ+смежные'!AP$1)</f>
        <v>100</v>
      </c>
      <c r="AQ82" s="36">
        <f>SUMIFS('свод практик'!$BR$6:$BR$277,'свод практик'!$J$6:$J$277,'свод субъектов ИБ+смежные'!AQ$1)</f>
        <v>125</v>
      </c>
      <c r="AR82" s="36">
        <f>SUMIFS('свод практик'!$BR$6:$BR$277,'свод практик'!$J$6:$J$277,'свод субъектов ИБ+смежные'!AR$1)</f>
        <v>25</v>
      </c>
      <c r="AS82" s="36">
        <f>SUMIFS('свод практик'!$BR$6:$BR$277,'свод практик'!$J$6:$J$277,'свод субъектов ИБ+смежные'!AS$1)</f>
        <v>124.1</v>
      </c>
      <c r="AT82" s="36">
        <f>SUMIFS('свод практик'!$BR$6:$BR$277,'свод практик'!$J$6:$J$277,'свод субъектов ИБ+смежные'!AT$1)</f>
        <v>142.41899999999998</v>
      </c>
      <c r="AU82" s="36">
        <f>SUMIFS('свод практик'!$BR$6:$BR$277,'свод практик'!$J$6:$J$277,'свод субъектов ИБ+смежные'!AU$1)</f>
        <v>0</v>
      </c>
      <c r="AV82" s="36">
        <f>SUMIFS('свод практик'!$BR$6:$BR$277,'свод практик'!$J$6:$J$277,'свод субъектов ИБ+смежные'!AV$1)</f>
        <v>140</v>
      </c>
      <c r="AW82" s="36">
        <f>SUMIFS('свод практик'!$BR$6:$BR$277,'свод практик'!$J$6:$J$277,'свод субъектов ИБ+смежные'!AW$1)</f>
        <v>4.6773999999999996</v>
      </c>
      <c r="AX82" s="36">
        <f>SUMIFS('свод практик'!$BR$6:$BR$277,'свод практик'!$J$6:$J$277,'свод субъектов ИБ+смежные'!AX$1)</f>
        <v>498.36399999999998</v>
      </c>
      <c r="AY82" s="36">
        <f>SUMIFS('свод практик'!$BR$6:$BR$277,'свод практик'!$J$6:$J$277,'свод субъектов ИБ+смежные'!AY$1)</f>
        <v>0</v>
      </c>
      <c r="AZ82" s="36">
        <f>SUMIFS('свод практик'!$BR$6:$BR$277,'свод практик'!$J$6:$J$277,'свод субъектов ИБ+смежные'!AZ$1)</f>
        <v>458.642</v>
      </c>
      <c r="BA82" s="36">
        <f>SUMIFS('свод практик'!$BR$6:$BR$277,'свод практик'!$J$6:$J$277,'свод субъектов ИБ+смежные'!BA$1)</f>
        <v>102.50924444</v>
      </c>
      <c r="BB82" s="36">
        <f>SUMIFS('свод практик'!$BR$6:$BR$277,'свод практик'!$J$6:$J$277,'свод субъектов ИБ+смежные'!BB$1)</f>
        <v>0</v>
      </c>
      <c r="BC82" s="36">
        <f>SUMIFS('свод практик'!$BR$6:$BR$277,'свод практик'!$J$6:$J$277,'свод субъектов ИБ+смежные'!BC$1)</f>
        <v>25</v>
      </c>
      <c r="BD82" s="36">
        <f>SUMIFS('свод практик'!$BR$6:$BR$277,'свод практик'!$J$6:$J$277,'свод субъектов ИБ+смежные'!BD$1)</f>
        <v>0</v>
      </c>
      <c r="BE82" s="36">
        <f>SUMIFS('свод практик'!$BR$6:$BR$277,'свод практик'!$J$6:$J$277,'свод субъектов ИБ+смежные'!BE$1)</f>
        <v>0</v>
      </c>
      <c r="BF82" s="36">
        <f>SUMIFS('свод практик'!$BR$6:$BR$277,'свод практик'!$J$6:$J$277,'свод субъектов ИБ+смежные'!BF$1)</f>
        <v>0</v>
      </c>
      <c r="BG82" s="36">
        <f>SUMIFS('свод практик'!$BR$6:$BR$277,'свод практик'!$J$6:$J$277,'свод субъектов ИБ+смежные'!BG$1)</f>
        <v>32.627000000000002</v>
      </c>
      <c r="BH82" s="36">
        <f>SUMIFS('свод практик'!$BR$6:$BR$277,'свод практик'!$J$6:$J$277,'свод субъектов ИБ+смежные'!BH$1)</f>
        <v>17</v>
      </c>
      <c r="BI82" s="36">
        <f>SUMIFS('свод практик'!$BR$6:$BR$277,'свод практик'!$J$6:$J$277,'свод субъектов ИБ+смежные'!BI$1)</f>
        <v>365</v>
      </c>
      <c r="BJ82" s="36">
        <f>SUMIFS('свод практик'!$BR$6:$BR$277,'свод практик'!$J$6:$J$277,'свод субъектов ИБ+смежные'!BJ$1)</f>
        <v>269.57580000000007</v>
      </c>
      <c r="BK82" s="36">
        <f>SUMIFS('свод практик'!$BR$6:$BR$277,'свод практик'!$J$6:$J$277,'свод субъектов ИБ+смежные'!BK$1)</f>
        <v>200</v>
      </c>
      <c r="BL82" s="36">
        <f>SUMIFS('свод практик'!$BR$6:$BR$277,'свод практик'!$J$6:$J$277,'свод субъектов ИБ+смежные'!BL$1)</f>
        <v>0</v>
      </c>
      <c r="BM82" s="36">
        <f>SUMIFS('свод практик'!$BR$6:$BR$277,'свод практик'!$J$6:$J$277,'свод субъектов ИБ+смежные'!BM$1)</f>
        <v>80</v>
      </c>
      <c r="BN82" s="36">
        <f>SUMIFS('свод практик'!$BR$6:$BR$277,'свод практик'!$J$6:$J$277,'свод субъектов ИБ+смежные'!BN$1)</f>
        <v>30.696999999999999</v>
      </c>
      <c r="BO82" s="36">
        <f>SUMIFS('свод практик'!$BR$6:$BR$277,'свод практик'!$J$6:$J$277,'свод субъектов ИБ+смежные'!BO$1)</f>
        <v>3.7</v>
      </c>
      <c r="BP82" s="36">
        <f>SUMIFS('свод практик'!$BR$6:$BR$277,'свод практик'!$J$6:$J$277,'свод субъектов ИБ+смежные'!BP$1)</f>
        <v>207.63553501000001</v>
      </c>
      <c r="BQ82" s="36">
        <f>SUMIFS('свод практик'!$BR$6:$BR$277,'свод практик'!$J$6:$J$277,'свод субъектов ИБ+смежные'!BQ$1)</f>
        <v>0</v>
      </c>
      <c r="BR82" s="36">
        <f>SUMIFS('свод практик'!$BR$6:$BR$277,'свод практик'!$J$6:$J$277,'свод субъектов ИБ+смежные'!BR$1)</f>
        <v>10</v>
      </c>
      <c r="BS82" s="36">
        <f>SUMIFS('свод практик'!$BR$6:$BR$277,'свод практик'!$J$6:$J$277,'свод субъектов ИБ+смежные'!BS$1)</f>
        <v>0</v>
      </c>
      <c r="BT82" s="36">
        <f>SUMIFS('свод практик'!$BR$6:$BR$277,'свод практик'!$J$6:$J$277,'свод субъектов ИБ+смежные'!BT$1)</f>
        <v>179.75</v>
      </c>
      <c r="BU82" s="36">
        <f>SUMIFS('свод практик'!$BR$6:$BR$277,'свод практик'!$J$6:$J$277,'свод субъектов ИБ+смежные'!BU$1)</f>
        <v>267.25200000000001</v>
      </c>
      <c r="BV82" s="36">
        <f>SUMIFS('свод практик'!$BR$6:$BR$277,'свод практик'!$J$6:$J$277,'свод субъектов ИБ+смежные'!BV$1)</f>
        <v>90</v>
      </c>
      <c r="BW82" s="36">
        <f>SUMIFS('свод практик'!$BR$6:$BR$277,'свод практик'!$J$6:$J$277,'свод субъектов ИБ+смежные'!BW$1)</f>
        <v>120</v>
      </c>
      <c r="BX82" s="36">
        <f>SUMIFS('свод практик'!$BR$6:$BR$277,'свод практик'!$J$6:$J$277,'свод субъектов ИБ+смежные'!BX$1)</f>
        <v>500</v>
      </c>
      <c r="BY82" s="36">
        <f>SUMIFS('свод практик'!$BR$6:$BR$277,'свод практик'!$J$6:$J$277,'свод субъектов ИБ+смежные'!BY$1)</f>
        <v>1723.7027</v>
      </c>
      <c r="BZ82" s="36">
        <f>SUMIFS('свод практик'!$BR$6:$BR$277,'свод практик'!$J$6:$J$277,'свод субъектов ИБ+смежные'!BZ$1)</f>
        <v>12.3</v>
      </c>
      <c r="CA82" s="36">
        <f>SUMIFS('свод практик'!$BR$6:$BR$277,'свод практик'!$J$6:$J$277,'свод субъектов ИБ+смежные'!CA$1)</f>
        <v>0</v>
      </c>
      <c r="CB82" s="36">
        <f>SUMIFS('свод практик'!$BR$6:$BR$277,'свод практик'!$J$6:$J$277,'свод субъектов ИБ+смежные'!CB$1)</f>
        <v>0</v>
      </c>
      <c r="CC82" s="36">
        <f>SUMIFS('свод практик'!$BR$6:$BR$277,'свод практик'!$J$6:$J$277,'свод субъектов ИБ+смежные'!CC$1)</f>
        <v>10</v>
      </c>
      <c r="CD82" s="36">
        <f>SUMIFS('свод практик'!$BR$6:$BR$277,'свод практик'!$J$6:$J$277,'свод субъектов ИБ+смежные'!CD$1)</f>
        <v>502.44</v>
      </c>
      <c r="CE82" s="36">
        <f>SUMIFS('свод практик'!$BR$6:$BR$277,'свод практик'!$J$6:$J$277,'свод субъектов ИБ+смежные'!CE$1)</f>
        <v>203.3</v>
      </c>
      <c r="CF82" s="36">
        <f>SUMIFS('свод практик'!$BR$6:$BR$277,'свод практик'!$J$6:$J$277,'свод субъектов ИБ+смежные'!CF$1)</f>
        <v>1019.9</v>
      </c>
      <c r="CG82" s="36">
        <f>SUMIFS('свод практик'!$BR$6:$BR$277,'свод практик'!$J$6:$J$277,'свод субъектов ИБ+смежные'!CG$1)</f>
        <v>146.80000000000001</v>
      </c>
      <c r="CH82" s="36">
        <f>SUMIFS('свод практик'!$BR$6:$BR$277,'свод практик'!$J$6:$J$277,'свод субъектов ИБ+смежные'!CH$1)</f>
        <v>40</v>
      </c>
      <c r="CI82" s="36">
        <f>SUMIFS('свод практик'!$BR$6:$BR$277,'свод практик'!$J$6:$J$277,'свод субъектов ИБ+смежные'!CI$1)</f>
        <v>406.7</v>
      </c>
      <c r="CJ82" s="36">
        <f>SUMIFS('свод практик'!$BR$6:$BR$277,'свод практик'!$J$6:$J$277,'свод субъектов ИБ+смежные'!CJ$1)</f>
        <v>0</v>
      </c>
      <c r="CK82" s="36">
        <f>SUMIFS('свод практик'!$BR$6:$BR$277,'свод практик'!$J$6:$J$277,'свод субъектов ИБ+смежные'!CK$1)</f>
        <v>310.60000000000002</v>
      </c>
      <c r="CL82" s="36">
        <f>SUMIFS('свод практик'!$BR$6:$BR$277,'свод практик'!$J$6:$J$277,'свод субъектов ИБ+смежные'!CL$1)</f>
        <v>150</v>
      </c>
      <c r="CM82" s="36">
        <f>SUMIFS('свод практик'!$BR$6:$BR$277,'свод практик'!$J$6:$J$277,'свод субъектов ИБ+смежные'!CM$1)</f>
        <v>180</v>
      </c>
      <c r="CN82" s="36">
        <f>SUMIFS('свод практик'!$BR$6:$BR$277,'свод практик'!$J$6:$J$277,'свод субъектов ИБ+смежные'!CN$1)</f>
        <v>145.1</v>
      </c>
      <c r="CO82" s="36">
        <f>SUMIFS('свод практик'!$BR$6:$BR$277,'свод практик'!$J$6:$J$277,'свод субъектов ИБ+смежные'!CO$1)</f>
        <v>0</v>
      </c>
      <c r="CP82" s="36">
        <f>SUMIFS('свод практик'!$BR$6:$BR$277,'свод практик'!$J$6:$J$277,'свод субъектов ИБ+смежные'!CP$1)</f>
        <v>308.62600000000003</v>
      </c>
      <c r="CQ82" s="36">
        <f>SUMIFS('свод практик'!$BR$6:$BR$277,'свод практик'!$J$6:$J$277,'свод субъектов ИБ+смежные'!CQ$1)</f>
        <v>0</v>
      </c>
      <c r="CR82" s="36">
        <f>SUMIFS('свод практик'!$BR$6:$BR$277,'свод практик'!$J$6:$J$277,'свод субъектов ИБ+смежные'!CR$1)</f>
        <v>0</v>
      </c>
      <c r="CS82" s="36">
        <f>SUMIFS('свод практик'!$BR$6:$BR$277,'свод практик'!$J$6:$J$277,'свод субъектов ИБ+смежные'!CS$1)</f>
        <v>463.76499999999999</v>
      </c>
      <c r="CT82" s="36">
        <f>SUMIFS('свод практик'!$BR$6:$BR$277,'свод практик'!$J$6:$J$277,'свод субъектов ИБ+смежные'!CT$1)</f>
        <v>50</v>
      </c>
      <c r="CU82" s="36">
        <f>SUMIFS('свод практик'!$BR$6:$BR$277,'свод практик'!$J$6:$J$277,'свод субъектов ИБ+смежные'!CU$1)</f>
        <v>0</v>
      </c>
      <c r="CV82" s="36">
        <f>SUMIFS('свод практик'!$BR$6:$BR$277,'свод практик'!$J$6:$J$277,'свод субъектов ИБ+смежные'!CV$1)</f>
        <v>218.4</v>
      </c>
    </row>
    <row r="83" spans="1:100" ht="43" thickBot="1">
      <c r="A83" s="721"/>
      <c r="B83" s="722"/>
      <c r="C83" s="722"/>
      <c r="D83" s="49" t="s">
        <v>4949</v>
      </c>
      <c r="E83" s="49">
        <v>45</v>
      </c>
      <c r="F83" s="59" t="s">
        <v>5132</v>
      </c>
      <c r="G83" s="60" t="s">
        <v>297</v>
      </c>
      <c r="H83" s="52" t="s">
        <v>60</v>
      </c>
      <c r="I83" s="53" t="s">
        <v>4961</v>
      </c>
      <c r="M83" s="36" t="s">
        <v>5497</v>
      </c>
      <c r="N83" s="36" t="s">
        <v>5497</v>
      </c>
      <c r="O83" s="36" t="s">
        <v>5497</v>
      </c>
      <c r="P83" s="145">
        <f>SUMIFS('свод практик'!$BS$6:$BS$277,'свод практик'!$J$6:$J$277,'свод субъектов ИБ+смежные'!P$1)</f>
        <v>4.0000000000000002E-4</v>
      </c>
      <c r="Q83" s="145">
        <f>SUMIFS('свод практик'!$BS$6:$BS$277,'свод практик'!$J$6:$J$277,'свод субъектов ИБ+смежные'!Q$1)</f>
        <v>4.1995695483267731E-3</v>
      </c>
      <c r="R83" s="145">
        <f>SUMIFS('свод практик'!$BS$6:$BS$277,'свод практик'!$J$6:$J$277,'свод субъектов ИБ+смежные'!R$1)</f>
        <v>2.0999999999999999E-3</v>
      </c>
      <c r="S83" s="145">
        <f>SUMIFS('свод практик'!$BS$6:$BS$277,'свод практик'!$J$6:$J$277,'свод субъектов ИБ+смежные'!S$1)</f>
        <v>2.3999999999999998E-3</v>
      </c>
      <c r="T83" s="145">
        <f>SUMIFS('свод практик'!$BS$6:$BS$277,'свод практик'!$J$6:$J$277,'свод субъектов ИБ+смежные'!T$1)</f>
        <v>2.0000000000000001E-4</v>
      </c>
      <c r="U83" s="145">
        <f>SUMIFS('свод практик'!$BS$6:$BS$277,'свод практик'!$J$6:$J$277,'свод субъектов ИБ+смежные'!U$1)</f>
        <v>2.0000000000000001E-4</v>
      </c>
      <c r="V83" s="145">
        <f>SUMIFS('свод практик'!$BS$6:$BS$277,'свод практик'!$J$6:$J$277,'свод субъектов ИБ+смежные'!V$1)</f>
        <v>1.2800000000000001E-2</v>
      </c>
      <c r="W83" s="145">
        <f>SUMIFS('свод практик'!$BS$6:$BS$277,'свод практик'!$J$6:$J$277,'свод субъектов ИБ+смежные'!W$1)</f>
        <v>1.85E-4</v>
      </c>
      <c r="X83" s="145">
        <f>SUMIFS('свод практик'!$BS$6:$BS$277,'свод практик'!$J$6:$J$277,'свод субъектов ИБ+смежные'!X$1)</f>
        <v>1.4E-3</v>
      </c>
      <c r="Y83" s="145">
        <f>SUMIFS('свод практик'!$BS$6:$BS$277,'свод практик'!$J$6:$J$277,'свод субъектов ИБ+смежные'!Y$1)</f>
        <v>8.0000000000000004E-4</v>
      </c>
      <c r="Z83" s="145">
        <f>SUMIFS('свод практик'!$BS$6:$BS$277,'свод практик'!$J$6:$J$277,'свод субъектов ИБ+смежные'!Z$1)</f>
        <v>8.8000000000000005E-3</v>
      </c>
      <c r="AA83" s="145">
        <f>SUMIFS('свод практик'!$BS$6:$BS$277,'свод практик'!$J$6:$J$277,'свод субъектов ИБ+смежные'!AA$1)</f>
        <v>6.4191699646426004E-4</v>
      </c>
      <c r="AB83" s="145">
        <f>SUMIFS('свод практик'!$BS$6:$BS$277,'свод практик'!$J$6:$J$277,'свод субъектов ИБ+смежные'!AB$1)</f>
        <v>1.7697557193908291E-3</v>
      </c>
      <c r="AC83" s="145">
        <f>SUMIFS('свод практик'!$BS$6:$BS$277,'свод практик'!$J$6:$J$277,'свод субъектов ИБ+смежные'!AC$1)</f>
        <v>1.6905622853863771E-3</v>
      </c>
      <c r="AD83" s="145">
        <f>SUMIFS('свод практик'!$BS$6:$BS$277,'свод практик'!$J$6:$J$277,'свод субъектов ИБ+смежные'!AD$1)</f>
        <v>0</v>
      </c>
      <c r="AE83" s="145">
        <f>SUMIFS('свод практик'!$BS$6:$BS$277,'свод практик'!$J$6:$J$277,'свод субъектов ИБ+смежные'!AE$1)</f>
        <v>0</v>
      </c>
      <c r="AF83" s="145">
        <f>SUMIFS('свод практик'!$BS$6:$BS$277,'свод практик'!$J$6:$J$277,'свод субъектов ИБ+смежные'!AF$1)</f>
        <v>0</v>
      </c>
      <c r="AG83" s="145">
        <f>SUMIFS('свод практик'!$BS$6:$BS$277,'свод практик'!$J$6:$J$277,'свод субъектов ИБ+смежные'!AG$1)</f>
        <v>0</v>
      </c>
      <c r="AH83" s="145">
        <f>SUMIFS('свод практик'!$BS$6:$BS$277,'свод практик'!$J$6:$J$277,'свод субъектов ИБ+смежные'!AH$1)</f>
        <v>0</v>
      </c>
      <c r="AI83" s="145">
        <f>SUMIFS('свод практик'!$BS$6:$BS$277,'свод практик'!$J$6:$J$277,'свод субъектов ИБ+смежные'!AI$1)</f>
        <v>5.0000000000000001E-3</v>
      </c>
      <c r="AJ83" s="145">
        <f>SUMIFS('свод практик'!$BS$6:$BS$277,'свод практик'!$J$6:$J$277,'свод субъектов ИБ+смежные'!AJ$1)</f>
        <v>0</v>
      </c>
      <c r="AK83" s="145">
        <f>SUMIFS('свод практик'!$BS$6:$BS$277,'свод практик'!$J$6:$J$277,'свод субъектов ИБ+смежные'!AK$1)</f>
        <v>6.5576486623230967E-3</v>
      </c>
      <c r="AL83" s="145">
        <f>SUMIFS('свод практик'!$BS$6:$BS$277,'свод практик'!$J$6:$J$277,'свод субъектов ИБ+смежные'!AL$1)</f>
        <v>5.9999999999999995E-4</v>
      </c>
      <c r="AM83" s="145">
        <f>SUMIFS('свод практик'!$BS$6:$BS$277,'свод практик'!$J$6:$J$277,'свод субъектов ИБ+смежные'!AM$1)</f>
        <v>1.92E-3</v>
      </c>
      <c r="AN83" s="145">
        <f>SUMIFS('свод практик'!$BS$6:$BS$277,'свод практик'!$J$6:$J$277,'свод субъектов ИБ+смежные'!AN$1)</f>
        <v>0</v>
      </c>
      <c r="AO83" s="145">
        <f>SUMIFS('свод практик'!$BS$6:$BS$277,'свод практик'!$J$6:$J$277,'свод субъектов ИБ+смежные'!AO$1)</f>
        <v>0</v>
      </c>
      <c r="AP83" s="145">
        <f>SUMIFS('свод практик'!$BS$6:$BS$277,'свод практик'!$J$6:$J$277,'свод субъектов ИБ+смежные'!AP$1)</f>
        <v>1.6386243420923267E-3</v>
      </c>
      <c r="AQ83" s="145">
        <f>SUMIFS('свод практик'!$BS$6:$BS$277,'свод практик'!$J$6:$J$277,'свод субъектов ИБ+смежные'!AQ$1)</f>
        <v>1E-3</v>
      </c>
      <c r="AR83" s="145">
        <f>SUMIFS('свод практик'!$BS$6:$BS$277,'свод практик'!$J$6:$J$277,'свод субъектов ИБ+смежные'!AR$1)</f>
        <v>4.0000000000000002E-4</v>
      </c>
      <c r="AS83" s="145">
        <f>SUMIFS('свод практик'!$BS$6:$BS$277,'свод практик'!$J$6:$J$277,'свод субъектов ИБ+смежные'!AS$1)</f>
        <v>1.6000000000000001E-3</v>
      </c>
      <c r="AT83" s="145">
        <f>SUMIFS('свод практик'!$BS$6:$BS$277,'свод практик'!$J$6:$J$277,'свод субъектов ИБ+смежные'!AT$1)</f>
        <v>2.1999999999999997E-3</v>
      </c>
      <c r="AU83" s="145">
        <f>SUMIFS('свод практик'!$BS$6:$BS$277,'свод практик'!$J$6:$J$277,'свод субъектов ИБ+смежные'!AU$1)</f>
        <v>0</v>
      </c>
      <c r="AV83" s="145">
        <f>SUMIFS('свод практик'!$BS$6:$BS$277,'свод практик'!$J$6:$J$277,'свод субъектов ИБ+смежные'!AV$1)</f>
        <v>5.0000000000000001E-4</v>
      </c>
      <c r="AW83" s="145">
        <f>SUMIFS('свод практик'!$BS$6:$BS$277,'свод практик'!$J$6:$J$277,'свод субъектов ИБ+смежные'!AW$1)</f>
        <v>9.0000000000000006E-5</v>
      </c>
      <c r="AX83" s="145">
        <f>SUMIFS('свод практик'!$BS$6:$BS$277,'свод практик'!$J$6:$J$277,'свод субъектов ИБ+смежные'!AX$1)</f>
        <v>7.7999999999999996E-3</v>
      </c>
      <c r="AY83" s="145">
        <f>SUMIFS('свод практик'!$BS$6:$BS$277,'свод практик'!$J$6:$J$277,'свод субъектов ИБ+смежные'!AY$1)</f>
        <v>0</v>
      </c>
      <c r="AZ83" s="145">
        <f>SUMIFS('свод практик'!$BS$6:$BS$277,'свод практик'!$J$6:$J$277,'свод субъектов ИБ+смежные'!AZ$1)</f>
        <v>3.0000000000000001E-3</v>
      </c>
      <c r="BA83" s="145">
        <f>SUMIFS('свод практик'!$BS$6:$BS$277,'свод практик'!$J$6:$J$277,'свод субъектов ИБ+смежные'!BA$1)</f>
        <v>1.01E-3</v>
      </c>
      <c r="BB83" s="145">
        <f>SUMIFS('свод практик'!$BS$6:$BS$277,'свод практик'!$J$6:$J$277,'свод субъектов ИБ+смежные'!BB$1)</f>
        <v>0</v>
      </c>
      <c r="BC83" s="145">
        <f>SUMIFS('свод практик'!$BS$6:$BS$277,'свод практик'!$J$6:$J$277,'свод субъектов ИБ+смежные'!BC$1)</f>
        <v>6.9999999999999999E-4</v>
      </c>
      <c r="BD83" s="145">
        <f>SUMIFS('свод практик'!$BS$6:$BS$277,'свод практик'!$J$6:$J$277,'свод субъектов ИБ+смежные'!BD$1)</f>
        <v>0</v>
      </c>
      <c r="BE83" s="145">
        <f>SUMIFS('свод практик'!$BS$6:$BS$277,'свод практик'!$J$6:$J$277,'свод субъектов ИБ+смежные'!BE$1)</f>
        <v>0</v>
      </c>
      <c r="BF83" s="145">
        <f>SUMIFS('свод практик'!$BS$6:$BS$277,'свод практик'!$J$6:$J$277,'свод субъектов ИБ+смежные'!BF$1)</f>
        <v>0</v>
      </c>
      <c r="BG83" s="145">
        <f>SUMIFS('свод практик'!$BS$6:$BS$277,'свод практик'!$J$6:$J$277,'свод субъектов ИБ+смежные'!BG$1)</f>
        <v>4.0000000000000002E-4</v>
      </c>
      <c r="BH83" s="145">
        <f>SUMIFS('свод практик'!$BS$6:$BS$277,'свод практик'!$J$6:$J$277,'свод субъектов ИБ+смежные'!BH$1)</f>
        <v>8.9999999999999998E-4</v>
      </c>
      <c r="BI83" s="145">
        <f>SUMIFS('свод практик'!$BS$6:$BS$277,'свод практик'!$J$6:$J$277,'свод субъектов ИБ+смежные'!BI$1)</f>
        <v>1.7535001544521369E-3</v>
      </c>
      <c r="BJ83" s="145">
        <f>SUMIFS('свод практик'!$BS$6:$BS$277,'свод практик'!$J$6:$J$277,'свод субъектов ИБ+смежные'!BJ$1)</f>
        <v>7.3000000000000001E-3</v>
      </c>
      <c r="BK83" s="145">
        <f>SUMIFS('свод практик'!$BS$6:$BS$277,'свод практик'!$J$6:$J$277,'свод субъектов ИБ+смежные'!BK$1)</f>
        <v>1.1000000000000001E-3</v>
      </c>
      <c r="BL83" s="145">
        <f>SUMIFS('свод практик'!$BS$6:$BS$277,'свод практик'!$J$6:$J$277,'свод субъектов ИБ+смежные'!BL$1)</f>
        <v>0</v>
      </c>
      <c r="BM83" s="145">
        <f>SUMIFS('свод практик'!$BS$6:$BS$277,'свод практик'!$J$6:$J$277,'свод субъектов ИБ+смежные'!BM$1)</f>
        <v>8.0000000000000004E-4</v>
      </c>
      <c r="BN83" s="145">
        <f>SUMIFS('свод практик'!$BS$6:$BS$277,'свод практик'!$J$6:$J$277,'свод субъектов ИБ+смежные'!BN$1)</f>
        <v>8.3801514498141111E-4</v>
      </c>
      <c r="BO83" s="145">
        <f>SUMIFS('свод практик'!$BS$6:$BS$277,'свод практик'!$J$6:$J$277,'свод субъектов ИБ+смежные'!BO$1)</f>
        <v>1E-4</v>
      </c>
      <c r="BP83" s="145">
        <f>SUMIFS('свод практик'!$BS$6:$BS$277,'свод практик'!$J$6:$J$277,'свод субъектов ИБ+смежные'!BP$1)</f>
        <v>1.3362034320393663E-3</v>
      </c>
      <c r="BQ83" s="145">
        <f>SUMIFS('свод практик'!$BS$6:$BS$277,'свод практик'!$J$6:$J$277,'свод субъектов ИБ+смежные'!BQ$1)</f>
        <v>0</v>
      </c>
      <c r="BR83" s="145">
        <f>SUMIFS('свод практик'!$BS$6:$BS$277,'свод практик'!$J$6:$J$277,'свод субъектов ИБ+смежные'!BR$1)</f>
        <v>2.5705090636149583E-4</v>
      </c>
      <c r="BS83" s="145">
        <f>SUMIFS('свод практик'!$BS$6:$BS$277,'свод практик'!$J$6:$J$277,'свод субъектов ИБ+смежные'!BS$1)</f>
        <v>0</v>
      </c>
      <c r="BT83" s="145">
        <f>SUMIFS('свод практик'!$BS$6:$BS$277,'свод практик'!$J$6:$J$277,'свод субъектов ИБ+смежные'!BT$1)</f>
        <v>3.6660004316725327E-5</v>
      </c>
      <c r="BU83" s="145">
        <f>SUMIFS('свод практик'!$BS$6:$BS$277,'свод практик'!$J$6:$J$277,'свод субъектов ИБ+смежные'!BU$1)</f>
        <v>1.4E-3</v>
      </c>
      <c r="BV83" s="145">
        <f>SUMIFS('свод практик'!$BS$6:$BS$277,'свод практик'!$J$6:$J$277,'свод субъектов ИБ+смежные'!BV$1)</f>
        <v>1.2367344258342938E-4</v>
      </c>
      <c r="BW83" s="145">
        <f>SUMIFS('свод практик'!$BS$6:$BS$277,'свод практик'!$J$6:$J$277,'свод субъектов ИБ+смежные'!BW$1)</f>
        <v>1.15E-3</v>
      </c>
      <c r="BX83" s="145">
        <f>SUMIFS('свод практик'!$BS$6:$BS$277,'свод практик'!$J$6:$J$277,'свод субъектов ИБ+смежные'!BX$1)</f>
        <v>2.3E-3</v>
      </c>
      <c r="BY83" s="145">
        <f>SUMIFS('свод практик'!$BS$6:$BS$277,'свод практик'!$J$6:$J$277,'свод субъектов ИБ+смежные'!BY$1)</f>
        <v>1.04E-2</v>
      </c>
      <c r="BZ83" s="145">
        <f>SUMIFS('свод практик'!$BS$6:$BS$277,'свод практик'!$J$6:$J$277,'свод субъектов ИБ+смежные'!BZ$1)</f>
        <v>5.9488684376032578E-3</v>
      </c>
      <c r="CA83" s="145">
        <f>SUMIFS('свод практик'!$BS$6:$BS$277,'свод практик'!$J$6:$J$277,'свод субъектов ИБ+смежные'!CA$1)</f>
        <v>0</v>
      </c>
      <c r="CB83" s="145">
        <f>SUMIFS('свод практик'!$BS$6:$BS$277,'свод практик'!$J$6:$J$277,'свод субъектов ИБ+смежные'!CB$1)</f>
        <v>0</v>
      </c>
      <c r="CC83" s="145">
        <f>SUMIFS('свод практик'!$BS$6:$BS$277,'свод практик'!$J$6:$J$277,'свод субъектов ИБ+смежные'!CC$1)</f>
        <v>2.0000000000000001E-4</v>
      </c>
      <c r="CD83" s="145">
        <f>SUMIFS('свод практик'!$BS$6:$BS$277,'свод практик'!$J$6:$J$277,'свод субъектов ИБ+смежные'!CD$1)</f>
        <v>4.1000000000000003E-3</v>
      </c>
      <c r="CE83" s="145">
        <f>SUMIFS('свод практик'!$BS$6:$BS$277,'свод практик'!$J$6:$J$277,'свод субъектов ИБ+смежные'!CE$1)</f>
        <v>3.9099999999999994E-3</v>
      </c>
      <c r="CF83" s="145">
        <f>SUMIFS('свод практик'!$BS$6:$BS$277,'свод практик'!$J$6:$J$277,'свод субъектов ИБ+смежные'!CF$1)</f>
        <v>3.2800000000000004E-3</v>
      </c>
      <c r="CG83" s="145">
        <f>SUMIFS('свод практик'!$BS$6:$BS$277,'свод практик'!$J$6:$J$277,'свод субъектов ИБ+смежные'!CG$1)</f>
        <v>2.1595119246497919E-3</v>
      </c>
      <c r="CH83" s="145">
        <f>SUMIFS('свод практик'!$BS$6:$BS$277,'свод практик'!$J$6:$J$277,'свод субъектов ИБ+смежные'!CH$1)</f>
        <v>5.0000000000000001E-4</v>
      </c>
      <c r="CI83" s="145">
        <f>SUMIFS('свод практик'!$BS$6:$BS$277,'свод практик'!$J$6:$J$277,'свод субъектов ИБ+смежные'!CI$1)</f>
        <v>5.3E-3</v>
      </c>
      <c r="CJ83" s="145">
        <f>SUMIFS('свод практик'!$BS$6:$BS$277,'свод практик'!$J$6:$J$277,'свод субъектов ИБ+смежные'!CJ$1)</f>
        <v>0</v>
      </c>
      <c r="CK83" s="145">
        <f>SUMIFS('свод практик'!$BS$6:$BS$277,'свод практик'!$J$6:$J$277,'свод субъектов ИБ+смежные'!CK$1)</f>
        <v>1.3479147680423556E-3</v>
      </c>
      <c r="CL83" s="145">
        <f>SUMIFS('свод практик'!$BS$6:$BS$277,'свод практик'!$J$6:$J$277,'свод субъектов ИБ+смежные'!CL$1)</f>
        <v>1.9E-3</v>
      </c>
      <c r="CM83" s="145">
        <f>SUMIFS('свод практик'!$BS$6:$BS$277,'свод практик'!$J$6:$J$277,'свод субъектов ИБ+смежные'!CM$1)</f>
        <v>2.5999999999999999E-3</v>
      </c>
      <c r="CN83" s="145">
        <f>SUMIFS('свод практик'!$BS$6:$BS$277,'свод практик'!$J$6:$J$277,'свод субъектов ИБ+смежные'!CN$1)</f>
        <v>1.1999999999999999E-3</v>
      </c>
      <c r="CO83" s="145">
        <f>SUMIFS('свод практик'!$BS$6:$BS$277,'свод практик'!$J$6:$J$277,'свод субъектов ИБ+смежные'!CO$1)</f>
        <v>0</v>
      </c>
      <c r="CP83" s="145">
        <f>SUMIFS('свод практик'!$BS$6:$BS$277,'свод практик'!$J$6:$J$277,'свод субъектов ИБ+смежные'!CP$1)</f>
        <v>1.134E-3</v>
      </c>
      <c r="CQ83" s="145">
        <f>SUMIFS('свод практик'!$BS$6:$BS$277,'свод практик'!$J$6:$J$277,'свод субъектов ИБ+смежные'!CQ$1)</f>
        <v>0</v>
      </c>
      <c r="CR83" s="145">
        <f>SUMIFS('свод практик'!$BS$6:$BS$277,'свод практик'!$J$6:$J$277,'свод субъектов ИБ+смежные'!CR$1)</f>
        <v>0</v>
      </c>
      <c r="CS83" s="145">
        <f>SUMIFS('свод практик'!$BS$6:$BS$277,'свод практик'!$J$6:$J$277,'свод субъектов ИБ+смежные'!CS$1)</f>
        <v>7.367695013759311E-3</v>
      </c>
      <c r="CT83" s="145">
        <f>SUMIFS('свод практик'!$BS$6:$BS$277,'свод практик'!$J$6:$J$277,'свод субъектов ИБ+смежные'!CT$1)</f>
        <v>0.12419427165447222</v>
      </c>
      <c r="CU83" s="145">
        <f>SUMIFS('свод практик'!$BS$6:$BS$277,'свод практик'!$J$6:$J$277,'свод субъектов ИБ+смежные'!CU$1)</f>
        <v>0</v>
      </c>
      <c r="CV83" s="145">
        <f>SUMIFS('свод практик'!$BS$6:$BS$277,'свод практик'!$J$6:$J$277,'свод субъектов ИБ+смежные'!CV$1)</f>
        <v>2E-3</v>
      </c>
    </row>
    <row r="84" spans="1:100" s="316" customFormat="1" ht="56">
      <c r="A84" s="723">
        <v>33</v>
      </c>
      <c r="B84" s="310"/>
      <c r="C84" s="310"/>
      <c r="D84" s="311" t="s">
        <v>4949</v>
      </c>
      <c r="E84" s="311">
        <v>33</v>
      </c>
      <c r="F84" s="312" t="s">
        <v>5133</v>
      </c>
      <c r="G84" s="313" t="s">
        <v>5272</v>
      </c>
      <c r="H84" s="314" t="s">
        <v>5014</v>
      </c>
      <c r="I84" s="315" t="s">
        <v>4961</v>
      </c>
      <c r="M84" s="316" t="s">
        <v>5497</v>
      </c>
      <c r="N84" s="316">
        <v>0</v>
      </c>
      <c r="O84" s="317"/>
    </row>
    <row r="85" spans="1:100" s="316" customFormat="1" ht="43" thickBot="1">
      <c r="A85" s="724"/>
      <c r="B85" s="318"/>
      <c r="C85" s="318"/>
      <c r="D85" s="319" t="s">
        <v>4949</v>
      </c>
      <c r="E85" s="319">
        <v>34</v>
      </c>
      <c r="F85" s="320" t="s">
        <v>5134</v>
      </c>
      <c r="G85" s="321" t="s">
        <v>5135</v>
      </c>
      <c r="H85" s="322" t="s">
        <v>60</v>
      </c>
      <c r="I85" s="323" t="s">
        <v>4956</v>
      </c>
      <c r="L85" s="316" t="s">
        <v>278</v>
      </c>
      <c r="M85" s="316" t="s">
        <v>5497</v>
      </c>
      <c r="O85" s="317"/>
    </row>
    <row r="86" spans="1:100" ht="14">
      <c r="A86" s="716" t="s">
        <v>5136</v>
      </c>
      <c r="B86" s="716" t="s">
        <v>4990</v>
      </c>
      <c r="C86" s="773" t="s">
        <v>5137</v>
      </c>
      <c r="D86" s="64" t="s">
        <v>4949</v>
      </c>
      <c r="E86" s="64">
        <v>52</v>
      </c>
      <c r="F86" s="80" t="s">
        <v>5138</v>
      </c>
      <c r="G86" s="762" t="s">
        <v>5139</v>
      </c>
      <c r="H86" s="67" t="s">
        <v>5140</v>
      </c>
      <c r="I86" s="68" t="s">
        <v>4961</v>
      </c>
      <c r="M86" s="36">
        <v>1554</v>
      </c>
      <c r="N86" s="36">
        <v>1605</v>
      </c>
      <c r="O86" s="224">
        <f>SUM(P86:CV86)</f>
        <v>1551</v>
      </c>
      <c r="P86" s="36">
        <f>SUMIFS('свод практик'!$BY$6:$BY$277,'свод практик'!$J$6:$J$277,'свод субъектов ИБ+смежные'!P$1)</f>
        <v>2</v>
      </c>
      <c r="Q86" s="36">
        <f>SUMIFS('свод практик'!$BY$6:$BY$277,'свод практик'!$J$6:$J$277,'свод субъектов ИБ+смежные'!Q$1)</f>
        <v>0</v>
      </c>
      <c r="R86" s="36">
        <f>SUMIFS('свод практик'!$BY$6:$BY$277,'свод практик'!$J$6:$J$277,'свод субъектов ИБ+смежные'!R$1)</f>
        <v>13</v>
      </c>
      <c r="S86" s="36">
        <f>SUMIFS('свод практик'!$BY$6:$BY$277,'свод практик'!$J$6:$J$277,'свод субъектов ИБ+смежные'!S$1)</f>
        <v>3</v>
      </c>
      <c r="T86" s="36">
        <f>SUMIFS('свод практик'!$BY$6:$BY$277,'свод практик'!$J$6:$J$277,'свод субъектов ИБ+смежные'!T$1)</f>
        <v>41</v>
      </c>
      <c r="U86" s="36">
        <f>SUMIFS('свод практик'!$BY$6:$BY$277,'свод практик'!$J$6:$J$277,'свод субъектов ИБ+смежные'!U$1)</f>
        <v>0</v>
      </c>
      <c r="V86" s="36">
        <f>SUMIFS('свод практик'!$BY$6:$BY$277,'свод практик'!$J$6:$J$277,'свод субъектов ИБ+смежные'!V$1)</f>
        <v>123</v>
      </c>
      <c r="W86" s="36">
        <f>SUMIFS('свод практик'!$BY$6:$BY$277,'свод практик'!$J$6:$J$277,'свод субъектов ИБ+смежные'!W$1)</f>
        <v>2</v>
      </c>
      <c r="X86" s="36">
        <f>SUMIFS('свод практик'!$BY$6:$BY$277,'свод практик'!$J$6:$J$277,'свод субъектов ИБ+смежные'!X$1)</f>
        <v>1</v>
      </c>
      <c r="Y86" s="36">
        <f>SUMIFS('свод практик'!$BY$6:$BY$277,'свод практик'!$J$6:$J$277,'свод субъектов ИБ+смежные'!Y$1)</f>
        <v>4</v>
      </c>
      <c r="Z86" s="36">
        <f>SUMIFS('свод практик'!$BY$6:$BY$277,'свод практик'!$J$6:$J$277,'свод субъектов ИБ+смежные'!Z$1)</f>
        <v>14</v>
      </c>
      <c r="AA86" s="36">
        <f>SUMIFS('свод практик'!$BY$6:$BY$277,'свод практик'!$J$6:$J$277,'свод субъектов ИБ+смежные'!AA$1)</f>
        <v>2</v>
      </c>
      <c r="AB86" s="36">
        <f>SUMIFS('свод практик'!$BY$6:$BY$277,'свод практик'!$J$6:$J$277,'свод субъектов ИБ+смежные'!AB$1)</f>
        <v>134</v>
      </c>
      <c r="AC86" s="36">
        <f>SUMIFS('свод практик'!$BY$6:$BY$277,'свод практик'!$J$6:$J$277,'свод субъектов ИБ+смежные'!AC$1)</f>
        <v>17</v>
      </c>
      <c r="AD86" s="160">
        <f>SUMIFS('свод практик'!$BY$6:$BY$277,'свод практик'!$J$6:$J$277,'свод субъектов ИБ+смежные'!AD$1)</f>
        <v>0</v>
      </c>
      <c r="AE86" s="160">
        <f>SUMIFS('свод практик'!$BY$6:$BY$277,'свод практик'!$J$6:$J$277,'свод субъектов ИБ+смежные'!AE$1)</f>
        <v>0</v>
      </c>
      <c r="AF86" s="36">
        <f>SUMIFS('свод практик'!$BY$6:$BY$277,'свод практик'!$J$6:$J$277,'свод субъектов ИБ+смежные'!AF$1)</f>
        <v>0</v>
      </c>
      <c r="AG86" s="160">
        <f>SUMIFS('свод практик'!$BY$6:$BY$277,'свод практик'!$J$6:$J$277,'свод субъектов ИБ+смежные'!AG$1)</f>
        <v>0</v>
      </c>
      <c r="AH86" s="160">
        <f>SUMIFS('свод практик'!$BY$6:$BY$277,'свод практик'!$J$6:$J$277,'свод субъектов ИБ+смежные'!AH$1)</f>
        <v>0</v>
      </c>
      <c r="AI86" s="36">
        <f>SUMIFS('свод практик'!$BY$6:$BY$277,'свод практик'!$J$6:$J$277,'свод субъектов ИБ+смежные'!AI$1)</f>
        <v>105</v>
      </c>
      <c r="AJ86" s="36">
        <f>SUMIFS('свод практик'!$BY$6:$BY$277,'свод практик'!$J$6:$J$277,'свод субъектов ИБ+смежные'!AJ$1)</f>
        <v>0</v>
      </c>
      <c r="AK86" s="36">
        <f>SUMIFS('свод практик'!$BY$6:$BY$277,'свод практик'!$J$6:$J$277,'свод субъектов ИБ+смежные'!AK$1)</f>
        <v>61</v>
      </c>
      <c r="AL86" s="36">
        <f>SUMIFS('свод практик'!$BY$6:$BY$277,'свод практик'!$J$6:$J$277,'свод субъектов ИБ+смежные'!AL$1)</f>
        <v>1</v>
      </c>
      <c r="AM86" s="36">
        <f>SUMIFS('свод практик'!$BY$6:$BY$277,'свод практик'!$J$6:$J$277,'свод субъектов ИБ+смежные'!AM$1)</f>
        <v>11</v>
      </c>
      <c r="AN86" s="160">
        <f>SUMIFS('свод практик'!$BY$6:$BY$277,'свод практик'!$J$6:$J$277,'свод субъектов ИБ+смежные'!AN$1)</f>
        <v>0</v>
      </c>
      <c r="AO86" s="160">
        <f>SUMIFS('свод практик'!$BY$6:$BY$277,'свод практик'!$J$6:$J$277,'свод субъектов ИБ+смежные'!AO$1)</f>
        <v>0</v>
      </c>
      <c r="AP86" s="36">
        <f>SUMIFS('свод практик'!$BY$6:$BY$277,'свод практик'!$J$6:$J$277,'свод субъектов ИБ+смежные'!AP$1)</f>
        <v>19</v>
      </c>
      <c r="AQ86" s="36">
        <f>SUMIFS('свод практик'!$BY$6:$BY$277,'свод практик'!$J$6:$J$277,'свод субъектов ИБ+смежные'!AQ$1)</f>
        <v>0</v>
      </c>
      <c r="AR86" s="36">
        <f>SUMIFS('свод практик'!$BY$6:$BY$277,'свод практик'!$J$6:$J$277,'свод субъектов ИБ+смежные'!AR$1)</f>
        <v>53</v>
      </c>
      <c r="AS86" s="36">
        <f>SUMIFS('свод практик'!$BY$6:$BY$277,'свод практик'!$J$6:$J$277,'свод субъектов ИБ+смежные'!AS$1)</f>
        <v>8</v>
      </c>
      <c r="AT86" s="36">
        <f>SUMIFS('свод практик'!$BY$6:$BY$277,'свод практик'!$J$6:$J$277,'свод субъектов ИБ+смежные'!AT$1)</f>
        <v>25</v>
      </c>
      <c r="AU86" s="36">
        <f>SUMIFS('свод практик'!$BY$6:$BY$277,'свод практик'!$J$6:$J$277,'свод субъектов ИБ+смежные'!AU$1)</f>
        <v>0</v>
      </c>
      <c r="AV86" s="36">
        <f>SUMIFS('свод практик'!$BY$6:$BY$277,'свод практик'!$J$6:$J$277,'свод субъектов ИБ+смежные'!AV$1)</f>
        <v>12</v>
      </c>
      <c r="AW86" s="36">
        <f>SUMIFS('свод практик'!$BY$6:$BY$277,'свод практик'!$J$6:$J$277,'свод субъектов ИБ+смежные'!AW$1)</f>
        <v>0</v>
      </c>
      <c r="AX86" s="36">
        <f>SUMIFS('свод практик'!$BY$6:$BY$277,'свод практик'!$J$6:$J$277,'свод субъектов ИБ+смежные'!AX$1)</f>
        <v>5</v>
      </c>
      <c r="AY86" s="160">
        <f>SUMIFS('свод практик'!$BY$6:$BY$277,'свод практик'!$J$6:$J$277,'свод субъектов ИБ+смежные'!AY$1)</f>
        <v>0</v>
      </c>
      <c r="AZ86" s="36">
        <f>SUMIFS('свод практик'!$BY$6:$BY$277,'свод практик'!$J$6:$J$277,'свод субъектов ИБ+смежные'!AZ$1)</f>
        <v>27</v>
      </c>
      <c r="BA86" s="36">
        <f>SUMIFS('свод практик'!$BY$6:$BY$277,'свод практик'!$J$6:$J$277,'свод субъектов ИБ+смежные'!BA$1)</f>
        <v>0</v>
      </c>
      <c r="BB86" s="160">
        <f>SUMIFS('свод практик'!$BY$6:$BY$277,'свод практик'!$J$6:$J$277,'свод субъектов ИБ+смежные'!BB$1)</f>
        <v>0</v>
      </c>
      <c r="BC86" s="36">
        <f>SUMIFS('свод практик'!$BY$6:$BY$277,'свод практик'!$J$6:$J$277,'свод субъектов ИБ+смежные'!BC$1)</f>
        <v>1</v>
      </c>
      <c r="BD86" s="160">
        <f>SUMIFS('свод практик'!$BY$6:$BY$277,'свод практик'!$J$6:$J$277,'свод субъектов ИБ+смежные'!BD$1)</f>
        <v>0</v>
      </c>
      <c r="BE86" s="160">
        <f>SUMIFS('свод практик'!$BY$6:$BY$277,'свод практик'!$J$6:$J$277,'свод субъектов ИБ+смежные'!BE$1)</f>
        <v>0</v>
      </c>
      <c r="BF86" s="36">
        <f>SUMIFS('свод практик'!$BY$6:$BY$277,'свод практик'!$J$6:$J$277,'свод субъектов ИБ+смежные'!BF$1)</f>
        <v>0</v>
      </c>
      <c r="BG86" s="36">
        <f>SUMIFS('свод практик'!$BY$6:$BY$277,'свод практик'!$J$6:$J$277,'свод субъектов ИБ+смежные'!BG$1)</f>
        <v>0</v>
      </c>
      <c r="BH86" s="36">
        <f>SUMIFS('свод практик'!$BY$6:$BY$277,'свод практик'!$J$6:$J$277,'свод субъектов ИБ+смежные'!BH$1)</f>
        <v>0</v>
      </c>
      <c r="BI86" s="36">
        <f>SUMIFS('свод практик'!$BY$6:$BY$277,'свод практик'!$J$6:$J$277,'свод субъектов ИБ+смежные'!BI$1)</f>
        <v>42</v>
      </c>
      <c r="BJ86" s="36">
        <f>SUMIFS('свод практик'!$BY$6:$BY$277,'свод практик'!$J$6:$J$277,'свод субъектов ИБ+смежные'!BJ$1)</f>
        <v>0</v>
      </c>
      <c r="BK86" s="36">
        <f>SUMIFS('свод практик'!$BY$6:$BY$277,'свод практик'!$J$6:$J$277,'свод субъектов ИБ+смежные'!BK$1)</f>
        <v>8</v>
      </c>
      <c r="BL86" s="36">
        <f>SUMIFS('свод практик'!$BY$6:$BY$277,'свод практик'!$J$6:$J$277,'свод субъектов ИБ+смежные'!BL$1)</f>
        <v>0</v>
      </c>
      <c r="BM86" s="36">
        <f>SUMIFS('свод практик'!$BY$6:$BY$277,'свод практик'!$J$6:$J$277,'свод субъектов ИБ+смежные'!BM$1)</f>
        <v>15</v>
      </c>
      <c r="BN86" s="36">
        <f>SUMIFS('свод практик'!$BY$6:$BY$277,'свод практик'!$J$6:$J$277,'свод субъектов ИБ+смежные'!BN$1)</f>
        <v>0</v>
      </c>
      <c r="BO86" s="36">
        <f>SUMIFS('свод практик'!$BY$6:$BY$277,'свод практик'!$J$6:$J$277,'свод субъектов ИБ+смежные'!BO$1)</f>
        <v>1</v>
      </c>
      <c r="BP86" s="36">
        <f>SUMIFS('свод практик'!$BY$6:$BY$277,'свод практик'!$J$6:$J$277,'свод субъектов ИБ+смежные'!BP$1)</f>
        <v>21</v>
      </c>
      <c r="BQ86" s="160">
        <f>SUMIFS('свод практик'!$BY$6:$BY$277,'свод практик'!$J$6:$J$277,'свод субъектов ИБ+смежные'!BQ$1)</f>
        <v>0</v>
      </c>
      <c r="BR86" s="36">
        <f>SUMIFS('свод практик'!$BY$6:$BY$277,'свод практик'!$J$6:$J$277,'свод субъектов ИБ+смежные'!BR$1)</f>
        <v>1</v>
      </c>
      <c r="BS86" s="36">
        <f>SUMIFS('свод практик'!$BY$6:$BY$277,'свод практик'!$J$6:$J$277,'свод субъектов ИБ+смежные'!BS$1)</f>
        <v>9</v>
      </c>
      <c r="BT86" s="36">
        <f>SUMIFS('свод практик'!$BY$6:$BY$277,'свод практик'!$J$6:$J$277,'свод субъектов ИБ+смежные'!BT$1)</f>
        <v>4</v>
      </c>
      <c r="BU86" s="36">
        <f>SUMIFS('свод практик'!$BY$6:$BY$277,'свод практик'!$J$6:$J$277,'свод субъектов ИБ+смежные'!BU$1)</f>
        <v>11</v>
      </c>
      <c r="BV86" s="36">
        <f>SUMIFS('свод практик'!$BY$6:$BY$277,'свод практик'!$J$6:$J$277,'свод субъектов ИБ+смежные'!BV$1)</f>
        <v>0</v>
      </c>
      <c r="BW86" s="36">
        <f>SUMIFS('свод практик'!$BY$6:$BY$277,'свод практик'!$J$6:$J$277,'свод субъектов ИБ+смежные'!BW$1)</f>
        <v>51</v>
      </c>
      <c r="BX86" s="36">
        <f>SUMIFS('свод практик'!$BY$6:$BY$277,'свод практик'!$J$6:$J$277,'свод субъектов ИБ+смежные'!BX$1)</f>
        <v>103</v>
      </c>
      <c r="BY86" s="36">
        <f>SUMIFS('свод практик'!$BY$6:$BY$277,'свод практик'!$J$6:$J$277,'свод субъектов ИБ+смежные'!BY$1)</f>
        <v>1</v>
      </c>
      <c r="BZ86" s="36">
        <f>SUMIFS('свод практик'!$BY$6:$BY$277,'свод практик'!$J$6:$J$277,'свод субъектов ИБ+смежные'!BZ$1)</f>
        <v>0</v>
      </c>
      <c r="CA86" s="160">
        <f>SUMIFS('свод практик'!$BY$6:$BY$277,'свод практик'!$J$6:$J$277,'свод субъектов ИБ+смежные'!CA$1)</f>
        <v>0</v>
      </c>
      <c r="CB86" s="160">
        <f>SUMIFS('свод практик'!$BY$6:$BY$277,'свод практик'!$J$6:$J$277,'свод субъектов ИБ+смежные'!CB$1)</f>
        <v>0</v>
      </c>
      <c r="CC86" s="36">
        <f>SUMIFS('свод практик'!$BY$6:$BY$277,'свод практик'!$J$6:$J$277,'свод субъектов ИБ+смежные'!CC$1)</f>
        <v>0</v>
      </c>
      <c r="CD86" s="36">
        <f>SUMIFS('свод практик'!$BY$6:$BY$277,'свод практик'!$J$6:$J$277,'свод субъектов ИБ+смежные'!CD$1)</f>
        <v>2</v>
      </c>
      <c r="CE86" s="36">
        <f>SUMIFS('свод практик'!$BY$6:$BY$277,'свод практик'!$J$6:$J$277,'свод субъектов ИБ+смежные'!CE$1)</f>
        <v>90</v>
      </c>
      <c r="CF86" s="36">
        <f>SUMIFS('свод практик'!$BY$6:$BY$277,'свод практик'!$J$6:$J$277,'свод субъектов ИБ+смежные'!CF$1)</f>
        <v>359</v>
      </c>
      <c r="CG86" s="36">
        <f>SUMIFS('свод практик'!$BY$6:$BY$277,'свод практик'!$J$6:$J$277,'свод субъектов ИБ+смежные'!CG$1)</f>
        <v>53</v>
      </c>
      <c r="CH86" s="36">
        <f>SUMIFS('свод практик'!$BY$6:$BY$277,'свод практик'!$J$6:$J$277,'свод субъектов ИБ+смежные'!CH$1)</f>
        <v>6</v>
      </c>
      <c r="CI86" s="36">
        <f>SUMIFS('свод практик'!$BY$6:$BY$277,'свод практик'!$J$6:$J$277,'свод субъектов ИБ+смежные'!CI$1)</f>
        <v>0</v>
      </c>
      <c r="CJ86" s="160">
        <f>SUMIFS('свод практик'!$BY$6:$BY$277,'свод практик'!$J$6:$J$277,'свод субъектов ИБ+смежные'!CJ$1)</f>
        <v>0</v>
      </c>
      <c r="CK86" s="36">
        <f>SUMIFS('свод практик'!$BY$6:$BY$277,'свод практик'!$J$6:$J$277,'свод субъектов ИБ+смежные'!CK$1)</f>
        <v>0</v>
      </c>
      <c r="CL86" s="36">
        <f>SUMIFS('свод практик'!$BY$6:$BY$277,'свод практик'!$J$6:$J$277,'свод субъектов ИБ+смежные'!CL$1)</f>
        <v>2</v>
      </c>
      <c r="CM86" s="36">
        <f>SUMIFS('свод практик'!$BY$6:$BY$277,'свод практик'!$J$6:$J$277,'свод субъектов ИБ+смежные'!CM$1)</f>
        <v>19</v>
      </c>
      <c r="CN86" s="36">
        <f>SUMIFS('свод практик'!$BY$6:$BY$277,'свод практик'!$J$6:$J$277,'свод субъектов ИБ+смежные'!CN$1)</f>
        <v>27</v>
      </c>
      <c r="CO86" s="160">
        <f>SUMIFS('свод практик'!$BY$6:$BY$277,'свод практик'!$J$6:$J$277,'свод субъектов ИБ+смежные'!CO$1)</f>
        <v>0</v>
      </c>
      <c r="CP86" s="36">
        <f>SUMIFS('свод практик'!$BY$6:$BY$277,'свод практик'!$J$6:$J$277,'свод субъектов ИБ+смежные'!CP$1)</f>
        <v>0</v>
      </c>
      <c r="CQ86" s="36">
        <f>SUMIFS('свод практик'!$BY$6:$BY$277,'свод практик'!$J$6:$J$277,'свод субъектов ИБ+смежные'!CQ$1)</f>
        <v>0</v>
      </c>
      <c r="CR86" s="160">
        <f>SUMIFS('свод практик'!$BY$6:$BY$277,'свод практик'!$J$6:$J$277,'свод субъектов ИБ+смежные'!CR$1)</f>
        <v>0</v>
      </c>
      <c r="CS86" s="36">
        <f>SUMIFS('свод практик'!$BY$6:$BY$277,'свод практик'!$J$6:$J$277,'свод субъектов ИБ+смежные'!CS$1)</f>
        <v>40</v>
      </c>
      <c r="CT86" s="36">
        <f>SUMIFS('свод практик'!$BY$6:$BY$277,'свод практик'!$J$6:$J$277,'свод субъектов ИБ+смежные'!CT$1)</f>
        <v>0</v>
      </c>
      <c r="CU86" s="36">
        <f>SUMIFS('свод практик'!$BY$6:$BY$277,'свод практик'!$J$6:$J$277,'свод субъектов ИБ+смежные'!CU$1)</f>
        <v>0</v>
      </c>
      <c r="CV86" s="36">
        <f>SUMIFS('свод практик'!$BY$6:$BY$277,'свод практик'!$J$6:$J$277,'свод субъектов ИБ+смежные'!CV$1)</f>
        <v>2</v>
      </c>
    </row>
    <row r="87" spans="1:100" ht="14">
      <c r="A87" s="716"/>
      <c r="B87" s="716"/>
      <c r="C87" s="773"/>
      <c r="D87" s="42" t="s">
        <v>4949</v>
      </c>
      <c r="E87" s="42">
        <v>53</v>
      </c>
      <c r="F87" s="43" t="s">
        <v>5141</v>
      </c>
      <c r="G87" s="762"/>
      <c r="H87" s="45" t="s">
        <v>60</v>
      </c>
      <c r="I87" s="46"/>
      <c r="L87" s="36" t="s">
        <v>278</v>
      </c>
      <c r="M87" s="36">
        <v>9.7478359051561908E-2</v>
      </c>
      <c r="N87" s="36">
        <v>8.5105254785513548E-2</v>
      </c>
      <c r="O87" s="228">
        <f>O86/O126</f>
        <v>7.1013231994872028E-2</v>
      </c>
      <c r="P87" s="145">
        <f t="shared" ref="P87:CA87" si="43">P86/P126</f>
        <v>0.33333333333333331</v>
      </c>
      <c r="Q87" s="145">
        <f t="shared" si="43"/>
        <v>0</v>
      </c>
      <c r="R87" s="145">
        <f t="shared" si="43"/>
        <v>6.3725490196078427E-2</v>
      </c>
      <c r="S87" s="145">
        <f t="shared" si="43"/>
        <v>3.6585365853658534E-2</v>
      </c>
      <c r="T87" s="145">
        <f t="shared" si="43"/>
        <v>0.11081081081081082</v>
      </c>
      <c r="U87" s="145">
        <f t="shared" si="43"/>
        <v>0</v>
      </c>
      <c r="V87" s="145">
        <f t="shared" si="43"/>
        <v>4.8028114017961733E-2</v>
      </c>
      <c r="W87" s="145">
        <f t="shared" si="43"/>
        <v>1.4084507042253521E-2</v>
      </c>
      <c r="X87" s="145">
        <f t="shared" si="43"/>
        <v>1.1235955056179775E-2</v>
      </c>
      <c r="Y87" s="145">
        <f t="shared" si="43"/>
        <v>3.7950664136622392E-3</v>
      </c>
      <c r="Z87" s="145">
        <f t="shared" si="43"/>
        <v>3.0905077262693158E-2</v>
      </c>
      <c r="AA87" s="145">
        <f t="shared" si="43"/>
        <v>2.1505376344086023E-2</v>
      </c>
      <c r="AB87" s="145">
        <f t="shared" si="43"/>
        <v>0.15005599104143338</v>
      </c>
      <c r="AC87" s="145">
        <f t="shared" si="43"/>
        <v>5.2307692307692305E-2</v>
      </c>
      <c r="AD87" s="145" t="e">
        <f t="shared" si="43"/>
        <v>#DIV/0!</v>
      </c>
      <c r="AE87" s="145" t="e">
        <f t="shared" si="43"/>
        <v>#DIV/0!</v>
      </c>
      <c r="AF87" s="145">
        <f t="shared" si="43"/>
        <v>0</v>
      </c>
      <c r="AG87" s="145" t="e">
        <f t="shared" si="43"/>
        <v>#DIV/0!</v>
      </c>
      <c r="AH87" s="145" t="e">
        <f t="shared" si="43"/>
        <v>#DIV/0!</v>
      </c>
      <c r="AI87" s="145">
        <f t="shared" si="43"/>
        <v>6.1764705882352944E-2</v>
      </c>
      <c r="AJ87" s="145">
        <f t="shared" si="43"/>
        <v>0</v>
      </c>
      <c r="AK87" s="145">
        <f t="shared" si="43"/>
        <v>0.10701754385964912</v>
      </c>
      <c r="AL87" s="145">
        <f t="shared" si="43"/>
        <v>0.1111111111111111</v>
      </c>
      <c r="AM87" s="145">
        <f t="shared" si="43"/>
        <v>6.4705882352941183E-2</v>
      </c>
      <c r="AN87" s="145" t="e">
        <f t="shared" si="43"/>
        <v>#DIV/0!</v>
      </c>
      <c r="AO87" s="145" t="e">
        <f t="shared" si="43"/>
        <v>#DIV/0!</v>
      </c>
      <c r="AP87" s="145">
        <f t="shared" si="43"/>
        <v>0.12582781456953643</v>
      </c>
      <c r="AQ87" s="145">
        <f t="shared" si="43"/>
        <v>0</v>
      </c>
      <c r="AR87" s="145">
        <f t="shared" si="43"/>
        <v>0.1484593837535014</v>
      </c>
      <c r="AS87" s="145">
        <f t="shared" si="43"/>
        <v>2.8985507246376812E-2</v>
      </c>
      <c r="AT87" s="145">
        <f t="shared" si="43"/>
        <v>7.8125E-2</v>
      </c>
      <c r="AU87" s="145">
        <f t="shared" si="43"/>
        <v>0</v>
      </c>
      <c r="AV87" s="145">
        <f t="shared" si="43"/>
        <v>0.1</v>
      </c>
      <c r="AW87" s="145">
        <f t="shared" si="43"/>
        <v>0</v>
      </c>
      <c r="AX87" s="145">
        <f t="shared" si="43"/>
        <v>1.7064846416382253E-2</v>
      </c>
      <c r="AY87" s="162" t="e">
        <f t="shared" si="43"/>
        <v>#DIV/0!</v>
      </c>
      <c r="AZ87" s="145">
        <f t="shared" si="43"/>
        <v>4.4481054365733116E-2</v>
      </c>
      <c r="BA87" s="145">
        <f t="shared" si="43"/>
        <v>0</v>
      </c>
      <c r="BB87" s="162" t="e">
        <f t="shared" si="43"/>
        <v>#DIV/0!</v>
      </c>
      <c r="BC87" s="145">
        <f t="shared" si="43"/>
        <v>2.3809523809523808E-2</v>
      </c>
      <c r="BD87" s="162" t="e">
        <f t="shared" si="43"/>
        <v>#DIV/0!</v>
      </c>
      <c r="BE87" s="162" t="e">
        <f t="shared" si="43"/>
        <v>#DIV/0!</v>
      </c>
      <c r="BF87" s="145">
        <f t="shared" si="43"/>
        <v>0</v>
      </c>
      <c r="BG87" s="145">
        <f t="shared" si="43"/>
        <v>0</v>
      </c>
      <c r="BH87" s="145">
        <f t="shared" si="43"/>
        <v>0</v>
      </c>
      <c r="BI87" s="145">
        <f t="shared" si="43"/>
        <v>7.0826306913996634E-2</v>
      </c>
      <c r="BJ87" s="145">
        <f t="shared" si="43"/>
        <v>0</v>
      </c>
      <c r="BK87" s="145">
        <f t="shared" si="43"/>
        <v>3.9408866995073892E-2</v>
      </c>
      <c r="BL87" s="145">
        <f t="shared" si="43"/>
        <v>0</v>
      </c>
      <c r="BM87" s="145">
        <f t="shared" si="43"/>
        <v>0.10204081632653061</v>
      </c>
      <c r="BN87" s="145">
        <f t="shared" si="43"/>
        <v>0</v>
      </c>
      <c r="BO87" s="145">
        <f t="shared" si="43"/>
        <v>6.7114093959731542E-3</v>
      </c>
      <c r="BP87" s="145">
        <f t="shared" si="43"/>
        <v>0.16153846153846155</v>
      </c>
      <c r="BQ87" s="145" t="e">
        <f t="shared" si="43"/>
        <v>#DIV/0!</v>
      </c>
      <c r="BR87" s="145">
        <f t="shared" si="43"/>
        <v>0.04</v>
      </c>
      <c r="BS87" s="145">
        <f t="shared" si="43"/>
        <v>8.6538461538461536E-2</v>
      </c>
      <c r="BT87" s="145">
        <f t="shared" si="43"/>
        <v>2.0942408376963352E-2</v>
      </c>
      <c r="BU87" s="145">
        <f t="shared" si="43"/>
        <v>1.8032786885245903E-2</v>
      </c>
      <c r="BV87" s="145">
        <f t="shared" si="43"/>
        <v>0</v>
      </c>
      <c r="BW87" s="145">
        <f t="shared" si="43"/>
        <v>0.46363636363636362</v>
      </c>
      <c r="BX87" s="145">
        <f t="shared" si="43"/>
        <v>0.2325056433408578</v>
      </c>
      <c r="BY87" s="145">
        <f t="shared" si="43"/>
        <v>5.681818181818182E-3</v>
      </c>
      <c r="BZ87" s="145">
        <f t="shared" si="43"/>
        <v>0</v>
      </c>
      <c r="CA87" s="145" t="e">
        <f t="shared" si="43"/>
        <v>#DIV/0!</v>
      </c>
      <c r="CB87" s="145" t="e">
        <f t="shared" ref="CB87:CV87" si="44">CB86/CB126</f>
        <v>#DIV/0!</v>
      </c>
      <c r="CC87" s="145">
        <f t="shared" si="44"/>
        <v>0</v>
      </c>
      <c r="CD87" s="145">
        <f t="shared" si="44"/>
        <v>7.9365079365079361E-3</v>
      </c>
      <c r="CE87" s="145">
        <f t="shared" si="44"/>
        <v>0.16574585635359115</v>
      </c>
      <c r="CF87" s="145">
        <f t="shared" si="44"/>
        <v>0.12561231630510847</v>
      </c>
      <c r="CG87" s="145">
        <f t="shared" si="44"/>
        <v>0.19557195571955718</v>
      </c>
      <c r="CH87" s="145">
        <f t="shared" si="44"/>
        <v>8.3333333333333329E-2</v>
      </c>
      <c r="CI87" s="145">
        <f t="shared" si="44"/>
        <v>0</v>
      </c>
      <c r="CJ87" s="145" t="e">
        <f t="shared" si="44"/>
        <v>#DIV/0!</v>
      </c>
      <c r="CK87" s="145">
        <f t="shared" si="44"/>
        <v>0</v>
      </c>
      <c r="CL87" s="145">
        <f t="shared" si="44"/>
        <v>1.834862385321101E-2</v>
      </c>
      <c r="CM87" s="145">
        <f t="shared" si="44"/>
        <v>0.12925170068027211</v>
      </c>
      <c r="CN87" s="145">
        <f t="shared" si="44"/>
        <v>0.10843373493975904</v>
      </c>
      <c r="CO87" s="145" t="e">
        <f t="shared" si="44"/>
        <v>#DIV/0!</v>
      </c>
      <c r="CP87" s="145">
        <f t="shared" si="44"/>
        <v>0</v>
      </c>
      <c r="CQ87" s="145">
        <f t="shared" si="44"/>
        <v>0</v>
      </c>
      <c r="CR87" s="145" t="e">
        <f t="shared" si="44"/>
        <v>#DIV/0!</v>
      </c>
      <c r="CS87" s="145">
        <f t="shared" si="44"/>
        <v>6.0422960725075532E-2</v>
      </c>
      <c r="CT87" s="145">
        <f t="shared" si="44"/>
        <v>0</v>
      </c>
      <c r="CU87" s="145">
        <f t="shared" si="44"/>
        <v>0</v>
      </c>
      <c r="CV87" s="145">
        <f t="shared" si="44"/>
        <v>4.0241448692152921E-3</v>
      </c>
    </row>
    <row r="88" spans="1:100" ht="14">
      <c r="A88" s="716"/>
      <c r="B88" s="716"/>
      <c r="C88" s="773"/>
      <c r="D88" s="42" t="s">
        <v>4949</v>
      </c>
      <c r="E88" s="42">
        <v>54</v>
      </c>
      <c r="F88" s="43" t="s">
        <v>5142</v>
      </c>
      <c r="G88" s="762" t="s">
        <v>5143</v>
      </c>
      <c r="H88" s="45" t="s">
        <v>5140</v>
      </c>
      <c r="I88" s="46"/>
      <c r="M88" s="36">
        <v>2079</v>
      </c>
      <c r="N88" s="36">
        <v>2853</v>
      </c>
      <c r="O88" s="224">
        <f>SUM(P88:CV88)</f>
        <v>3288</v>
      </c>
      <c r="P88" s="36">
        <f>SUMIFS('свод практик'!$BZ$6:$BZ$277,'свод практик'!$J$6:$J$277,'свод субъектов ИБ+смежные'!P$1)</f>
        <v>0</v>
      </c>
      <c r="Q88" s="36">
        <f>SUMIFS('свод практик'!$BZ$6:$BZ$277,'свод практик'!$J$6:$J$277,'свод субъектов ИБ+смежные'!Q$1)</f>
        <v>1</v>
      </c>
      <c r="R88" s="36">
        <f>SUMIFS('свод практик'!$BZ$6:$BZ$277,'свод практик'!$J$6:$J$277,'свод субъектов ИБ+смежные'!R$1)</f>
        <v>12</v>
      </c>
      <c r="S88" s="36">
        <f>SUMIFS('свод практик'!$BZ$6:$BZ$277,'свод практик'!$J$6:$J$277,'свод субъектов ИБ+смежные'!S$1)</f>
        <v>0</v>
      </c>
      <c r="T88" s="36">
        <f>SUMIFS('свод практик'!$BZ$6:$BZ$277,'свод практик'!$J$6:$J$277,'свод субъектов ИБ+смежные'!T$1)</f>
        <v>1</v>
      </c>
      <c r="U88" s="36">
        <f>SUMIFS('свод практик'!$BZ$6:$BZ$277,'свод практик'!$J$6:$J$277,'свод субъектов ИБ+смежные'!U$1)</f>
        <v>0</v>
      </c>
      <c r="V88" s="36">
        <f>SUMIFS('свод практик'!$BZ$6:$BZ$277,'свод практик'!$J$6:$J$277,'свод субъектов ИБ+смежные'!V$1)</f>
        <v>255</v>
      </c>
      <c r="W88" s="36">
        <f>SUMIFS('свод практик'!$BZ$6:$BZ$277,'свод практик'!$J$6:$J$277,'свод субъектов ИБ+смежные'!W$1)</f>
        <v>39</v>
      </c>
      <c r="X88" s="36">
        <f>SUMIFS('свод практик'!$BZ$6:$BZ$277,'свод практик'!$J$6:$J$277,'свод субъектов ИБ+смежные'!X$1)</f>
        <v>1</v>
      </c>
      <c r="Y88" s="36">
        <f>SUMIFS('свод практик'!$BZ$6:$BZ$277,'свод практик'!$J$6:$J$277,'свод субъектов ИБ+смежные'!Y$1)</f>
        <v>0</v>
      </c>
      <c r="Z88" s="36">
        <f>SUMIFS('свод практик'!$BZ$6:$BZ$277,'свод практик'!$J$6:$J$277,'свод субъектов ИБ+смежные'!Z$1)</f>
        <v>38</v>
      </c>
      <c r="AA88" s="36">
        <f>SUMIFS('свод практик'!$BZ$6:$BZ$277,'свод практик'!$J$6:$J$277,'свод субъектов ИБ+смежные'!AA$1)</f>
        <v>13</v>
      </c>
      <c r="AB88" s="36">
        <f>SUMIFS('свод практик'!$BZ$6:$BZ$277,'свод практик'!$J$6:$J$277,'свод субъектов ИБ+смежные'!AB$1)</f>
        <v>11</v>
      </c>
      <c r="AC88" s="36">
        <f>SUMIFS('свод практик'!$BZ$6:$BZ$277,'свод практик'!$J$6:$J$277,'свод субъектов ИБ+смежные'!AC$1)</f>
        <v>42</v>
      </c>
      <c r="AD88" s="160">
        <f>SUMIFS('свод практик'!$BZ$6:$BZ$277,'свод практик'!$J$6:$J$277,'свод субъектов ИБ+смежные'!AD$1)</f>
        <v>0</v>
      </c>
      <c r="AE88" s="160">
        <f>SUMIFS('свод практик'!$BZ$6:$BZ$277,'свод практик'!$J$6:$J$277,'свод субъектов ИБ+смежные'!AE$1)</f>
        <v>0</v>
      </c>
      <c r="AF88" s="36">
        <f>SUMIFS('свод практик'!$BZ$6:$BZ$277,'свод практик'!$J$6:$J$277,'свод субъектов ИБ+смежные'!AF$1)</f>
        <v>0</v>
      </c>
      <c r="AG88" s="160">
        <f>SUMIFS('свод практик'!$BZ$6:$BZ$277,'свод практик'!$J$6:$J$277,'свод субъектов ИБ+смежные'!AG$1)</f>
        <v>0</v>
      </c>
      <c r="AH88" s="160">
        <f>SUMIFS('свод практик'!$BZ$6:$BZ$277,'свод практик'!$J$6:$J$277,'свод субъектов ИБ+смежные'!AH$1)</f>
        <v>0</v>
      </c>
      <c r="AI88" s="36">
        <f>SUMIFS('свод практик'!$BZ$6:$BZ$277,'свод практик'!$J$6:$J$277,'свод субъектов ИБ+смежные'!AI$1)</f>
        <v>115</v>
      </c>
      <c r="AJ88" s="36">
        <f>SUMIFS('свод практик'!$BZ$6:$BZ$277,'свод практик'!$J$6:$J$277,'свод субъектов ИБ+смежные'!AJ$1)</f>
        <v>0</v>
      </c>
      <c r="AK88" s="36">
        <f>SUMIFS('свод практик'!$BZ$6:$BZ$277,'свод практик'!$J$6:$J$277,'свод субъектов ИБ+смежные'!AK$1)</f>
        <v>124</v>
      </c>
      <c r="AL88" s="36">
        <f>SUMIFS('свод практик'!$BZ$6:$BZ$277,'свод практик'!$J$6:$J$277,'свод субъектов ИБ+смежные'!AL$1)</f>
        <v>0</v>
      </c>
      <c r="AM88" s="36">
        <f>SUMIFS('свод практик'!$BZ$6:$BZ$277,'свод практик'!$J$6:$J$277,'свод субъектов ИБ+смежные'!AM$1)</f>
        <v>3</v>
      </c>
      <c r="AN88" s="160">
        <f>SUMIFS('свод практик'!$BZ$6:$BZ$277,'свод практик'!$J$6:$J$277,'свод субъектов ИБ+смежные'!AN$1)</f>
        <v>0</v>
      </c>
      <c r="AO88" s="160">
        <f>SUMIFS('свод практик'!$BZ$6:$BZ$277,'свод практик'!$J$6:$J$277,'свод субъектов ИБ+смежные'!AO$1)</f>
        <v>0</v>
      </c>
      <c r="AP88" s="36">
        <f>SUMIFS('свод практик'!$BZ$6:$BZ$277,'свод практик'!$J$6:$J$277,'свод субъектов ИБ+смежные'!AP$1)</f>
        <v>12</v>
      </c>
      <c r="AQ88" s="36">
        <f>SUMIFS('свод практик'!$BZ$6:$BZ$277,'свод практик'!$J$6:$J$277,'свод субъектов ИБ+смежные'!AQ$1)</f>
        <v>1</v>
      </c>
      <c r="AR88" s="36">
        <f>SUMIFS('свод практик'!$BZ$6:$BZ$277,'свод практик'!$J$6:$J$277,'свод субъектов ИБ+смежные'!AR$1)</f>
        <v>118</v>
      </c>
      <c r="AS88" s="36">
        <f>SUMIFS('свод практик'!$BZ$6:$BZ$277,'свод практик'!$J$6:$J$277,'свод субъектов ИБ+смежные'!AS$1)</f>
        <v>46</v>
      </c>
      <c r="AT88" s="36">
        <f>SUMIFS('свод практик'!$BZ$6:$BZ$277,'свод практик'!$J$6:$J$277,'свод субъектов ИБ+смежные'!AT$1)</f>
        <v>33</v>
      </c>
      <c r="AU88" s="36">
        <f>SUMIFS('свод практик'!$BZ$6:$BZ$277,'свод практик'!$J$6:$J$277,'свод субъектов ИБ+смежные'!AU$1)</f>
        <v>136</v>
      </c>
      <c r="AV88" s="36">
        <f>SUMIFS('свод практик'!$BZ$6:$BZ$277,'свод практик'!$J$6:$J$277,'свод субъектов ИБ+смежные'!AV$1)</f>
        <v>0</v>
      </c>
      <c r="AW88" s="36">
        <f>SUMIFS('свод практик'!$BZ$6:$BZ$277,'свод практик'!$J$6:$J$277,'свод субъектов ИБ+смежные'!AW$1)</f>
        <v>0</v>
      </c>
      <c r="AX88" s="36">
        <f>SUMIFS('свод практик'!$BZ$6:$BZ$277,'свод практик'!$J$6:$J$277,'свод субъектов ИБ+смежные'!AX$1)</f>
        <v>38</v>
      </c>
      <c r="AY88" s="160">
        <f>SUMIFS('свод практик'!$BZ$6:$BZ$277,'свод практик'!$J$6:$J$277,'свод субъектов ИБ+смежные'!AY$1)</f>
        <v>0</v>
      </c>
      <c r="AZ88" s="36">
        <f>SUMIFS('свод практик'!$BZ$6:$BZ$277,'свод практик'!$J$6:$J$277,'свод субъектов ИБ+смежные'!AZ$1)</f>
        <v>266</v>
      </c>
      <c r="BA88" s="36">
        <f>SUMIFS('свод практик'!$BZ$6:$BZ$277,'свод практик'!$J$6:$J$277,'свод субъектов ИБ+смежные'!BA$1)</f>
        <v>0</v>
      </c>
      <c r="BB88" s="160">
        <f>SUMIFS('свод практик'!$BZ$6:$BZ$277,'свод практик'!$J$6:$J$277,'свод субъектов ИБ+смежные'!BB$1)</f>
        <v>0</v>
      </c>
      <c r="BC88" s="36">
        <f>SUMIFS('свод практик'!$BZ$6:$BZ$277,'свод практик'!$J$6:$J$277,'свод субъектов ИБ+смежные'!BC$1)</f>
        <v>6</v>
      </c>
      <c r="BD88" s="160">
        <f>SUMIFS('свод практик'!$BZ$6:$BZ$277,'свод практик'!$J$6:$J$277,'свод субъектов ИБ+смежные'!BD$1)</f>
        <v>0</v>
      </c>
      <c r="BE88" s="160">
        <f>SUMIFS('свод практик'!$BZ$6:$BZ$277,'свод практик'!$J$6:$J$277,'свод субъектов ИБ+смежные'!BE$1)</f>
        <v>0</v>
      </c>
      <c r="BF88" s="36">
        <f>SUMIFS('свод практик'!$BZ$6:$BZ$277,'свод практик'!$J$6:$J$277,'свод субъектов ИБ+смежные'!BF$1)</f>
        <v>0</v>
      </c>
      <c r="BG88" s="36">
        <f>SUMIFS('свод практик'!$BZ$6:$BZ$277,'свод практик'!$J$6:$J$277,'свод субъектов ИБ+смежные'!BG$1)</f>
        <v>1</v>
      </c>
      <c r="BH88" s="36">
        <f>SUMIFS('свод практик'!$BZ$6:$BZ$277,'свод практик'!$J$6:$J$277,'свод субъектов ИБ+смежные'!BH$1)</f>
        <v>4</v>
      </c>
      <c r="BI88" s="36">
        <f>SUMIFS('свод практик'!$BZ$6:$BZ$277,'свод практик'!$J$6:$J$277,'свод субъектов ИБ+смежные'!BI$1)</f>
        <v>261</v>
      </c>
      <c r="BJ88" s="36">
        <f>SUMIFS('свод практик'!$BZ$6:$BZ$277,'свод практик'!$J$6:$J$277,'свод субъектов ИБ+смежные'!BJ$1)</f>
        <v>155</v>
      </c>
      <c r="BK88" s="36">
        <f>SUMIFS('свод практик'!$BZ$6:$BZ$277,'свод практик'!$J$6:$J$277,'свод субъектов ИБ+смежные'!BK$1)</f>
        <v>10</v>
      </c>
      <c r="BL88" s="36">
        <f>SUMIFS('свод практик'!$BZ$6:$BZ$277,'свод практик'!$J$6:$J$277,'свод субъектов ИБ+смежные'!BL$1)</f>
        <v>2</v>
      </c>
      <c r="BM88" s="36">
        <f>SUMIFS('свод практик'!$BZ$6:$BZ$277,'свод практик'!$J$6:$J$277,'свод субъектов ИБ+смежные'!BM$1)</f>
        <v>33</v>
      </c>
      <c r="BN88" s="36">
        <f>SUMIFS('свод практик'!$BZ$6:$BZ$277,'свод практик'!$J$6:$J$277,'свод субъектов ИБ+смежные'!BN$1)</f>
        <v>0</v>
      </c>
      <c r="BO88" s="36">
        <f>SUMIFS('свод практик'!$BZ$6:$BZ$277,'свод практик'!$J$6:$J$277,'свод субъектов ИБ+смежные'!BO$1)</f>
        <v>2</v>
      </c>
      <c r="BP88" s="36">
        <f>SUMIFS('свод практик'!$BZ$6:$BZ$277,'свод практик'!$J$6:$J$277,'свод субъектов ИБ+смежные'!BP$1)</f>
        <v>9</v>
      </c>
      <c r="BQ88" s="160">
        <f>SUMIFS('свод практик'!$BZ$6:$BZ$277,'свод практик'!$J$6:$J$277,'свод субъектов ИБ+смежные'!BQ$1)</f>
        <v>0</v>
      </c>
      <c r="BR88" s="36">
        <f>SUMIFS('свод практик'!$BZ$6:$BZ$277,'свод практик'!$J$6:$J$277,'свод субъектов ИБ+смежные'!BR$1)</f>
        <v>0</v>
      </c>
      <c r="BS88" s="36">
        <f>SUMIFS('свод практик'!$BZ$6:$BZ$277,'свод практик'!$J$6:$J$277,'свод субъектов ИБ+смежные'!BS$1)</f>
        <v>30</v>
      </c>
      <c r="BT88" s="36">
        <f>SUMIFS('свод практик'!$BZ$6:$BZ$277,'свод практик'!$J$6:$J$277,'свод субъектов ИБ+смежные'!BT$1)</f>
        <v>18</v>
      </c>
      <c r="BU88" s="36">
        <f>SUMIFS('свод практик'!$BZ$6:$BZ$277,'свод практик'!$J$6:$J$277,'свод субъектов ИБ+смежные'!BU$1)</f>
        <v>24</v>
      </c>
      <c r="BV88" s="36">
        <f>SUMIFS('свод практик'!$BZ$6:$BZ$277,'свод практик'!$J$6:$J$277,'свод субъектов ИБ+смежные'!BV$1)</f>
        <v>4</v>
      </c>
      <c r="BW88" s="36">
        <f>SUMIFS('свод практик'!$BZ$6:$BZ$277,'свод практик'!$J$6:$J$277,'свод субъектов ИБ+смежные'!BW$1)</f>
        <v>0</v>
      </c>
      <c r="BX88" s="36">
        <f>SUMIFS('свод практик'!$BZ$6:$BZ$277,'свод практик'!$J$6:$J$277,'свод субъектов ИБ+смежные'!BX$1)</f>
        <v>39</v>
      </c>
      <c r="BY88" s="36">
        <f>SUMIFS('свод практик'!$BZ$6:$BZ$277,'свод практик'!$J$6:$J$277,'свод субъектов ИБ+смежные'!BY$1)</f>
        <v>11</v>
      </c>
      <c r="BZ88" s="36">
        <f>SUMIFS('свод практик'!$BZ$6:$BZ$277,'свод практик'!$J$6:$J$277,'свод субъектов ИБ+смежные'!BZ$1)</f>
        <v>1</v>
      </c>
      <c r="CA88" s="160">
        <f>SUMIFS('свод практик'!$BZ$6:$BZ$277,'свод практик'!$J$6:$J$277,'свод субъектов ИБ+смежные'!CA$1)</f>
        <v>0</v>
      </c>
      <c r="CB88" s="160">
        <f>SUMIFS('свод практик'!$BZ$6:$BZ$277,'свод практик'!$J$6:$J$277,'свод субъектов ИБ+смежные'!CB$1)</f>
        <v>0</v>
      </c>
      <c r="CC88" s="36">
        <f>SUMIFS('свод практик'!$BZ$6:$BZ$277,'свод практик'!$J$6:$J$277,'свод субъектов ИБ+смежные'!CC$1)</f>
        <v>0</v>
      </c>
      <c r="CD88" s="36">
        <f>SUMIFS('свод практик'!$BZ$6:$BZ$277,'свод практик'!$J$6:$J$277,'свод субъектов ИБ+смежные'!CD$1)</f>
        <v>33</v>
      </c>
      <c r="CE88" s="36">
        <f>SUMIFS('свод практик'!$BZ$6:$BZ$277,'свод практик'!$J$6:$J$277,'свод субъектов ИБ+смежные'!CE$1)</f>
        <v>152</v>
      </c>
      <c r="CF88" s="36">
        <f>SUMIFS('свод практик'!$BZ$6:$BZ$277,'свод практик'!$J$6:$J$277,'свод субъектов ИБ+смежные'!CF$1)</f>
        <v>721</v>
      </c>
      <c r="CG88" s="36">
        <f>SUMIFS('свод практик'!$BZ$6:$BZ$277,'свод практик'!$J$6:$J$277,'свод субъектов ИБ+смежные'!CG$1)</f>
        <v>41</v>
      </c>
      <c r="CH88" s="36">
        <f>SUMIFS('свод практик'!$BZ$6:$BZ$277,'свод практик'!$J$6:$J$277,'свод субъектов ИБ+смежные'!CH$1)</f>
        <v>4</v>
      </c>
      <c r="CI88" s="36">
        <f>SUMIFS('свод практик'!$BZ$6:$BZ$277,'свод практик'!$J$6:$J$277,'свод субъектов ИБ+смежные'!CI$1)</f>
        <v>136</v>
      </c>
      <c r="CJ88" s="160">
        <f>SUMIFS('свод практик'!$BZ$6:$BZ$277,'свод практик'!$J$6:$J$277,'свод субъектов ИБ+смежные'!CJ$1)</f>
        <v>0</v>
      </c>
      <c r="CK88" s="36">
        <f>SUMIFS('свод практик'!$BZ$6:$BZ$277,'свод практик'!$J$6:$J$277,'свод субъектов ИБ+смежные'!CK$1)</f>
        <v>0</v>
      </c>
      <c r="CL88" s="36">
        <f>SUMIFS('свод практик'!$BZ$6:$BZ$277,'свод практик'!$J$6:$J$277,'свод субъектов ИБ+смежные'!CL$1)</f>
        <v>41</v>
      </c>
      <c r="CM88" s="36">
        <f>SUMIFS('свод практик'!$BZ$6:$BZ$277,'свод практик'!$J$6:$J$277,'свод субъектов ИБ+смежные'!CM$1)</f>
        <v>7</v>
      </c>
      <c r="CN88" s="36">
        <f>SUMIFS('свод практик'!$BZ$6:$BZ$277,'свод практик'!$J$6:$J$277,'свод субъектов ИБ+смежные'!CN$1)</f>
        <v>16</v>
      </c>
      <c r="CO88" s="160">
        <f>SUMIFS('свод практик'!$BZ$6:$BZ$277,'свод практик'!$J$6:$J$277,'свод субъектов ИБ+смежные'!CO$1)</f>
        <v>0</v>
      </c>
      <c r="CP88" s="36">
        <f>SUMIFS('свод практик'!$BZ$6:$BZ$277,'свод практик'!$J$6:$J$277,'свод субъектов ИБ+смежные'!CP$1)</f>
        <v>22</v>
      </c>
      <c r="CQ88" s="36">
        <f>SUMIFS('свод практик'!$BZ$6:$BZ$277,'свод практик'!$J$6:$J$277,'свод субъектов ИБ+смежные'!CQ$1)</f>
        <v>0</v>
      </c>
      <c r="CR88" s="160">
        <f>SUMIFS('свод практик'!$BZ$6:$BZ$277,'свод практик'!$J$6:$J$277,'свод субъектов ИБ+смежные'!CR$1)</f>
        <v>0</v>
      </c>
      <c r="CS88" s="36">
        <f>SUMIFS('свод практик'!$BZ$6:$BZ$277,'свод практик'!$J$6:$J$277,'свод субъектов ИБ+смежные'!CS$1)</f>
        <v>182</v>
      </c>
      <c r="CT88" s="36">
        <f>SUMIFS('свод практик'!$BZ$6:$BZ$277,'свод практик'!$J$6:$J$277,'свод субъектов ИБ+смежные'!CT$1)</f>
        <v>3</v>
      </c>
      <c r="CU88" s="36">
        <f>SUMIFS('свод практик'!$BZ$6:$BZ$277,'свод практик'!$J$6:$J$277,'свод субъектов ИБ+смежные'!CU$1)</f>
        <v>9</v>
      </c>
      <c r="CV88" s="36">
        <f>SUMIFS('свод практик'!$BZ$6:$BZ$277,'свод практик'!$J$6:$J$277,'свод субъектов ИБ+смежные'!CV$1)</f>
        <v>6</v>
      </c>
    </row>
    <row r="89" spans="1:100" ht="14">
      <c r="A89" s="716"/>
      <c r="B89" s="716"/>
      <c r="C89" s="773"/>
      <c r="D89" s="42" t="s">
        <v>4949</v>
      </c>
      <c r="E89" s="42">
        <v>55</v>
      </c>
      <c r="F89" s="43" t="s">
        <v>5144</v>
      </c>
      <c r="G89" s="762"/>
      <c r="H89" s="45" t="s">
        <v>60</v>
      </c>
      <c r="I89" s="46"/>
      <c r="L89" s="36" t="s">
        <v>278</v>
      </c>
      <c r="M89" s="36">
        <v>0.13041023710952201</v>
      </c>
      <c r="N89" s="36">
        <v>0.15128055570284746</v>
      </c>
      <c r="O89" s="228">
        <f>O88/O126</f>
        <v>0.1505425575752026</v>
      </c>
      <c r="P89" s="145">
        <f t="shared" ref="P89:CA89" si="45">P88/P126</f>
        <v>0</v>
      </c>
      <c r="Q89" s="145">
        <f t="shared" si="45"/>
        <v>2.7777777777777776E-2</v>
      </c>
      <c r="R89" s="145">
        <f t="shared" si="45"/>
        <v>5.8823529411764705E-2</v>
      </c>
      <c r="S89" s="145">
        <f t="shared" si="45"/>
        <v>0</v>
      </c>
      <c r="T89" s="145">
        <f t="shared" si="45"/>
        <v>2.7027027027027029E-3</v>
      </c>
      <c r="U89" s="145">
        <f t="shared" si="45"/>
        <v>0</v>
      </c>
      <c r="V89" s="145">
        <f t="shared" si="45"/>
        <v>9.9570480281140183E-2</v>
      </c>
      <c r="W89" s="145">
        <f t="shared" si="45"/>
        <v>0.27464788732394368</v>
      </c>
      <c r="X89" s="145">
        <f t="shared" si="45"/>
        <v>1.1235955056179775E-2</v>
      </c>
      <c r="Y89" s="145">
        <f t="shared" si="45"/>
        <v>0</v>
      </c>
      <c r="Z89" s="145">
        <f t="shared" si="45"/>
        <v>8.3885209713024281E-2</v>
      </c>
      <c r="AA89" s="145">
        <f t="shared" si="45"/>
        <v>0.13978494623655913</v>
      </c>
      <c r="AB89" s="145">
        <f t="shared" si="45"/>
        <v>1.2318029115341545E-2</v>
      </c>
      <c r="AC89" s="145">
        <f t="shared" si="45"/>
        <v>0.12923076923076923</v>
      </c>
      <c r="AD89" s="145" t="e">
        <f t="shared" si="45"/>
        <v>#DIV/0!</v>
      </c>
      <c r="AE89" s="145" t="e">
        <f t="shared" si="45"/>
        <v>#DIV/0!</v>
      </c>
      <c r="AF89" s="145">
        <f t="shared" si="45"/>
        <v>0</v>
      </c>
      <c r="AG89" s="145" t="e">
        <f t="shared" si="45"/>
        <v>#DIV/0!</v>
      </c>
      <c r="AH89" s="145" t="e">
        <f t="shared" si="45"/>
        <v>#DIV/0!</v>
      </c>
      <c r="AI89" s="145">
        <f t="shared" si="45"/>
        <v>6.7647058823529407E-2</v>
      </c>
      <c r="AJ89" s="145">
        <f t="shared" si="45"/>
        <v>0</v>
      </c>
      <c r="AK89" s="145">
        <f t="shared" si="45"/>
        <v>0.21754385964912282</v>
      </c>
      <c r="AL89" s="145">
        <f t="shared" si="45"/>
        <v>0</v>
      </c>
      <c r="AM89" s="145">
        <f t="shared" si="45"/>
        <v>1.7647058823529412E-2</v>
      </c>
      <c r="AN89" s="145" t="e">
        <f t="shared" si="45"/>
        <v>#DIV/0!</v>
      </c>
      <c r="AO89" s="145" t="e">
        <f t="shared" si="45"/>
        <v>#DIV/0!</v>
      </c>
      <c r="AP89" s="145">
        <f t="shared" si="45"/>
        <v>7.9470198675496692E-2</v>
      </c>
      <c r="AQ89" s="145">
        <f t="shared" si="45"/>
        <v>9.3457943925233638E-3</v>
      </c>
      <c r="AR89" s="145">
        <f t="shared" si="45"/>
        <v>0.33053221288515405</v>
      </c>
      <c r="AS89" s="145">
        <f t="shared" si="45"/>
        <v>0.16666666666666666</v>
      </c>
      <c r="AT89" s="145">
        <f t="shared" si="45"/>
        <v>0.10312499999999999</v>
      </c>
      <c r="AU89" s="145">
        <f t="shared" si="45"/>
        <v>0.97142857142857142</v>
      </c>
      <c r="AV89" s="145">
        <f t="shared" si="45"/>
        <v>0</v>
      </c>
      <c r="AW89" s="145">
        <f t="shared" si="45"/>
        <v>0</v>
      </c>
      <c r="AX89" s="145">
        <f t="shared" si="45"/>
        <v>0.12969283276450511</v>
      </c>
      <c r="AY89" s="162" t="e">
        <f t="shared" si="45"/>
        <v>#DIV/0!</v>
      </c>
      <c r="AZ89" s="145">
        <f t="shared" si="45"/>
        <v>0.43822075782537068</v>
      </c>
      <c r="BA89" s="145">
        <f t="shared" si="45"/>
        <v>0</v>
      </c>
      <c r="BB89" s="162" t="e">
        <f t="shared" si="45"/>
        <v>#DIV/0!</v>
      </c>
      <c r="BC89" s="145">
        <f t="shared" si="45"/>
        <v>0.14285714285714285</v>
      </c>
      <c r="BD89" s="162" t="e">
        <f t="shared" si="45"/>
        <v>#DIV/0!</v>
      </c>
      <c r="BE89" s="162" t="e">
        <f t="shared" si="45"/>
        <v>#DIV/0!</v>
      </c>
      <c r="BF89" s="145">
        <f t="shared" si="45"/>
        <v>0</v>
      </c>
      <c r="BG89" s="145">
        <f t="shared" si="45"/>
        <v>2.7777777777777776E-2</v>
      </c>
      <c r="BH89" s="145">
        <f t="shared" si="45"/>
        <v>0.17391304347826086</v>
      </c>
      <c r="BI89" s="145">
        <f t="shared" si="45"/>
        <v>0.44013490725126475</v>
      </c>
      <c r="BJ89" s="145">
        <f t="shared" si="45"/>
        <v>0.35550458715596328</v>
      </c>
      <c r="BK89" s="145">
        <f t="shared" si="45"/>
        <v>4.9261083743842367E-2</v>
      </c>
      <c r="BL89" s="145">
        <f t="shared" si="45"/>
        <v>1.5503875968992248E-2</v>
      </c>
      <c r="BM89" s="145">
        <f t="shared" si="45"/>
        <v>0.22448979591836735</v>
      </c>
      <c r="BN89" s="145">
        <f t="shared" si="45"/>
        <v>0</v>
      </c>
      <c r="BO89" s="145">
        <f t="shared" si="45"/>
        <v>1.3422818791946308E-2</v>
      </c>
      <c r="BP89" s="145">
        <f t="shared" si="45"/>
        <v>6.9230769230769235E-2</v>
      </c>
      <c r="BQ89" s="145" t="e">
        <f t="shared" si="45"/>
        <v>#DIV/0!</v>
      </c>
      <c r="BR89" s="145">
        <f t="shared" si="45"/>
        <v>0</v>
      </c>
      <c r="BS89" s="145">
        <f t="shared" si="45"/>
        <v>0.28846153846153844</v>
      </c>
      <c r="BT89" s="145">
        <f t="shared" si="45"/>
        <v>9.4240837696335081E-2</v>
      </c>
      <c r="BU89" s="145">
        <f t="shared" si="45"/>
        <v>3.9344262295081971E-2</v>
      </c>
      <c r="BV89" s="145">
        <f t="shared" si="45"/>
        <v>0.23529411764705882</v>
      </c>
      <c r="BW89" s="145">
        <f t="shared" si="45"/>
        <v>0</v>
      </c>
      <c r="BX89" s="145">
        <f t="shared" si="45"/>
        <v>8.8036117381489837E-2</v>
      </c>
      <c r="BY89" s="145">
        <f t="shared" si="45"/>
        <v>6.25E-2</v>
      </c>
      <c r="BZ89" s="145">
        <f t="shared" si="45"/>
        <v>5.4054054054054057E-3</v>
      </c>
      <c r="CA89" s="145" t="e">
        <f t="shared" si="45"/>
        <v>#DIV/0!</v>
      </c>
      <c r="CB89" s="145" t="e">
        <f t="shared" ref="CB89:CV89" si="46">CB88/CB126</f>
        <v>#DIV/0!</v>
      </c>
      <c r="CC89" s="145">
        <f t="shared" si="46"/>
        <v>0</v>
      </c>
      <c r="CD89" s="145">
        <f t="shared" si="46"/>
        <v>0.13095238095238096</v>
      </c>
      <c r="CE89" s="145">
        <f t="shared" si="46"/>
        <v>0.27992633517495397</v>
      </c>
      <c r="CF89" s="145">
        <f t="shared" si="46"/>
        <v>0.25227431770468861</v>
      </c>
      <c r="CG89" s="145">
        <f t="shared" si="46"/>
        <v>0.15129151291512916</v>
      </c>
      <c r="CH89" s="145">
        <f t="shared" si="46"/>
        <v>5.5555555555555552E-2</v>
      </c>
      <c r="CI89" s="145">
        <f t="shared" si="46"/>
        <v>0.26877470355731226</v>
      </c>
      <c r="CJ89" s="145" t="e">
        <f t="shared" si="46"/>
        <v>#DIV/0!</v>
      </c>
      <c r="CK89" s="145">
        <f t="shared" si="46"/>
        <v>0</v>
      </c>
      <c r="CL89" s="145">
        <f t="shared" si="46"/>
        <v>0.37614678899082571</v>
      </c>
      <c r="CM89" s="145">
        <f t="shared" si="46"/>
        <v>4.7619047619047616E-2</v>
      </c>
      <c r="CN89" s="145">
        <f t="shared" si="46"/>
        <v>6.4257028112449793E-2</v>
      </c>
      <c r="CO89" s="145" t="e">
        <f t="shared" si="46"/>
        <v>#DIV/0!</v>
      </c>
      <c r="CP89" s="145">
        <f t="shared" si="46"/>
        <v>8.0291970802919707E-2</v>
      </c>
      <c r="CQ89" s="145">
        <f t="shared" si="46"/>
        <v>0</v>
      </c>
      <c r="CR89" s="145" t="e">
        <f t="shared" si="46"/>
        <v>#DIV/0!</v>
      </c>
      <c r="CS89" s="145">
        <f t="shared" si="46"/>
        <v>0.27492447129909364</v>
      </c>
      <c r="CT89" s="145">
        <f t="shared" si="46"/>
        <v>0.3</v>
      </c>
      <c r="CU89" s="145">
        <f t="shared" si="46"/>
        <v>0.1111111111111111</v>
      </c>
      <c r="CV89" s="145">
        <f t="shared" si="46"/>
        <v>1.2072434607645875E-2</v>
      </c>
    </row>
    <row r="90" spans="1:100" ht="14">
      <c r="A90" s="716"/>
      <c r="B90" s="716"/>
      <c r="C90" s="773"/>
      <c r="D90" s="42" t="s">
        <v>4949</v>
      </c>
      <c r="E90" s="42">
        <v>56</v>
      </c>
      <c r="F90" s="43" t="s">
        <v>5145</v>
      </c>
      <c r="G90" s="762" t="s">
        <v>5146</v>
      </c>
      <c r="H90" s="45" t="s">
        <v>5140</v>
      </c>
      <c r="I90" s="46"/>
      <c r="M90" s="36">
        <v>1145</v>
      </c>
      <c r="N90" s="36">
        <v>1576</v>
      </c>
      <c r="O90" s="224">
        <f>SUM(P90:CV90)</f>
        <v>1318</v>
      </c>
      <c r="P90" s="36">
        <f>SUMIFS('свод практик'!$CA$6:$CA$277,'свод практик'!$J$6:$J$277,'свод субъектов ИБ+смежные'!P$1)</f>
        <v>0</v>
      </c>
      <c r="Q90" s="36">
        <f>SUMIFS('свод практик'!$CA$6:$CA$277,'свод практик'!$J$6:$J$277,'свод субъектов ИБ+смежные'!Q$1)</f>
        <v>0</v>
      </c>
      <c r="R90" s="36">
        <f>SUMIFS('свод практик'!$CA$6:$CA$277,'свод практик'!$J$6:$J$277,'свод субъектов ИБ+смежные'!R$1)</f>
        <v>14</v>
      </c>
      <c r="S90" s="36">
        <f>SUMIFS('свод практик'!$CA$6:$CA$277,'свод практик'!$J$6:$J$277,'свод субъектов ИБ+смежные'!S$1)</f>
        <v>7</v>
      </c>
      <c r="T90" s="36">
        <f>SUMIFS('свод практик'!$CA$6:$CA$277,'свод практик'!$J$6:$J$277,'свод субъектов ИБ+смежные'!T$1)</f>
        <v>0</v>
      </c>
      <c r="U90" s="36">
        <f>SUMIFS('свод практик'!$CA$6:$CA$277,'свод практик'!$J$6:$J$277,'свод субъектов ИБ+смежные'!U$1)</f>
        <v>0</v>
      </c>
      <c r="V90" s="36">
        <f>SUMIFS('свод практик'!$CA$6:$CA$277,'свод практик'!$J$6:$J$277,'свод субъектов ИБ+смежные'!V$1)</f>
        <v>149</v>
      </c>
      <c r="W90" s="36">
        <f>SUMIFS('свод практик'!$CA$6:$CA$277,'свод практик'!$J$6:$J$277,'свод субъектов ИБ+смежные'!W$1)</f>
        <v>1</v>
      </c>
      <c r="X90" s="36">
        <f>SUMIFS('свод практик'!$CA$6:$CA$277,'свод практик'!$J$6:$J$277,'свод субъектов ИБ+смежные'!X$1)</f>
        <v>1</v>
      </c>
      <c r="Y90" s="36">
        <f>SUMIFS('свод практик'!$CA$6:$CA$277,'свод практик'!$J$6:$J$277,'свод субъектов ИБ+смежные'!Y$1)</f>
        <v>15</v>
      </c>
      <c r="Z90" s="36">
        <f>SUMIFS('свод практик'!$CA$6:$CA$277,'свод практик'!$J$6:$J$277,'свод субъектов ИБ+смежные'!Z$1)</f>
        <v>37</v>
      </c>
      <c r="AA90" s="36">
        <f>SUMIFS('свод практик'!$CA$6:$CA$277,'свод практик'!$J$6:$J$277,'свод субъектов ИБ+смежные'!AA$1)</f>
        <v>2</v>
      </c>
      <c r="AB90" s="36">
        <f>SUMIFS('свод практик'!$CA$6:$CA$277,'свод практик'!$J$6:$J$277,'свод субъектов ИБ+смежные'!AB$1)</f>
        <v>87</v>
      </c>
      <c r="AC90" s="36">
        <f>SUMIFS('свод практик'!$CA$6:$CA$277,'свод практик'!$J$6:$J$277,'свод субъектов ИБ+смежные'!AC$1)</f>
        <v>11</v>
      </c>
      <c r="AD90" s="160">
        <f>SUMIFS('свод практик'!$CA$6:$CA$277,'свод практик'!$J$6:$J$277,'свод субъектов ИБ+смежные'!AD$1)</f>
        <v>0</v>
      </c>
      <c r="AE90" s="160">
        <f>SUMIFS('свод практик'!$CA$6:$CA$277,'свод практик'!$J$6:$J$277,'свод субъектов ИБ+смежные'!AE$1)</f>
        <v>0</v>
      </c>
      <c r="AF90" s="36">
        <f>SUMIFS('свод практик'!$CA$6:$CA$277,'свод практик'!$J$6:$J$277,'свод субъектов ИБ+смежные'!AF$1)</f>
        <v>0</v>
      </c>
      <c r="AG90" s="160">
        <f>SUMIFS('свод практик'!$CA$6:$CA$277,'свод практик'!$J$6:$J$277,'свод субъектов ИБ+смежные'!AG$1)</f>
        <v>0</v>
      </c>
      <c r="AH90" s="160">
        <f>SUMIFS('свод практик'!$CA$6:$CA$277,'свод практик'!$J$6:$J$277,'свод субъектов ИБ+смежные'!AH$1)</f>
        <v>0</v>
      </c>
      <c r="AI90" s="36">
        <f>SUMIFS('свод практик'!$CA$6:$CA$277,'свод практик'!$J$6:$J$277,'свод субъектов ИБ+смежные'!AI$1)</f>
        <v>74</v>
      </c>
      <c r="AJ90" s="36">
        <f>SUMIFS('свод практик'!$CA$6:$CA$277,'свод практик'!$J$6:$J$277,'свод субъектов ИБ+смежные'!AJ$1)</f>
        <v>0</v>
      </c>
      <c r="AK90" s="36">
        <f>SUMIFS('свод практик'!$CA$6:$CA$277,'свод практик'!$J$6:$J$277,'свод субъектов ИБ+смежные'!AK$1)</f>
        <v>77</v>
      </c>
      <c r="AL90" s="36">
        <f>SUMIFS('свод практик'!$CA$6:$CA$277,'свод практик'!$J$6:$J$277,'свод субъектов ИБ+смежные'!AL$1)</f>
        <v>0</v>
      </c>
      <c r="AM90" s="36">
        <f>SUMIFS('свод практик'!$CA$6:$CA$277,'свод практик'!$J$6:$J$277,'свод субъектов ИБ+смежные'!AM$1)</f>
        <v>11</v>
      </c>
      <c r="AN90" s="160">
        <f>SUMIFS('свод практик'!$CA$6:$CA$277,'свод практик'!$J$6:$J$277,'свод субъектов ИБ+смежные'!AN$1)</f>
        <v>0</v>
      </c>
      <c r="AO90" s="160">
        <f>SUMIFS('свод практик'!$CA$6:$CA$277,'свод практик'!$J$6:$J$277,'свод субъектов ИБ+смежные'!AO$1)</f>
        <v>0</v>
      </c>
      <c r="AP90" s="36">
        <f>SUMIFS('свод практик'!$CA$6:$CA$277,'свод практик'!$J$6:$J$277,'свод субъектов ИБ+смежные'!AP$1)</f>
        <v>15</v>
      </c>
      <c r="AQ90" s="36">
        <f>SUMIFS('свод практик'!$CA$6:$CA$277,'свод практик'!$J$6:$J$277,'свод субъектов ИБ+смежные'!AQ$1)</f>
        <v>0</v>
      </c>
      <c r="AR90" s="36">
        <f>SUMIFS('свод практик'!$CA$6:$CA$277,'свод практик'!$J$6:$J$277,'свод субъектов ИБ+смежные'!AR$1)</f>
        <v>17</v>
      </c>
      <c r="AS90" s="36">
        <f>SUMIFS('свод практик'!$CA$6:$CA$277,'свод практик'!$J$6:$J$277,'свод субъектов ИБ+смежные'!AS$1)</f>
        <v>25</v>
      </c>
      <c r="AT90" s="36">
        <f>SUMIFS('свод практик'!$CA$6:$CA$277,'свод практик'!$J$6:$J$277,'свод субъектов ИБ+смежные'!AT$1)</f>
        <v>22</v>
      </c>
      <c r="AU90" s="36">
        <f>SUMIFS('свод практик'!$CA$6:$CA$277,'свод практик'!$J$6:$J$277,'свод субъектов ИБ+смежные'!AU$1)</f>
        <v>0</v>
      </c>
      <c r="AV90" s="36">
        <f>SUMIFS('свод практик'!$CA$6:$CA$277,'свод практик'!$J$6:$J$277,'свод субъектов ИБ+смежные'!AV$1)</f>
        <v>32</v>
      </c>
      <c r="AW90" s="36">
        <f>SUMIFS('свод практик'!$CA$6:$CA$277,'свод практик'!$J$6:$J$277,'свод субъектов ИБ+смежные'!AW$1)</f>
        <v>0</v>
      </c>
      <c r="AX90" s="36">
        <f>SUMIFS('свод практик'!$CA$6:$CA$277,'свод практик'!$J$6:$J$277,'свод субъектов ИБ+смежные'!AX$1)</f>
        <v>2</v>
      </c>
      <c r="AY90" s="160">
        <f>SUMIFS('свод практик'!$CA$6:$CA$277,'свод практик'!$J$6:$J$277,'свод субъектов ИБ+смежные'!AY$1)</f>
        <v>0</v>
      </c>
      <c r="AZ90" s="36">
        <f>SUMIFS('свод практик'!$CA$6:$CA$277,'свод практик'!$J$6:$J$277,'свод субъектов ИБ+смежные'!AZ$1)</f>
        <v>82</v>
      </c>
      <c r="BA90" s="36">
        <f>SUMIFS('свод практик'!$CA$6:$CA$277,'свод практик'!$J$6:$J$277,'свод субъектов ИБ+смежные'!BA$1)</f>
        <v>0</v>
      </c>
      <c r="BB90" s="160">
        <f>SUMIFS('свод практик'!$CA$6:$CA$277,'свод практик'!$J$6:$J$277,'свод субъектов ИБ+смежные'!BB$1)</f>
        <v>0</v>
      </c>
      <c r="BC90" s="36">
        <f>SUMIFS('свод практик'!$CA$6:$CA$277,'свод практик'!$J$6:$J$277,'свод субъектов ИБ+смежные'!BC$1)</f>
        <v>7</v>
      </c>
      <c r="BD90" s="160">
        <f>SUMIFS('свод практик'!$CA$6:$CA$277,'свод практик'!$J$6:$J$277,'свод субъектов ИБ+смежные'!BD$1)</f>
        <v>0</v>
      </c>
      <c r="BE90" s="160">
        <f>SUMIFS('свод практик'!$CA$6:$CA$277,'свод практик'!$J$6:$J$277,'свод субъектов ИБ+смежные'!BE$1)</f>
        <v>0</v>
      </c>
      <c r="BF90" s="36">
        <f>SUMIFS('свод практик'!$CA$6:$CA$277,'свод практик'!$J$6:$J$277,'свод субъектов ИБ+смежные'!BF$1)</f>
        <v>0</v>
      </c>
      <c r="BG90" s="36">
        <f>SUMIFS('свод практик'!$CA$6:$CA$277,'свод практик'!$J$6:$J$277,'свод субъектов ИБ+смежные'!BG$1)</f>
        <v>4</v>
      </c>
      <c r="BH90" s="36">
        <f>SUMIFS('свод практик'!$CA$6:$CA$277,'свод практик'!$J$6:$J$277,'свод субъектов ИБ+смежные'!BH$1)</f>
        <v>0</v>
      </c>
      <c r="BI90" s="36">
        <f>SUMIFS('свод практик'!$CA$6:$CA$277,'свод практик'!$J$6:$J$277,'свод субъектов ИБ+смежные'!BI$1)</f>
        <v>19</v>
      </c>
      <c r="BJ90" s="36">
        <f>SUMIFS('свод практик'!$CA$6:$CA$277,'свод практик'!$J$6:$J$277,'свод субъектов ИБ+смежные'!BJ$1)</f>
        <v>9</v>
      </c>
      <c r="BK90" s="36">
        <f>SUMIFS('свод практик'!$CA$6:$CA$277,'свод практик'!$J$6:$J$277,'свод субъектов ИБ+смежные'!BK$1)</f>
        <v>9</v>
      </c>
      <c r="BL90" s="36">
        <f>SUMIFS('свод практик'!$CA$6:$CA$277,'свод практик'!$J$6:$J$277,'свод субъектов ИБ+смежные'!BL$1)</f>
        <v>2</v>
      </c>
      <c r="BM90" s="36">
        <f>SUMIFS('свод практик'!$CA$6:$CA$277,'свод практик'!$J$6:$J$277,'свод субъектов ИБ+смежные'!BM$1)</f>
        <v>1</v>
      </c>
      <c r="BN90" s="36">
        <f>SUMIFS('свод практик'!$CA$6:$CA$277,'свод практик'!$J$6:$J$277,'свод субъектов ИБ+смежные'!BN$1)</f>
        <v>0</v>
      </c>
      <c r="BO90" s="36">
        <f>SUMIFS('свод практик'!$CA$6:$CA$277,'свод практик'!$J$6:$J$277,'свод субъектов ИБ+смежные'!BO$1)</f>
        <v>0</v>
      </c>
      <c r="BP90" s="36">
        <f>SUMIFS('свод практик'!$CA$6:$CA$277,'свод практик'!$J$6:$J$277,'свод субъектов ИБ+смежные'!BP$1)</f>
        <v>0</v>
      </c>
      <c r="BQ90" s="160">
        <f>SUMIFS('свод практик'!$CA$6:$CA$277,'свод практик'!$J$6:$J$277,'свод субъектов ИБ+смежные'!BQ$1)</f>
        <v>0</v>
      </c>
      <c r="BR90" s="36">
        <f>SUMIFS('свод практик'!$CA$6:$CA$277,'свод практик'!$J$6:$J$277,'свод субъектов ИБ+смежные'!BR$1)</f>
        <v>0</v>
      </c>
      <c r="BS90" s="36">
        <f>SUMIFS('свод практик'!$CA$6:$CA$277,'свод практик'!$J$6:$J$277,'свод субъектов ИБ+смежные'!BS$1)</f>
        <v>18</v>
      </c>
      <c r="BT90" s="36">
        <f>SUMIFS('свод практик'!$CA$6:$CA$277,'свод практик'!$J$6:$J$277,'свод субъектов ИБ+смежные'!BT$1)</f>
        <v>0</v>
      </c>
      <c r="BU90" s="36">
        <f>SUMIFS('свод практик'!$CA$6:$CA$277,'свод практик'!$J$6:$J$277,'свод субъектов ИБ+смежные'!BU$1)</f>
        <v>8</v>
      </c>
      <c r="BV90" s="36">
        <f>SUMIFS('свод практик'!$CA$6:$CA$277,'свод практик'!$J$6:$J$277,'свод субъектов ИБ+смежные'!BV$1)</f>
        <v>0</v>
      </c>
      <c r="BW90" s="36">
        <f>SUMIFS('свод практик'!$CA$6:$CA$277,'свод практик'!$J$6:$J$277,'свод субъектов ИБ+смежные'!BW$1)</f>
        <v>5</v>
      </c>
      <c r="BX90" s="36">
        <f>SUMIFS('свод практик'!$CA$6:$CA$277,'свод практик'!$J$6:$J$277,'свод субъектов ИБ+смежные'!BX$1)</f>
        <v>29</v>
      </c>
      <c r="BY90" s="36">
        <f>SUMIFS('свод практик'!$CA$6:$CA$277,'свод практик'!$J$6:$J$277,'свод субъектов ИБ+смежные'!BY$1)</f>
        <v>4</v>
      </c>
      <c r="BZ90" s="36">
        <f>SUMIFS('свод практик'!$CA$6:$CA$277,'свод практик'!$J$6:$J$277,'свод субъектов ИБ+смежные'!BZ$1)</f>
        <v>0</v>
      </c>
      <c r="CA90" s="160">
        <f>SUMIFS('свод практик'!$CA$6:$CA$277,'свод практик'!$J$6:$J$277,'свод субъектов ИБ+смежные'!CA$1)</f>
        <v>0</v>
      </c>
      <c r="CB90" s="160">
        <f>SUMIFS('свод практик'!$CA$6:$CA$277,'свод практик'!$J$6:$J$277,'свод субъектов ИБ+смежные'!CB$1)</f>
        <v>0</v>
      </c>
      <c r="CC90" s="36">
        <f>SUMIFS('свод практик'!$CA$6:$CA$277,'свод практик'!$J$6:$J$277,'свод субъектов ИБ+смежные'!CC$1)</f>
        <v>1</v>
      </c>
      <c r="CD90" s="36">
        <f>SUMIFS('свод практик'!$CA$6:$CA$277,'свод практик'!$J$6:$J$277,'свод субъектов ИБ+смежные'!CD$1)</f>
        <v>4</v>
      </c>
      <c r="CE90" s="36">
        <f>SUMIFS('свод практик'!$CA$6:$CA$277,'свод практик'!$J$6:$J$277,'свод субъектов ИБ+смежные'!CE$1)</f>
        <v>110</v>
      </c>
      <c r="CF90" s="36">
        <f>SUMIFS('свод практик'!$CA$6:$CA$277,'свод практик'!$J$6:$J$277,'свод субъектов ИБ+смежные'!CF$1)</f>
        <v>282</v>
      </c>
      <c r="CG90" s="36">
        <f>SUMIFS('свод практик'!$CA$6:$CA$277,'свод практик'!$J$6:$J$277,'свод субъектов ИБ+смежные'!CG$1)</f>
        <v>45</v>
      </c>
      <c r="CH90" s="36">
        <f>SUMIFS('свод практик'!$CA$6:$CA$277,'свод практик'!$J$6:$J$277,'свод субъектов ИБ+смежные'!CH$1)</f>
        <v>1</v>
      </c>
      <c r="CI90" s="36">
        <f>SUMIFS('свод практик'!$CA$6:$CA$277,'свод практик'!$J$6:$J$277,'свод субъектов ИБ+смежные'!CI$1)</f>
        <v>0</v>
      </c>
      <c r="CJ90" s="160">
        <f>SUMIFS('свод практик'!$CA$6:$CA$277,'свод практик'!$J$6:$J$277,'свод субъектов ИБ+смежные'!CJ$1)</f>
        <v>0</v>
      </c>
      <c r="CK90" s="36">
        <f>SUMIFS('свод практик'!$CA$6:$CA$277,'свод практик'!$J$6:$J$277,'свод субъектов ИБ+смежные'!CK$1)</f>
        <v>0</v>
      </c>
      <c r="CL90" s="36">
        <f>SUMIFS('свод практик'!$CA$6:$CA$277,'свод практик'!$J$6:$J$277,'свод субъектов ИБ+смежные'!CL$1)</f>
        <v>3</v>
      </c>
      <c r="CM90" s="36">
        <f>SUMIFS('свод практик'!$CA$6:$CA$277,'свод практик'!$J$6:$J$277,'свод субъектов ИБ+смежные'!CM$1)</f>
        <v>6</v>
      </c>
      <c r="CN90" s="36">
        <f>SUMIFS('свод практик'!$CA$6:$CA$277,'свод практик'!$J$6:$J$277,'свод субъектов ИБ+смежные'!CN$1)</f>
        <v>26</v>
      </c>
      <c r="CO90" s="160">
        <f>SUMIFS('свод практик'!$CA$6:$CA$277,'свод практик'!$J$6:$J$277,'свод субъектов ИБ+смежные'!CO$1)</f>
        <v>0</v>
      </c>
      <c r="CP90" s="36">
        <f>SUMIFS('свод практик'!$CA$6:$CA$277,'свод практик'!$J$6:$J$277,'свод субъектов ИБ+смежные'!CP$1)</f>
        <v>2</v>
      </c>
      <c r="CQ90" s="36">
        <f>SUMIFS('свод практик'!$CA$6:$CA$277,'свод практик'!$J$6:$J$277,'свод субъектов ИБ+смежные'!CQ$1)</f>
        <v>0</v>
      </c>
      <c r="CR90" s="160">
        <f>SUMIFS('свод практик'!$CA$6:$CA$277,'свод практик'!$J$6:$J$277,'свод субъектов ИБ+смежные'!CR$1)</f>
        <v>0</v>
      </c>
      <c r="CS90" s="36">
        <f>SUMIFS('свод практик'!$CA$6:$CA$277,'свод практик'!$J$6:$J$277,'свод субъектов ИБ+смежные'!CS$1)</f>
        <v>22</v>
      </c>
      <c r="CT90" s="36">
        <f>SUMIFS('свод практик'!$CA$6:$CA$277,'свод практик'!$J$6:$J$277,'свод субъектов ИБ+смежные'!CT$1)</f>
        <v>0</v>
      </c>
      <c r="CU90" s="36">
        <f>SUMIFS('свод практик'!$CA$6:$CA$277,'свод практик'!$J$6:$J$277,'свод субъектов ИБ+смежные'!CU$1)</f>
        <v>1</v>
      </c>
      <c r="CV90" s="36">
        <f>SUMIFS('свод практик'!$CA$6:$CA$277,'свод практик'!$J$6:$J$277,'свод субъектов ИБ+смежные'!CV$1)</f>
        <v>19</v>
      </c>
    </row>
    <row r="91" spans="1:100" ht="14">
      <c r="A91" s="716"/>
      <c r="B91" s="716"/>
      <c r="C91" s="773"/>
      <c r="D91" s="42" t="s">
        <v>4949</v>
      </c>
      <c r="E91" s="42">
        <v>57</v>
      </c>
      <c r="F91" s="43" t="s">
        <v>5147</v>
      </c>
      <c r="G91" s="762"/>
      <c r="H91" s="45" t="s">
        <v>60</v>
      </c>
      <c r="I91" s="46"/>
      <c r="L91" s="36" t="s">
        <v>278</v>
      </c>
      <c r="M91" s="36">
        <v>7.182285785974156E-2</v>
      </c>
      <c r="N91" s="36">
        <v>8.356752744047935E-2</v>
      </c>
      <c r="O91" s="228">
        <f>O90/O126</f>
        <v>6.0345222288356759E-2</v>
      </c>
      <c r="P91" s="145">
        <f t="shared" ref="P91:CA91" si="47">P90/P126</f>
        <v>0</v>
      </c>
      <c r="Q91" s="145">
        <f t="shared" si="47"/>
        <v>0</v>
      </c>
      <c r="R91" s="145">
        <f t="shared" si="47"/>
        <v>6.8627450980392163E-2</v>
      </c>
      <c r="S91" s="145">
        <f t="shared" si="47"/>
        <v>8.5365853658536592E-2</v>
      </c>
      <c r="T91" s="145">
        <f t="shared" si="47"/>
        <v>0</v>
      </c>
      <c r="U91" s="145">
        <f t="shared" si="47"/>
        <v>0</v>
      </c>
      <c r="V91" s="145">
        <f t="shared" si="47"/>
        <v>5.8180398281921127E-2</v>
      </c>
      <c r="W91" s="145">
        <f t="shared" si="47"/>
        <v>7.0422535211267607E-3</v>
      </c>
      <c r="X91" s="145">
        <f t="shared" si="47"/>
        <v>1.1235955056179775E-2</v>
      </c>
      <c r="Y91" s="145">
        <f t="shared" si="47"/>
        <v>1.4231499051233396E-2</v>
      </c>
      <c r="Z91" s="145">
        <f t="shared" si="47"/>
        <v>8.1677704194260486E-2</v>
      </c>
      <c r="AA91" s="145">
        <f t="shared" si="47"/>
        <v>2.1505376344086023E-2</v>
      </c>
      <c r="AB91" s="145">
        <f t="shared" si="47"/>
        <v>9.7424412094064952E-2</v>
      </c>
      <c r="AC91" s="145">
        <f t="shared" si="47"/>
        <v>3.3846153846153845E-2</v>
      </c>
      <c r="AD91" s="145" t="e">
        <f t="shared" si="47"/>
        <v>#DIV/0!</v>
      </c>
      <c r="AE91" s="145" t="e">
        <f t="shared" si="47"/>
        <v>#DIV/0!</v>
      </c>
      <c r="AF91" s="145">
        <f t="shared" si="47"/>
        <v>0</v>
      </c>
      <c r="AG91" s="145" t="e">
        <f t="shared" si="47"/>
        <v>#DIV/0!</v>
      </c>
      <c r="AH91" s="145" t="e">
        <f t="shared" si="47"/>
        <v>#DIV/0!</v>
      </c>
      <c r="AI91" s="145">
        <f t="shared" si="47"/>
        <v>4.3529411764705879E-2</v>
      </c>
      <c r="AJ91" s="145">
        <f t="shared" si="47"/>
        <v>0</v>
      </c>
      <c r="AK91" s="145">
        <f t="shared" si="47"/>
        <v>0.13508771929824562</v>
      </c>
      <c r="AL91" s="145">
        <f t="shared" si="47"/>
        <v>0</v>
      </c>
      <c r="AM91" s="145">
        <f t="shared" si="47"/>
        <v>6.4705882352941183E-2</v>
      </c>
      <c r="AN91" s="145" t="e">
        <f t="shared" si="47"/>
        <v>#DIV/0!</v>
      </c>
      <c r="AO91" s="145" t="e">
        <f t="shared" si="47"/>
        <v>#DIV/0!</v>
      </c>
      <c r="AP91" s="145">
        <f t="shared" si="47"/>
        <v>9.9337748344370855E-2</v>
      </c>
      <c r="AQ91" s="145">
        <f t="shared" si="47"/>
        <v>0</v>
      </c>
      <c r="AR91" s="145">
        <f t="shared" si="47"/>
        <v>4.7619047619047616E-2</v>
      </c>
      <c r="AS91" s="145">
        <f t="shared" si="47"/>
        <v>9.0579710144927536E-2</v>
      </c>
      <c r="AT91" s="145">
        <f t="shared" si="47"/>
        <v>6.8750000000000006E-2</v>
      </c>
      <c r="AU91" s="145">
        <f t="shared" si="47"/>
        <v>0</v>
      </c>
      <c r="AV91" s="145">
        <f t="shared" si="47"/>
        <v>0.26666666666666666</v>
      </c>
      <c r="AW91" s="145">
        <f t="shared" si="47"/>
        <v>0</v>
      </c>
      <c r="AX91" s="145">
        <f t="shared" si="47"/>
        <v>6.8259385665529011E-3</v>
      </c>
      <c r="AY91" s="162" t="e">
        <f t="shared" si="47"/>
        <v>#DIV/0!</v>
      </c>
      <c r="AZ91" s="145">
        <f t="shared" si="47"/>
        <v>0.13509060955518945</v>
      </c>
      <c r="BA91" s="145">
        <f t="shared" si="47"/>
        <v>0</v>
      </c>
      <c r="BB91" s="162" t="e">
        <f t="shared" si="47"/>
        <v>#DIV/0!</v>
      </c>
      <c r="BC91" s="145">
        <f t="shared" si="47"/>
        <v>0.16666666666666666</v>
      </c>
      <c r="BD91" s="162" t="e">
        <f t="shared" si="47"/>
        <v>#DIV/0!</v>
      </c>
      <c r="BE91" s="162" t="e">
        <f t="shared" si="47"/>
        <v>#DIV/0!</v>
      </c>
      <c r="BF91" s="145">
        <f t="shared" si="47"/>
        <v>0</v>
      </c>
      <c r="BG91" s="145">
        <f t="shared" si="47"/>
        <v>0.1111111111111111</v>
      </c>
      <c r="BH91" s="145">
        <f t="shared" si="47"/>
        <v>0</v>
      </c>
      <c r="BI91" s="145">
        <f t="shared" si="47"/>
        <v>3.2040472175379427E-2</v>
      </c>
      <c r="BJ91" s="145">
        <f t="shared" si="47"/>
        <v>2.0642201834862386E-2</v>
      </c>
      <c r="BK91" s="145">
        <f t="shared" si="47"/>
        <v>4.4334975369458129E-2</v>
      </c>
      <c r="BL91" s="145">
        <f t="shared" si="47"/>
        <v>1.5503875968992248E-2</v>
      </c>
      <c r="BM91" s="145">
        <f t="shared" si="47"/>
        <v>6.8027210884353739E-3</v>
      </c>
      <c r="BN91" s="145">
        <f t="shared" si="47"/>
        <v>0</v>
      </c>
      <c r="BO91" s="145">
        <f t="shared" si="47"/>
        <v>0</v>
      </c>
      <c r="BP91" s="145">
        <f t="shared" si="47"/>
        <v>0</v>
      </c>
      <c r="BQ91" s="145" t="e">
        <f t="shared" si="47"/>
        <v>#DIV/0!</v>
      </c>
      <c r="BR91" s="145">
        <f t="shared" si="47"/>
        <v>0</v>
      </c>
      <c r="BS91" s="145">
        <f t="shared" si="47"/>
        <v>0.17307692307692307</v>
      </c>
      <c r="BT91" s="145">
        <f t="shared" si="47"/>
        <v>0</v>
      </c>
      <c r="BU91" s="145">
        <f t="shared" si="47"/>
        <v>1.3114754098360656E-2</v>
      </c>
      <c r="BV91" s="145">
        <f t="shared" si="47"/>
        <v>0</v>
      </c>
      <c r="BW91" s="145">
        <f t="shared" si="47"/>
        <v>4.5454545454545456E-2</v>
      </c>
      <c r="BX91" s="145">
        <f t="shared" si="47"/>
        <v>6.5462753950338598E-2</v>
      </c>
      <c r="BY91" s="145">
        <f t="shared" si="47"/>
        <v>2.2727272727272728E-2</v>
      </c>
      <c r="BZ91" s="145">
        <f t="shared" si="47"/>
        <v>0</v>
      </c>
      <c r="CA91" s="145" t="e">
        <f t="shared" si="47"/>
        <v>#DIV/0!</v>
      </c>
      <c r="CB91" s="145" t="e">
        <f t="shared" ref="CB91:CV91" si="48">CB90/CB126</f>
        <v>#DIV/0!</v>
      </c>
      <c r="CC91" s="145">
        <f t="shared" si="48"/>
        <v>0.16666666666666666</v>
      </c>
      <c r="CD91" s="145">
        <f t="shared" si="48"/>
        <v>1.5873015873015872E-2</v>
      </c>
      <c r="CE91" s="145">
        <f t="shared" si="48"/>
        <v>0.20257826887661143</v>
      </c>
      <c r="CF91" s="145">
        <f t="shared" si="48"/>
        <v>9.8670398880335894E-2</v>
      </c>
      <c r="CG91" s="145">
        <f t="shared" si="48"/>
        <v>0.16605166051660517</v>
      </c>
      <c r="CH91" s="145">
        <f t="shared" si="48"/>
        <v>1.3888888888888888E-2</v>
      </c>
      <c r="CI91" s="145">
        <f t="shared" si="48"/>
        <v>0</v>
      </c>
      <c r="CJ91" s="145" t="e">
        <f t="shared" si="48"/>
        <v>#DIV/0!</v>
      </c>
      <c r="CK91" s="145">
        <f t="shared" si="48"/>
        <v>0</v>
      </c>
      <c r="CL91" s="145">
        <f t="shared" si="48"/>
        <v>2.7522935779816515E-2</v>
      </c>
      <c r="CM91" s="145">
        <f t="shared" si="48"/>
        <v>4.0816326530612242E-2</v>
      </c>
      <c r="CN91" s="145">
        <f t="shared" si="48"/>
        <v>0.10441767068273092</v>
      </c>
      <c r="CO91" s="145" t="e">
        <f t="shared" si="48"/>
        <v>#DIV/0!</v>
      </c>
      <c r="CP91" s="145">
        <f t="shared" si="48"/>
        <v>7.2992700729927005E-3</v>
      </c>
      <c r="CQ91" s="145">
        <f t="shared" si="48"/>
        <v>0</v>
      </c>
      <c r="CR91" s="145" t="e">
        <f t="shared" si="48"/>
        <v>#DIV/0!</v>
      </c>
      <c r="CS91" s="145">
        <f t="shared" si="48"/>
        <v>3.3232628398791542E-2</v>
      </c>
      <c r="CT91" s="145">
        <f t="shared" si="48"/>
        <v>0</v>
      </c>
      <c r="CU91" s="145">
        <f t="shared" si="48"/>
        <v>1.2345679012345678E-2</v>
      </c>
      <c r="CV91" s="145">
        <f t="shared" si="48"/>
        <v>3.8229376257545272E-2</v>
      </c>
    </row>
    <row r="92" spans="1:100" ht="14">
      <c r="A92" s="716"/>
      <c r="B92" s="716"/>
      <c r="C92" s="773"/>
      <c r="D92" s="42" t="s">
        <v>4949</v>
      </c>
      <c r="E92" s="42">
        <v>58</v>
      </c>
      <c r="F92" s="43" t="s">
        <v>5148</v>
      </c>
      <c r="G92" s="762" t="s">
        <v>5149</v>
      </c>
      <c r="H92" s="45" t="s">
        <v>5140</v>
      </c>
      <c r="I92" s="46"/>
      <c r="M92" s="36">
        <v>436</v>
      </c>
      <c r="N92" s="36">
        <v>503</v>
      </c>
      <c r="O92" s="224">
        <f>SUM(P92:CV92)</f>
        <v>570</v>
      </c>
      <c r="P92" s="36">
        <f>SUMIFS('свод практик'!$CB$6:$CB$277,'свод практик'!$J$6:$J$277,'свод субъектов ИБ+смежные'!P$1)</f>
        <v>0</v>
      </c>
      <c r="Q92" s="36">
        <f>SUMIFS('свод практик'!$CB$6:$CB$277,'свод практик'!$J$6:$J$277,'свод субъектов ИБ+смежные'!Q$1)</f>
        <v>0</v>
      </c>
      <c r="R92" s="36">
        <f>SUMIFS('свод практик'!$CB$6:$CB$277,'свод практик'!$J$6:$J$277,'свод субъектов ИБ+смежные'!R$1)</f>
        <v>0</v>
      </c>
      <c r="S92" s="36">
        <f>SUMIFS('свод практик'!$CB$6:$CB$277,'свод практик'!$J$6:$J$277,'свод субъектов ИБ+смежные'!S$1)</f>
        <v>0</v>
      </c>
      <c r="T92" s="36">
        <f>SUMIFS('свод практик'!$CB$6:$CB$277,'свод практик'!$J$6:$J$277,'свод субъектов ИБ+смежные'!T$1)</f>
        <v>21</v>
      </c>
      <c r="U92" s="36">
        <f>SUMIFS('свод практик'!$CB$6:$CB$277,'свод практик'!$J$6:$J$277,'свод субъектов ИБ+смежные'!U$1)</f>
        <v>0</v>
      </c>
      <c r="V92" s="36">
        <f>SUMIFS('свод практик'!$CB$6:$CB$277,'свод практик'!$J$6:$J$277,'свод субъектов ИБ+смежные'!V$1)</f>
        <v>31</v>
      </c>
      <c r="W92" s="36">
        <f>SUMIFS('свод практик'!$CB$6:$CB$277,'свод практик'!$J$6:$J$277,'свод субъектов ИБ+смежные'!W$1)</f>
        <v>1</v>
      </c>
      <c r="X92" s="36">
        <f>SUMIFS('свод практик'!$CB$6:$CB$277,'свод практик'!$J$6:$J$277,'свод субъектов ИБ+смежные'!X$1)</f>
        <v>0</v>
      </c>
      <c r="Y92" s="36">
        <f>SUMIFS('свод практик'!$CB$6:$CB$277,'свод практик'!$J$6:$J$277,'свод субъектов ИБ+смежные'!Y$1)</f>
        <v>68</v>
      </c>
      <c r="Z92" s="36">
        <f>SUMIFS('свод практик'!$CB$6:$CB$277,'свод практик'!$J$6:$J$277,'свод субъектов ИБ+смежные'!Z$1)</f>
        <v>0</v>
      </c>
      <c r="AA92" s="36">
        <f>SUMIFS('свод практик'!$CB$6:$CB$277,'свод практик'!$J$6:$J$277,'свод субъектов ИБ+смежные'!AA$1)</f>
        <v>1</v>
      </c>
      <c r="AB92" s="36">
        <f>SUMIFS('свод практик'!$CB$6:$CB$277,'свод практик'!$J$6:$J$277,'свод субъектов ИБ+смежные'!AB$1)</f>
        <v>82</v>
      </c>
      <c r="AC92" s="36">
        <f>SUMIFS('свод практик'!$CB$6:$CB$277,'свод практик'!$J$6:$J$277,'свод субъектов ИБ+смежные'!AC$1)</f>
        <v>0</v>
      </c>
      <c r="AD92" s="160">
        <f>SUMIFS('свод практик'!$CB$6:$CB$277,'свод практик'!$J$6:$J$277,'свод субъектов ИБ+смежные'!AD$1)</f>
        <v>0</v>
      </c>
      <c r="AE92" s="160">
        <f>SUMIFS('свод практик'!$CB$6:$CB$277,'свод практик'!$J$6:$J$277,'свод субъектов ИБ+смежные'!AE$1)</f>
        <v>0</v>
      </c>
      <c r="AF92" s="36">
        <f>SUMIFS('свод практик'!$CB$6:$CB$277,'свод практик'!$J$6:$J$277,'свод субъектов ИБ+смежные'!AF$1)</f>
        <v>0</v>
      </c>
      <c r="AG92" s="160">
        <f>SUMIFS('свод практик'!$CB$6:$CB$277,'свод практик'!$J$6:$J$277,'свод субъектов ИБ+смежные'!AG$1)</f>
        <v>0</v>
      </c>
      <c r="AH92" s="160">
        <f>SUMIFS('свод практик'!$CB$6:$CB$277,'свод практик'!$J$6:$J$277,'свод субъектов ИБ+смежные'!AH$1)</f>
        <v>0</v>
      </c>
      <c r="AI92" s="36">
        <f>SUMIFS('свод практик'!$CB$6:$CB$277,'свод практик'!$J$6:$J$277,'свод субъектов ИБ+смежные'!AI$1)</f>
        <v>96</v>
      </c>
      <c r="AJ92" s="36">
        <f>SUMIFS('свод практик'!$CB$6:$CB$277,'свод практик'!$J$6:$J$277,'свод субъектов ИБ+смежные'!AJ$1)</f>
        <v>0</v>
      </c>
      <c r="AK92" s="36">
        <f>SUMIFS('свод практик'!$CB$6:$CB$277,'свод практик'!$J$6:$J$277,'свод субъектов ИБ+смежные'!AK$1)</f>
        <v>0</v>
      </c>
      <c r="AL92" s="36">
        <f>SUMIFS('свод практик'!$CB$6:$CB$277,'свод практик'!$J$6:$J$277,'свод субъектов ИБ+смежные'!AL$1)</f>
        <v>0</v>
      </c>
      <c r="AM92" s="36">
        <f>SUMIFS('свод практик'!$CB$6:$CB$277,'свод практик'!$J$6:$J$277,'свод субъектов ИБ+смежные'!AM$1)</f>
        <v>2</v>
      </c>
      <c r="AN92" s="160">
        <f>SUMIFS('свод практик'!$CB$6:$CB$277,'свод практик'!$J$6:$J$277,'свод субъектов ИБ+смежные'!AN$1)</f>
        <v>0</v>
      </c>
      <c r="AO92" s="160">
        <f>SUMIFS('свод практик'!$CB$6:$CB$277,'свод практик'!$J$6:$J$277,'свод субъектов ИБ+смежные'!AO$1)</f>
        <v>0</v>
      </c>
      <c r="AP92" s="36">
        <f>SUMIFS('свод практик'!$CB$6:$CB$277,'свод практик'!$J$6:$J$277,'свод субъектов ИБ+смежные'!AP$1)</f>
        <v>4</v>
      </c>
      <c r="AQ92" s="36">
        <f>SUMIFS('свод практик'!$CB$6:$CB$277,'свод практик'!$J$6:$J$277,'свод субъектов ИБ+смежные'!AQ$1)</f>
        <v>0</v>
      </c>
      <c r="AR92" s="36">
        <f>SUMIFS('свод практик'!$CB$6:$CB$277,'свод практик'!$J$6:$J$277,'свод субъектов ИБ+смежные'!AR$1)</f>
        <v>8</v>
      </c>
      <c r="AS92" s="36">
        <f>SUMIFS('свод практик'!$CB$6:$CB$277,'свод практик'!$J$6:$J$277,'свод субъектов ИБ+смежные'!AS$1)</f>
        <v>2</v>
      </c>
      <c r="AT92" s="36">
        <f>SUMIFS('свод практик'!$CB$6:$CB$277,'свод практик'!$J$6:$J$277,'свод субъектов ИБ+смежные'!AT$1)</f>
        <v>0</v>
      </c>
      <c r="AU92" s="36">
        <f>SUMIFS('свод практик'!$CB$6:$CB$277,'свод практик'!$J$6:$J$277,'свод субъектов ИБ+смежные'!AU$1)</f>
        <v>0</v>
      </c>
      <c r="AV92" s="36">
        <f>SUMIFS('свод практик'!$CB$6:$CB$277,'свод практик'!$J$6:$J$277,'свод субъектов ИБ+смежные'!AV$1)</f>
        <v>0</v>
      </c>
      <c r="AW92" s="36">
        <f>SUMIFS('свод практик'!$CB$6:$CB$277,'свод практик'!$J$6:$J$277,'свод субъектов ИБ+смежные'!AW$1)</f>
        <v>0</v>
      </c>
      <c r="AX92" s="36">
        <f>SUMIFS('свод практик'!$CB$6:$CB$277,'свод практик'!$J$6:$J$277,'свод субъектов ИБ+смежные'!AX$1)</f>
        <v>0</v>
      </c>
      <c r="AY92" s="160">
        <f>SUMIFS('свод практик'!$CB$6:$CB$277,'свод практик'!$J$6:$J$277,'свод субъектов ИБ+смежные'!AY$1)</f>
        <v>0</v>
      </c>
      <c r="AZ92" s="36">
        <f>SUMIFS('свод практик'!$CB$6:$CB$277,'свод практик'!$J$6:$J$277,'свод субъектов ИБ+смежные'!AZ$1)</f>
        <v>25</v>
      </c>
      <c r="BA92" s="36">
        <f>SUMIFS('свод практик'!$CB$6:$CB$277,'свод практик'!$J$6:$J$277,'свод субъектов ИБ+смежные'!BA$1)</f>
        <v>0</v>
      </c>
      <c r="BB92" s="160">
        <f>SUMIFS('свод практик'!$CB$6:$CB$277,'свод практик'!$J$6:$J$277,'свод субъектов ИБ+смежные'!BB$1)</f>
        <v>0</v>
      </c>
      <c r="BC92" s="36">
        <f>SUMIFS('свод практик'!$CB$6:$CB$277,'свод практик'!$J$6:$J$277,'свод субъектов ИБ+смежные'!BC$1)</f>
        <v>0</v>
      </c>
      <c r="BD92" s="160">
        <f>SUMIFS('свод практик'!$CB$6:$CB$277,'свод практик'!$J$6:$J$277,'свод субъектов ИБ+смежные'!BD$1)</f>
        <v>0</v>
      </c>
      <c r="BE92" s="160">
        <f>SUMIFS('свод практик'!$CB$6:$CB$277,'свод практик'!$J$6:$J$277,'свод субъектов ИБ+смежные'!BE$1)</f>
        <v>0</v>
      </c>
      <c r="BF92" s="36">
        <f>SUMIFS('свод практик'!$CB$6:$CB$277,'свод практик'!$J$6:$J$277,'свод субъектов ИБ+смежные'!BF$1)</f>
        <v>0</v>
      </c>
      <c r="BG92" s="36">
        <f>SUMIFS('свод практик'!$CB$6:$CB$277,'свод практик'!$J$6:$J$277,'свод субъектов ИБ+смежные'!BG$1)</f>
        <v>0</v>
      </c>
      <c r="BH92" s="36">
        <f>SUMIFS('свод практик'!$CB$6:$CB$277,'свод практик'!$J$6:$J$277,'свод субъектов ИБ+смежные'!BH$1)</f>
        <v>0</v>
      </c>
      <c r="BI92" s="36">
        <f>SUMIFS('свод практик'!$CB$6:$CB$277,'свод практик'!$J$6:$J$277,'свод субъектов ИБ+смежные'!BI$1)</f>
        <v>3</v>
      </c>
      <c r="BJ92" s="36">
        <f>SUMIFS('свод практик'!$CB$6:$CB$277,'свод практик'!$J$6:$J$277,'свод субъектов ИБ+смежные'!BJ$1)</f>
        <v>5</v>
      </c>
      <c r="BK92" s="36">
        <f>SUMIFS('свод практик'!$CB$6:$CB$277,'свод практик'!$J$6:$J$277,'свод субъектов ИБ+смежные'!BK$1)</f>
        <v>0</v>
      </c>
      <c r="BL92" s="36">
        <f>SUMIFS('свод практик'!$CB$6:$CB$277,'свод практик'!$J$6:$J$277,'свод субъектов ИБ+смежные'!BL$1)</f>
        <v>0</v>
      </c>
      <c r="BM92" s="36">
        <f>SUMIFS('свод практик'!$CB$6:$CB$277,'свод практик'!$J$6:$J$277,'свод субъектов ИБ+смежные'!BM$1)</f>
        <v>0</v>
      </c>
      <c r="BN92" s="36">
        <f>SUMIFS('свод практик'!$CB$6:$CB$277,'свод практик'!$J$6:$J$277,'свод субъектов ИБ+смежные'!BN$1)</f>
        <v>0</v>
      </c>
      <c r="BO92" s="36">
        <f>SUMIFS('свод практик'!$CB$6:$CB$277,'свод практик'!$J$6:$J$277,'свод субъектов ИБ+смежные'!BO$1)</f>
        <v>0</v>
      </c>
      <c r="BP92" s="36">
        <f>SUMIFS('свод практик'!$CB$6:$CB$277,'свод практик'!$J$6:$J$277,'свод субъектов ИБ+смежные'!BP$1)</f>
        <v>0</v>
      </c>
      <c r="BQ92" s="160">
        <f>SUMIFS('свод практик'!$CB$6:$CB$277,'свод практик'!$J$6:$J$277,'свод субъектов ИБ+смежные'!BQ$1)</f>
        <v>0</v>
      </c>
      <c r="BR92" s="36">
        <f>SUMIFS('свод практик'!$CB$6:$CB$277,'свод практик'!$J$6:$J$277,'свод субъектов ИБ+смежные'!BR$1)</f>
        <v>0</v>
      </c>
      <c r="BS92" s="36">
        <f>SUMIFS('свод практик'!$CB$6:$CB$277,'свод практик'!$J$6:$J$277,'свод субъектов ИБ+смежные'!BS$1)</f>
        <v>0</v>
      </c>
      <c r="BT92" s="36">
        <f>SUMIFS('свод практик'!$CB$6:$CB$277,'свод практик'!$J$6:$J$277,'свод субъектов ИБ+смежные'!BT$1)</f>
        <v>0</v>
      </c>
      <c r="BU92" s="36">
        <f>SUMIFS('свод практик'!$CB$6:$CB$277,'свод практик'!$J$6:$J$277,'свод субъектов ИБ+смежные'!BU$1)</f>
        <v>0</v>
      </c>
      <c r="BV92" s="36">
        <f>SUMIFS('свод практик'!$CB$6:$CB$277,'свод практик'!$J$6:$J$277,'свод субъектов ИБ+смежные'!BV$1)</f>
        <v>0</v>
      </c>
      <c r="BW92" s="36">
        <f>SUMIFS('свод практик'!$CB$6:$CB$277,'свод практик'!$J$6:$J$277,'свод субъектов ИБ+смежные'!BW$1)</f>
        <v>1</v>
      </c>
      <c r="BX92" s="36">
        <f>SUMIFS('свод практик'!$CB$6:$CB$277,'свод практик'!$J$6:$J$277,'свод субъектов ИБ+смежные'!BX$1)</f>
        <v>2</v>
      </c>
      <c r="BY92" s="36">
        <f>SUMIFS('свод практик'!$CB$6:$CB$277,'свод практик'!$J$6:$J$277,'свод субъектов ИБ+смежные'!BY$1)</f>
        <v>0</v>
      </c>
      <c r="BZ92" s="36">
        <f>SUMIFS('свод практик'!$CB$6:$CB$277,'свод практик'!$J$6:$J$277,'свод субъектов ИБ+смежные'!BZ$1)</f>
        <v>0</v>
      </c>
      <c r="CA92" s="160">
        <f>SUMIFS('свод практик'!$CB$6:$CB$277,'свод практик'!$J$6:$J$277,'свод субъектов ИБ+смежные'!CA$1)</f>
        <v>0</v>
      </c>
      <c r="CB92" s="160">
        <f>SUMIFS('свод практик'!$CB$6:$CB$277,'свод практик'!$J$6:$J$277,'свод субъектов ИБ+смежные'!CB$1)</f>
        <v>0</v>
      </c>
      <c r="CC92" s="36">
        <f>SUMIFS('свод практик'!$CB$6:$CB$277,'свод практик'!$J$6:$J$277,'свод субъектов ИБ+смежные'!CC$1)</f>
        <v>0</v>
      </c>
      <c r="CD92" s="36">
        <f>SUMIFS('свод практик'!$CB$6:$CB$277,'свод практик'!$J$6:$J$277,'свод субъектов ИБ+смежные'!CD$1)</f>
        <v>8</v>
      </c>
      <c r="CE92" s="36">
        <f>SUMIFS('свод практик'!$CB$6:$CB$277,'свод практик'!$J$6:$J$277,'свод субъектов ИБ+смежные'!CE$1)</f>
        <v>2</v>
      </c>
      <c r="CF92" s="36">
        <f>SUMIFS('свод практик'!$CB$6:$CB$277,'свод практик'!$J$6:$J$277,'свод субъектов ИБ+смежные'!CF$1)</f>
        <v>198</v>
      </c>
      <c r="CG92" s="36">
        <f>SUMIFS('свод практик'!$CB$6:$CB$277,'свод практик'!$J$6:$J$277,'свод субъектов ИБ+смежные'!CG$1)</f>
        <v>0</v>
      </c>
      <c r="CH92" s="36">
        <f>SUMIFS('свод практик'!$CB$6:$CB$277,'свод практик'!$J$6:$J$277,'свод субъектов ИБ+смежные'!CH$1)</f>
        <v>0</v>
      </c>
      <c r="CI92" s="36">
        <f>SUMIFS('свод практик'!$CB$6:$CB$277,'свод практик'!$J$6:$J$277,'свод субъектов ИБ+смежные'!CI$1)</f>
        <v>0</v>
      </c>
      <c r="CJ92" s="160">
        <f>SUMIFS('свод практик'!$CB$6:$CB$277,'свод практик'!$J$6:$J$277,'свод субъектов ИБ+смежные'!CJ$1)</f>
        <v>0</v>
      </c>
      <c r="CK92" s="36">
        <f>SUMIFS('свод практик'!$CB$6:$CB$277,'свод практик'!$J$6:$J$277,'свод субъектов ИБ+смежные'!CK$1)</f>
        <v>0</v>
      </c>
      <c r="CL92" s="36">
        <f>SUMIFS('свод практик'!$CB$6:$CB$277,'свод практик'!$J$6:$J$277,'свод субъектов ИБ+смежные'!CL$1)</f>
        <v>1</v>
      </c>
      <c r="CM92" s="36">
        <f>SUMIFS('свод практик'!$CB$6:$CB$277,'свод практик'!$J$6:$J$277,'свод субъектов ИБ+смежные'!CM$1)</f>
        <v>2</v>
      </c>
      <c r="CN92" s="36">
        <f>SUMIFS('свод практик'!$CB$6:$CB$277,'свод практик'!$J$6:$J$277,'свод субъектов ИБ+смежные'!CN$1)</f>
        <v>1</v>
      </c>
      <c r="CO92" s="160">
        <f>SUMIFS('свод практик'!$CB$6:$CB$277,'свод практик'!$J$6:$J$277,'свод субъектов ИБ+смежные'!CO$1)</f>
        <v>0</v>
      </c>
      <c r="CP92" s="36">
        <f>SUMIFS('свод практик'!$CB$6:$CB$277,'свод практик'!$J$6:$J$277,'свод субъектов ИБ+смежные'!CP$1)</f>
        <v>1</v>
      </c>
      <c r="CQ92" s="36">
        <f>SUMIFS('свод практик'!$CB$6:$CB$277,'свод практик'!$J$6:$J$277,'свод субъектов ИБ+смежные'!CQ$1)</f>
        <v>0</v>
      </c>
      <c r="CR92" s="160">
        <f>SUMIFS('свод практик'!$CB$6:$CB$277,'свод практик'!$J$6:$J$277,'свод субъектов ИБ+смежные'!CR$1)</f>
        <v>0</v>
      </c>
      <c r="CS92" s="36">
        <f>SUMIFS('свод практик'!$CB$6:$CB$277,'свод практик'!$J$6:$J$277,'свод субъектов ИБ+смежные'!CS$1)</f>
        <v>1</v>
      </c>
      <c r="CT92" s="36">
        <f>SUMIFS('свод практик'!$CB$6:$CB$277,'свод практик'!$J$6:$J$277,'свод субъектов ИБ+смежные'!CT$1)</f>
        <v>0</v>
      </c>
      <c r="CU92" s="36">
        <f>SUMIFS('свод практик'!$CB$6:$CB$277,'свод практик'!$J$6:$J$277,'свод субъектов ИБ+смежные'!CU$1)</f>
        <v>0</v>
      </c>
      <c r="CV92" s="36">
        <f>SUMIFS('свод практик'!$CB$6:$CB$277,'свод практик'!$J$6:$J$277,'свод субъектов ИБ+смежные'!CV$1)</f>
        <v>4</v>
      </c>
    </row>
    <row r="93" spans="1:100" ht="14">
      <c r="A93" s="716"/>
      <c r="B93" s="716"/>
      <c r="C93" s="773"/>
      <c r="D93" s="42" t="s">
        <v>4949</v>
      </c>
      <c r="E93" s="42">
        <v>59</v>
      </c>
      <c r="F93" s="43" t="s">
        <v>5150</v>
      </c>
      <c r="G93" s="762"/>
      <c r="H93" s="45" t="s">
        <v>60</v>
      </c>
      <c r="I93" s="46"/>
      <c r="L93" s="36" t="s">
        <v>278</v>
      </c>
      <c r="M93" s="36">
        <v>2.7349140634801154E-2</v>
      </c>
      <c r="N93" s="36">
        <v>2.6671615674213903E-2</v>
      </c>
      <c r="O93" s="228">
        <f>O92/O126</f>
        <v>2.6097706148985853E-2</v>
      </c>
      <c r="P93" s="145">
        <f t="shared" ref="P93:CA93" si="49">P92/P126</f>
        <v>0</v>
      </c>
      <c r="Q93" s="145">
        <f t="shared" si="49"/>
        <v>0</v>
      </c>
      <c r="R93" s="145">
        <f t="shared" si="49"/>
        <v>0</v>
      </c>
      <c r="S93" s="145">
        <f t="shared" si="49"/>
        <v>0</v>
      </c>
      <c r="T93" s="145">
        <f t="shared" si="49"/>
        <v>5.675675675675676E-2</v>
      </c>
      <c r="U93" s="145">
        <f t="shared" si="49"/>
        <v>0</v>
      </c>
      <c r="V93" s="145">
        <f t="shared" si="49"/>
        <v>1.2104646622413119E-2</v>
      </c>
      <c r="W93" s="145">
        <f t="shared" si="49"/>
        <v>7.0422535211267607E-3</v>
      </c>
      <c r="X93" s="145">
        <f t="shared" si="49"/>
        <v>0</v>
      </c>
      <c r="Y93" s="145">
        <f t="shared" si="49"/>
        <v>6.4516129032258063E-2</v>
      </c>
      <c r="Z93" s="145">
        <f t="shared" si="49"/>
        <v>0</v>
      </c>
      <c r="AA93" s="145">
        <f t="shared" si="49"/>
        <v>1.0752688172043012E-2</v>
      </c>
      <c r="AB93" s="145">
        <f t="shared" si="49"/>
        <v>9.182530795072788E-2</v>
      </c>
      <c r="AC93" s="145">
        <f t="shared" si="49"/>
        <v>0</v>
      </c>
      <c r="AD93" s="145" t="e">
        <f t="shared" si="49"/>
        <v>#DIV/0!</v>
      </c>
      <c r="AE93" s="145" t="e">
        <f t="shared" si="49"/>
        <v>#DIV/0!</v>
      </c>
      <c r="AF93" s="145">
        <f t="shared" si="49"/>
        <v>0</v>
      </c>
      <c r="AG93" s="145" t="e">
        <f t="shared" si="49"/>
        <v>#DIV/0!</v>
      </c>
      <c r="AH93" s="145" t="e">
        <f t="shared" si="49"/>
        <v>#DIV/0!</v>
      </c>
      <c r="AI93" s="145">
        <f t="shared" si="49"/>
        <v>5.647058823529412E-2</v>
      </c>
      <c r="AJ93" s="145">
        <f t="shared" si="49"/>
        <v>0</v>
      </c>
      <c r="AK93" s="145">
        <f t="shared" si="49"/>
        <v>0</v>
      </c>
      <c r="AL93" s="145">
        <f t="shared" si="49"/>
        <v>0</v>
      </c>
      <c r="AM93" s="145">
        <f t="shared" si="49"/>
        <v>1.1764705882352941E-2</v>
      </c>
      <c r="AN93" s="145" t="e">
        <f t="shared" si="49"/>
        <v>#DIV/0!</v>
      </c>
      <c r="AO93" s="145" t="e">
        <f t="shared" si="49"/>
        <v>#DIV/0!</v>
      </c>
      <c r="AP93" s="145">
        <f t="shared" si="49"/>
        <v>2.6490066225165563E-2</v>
      </c>
      <c r="AQ93" s="145">
        <f t="shared" si="49"/>
        <v>0</v>
      </c>
      <c r="AR93" s="145">
        <f t="shared" si="49"/>
        <v>2.2408963585434174E-2</v>
      </c>
      <c r="AS93" s="145">
        <f t="shared" si="49"/>
        <v>7.246376811594203E-3</v>
      </c>
      <c r="AT93" s="145">
        <f t="shared" si="49"/>
        <v>0</v>
      </c>
      <c r="AU93" s="145">
        <f t="shared" si="49"/>
        <v>0</v>
      </c>
      <c r="AV93" s="145">
        <f t="shared" si="49"/>
        <v>0</v>
      </c>
      <c r="AW93" s="145">
        <f t="shared" si="49"/>
        <v>0</v>
      </c>
      <c r="AX93" s="145">
        <f t="shared" si="49"/>
        <v>0</v>
      </c>
      <c r="AY93" s="162" t="e">
        <f t="shared" si="49"/>
        <v>#DIV/0!</v>
      </c>
      <c r="AZ93" s="145">
        <f t="shared" si="49"/>
        <v>4.118616144975288E-2</v>
      </c>
      <c r="BA93" s="145">
        <f t="shared" si="49"/>
        <v>0</v>
      </c>
      <c r="BB93" s="162" t="e">
        <f t="shared" si="49"/>
        <v>#DIV/0!</v>
      </c>
      <c r="BC93" s="145">
        <f t="shared" si="49"/>
        <v>0</v>
      </c>
      <c r="BD93" s="162" t="e">
        <f t="shared" si="49"/>
        <v>#DIV/0!</v>
      </c>
      <c r="BE93" s="162" t="e">
        <f t="shared" si="49"/>
        <v>#DIV/0!</v>
      </c>
      <c r="BF93" s="145">
        <f t="shared" si="49"/>
        <v>0</v>
      </c>
      <c r="BG93" s="145">
        <f t="shared" si="49"/>
        <v>0</v>
      </c>
      <c r="BH93" s="145">
        <f t="shared" si="49"/>
        <v>0</v>
      </c>
      <c r="BI93" s="145">
        <f t="shared" si="49"/>
        <v>5.0590219224283303E-3</v>
      </c>
      <c r="BJ93" s="145">
        <f t="shared" si="49"/>
        <v>1.1467889908256881E-2</v>
      </c>
      <c r="BK93" s="145">
        <f t="shared" si="49"/>
        <v>0</v>
      </c>
      <c r="BL93" s="145">
        <f t="shared" si="49"/>
        <v>0</v>
      </c>
      <c r="BM93" s="145">
        <f t="shared" si="49"/>
        <v>0</v>
      </c>
      <c r="BN93" s="145">
        <f t="shared" si="49"/>
        <v>0</v>
      </c>
      <c r="BO93" s="145">
        <f t="shared" si="49"/>
        <v>0</v>
      </c>
      <c r="BP93" s="145">
        <f t="shared" si="49"/>
        <v>0</v>
      </c>
      <c r="BQ93" s="145" t="e">
        <f t="shared" si="49"/>
        <v>#DIV/0!</v>
      </c>
      <c r="BR93" s="145">
        <f t="shared" si="49"/>
        <v>0</v>
      </c>
      <c r="BS93" s="145">
        <f t="shared" si="49"/>
        <v>0</v>
      </c>
      <c r="BT93" s="145">
        <f t="shared" si="49"/>
        <v>0</v>
      </c>
      <c r="BU93" s="145">
        <f t="shared" si="49"/>
        <v>0</v>
      </c>
      <c r="BV93" s="145">
        <f t="shared" si="49"/>
        <v>0</v>
      </c>
      <c r="BW93" s="145">
        <f t="shared" si="49"/>
        <v>9.0909090909090905E-3</v>
      </c>
      <c r="BX93" s="145">
        <f t="shared" si="49"/>
        <v>4.5146726862302479E-3</v>
      </c>
      <c r="BY93" s="145">
        <f t="shared" si="49"/>
        <v>0</v>
      </c>
      <c r="BZ93" s="145">
        <f t="shared" si="49"/>
        <v>0</v>
      </c>
      <c r="CA93" s="145" t="e">
        <f t="shared" si="49"/>
        <v>#DIV/0!</v>
      </c>
      <c r="CB93" s="145" t="e">
        <f t="shared" ref="CB93:CV93" si="50">CB92/CB126</f>
        <v>#DIV/0!</v>
      </c>
      <c r="CC93" s="145">
        <f t="shared" si="50"/>
        <v>0</v>
      </c>
      <c r="CD93" s="145">
        <f t="shared" si="50"/>
        <v>3.1746031746031744E-2</v>
      </c>
      <c r="CE93" s="145">
        <f t="shared" si="50"/>
        <v>3.6832412523020259E-3</v>
      </c>
      <c r="CF93" s="145">
        <f t="shared" si="50"/>
        <v>6.9279216235129462E-2</v>
      </c>
      <c r="CG93" s="145">
        <f t="shared" si="50"/>
        <v>0</v>
      </c>
      <c r="CH93" s="145">
        <f t="shared" si="50"/>
        <v>0</v>
      </c>
      <c r="CI93" s="145">
        <f t="shared" si="50"/>
        <v>0</v>
      </c>
      <c r="CJ93" s="145" t="e">
        <f t="shared" si="50"/>
        <v>#DIV/0!</v>
      </c>
      <c r="CK93" s="145">
        <f t="shared" si="50"/>
        <v>0</v>
      </c>
      <c r="CL93" s="145">
        <f t="shared" si="50"/>
        <v>9.1743119266055051E-3</v>
      </c>
      <c r="CM93" s="145">
        <f t="shared" si="50"/>
        <v>1.3605442176870748E-2</v>
      </c>
      <c r="CN93" s="145">
        <f t="shared" si="50"/>
        <v>4.0160642570281121E-3</v>
      </c>
      <c r="CO93" s="145" t="e">
        <f t="shared" si="50"/>
        <v>#DIV/0!</v>
      </c>
      <c r="CP93" s="145">
        <f t="shared" si="50"/>
        <v>3.6496350364963502E-3</v>
      </c>
      <c r="CQ93" s="145">
        <f t="shared" si="50"/>
        <v>0</v>
      </c>
      <c r="CR93" s="145" t="e">
        <f t="shared" si="50"/>
        <v>#DIV/0!</v>
      </c>
      <c r="CS93" s="145">
        <f t="shared" si="50"/>
        <v>1.5105740181268882E-3</v>
      </c>
      <c r="CT93" s="145">
        <f t="shared" si="50"/>
        <v>0</v>
      </c>
      <c r="CU93" s="145">
        <f t="shared" si="50"/>
        <v>0</v>
      </c>
      <c r="CV93" s="145">
        <f t="shared" si="50"/>
        <v>8.0482897384305842E-3</v>
      </c>
    </row>
    <row r="94" spans="1:100" ht="14">
      <c r="A94" s="716"/>
      <c r="B94" s="716"/>
      <c r="C94" s="773"/>
      <c r="D94" s="42" t="s">
        <v>4949</v>
      </c>
      <c r="E94" s="42">
        <v>60</v>
      </c>
      <c r="F94" s="43" t="s">
        <v>5151</v>
      </c>
      <c r="G94" s="762" t="s">
        <v>5152</v>
      </c>
      <c r="H94" s="45" t="s">
        <v>5140</v>
      </c>
      <c r="I94" s="46"/>
      <c r="M94" s="36">
        <v>36</v>
      </c>
      <c r="N94" s="36">
        <v>18</v>
      </c>
      <c r="O94" s="224">
        <f>SUM(P94:CV94)</f>
        <v>15</v>
      </c>
      <c r="P94" s="36">
        <f>SUMIFS('свод практик'!$CC$6:$CC$277,'свод практик'!$J$6:$J$277,'свод субъектов ИБ+смежные'!P$1)</f>
        <v>0</v>
      </c>
      <c r="Q94" s="36">
        <f>SUMIFS('свод практик'!$CC$6:$CC$277,'свод практик'!$J$6:$J$277,'свод субъектов ИБ+смежные'!Q$1)</f>
        <v>0</v>
      </c>
      <c r="R94" s="36">
        <f>SUMIFS('свод практик'!$CC$6:$CC$277,'свод практик'!$J$6:$J$277,'свод субъектов ИБ+смежные'!R$1)</f>
        <v>0</v>
      </c>
      <c r="S94" s="36">
        <f>SUMIFS('свод практик'!$CC$6:$CC$277,'свод практик'!$J$6:$J$277,'свод субъектов ИБ+смежные'!S$1)</f>
        <v>0</v>
      </c>
      <c r="T94" s="36">
        <f>SUMIFS('свод практик'!$CC$6:$CC$277,'свод практик'!$J$6:$J$277,'свод субъектов ИБ+смежные'!T$1)</f>
        <v>0</v>
      </c>
      <c r="U94" s="36">
        <f>SUMIFS('свод практик'!$CC$6:$CC$277,'свод практик'!$J$6:$J$277,'свод субъектов ИБ+смежные'!U$1)</f>
        <v>0</v>
      </c>
      <c r="V94" s="36">
        <f>SUMIFS('свод практик'!$CC$6:$CC$277,'свод практик'!$J$6:$J$277,'свод субъектов ИБ+смежные'!V$1)</f>
        <v>1</v>
      </c>
      <c r="W94" s="36">
        <f>SUMIFS('свод практик'!$CC$6:$CC$277,'свод практик'!$J$6:$J$277,'свод субъектов ИБ+смежные'!W$1)</f>
        <v>0</v>
      </c>
      <c r="X94" s="36">
        <f>SUMIFS('свод практик'!$CC$6:$CC$277,'свод практик'!$J$6:$J$277,'свод субъектов ИБ+смежные'!X$1)</f>
        <v>0</v>
      </c>
      <c r="Y94" s="36">
        <f>SUMIFS('свод практик'!$CC$6:$CC$277,'свод практик'!$J$6:$J$277,'свод субъектов ИБ+смежные'!Y$1)</f>
        <v>0</v>
      </c>
      <c r="Z94" s="36">
        <f>SUMIFS('свод практик'!$CC$6:$CC$277,'свод практик'!$J$6:$J$277,'свод субъектов ИБ+смежные'!Z$1)</f>
        <v>0</v>
      </c>
      <c r="AA94" s="36">
        <f>SUMIFS('свод практик'!$CC$6:$CC$277,'свод практик'!$J$6:$J$277,'свод субъектов ИБ+смежные'!AA$1)</f>
        <v>0</v>
      </c>
      <c r="AB94" s="36">
        <f>SUMIFS('свод практик'!$CC$6:$CC$277,'свод практик'!$J$6:$J$277,'свод субъектов ИБ+смежные'!AB$1)</f>
        <v>2</v>
      </c>
      <c r="AC94" s="36">
        <f>SUMIFS('свод практик'!$CC$6:$CC$277,'свод практик'!$J$6:$J$277,'свод субъектов ИБ+смежные'!AC$1)</f>
        <v>0</v>
      </c>
      <c r="AD94" s="160">
        <f>SUMIFS('свод практик'!$CC$6:$CC$277,'свод практик'!$J$6:$J$277,'свод субъектов ИБ+смежные'!AD$1)</f>
        <v>0</v>
      </c>
      <c r="AE94" s="160">
        <f>SUMIFS('свод практик'!$CC$6:$CC$277,'свод практик'!$J$6:$J$277,'свод субъектов ИБ+смежные'!AE$1)</f>
        <v>0</v>
      </c>
      <c r="AF94" s="36">
        <f>SUMIFS('свод практик'!$CC$6:$CC$277,'свод практик'!$J$6:$J$277,'свод субъектов ИБ+смежные'!AF$1)</f>
        <v>0</v>
      </c>
      <c r="AG94" s="160">
        <f>SUMIFS('свод практик'!$CC$6:$CC$277,'свод практик'!$J$6:$J$277,'свод субъектов ИБ+смежные'!AG$1)</f>
        <v>0</v>
      </c>
      <c r="AH94" s="160">
        <f>SUMIFS('свод практик'!$CC$6:$CC$277,'свод практик'!$J$6:$J$277,'свод субъектов ИБ+смежные'!AH$1)</f>
        <v>0</v>
      </c>
      <c r="AI94" s="36">
        <f>SUMIFS('свод практик'!$CC$6:$CC$277,'свод практик'!$J$6:$J$277,'свод субъектов ИБ+смежные'!AI$1)</f>
        <v>0</v>
      </c>
      <c r="AJ94" s="36">
        <f>SUMIFS('свод практик'!$CC$6:$CC$277,'свод практик'!$J$6:$J$277,'свод субъектов ИБ+смежные'!AJ$1)</f>
        <v>0</v>
      </c>
      <c r="AK94" s="36">
        <f>SUMIFS('свод практик'!$CC$6:$CC$277,'свод практик'!$J$6:$J$277,'свод субъектов ИБ+смежные'!AK$1)</f>
        <v>0</v>
      </c>
      <c r="AL94" s="36">
        <f>SUMIFS('свод практик'!$CC$6:$CC$277,'свод практик'!$J$6:$J$277,'свод субъектов ИБ+смежные'!AL$1)</f>
        <v>0</v>
      </c>
      <c r="AM94" s="36">
        <f>SUMIFS('свод практик'!$CC$6:$CC$277,'свод практик'!$J$6:$J$277,'свод субъектов ИБ+смежные'!AM$1)</f>
        <v>4</v>
      </c>
      <c r="AN94" s="160">
        <f>SUMIFS('свод практик'!$CC$6:$CC$277,'свод практик'!$J$6:$J$277,'свод субъектов ИБ+смежные'!AN$1)</f>
        <v>0</v>
      </c>
      <c r="AO94" s="160">
        <f>SUMIFS('свод практик'!$CC$6:$CC$277,'свод практик'!$J$6:$J$277,'свод субъектов ИБ+смежные'!AO$1)</f>
        <v>0</v>
      </c>
      <c r="AP94" s="36">
        <f>SUMIFS('свод практик'!$CC$6:$CC$277,'свод практик'!$J$6:$J$277,'свод субъектов ИБ+смежные'!AP$1)</f>
        <v>0</v>
      </c>
      <c r="AQ94" s="36">
        <f>SUMIFS('свод практик'!$CC$6:$CC$277,'свод практик'!$J$6:$J$277,'свод субъектов ИБ+смежные'!AQ$1)</f>
        <v>0</v>
      </c>
      <c r="AR94" s="36">
        <f>SUMIFS('свод практик'!$CC$6:$CC$277,'свод практик'!$J$6:$J$277,'свод субъектов ИБ+смежные'!AR$1)</f>
        <v>0</v>
      </c>
      <c r="AS94" s="36">
        <f>SUMIFS('свод практик'!$CC$6:$CC$277,'свод практик'!$J$6:$J$277,'свод субъектов ИБ+смежные'!AS$1)</f>
        <v>0</v>
      </c>
      <c r="AT94" s="36">
        <f>SUMIFS('свод практик'!$CC$6:$CC$277,'свод практик'!$J$6:$J$277,'свод субъектов ИБ+смежные'!AT$1)</f>
        <v>0</v>
      </c>
      <c r="AU94" s="36">
        <f>SUMIFS('свод практик'!$CC$6:$CC$277,'свод практик'!$J$6:$J$277,'свод субъектов ИБ+смежные'!AU$1)</f>
        <v>0</v>
      </c>
      <c r="AV94" s="36">
        <f>SUMIFS('свод практик'!$CC$6:$CC$277,'свод практик'!$J$6:$J$277,'свод субъектов ИБ+смежные'!AV$1)</f>
        <v>0</v>
      </c>
      <c r="AW94" s="36">
        <f>SUMIFS('свод практик'!$CC$6:$CC$277,'свод практик'!$J$6:$J$277,'свод субъектов ИБ+смежные'!AW$1)</f>
        <v>0</v>
      </c>
      <c r="AX94" s="36">
        <f>SUMIFS('свод практик'!$CC$6:$CC$277,'свод практик'!$J$6:$J$277,'свод субъектов ИБ+смежные'!AX$1)</f>
        <v>0</v>
      </c>
      <c r="AY94" s="160">
        <f>SUMIFS('свод практик'!$CC$6:$CC$277,'свод практик'!$J$6:$J$277,'свод субъектов ИБ+смежные'!AY$1)</f>
        <v>0</v>
      </c>
      <c r="AZ94" s="36">
        <f>SUMIFS('свод практик'!$CC$6:$CC$277,'свод практик'!$J$6:$J$277,'свод субъектов ИБ+смежные'!AZ$1)</f>
        <v>4</v>
      </c>
      <c r="BA94" s="36">
        <f>SUMIFS('свод практик'!$CC$6:$CC$277,'свод практик'!$J$6:$J$277,'свод субъектов ИБ+смежные'!BA$1)</f>
        <v>0</v>
      </c>
      <c r="BB94" s="160">
        <f>SUMIFS('свод практик'!$CC$6:$CC$277,'свод практик'!$J$6:$J$277,'свод субъектов ИБ+смежные'!BB$1)</f>
        <v>0</v>
      </c>
      <c r="BC94" s="36">
        <f>SUMIFS('свод практик'!$CC$6:$CC$277,'свод практик'!$J$6:$J$277,'свод субъектов ИБ+смежные'!BC$1)</f>
        <v>0</v>
      </c>
      <c r="BD94" s="160">
        <f>SUMIFS('свод практик'!$CC$6:$CC$277,'свод практик'!$J$6:$J$277,'свод субъектов ИБ+смежные'!BD$1)</f>
        <v>0</v>
      </c>
      <c r="BE94" s="160">
        <f>SUMIFS('свод практик'!$CC$6:$CC$277,'свод практик'!$J$6:$J$277,'свод субъектов ИБ+смежные'!BE$1)</f>
        <v>0</v>
      </c>
      <c r="BF94" s="36">
        <f>SUMIFS('свод практик'!$CC$6:$CC$277,'свод практик'!$J$6:$J$277,'свод субъектов ИБ+смежные'!BF$1)</f>
        <v>0</v>
      </c>
      <c r="BG94" s="36">
        <f>SUMIFS('свод практик'!$CC$6:$CC$277,'свод практик'!$J$6:$J$277,'свод субъектов ИБ+смежные'!BG$1)</f>
        <v>0</v>
      </c>
      <c r="BH94" s="36">
        <f>SUMIFS('свод практик'!$CC$6:$CC$277,'свод практик'!$J$6:$J$277,'свод субъектов ИБ+смежные'!BH$1)</f>
        <v>0</v>
      </c>
      <c r="BI94" s="36">
        <f>SUMIFS('свод практик'!$CC$6:$CC$277,'свод практик'!$J$6:$J$277,'свод субъектов ИБ+смежные'!BI$1)</f>
        <v>0</v>
      </c>
      <c r="BJ94" s="36">
        <f>SUMIFS('свод практик'!$CC$6:$CC$277,'свод практик'!$J$6:$J$277,'свод субъектов ИБ+смежные'!BJ$1)</f>
        <v>0</v>
      </c>
      <c r="BK94" s="36">
        <f>SUMIFS('свод практик'!$CC$6:$CC$277,'свод практик'!$J$6:$J$277,'свод субъектов ИБ+смежные'!BK$1)</f>
        <v>0</v>
      </c>
      <c r="BL94" s="36">
        <f>SUMIFS('свод практик'!$CC$6:$CC$277,'свод практик'!$J$6:$J$277,'свод субъектов ИБ+смежные'!BL$1)</f>
        <v>0</v>
      </c>
      <c r="BM94" s="36">
        <f>SUMIFS('свод практик'!$CC$6:$CC$277,'свод практик'!$J$6:$J$277,'свод субъектов ИБ+смежные'!BM$1)</f>
        <v>0</v>
      </c>
      <c r="BN94" s="36">
        <f>SUMIFS('свод практик'!$CC$6:$CC$277,'свод практик'!$J$6:$J$277,'свод субъектов ИБ+смежные'!BN$1)</f>
        <v>0</v>
      </c>
      <c r="BO94" s="36">
        <f>SUMIFS('свод практик'!$CC$6:$CC$277,'свод практик'!$J$6:$J$277,'свод субъектов ИБ+смежные'!BO$1)</f>
        <v>0</v>
      </c>
      <c r="BP94" s="36">
        <f>SUMIFS('свод практик'!$CC$6:$CC$277,'свод практик'!$J$6:$J$277,'свод субъектов ИБ+смежные'!BP$1)</f>
        <v>0</v>
      </c>
      <c r="BQ94" s="160">
        <f>SUMIFS('свод практик'!$CC$6:$CC$277,'свод практик'!$J$6:$J$277,'свод субъектов ИБ+смежные'!BQ$1)</f>
        <v>0</v>
      </c>
      <c r="BR94" s="36">
        <f>SUMIFS('свод практик'!$CC$6:$CC$277,'свод практик'!$J$6:$J$277,'свод субъектов ИБ+смежные'!BR$1)</f>
        <v>0</v>
      </c>
      <c r="BS94" s="36">
        <f>SUMIFS('свод практик'!$CC$6:$CC$277,'свод практик'!$J$6:$J$277,'свод субъектов ИБ+смежные'!BS$1)</f>
        <v>0</v>
      </c>
      <c r="BT94" s="36">
        <f>SUMIFS('свод практик'!$CC$6:$CC$277,'свод практик'!$J$6:$J$277,'свод субъектов ИБ+смежные'!BT$1)</f>
        <v>0</v>
      </c>
      <c r="BU94" s="36">
        <f>SUMIFS('свод практик'!$CC$6:$CC$277,'свод практик'!$J$6:$J$277,'свод субъектов ИБ+смежные'!BU$1)</f>
        <v>0</v>
      </c>
      <c r="BV94" s="36">
        <f>SUMIFS('свод практик'!$CC$6:$CC$277,'свод практик'!$J$6:$J$277,'свод субъектов ИБ+смежные'!BV$1)</f>
        <v>0</v>
      </c>
      <c r="BW94" s="36">
        <f>SUMIFS('свод практик'!$CC$6:$CC$277,'свод практик'!$J$6:$J$277,'свод субъектов ИБ+смежные'!BW$1)</f>
        <v>0</v>
      </c>
      <c r="BX94" s="36">
        <f>SUMIFS('свод практик'!$CC$6:$CC$277,'свод практик'!$J$6:$J$277,'свод субъектов ИБ+смежные'!BX$1)</f>
        <v>0</v>
      </c>
      <c r="BY94" s="36">
        <f>SUMIFS('свод практик'!$CC$6:$CC$277,'свод практик'!$J$6:$J$277,'свод субъектов ИБ+смежные'!BY$1)</f>
        <v>1</v>
      </c>
      <c r="BZ94" s="36">
        <f>SUMIFS('свод практик'!$CC$6:$CC$277,'свод практик'!$J$6:$J$277,'свод субъектов ИБ+смежные'!BZ$1)</f>
        <v>0</v>
      </c>
      <c r="CA94" s="160">
        <f>SUMIFS('свод практик'!$CC$6:$CC$277,'свод практик'!$J$6:$J$277,'свод субъектов ИБ+смежные'!CA$1)</f>
        <v>0</v>
      </c>
      <c r="CB94" s="160">
        <f>SUMIFS('свод практик'!$CC$6:$CC$277,'свод практик'!$J$6:$J$277,'свод субъектов ИБ+смежные'!CB$1)</f>
        <v>0</v>
      </c>
      <c r="CC94" s="36">
        <f>SUMIFS('свод практик'!$CC$6:$CC$277,'свод практик'!$J$6:$J$277,'свод субъектов ИБ+смежные'!CC$1)</f>
        <v>0</v>
      </c>
      <c r="CD94" s="36">
        <f>SUMIFS('свод практик'!$CC$6:$CC$277,'свод практик'!$J$6:$J$277,'свод субъектов ИБ+смежные'!CD$1)</f>
        <v>3</v>
      </c>
      <c r="CE94" s="36">
        <f>SUMIFS('свод практик'!$CC$6:$CC$277,'свод практик'!$J$6:$J$277,'свод субъектов ИБ+смежные'!CE$1)</f>
        <v>0</v>
      </c>
      <c r="CF94" s="36">
        <f>SUMIFS('свод практик'!$CC$6:$CC$277,'свод практик'!$J$6:$J$277,'свод субъектов ИБ+смежные'!CF$1)</f>
        <v>0</v>
      </c>
      <c r="CG94" s="36">
        <f>SUMIFS('свод практик'!$CC$6:$CC$277,'свод практик'!$J$6:$J$277,'свод субъектов ИБ+смежные'!CG$1)</f>
        <v>0</v>
      </c>
      <c r="CH94" s="36">
        <f>SUMIFS('свод практик'!$CC$6:$CC$277,'свод практик'!$J$6:$J$277,'свод субъектов ИБ+смежные'!CH$1)</f>
        <v>0</v>
      </c>
      <c r="CI94" s="36">
        <f>SUMIFS('свод практик'!$CC$6:$CC$277,'свод практик'!$J$6:$J$277,'свод субъектов ИБ+смежные'!CI$1)</f>
        <v>0</v>
      </c>
      <c r="CJ94" s="160">
        <f>SUMIFS('свод практик'!$CC$6:$CC$277,'свод практик'!$J$6:$J$277,'свод субъектов ИБ+смежные'!CJ$1)</f>
        <v>0</v>
      </c>
      <c r="CK94" s="36">
        <f>SUMIFS('свод практик'!$CC$6:$CC$277,'свод практик'!$J$6:$J$277,'свод субъектов ИБ+смежные'!CK$1)</f>
        <v>0</v>
      </c>
      <c r="CL94" s="36">
        <f>SUMIFS('свод практик'!$CC$6:$CC$277,'свод практик'!$J$6:$J$277,'свод субъектов ИБ+смежные'!CL$1)</f>
        <v>0</v>
      </c>
      <c r="CM94" s="36">
        <f>SUMIFS('свод практик'!$CC$6:$CC$277,'свод практик'!$J$6:$J$277,'свод субъектов ИБ+смежные'!CM$1)</f>
        <v>0</v>
      </c>
      <c r="CN94" s="36">
        <f>SUMIFS('свод практик'!$CC$6:$CC$277,'свод практик'!$J$6:$J$277,'свод субъектов ИБ+смежные'!CN$1)</f>
        <v>0</v>
      </c>
      <c r="CO94" s="160">
        <f>SUMIFS('свод практик'!$CC$6:$CC$277,'свод практик'!$J$6:$J$277,'свод субъектов ИБ+смежные'!CO$1)</f>
        <v>0</v>
      </c>
      <c r="CP94" s="36">
        <f>SUMIFS('свод практик'!$CC$6:$CC$277,'свод практик'!$J$6:$J$277,'свод субъектов ИБ+смежные'!CP$1)</f>
        <v>0</v>
      </c>
      <c r="CQ94" s="36">
        <f>SUMIFS('свод практик'!$CC$6:$CC$277,'свод практик'!$J$6:$J$277,'свод субъектов ИБ+смежные'!CQ$1)</f>
        <v>0</v>
      </c>
      <c r="CR94" s="160">
        <f>SUMIFS('свод практик'!$CC$6:$CC$277,'свод практик'!$J$6:$J$277,'свод субъектов ИБ+смежные'!CR$1)</f>
        <v>0</v>
      </c>
      <c r="CS94" s="36">
        <f>SUMIFS('свод практик'!$CC$6:$CC$277,'свод практик'!$J$6:$J$277,'свод субъектов ИБ+смежные'!CS$1)</f>
        <v>0</v>
      </c>
      <c r="CT94" s="36">
        <f>SUMIFS('свод практик'!$CC$6:$CC$277,'свод практик'!$J$6:$J$277,'свод субъектов ИБ+смежные'!CT$1)</f>
        <v>0</v>
      </c>
      <c r="CU94" s="36">
        <f>SUMIFS('свод практик'!$CC$6:$CC$277,'свод практик'!$J$6:$J$277,'свод субъектов ИБ+смежные'!CU$1)</f>
        <v>0</v>
      </c>
      <c r="CV94" s="36">
        <f>SUMIFS('свод практик'!$CC$6:$CC$277,'свод практик'!$J$6:$J$277,'свод субъектов ИБ+смежные'!CV$1)</f>
        <v>0</v>
      </c>
    </row>
    <row r="95" spans="1:100" ht="14">
      <c r="A95" s="716"/>
      <c r="B95" s="716"/>
      <c r="C95" s="773"/>
      <c r="D95" s="42" t="s">
        <v>4949</v>
      </c>
      <c r="E95" s="42">
        <v>61</v>
      </c>
      <c r="F95" s="43" t="s">
        <v>5153</v>
      </c>
      <c r="G95" s="762"/>
      <c r="H95" s="45" t="s">
        <v>60</v>
      </c>
      <c r="I95" s="46"/>
      <c r="L95" s="36" t="s">
        <v>278</v>
      </c>
      <c r="M95" s="36">
        <v>2.2581859239744072E-3</v>
      </c>
      <c r="N95" s="36">
        <v>9.5445145553846973E-4</v>
      </c>
      <c r="O95" s="228">
        <f>O94/O126</f>
        <v>6.8678174076278555E-4</v>
      </c>
      <c r="P95" s="145">
        <f t="shared" ref="P95:CA95" si="51">P94/P126</f>
        <v>0</v>
      </c>
      <c r="Q95" s="145">
        <f t="shared" si="51"/>
        <v>0</v>
      </c>
      <c r="R95" s="145">
        <f t="shared" si="51"/>
        <v>0</v>
      </c>
      <c r="S95" s="145">
        <f t="shared" si="51"/>
        <v>0</v>
      </c>
      <c r="T95" s="145">
        <f t="shared" si="51"/>
        <v>0</v>
      </c>
      <c r="U95" s="145">
        <f t="shared" si="51"/>
        <v>0</v>
      </c>
      <c r="V95" s="145">
        <f t="shared" si="51"/>
        <v>3.9047247169074581E-4</v>
      </c>
      <c r="W95" s="145">
        <f t="shared" si="51"/>
        <v>0</v>
      </c>
      <c r="X95" s="145">
        <f t="shared" si="51"/>
        <v>0</v>
      </c>
      <c r="Y95" s="145">
        <f t="shared" si="51"/>
        <v>0</v>
      </c>
      <c r="Z95" s="145">
        <f t="shared" si="51"/>
        <v>0</v>
      </c>
      <c r="AA95" s="145">
        <f t="shared" si="51"/>
        <v>0</v>
      </c>
      <c r="AB95" s="145">
        <f t="shared" si="51"/>
        <v>2.2396416573348264E-3</v>
      </c>
      <c r="AC95" s="145">
        <f t="shared" si="51"/>
        <v>0</v>
      </c>
      <c r="AD95" s="145" t="e">
        <f t="shared" si="51"/>
        <v>#DIV/0!</v>
      </c>
      <c r="AE95" s="145" t="e">
        <f t="shared" si="51"/>
        <v>#DIV/0!</v>
      </c>
      <c r="AF95" s="145">
        <f t="shared" si="51"/>
        <v>0</v>
      </c>
      <c r="AG95" s="145" t="e">
        <f t="shared" si="51"/>
        <v>#DIV/0!</v>
      </c>
      <c r="AH95" s="145" t="e">
        <f t="shared" si="51"/>
        <v>#DIV/0!</v>
      </c>
      <c r="AI95" s="145">
        <f t="shared" si="51"/>
        <v>0</v>
      </c>
      <c r="AJ95" s="145">
        <f t="shared" si="51"/>
        <v>0</v>
      </c>
      <c r="AK95" s="145">
        <f t="shared" si="51"/>
        <v>0</v>
      </c>
      <c r="AL95" s="145">
        <f t="shared" si="51"/>
        <v>0</v>
      </c>
      <c r="AM95" s="145">
        <f t="shared" si="51"/>
        <v>2.3529411764705882E-2</v>
      </c>
      <c r="AN95" s="145" t="e">
        <f t="shared" si="51"/>
        <v>#DIV/0!</v>
      </c>
      <c r="AO95" s="145" t="e">
        <f t="shared" si="51"/>
        <v>#DIV/0!</v>
      </c>
      <c r="AP95" s="145">
        <f t="shared" si="51"/>
        <v>0</v>
      </c>
      <c r="AQ95" s="145">
        <f t="shared" si="51"/>
        <v>0</v>
      </c>
      <c r="AR95" s="145">
        <f t="shared" si="51"/>
        <v>0</v>
      </c>
      <c r="AS95" s="145">
        <f t="shared" si="51"/>
        <v>0</v>
      </c>
      <c r="AT95" s="145">
        <f t="shared" si="51"/>
        <v>0</v>
      </c>
      <c r="AU95" s="145">
        <f t="shared" si="51"/>
        <v>0</v>
      </c>
      <c r="AV95" s="145">
        <f t="shared" si="51"/>
        <v>0</v>
      </c>
      <c r="AW95" s="145">
        <f t="shared" si="51"/>
        <v>0</v>
      </c>
      <c r="AX95" s="145">
        <f t="shared" si="51"/>
        <v>0</v>
      </c>
      <c r="AY95" s="162" t="e">
        <f t="shared" si="51"/>
        <v>#DIV/0!</v>
      </c>
      <c r="AZ95" s="145">
        <f t="shared" si="51"/>
        <v>6.5897858319604614E-3</v>
      </c>
      <c r="BA95" s="145">
        <f t="shared" si="51"/>
        <v>0</v>
      </c>
      <c r="BB95" s="162" t="e">
        <f t="shared" si="51"/>
        <v>#DIV/0!</v>
      </c>
      <c r="BC95" s="145">
        <f t="shared" si="51"/>
        <v>0</v>
      </c>
      <c r="BD95" s="162" t="e">
        <f t="shared" si="51"/>
        <v>#DIV/0!</v>
      </c>
      <c r="BE95" s="162" t="e">
        <f t="shared" si="51"/>
        <v>#DIV/0!</v>
      </c>
      <c r="BF95" s="145">
        <f t="shared" si="51"/>
        <v>0</v>
      </c>
      <c r="BG95" s="145">
        <f t="shared" si="51"/>
        <v>0</v>
      </c>
      <c r="BH95" s="145">
        <f t="shared" si="51"/>
        <v>0</v>
      </c>
      <c r="BI95" s="145">
        <f t="shared" si="51"/>
        <v>0</v>
      </c>
      <c r="BJ95" s="145">
        <f t="shared" si="51"/>
        <v>0</v>
      </c>
      <c r="BK95" s="145">
        <f t="shared" si="51"/>
        <v>0</v>
      </c>
      <c r="BL95" s="145">
        <f t="shared" si="51"/>
        <v>0</v>
      </c>
      <c r="BM95" s="145">
        <f t="shared" si="51"/>
        <v>0</v>
      </c>
      <c r="BN95" s="145">
        <f t="shared" si="51"/>
        <v>0</v>
      </c>
      <c r="BO95" s="145">
        <f t="shared" si="51"/>
        <v>0</v>
      </c>
      <c r="BP95" s="145">
        <f t="shared" si="51"/>
        <v>0</v>
      </c>
      <c r="BQ95" s="145" t="e">
        <f t="shared" si="51"/>
        <v>#DIV/0!</v>
      </c>
      <c r="BR95" s="145">
        <f t="shared" si="51"/>
        <v>0</v>
      </c>
      <c r="BS95" s="145">
        <f t="shared" si="51"/>
        <v>0</v>
      </c>
      <c r="BT95" s="145">
        <f t="shared" si="51"/>
        <v>0</v>
      </c>
      <c r="BU95" s="145">
        <f t="shared" si="51"/>
        <v>0</v>
      </c>
      <c r="BV95" s="145">
        <f t="shared" si="51"/>
        <v>0</v>
      </c>
      <c r="BW95" s="145">
        <f t="shared" si="51"/>
        <v>0</v>
      </c>
      <c r="BX95" s="145">
        <f t="shared" si="51"/>
        <v>0</v>
      </c>
      <c r="BY95" s="145">
        <f t="shared" si="51"/>
        <v>5.681818181818182E-3</v>
      </c>
      <c r="BZ95" s="145">
        <f t="shared" si="51"/>
        <v>0</v>
      </c>
      <c r="CA95" s="145" t="e">
        <f t="shared" si="51"/>
        <v>#DIV/0!</v>
      </c>
      <c r="CB95" s="145" t="e">
        <f t="shared" ref="CB95:CV95" si="52">CB94/CB126</f>
        <v>#DIV/0!</v>
      </c>
      <c r="CC95" s="145">
        <f t="shared" si="52"/>
        <v>0</v>
      </c>
      <c r="CD95" s="145">
        <f t="shared" si="52"/>
        <v>1.1904761904761904E-2</v>
      </c>
      <c r="CE95" s="145">
        <f t="shared" si="52"/>
        <v>0</v>
      </c>
      <c r="CF95" s="145">
        <f t="shared" si="52"/>
        <v>0</v>
      </c>
      <c r="CG95" s="145">
        <f t="shared" si="52"/>
        <v>0</v>
      </c>
      <c r="CH95" s="145">
        <f t="shared" si="52"/>
        <v>0</v>
      </c>
      <c r="CI95" s="145">
        <f t="shared" si="52"/>
        <v>0</v>
      </c>
      <c r="CJ95" s="145" t="e">
        <f t="shared" si="52"/>
        <v>#DIV/0!</v>
      </c>
      <c r="CK95" s="145">
        <f t="shared" si="52"/>
        <v>0</v>
      </c>
      <c r="CL95" s="145">
        <f t="shared" si="52"/>
        <v>0</v>
      </c>
      <c r="CM95" s="145">
        <f t="shared" si="52"/>
        <v>0</v>
      </c>
      <c r="CN95" s="145">
        <f t="shared" si="52"/>
        <v>0</v>
      </c>
      <c r="CO95" s="145" t="e">
        <f t="shared" si="52"/>
        <v>#DIV/0!</v>
      </c>
      <c r="CP95" s="145">
        <f t="shared" si="52"/>
        <v>0</v>
      </c>
      <c r="CQ95" s="145">
        <f t="shared" si="52"/>
        <v>0</v>
      </c>
      <c r="CR95" s="145" t="e">
        <f t="shared" si="52"/>
        <v>#DIV/0!</v>
      </c>
      <c r="CS95" s="145">
        <f t="shared" si="52"/>
        <v>0</v>
      </c>
      <c r="CT95" s="145">
        <f t="shared" si="52"/>
        <v>0</v>
      </c>
      <c r="CU95" s="145">
        <f t="shared" si="52"/>
        <v>0</v>
      </c>
      <c r="CV95" s="145">
        <f t="shared" si="52"/>
        <v>0</v>
      </c>
    </row>
    <row r="96" spans="1:100" ht="14">
      <c r="A96" s="716"/>
      <c r="B96" s="716"/>
      <c r="C96" s="773"/>
      <c r="D96" s="42" t="s">
        <v>4949</v>
      </c>
      <c r="E96" s="42">
        <v>62</v>
      </c>
      <c r="F96" s="43" t="s">
        <v>5154</v>
      </c>
      <c r="G96" s="762" t="s">
        <v>5155</v>
      </c>
      <c r="H96" s="45" t="s">
        <v>5140</v>
      </c>
      <c r="I96" s="46"/>
      <c r="M96" s="36">
        <v>352</v>
      </c>
      <c r="N96" s="36">
        <v>412</v>
      </c>
      <c r="O96" s="224">
        <f>SUM(P96:CV96)</f>
        <v>625</v>
      </c>
      <c r="P96" s="36">
        <f>SUMIFS('свод практик'!$CD$6:$CD$277,'свод практик'!$J$6:$J$277,'свод субъектов ИБ+смежные'!P$1)</f>
        <v>2</v>
      </c>
      <c r="Q96" s="36">
        <f>SUMIFS('свод практик'!$CD$6:$CD$277,'свод практик'!$J$6:$J$277,'свод субъектов ИБ+смежные'!Q$1)</f>
        <v>2</v>
      </c>
      <c r="R96" s="36">
        <f>SUMIFS('свод практик'!$CD$6:$CD$277,'свод практик'!$J$6:$J$277,'свод субъектов ИБ+смежные'!R$1)</f>
        <v>7</v>
      </c>
      <c r="S96" s="36">
        <f>SUMIFS('свод практик'!$CD$6:$CD$277,'свод практик'!$J$6:$J$277,'свод субъектов ИБ+смежные'!S$1)</f>
        <v>0</v>
      </c>
      <c r="T96" s="36">
        <f>SUMIFS('свод практик'!$CD$6:$CD$277,'свод практик'!$J$6:$J$277,'свод субъектов ИБ+смежные'!T$1)</f>
        <v>9</v>
      </c>
      <c r="U96" s="36">
        <f>SUMIFS('свод практик'!$CD$6:$CD$277,'свод практик'!$J$6:$J$277,'свод субъектов ИБ+смежные'!U$1)</f>
        <v>1</v>
      </c>
      <c r="V96" s="36">
        <f>SUMIFS('свод практик'!$CD$6:$CD$277,'свод практик'!$J$6:$J$277,'свод субъектов ИБ+смежные'!V$1)</f>
        <v>95</v>
      </c>
      <c r="W96" s="36">
        <f>SUMIFS('свод практик'!$CD$6:$CD$277,'свод практик'!$J$6:$J$277,'свод субъектов ИБ+смежные'!W$1)</f>
        <v>5</v>
      </c>
      <c r="X96" s="36">
        <f>SUMIFS('свод практик'!$CD$6:$CD$277,'свод практик'!$J$6:$J$277,'свод субъектов ИБ+смежные'!X$1)</f>
        <v>34</v>
      </c>
      <c r="Y96" s="36">
        <f>SUMIFS('свод практик'!$CD$6:$CD$277,'свод практик'!$J$6:$J$277,'свод субъектов ИБ+смежные'!Y$1)</f>
        <v>0</v>
      </c>
      <c r="Z96" s="36">
        <f>SUMIFS('свод практик'!$CD$6:$CD$277,'свод практик'!$J$6:$J$277,'свод субъектов ИБ+смежные'!Z$1)</f>
        <v>24</v>
      </c>
      <c r="AA96" s="36">
        <f>SUMIFS('свод практик'!$CD$6:$CD$277,'свод практик'!$J$6:$J$277,'свод субъектов ИБ+смежные'!AA$1)</f>
        <v>2</v>
      </c>
      <c r="AB96" s="36">
        <f>SUMIFS('свод практик'!$CD$6:$CD$277,'свод практик'!$J$6:$J$277,'свод субъектов ИБ+смежные'!AB$1)</f>
        <v>54</v>
      </c>
      <c r="AC96" s="36">
        <f>SUMIFS('свод практик'!$CD$6:$CD$277,'свод практик'!$J$6:$J$277,'свод субъектов ИБ+смежные'!AC$1)</f>
        <v>47</v>
      </c>
      <c r="AD96" s="160">
        <f>SUMIFS('свод практик'!$CD$6:$CD$277,'свод практик'!$J$6:$J$277,'свод субъектов ИБ+смежные'!AD$1)</f>
        <v>0</v>
      </c>
      <c r="AE96" s="160">
        <f>SUMIFS('свод практик'!$CD$6:$CD$277,'свод практик'!$J$6:$J$277,'свод субъектов ИБ+смежные'!AE$1)</f>
        <v>0</v>
      </c>
      <c r="AF96" s="36">
        <f>SUMIFS('свод практик'!$CD$6:$CD$277,'свод практик'!$J$6:$J$277,'свод субъектов ИБ+смежные'!AF$1)</f>
        <v>0</v>
      </c>
      <c r="AG96" s="160">
        <f>SUMIFS('свод практик'!$CD$6:$CD$277,'свод практик'!$J$6:$J$277,'свод субъектов ИБ+смежные'!AG$1)</f>
        <v>0</v>
      </c>
      <c r="AH96" s="160">
        <f>SUMIFS('свод практик'!$CD$6:$CD$277,'свод практик'!$J$6:$J$277,'свод субъектов ИБ+смежные'!AH$1)</f>
        <v>0</v>
      </c>
      <c r="AI96" s="36">
        <f>SUMIFS('свод практик'!$CD$6:$CD$277,'свод практик'!$J$6:$J$277,'свод субъектов ИБ+смежные'!AI$1)</f>
        <v>0</v>
      </c>
      <c r="AJ96" s="36">
        <f>SUMIFS('свод практик'!$CD$6:$CD$277,'свод практик'!$J$6:$J$277,'свод субъектов ИБ+смежные'!AJ$1)</f>
        <v>0</v>
      </c>
      <c r="AK96" s="36">
        <f>SUMIFS('свод практик'!$CD$6:$CD$277,'свод практик'!$J$6:$J$277,'свод субъектов ИБ+смежные'!AK$1)</f>
        <v>0</v>
      </c>
      <c r="AL96" s="36">
        <f>SUMIFS('свод практик'!$CD$6:$CD$277,'свод практик'!$J$6:$J$277,'свод субъектов ИБ+смежные'!AL$1)</f>
        <v>0</v>
      </c>
      <c r="AM96" s="36">
        <f>SUMIFS('свод практик'!$CD$6:$CD$277,'свод практик'!$J$6:$J$277,'свод субъектов ИБ+смежные'!AM$1)</f>
        <v>0</v>
      </c>
      <c r="AN96" s="160">
        <f>SUMIFS('свод практик'!$CD$6:$CD$277,'свод практик'!$J$6:$J$277,'свод субъектов ИБ+смежные'!AN$1)</f>
        <v>0</v>
      </c>
      <c r="AO96" s="160">
        <f>SUMIFS('свод практик'!$CD$6:$CD$277,'свод практик'!$J$6:$J$277,'свод субъектов ИБ+смежные'!AO$1)</f>
        <v>0</v>
      </c>
      <c r="AP96" s="36">
        <f>SUMIFS('свод практик'!$CD$6:$CD$277,'свод практик'!$J$6:$J$277,'свод субъектов ИБ+смежные'!AP$1)</f>
        <v>0</v>
      </c>
      <c r="AQ96" s="36">
        <f>SUMIFS('свод практик'!$CD$6:$CD$277,'свод практик'!$J$6:$J$277,'свод субъектов ИБ+смежные'!AQ$1)</f>
        <v>0</v>
      </c>
      <c r="AR96" s="36">
        <f>SUMIFS('свод практик'!$CD$6:$CD$277,'свод практик'!$J$6:$J$277,'свод субъектов ИБ+смежные'!AR$1)</f>
        <v>14</v>
      </c>
      <c r="AS96" s="36">
        <f>SUMIFS('свод практик'!$CD$6:$CD$277,'свод практик'!$J$6:$J$277,'свод субъектов ИБ+смежные'!AS$1)</f>
        <v>11</v>
      </c>
      <c r="AT96" s="36">
        <f>SUMIFS('свод практик'!$CD$6:$CD$277,'свод практик'!$J$6:$J$277,'свод субъектов ИБ+смежные'!AT$1)</f>
        <v>5</v>
      </c>
      <c r="AU96" s="36">
        <f>SUMIFS('свод практик'!$CD$6:$CD$277,'свод практик'!$J$6:$J$277,'свод субъектов ИБ+смежные'!AU$1)</f>
        <v>0</v>
      </c>
      <c r="AV96" s="36">
        <f>SUMIFS('свод практик'!$CD$6:$CD$277,'свод практик'!$J$6:$J$277,'свод субъектов ИБ+смежные'!AV$1)</f>
        <v>0</v>
      </c>
      <c r="AW96" s="36">
        <f>SUMIFS('свод практик'!$CD$6:$CD$277,'свод практик'!$J$6:$J$277,'свод субъектов ИБ+смежные'!AW$1)</f>
        <v>0</v>
      </c>
      <c r="AX96" s="36">
        <f>SUMIFS('свод практик'!$CD$6:$CD$277,'свод практик'!$J$6:$J$277,'свод субъектов ИБ+смежные'!AX$1)</f>
        <v>0</v>
      </c>
      <c r="AY96" s="160">
        <f>SUMIFS('свод практик'!$CD$6:$CD$277,'свод практик'!$J$6:$J$277,'свод субъектов ИБ+смежные'!AY$1)</f>
        <v>0</v>
      </c>
      <c r="AZ96" s="36">
        <f>SUMIFS('свод практик'!$CD$6:$CD$277,'свод практик'!$J$6:$J$277,'свод субъектов ИБ+смежные'!AZ$1)</f>
        <v>2</v>
      </c>
      <c r="BA96" s="36">
        <f>SUMIFS('свод практик'!$CD$6:$CD$277,'свод практик'!$J$6:$J$277,'свод субъектов ИБ+смежные'!BA$1)</f>
        <v>0</v>
      </c>
      <c r="BB96" s="160">
        <f>SUMIFS('свод практик'!$CD$6:$CD$277,'свод практик'!$J$6:$J$277,'свод субъектов ИБ+смежные'!BB$1)</f>
        <v>0</v>
      </c>
      <c r="BC96" s="36">
        <f>SUMIFS('свод практик'!$CD$6:$CD$277,'свод практик'!$J$6:$J$277,'свод субъектов ИБ+смежные'!BC$1)</f>
        <v>15</v>
      </c>
      <c r="BD96" s="160">
        <f>SUMIFS('свод практик'!$CD$6:$CD$277,'свод практик'!$J$6:$J$277,'свод субъектов ИБ+смежные'!BD$1)</f>
        <v>0</v>
      </c>
      <c r="BE96" s="160">
        <f>SUMIFS('свод практик'!$CD$6:$CD$277,'свод практик'!$J$6:$J$277,'свод субъектов ИБ+смежные'!BE$1)</f>
        <v>0</v>
      </c>
      <c r="BF96" s="36">
        <f>SUMIFS('свод практик'!$CD$6:$CD$277,'свод практик'!$J$6:$J$277,'свод субъектов ИБ+смежные'!BF$1)</f>
        <v>0</v>
      </c>
      <c r="BG96" s="36">
        <f>SUMIFS('свод практик'!$CD$6:$CD$277,'свод практик'!$J$6:$J$277,'свод субъектов ИБ+смежные'!BG$1)</f>
        <v>0</v>
      </c>
      <c r="BH96" s="36">
        <f>SUMIFS('свод практик'!$CD$6:$CD$277,'свод практик'!$J$6:$J$277,'свод субъектов ИБ+смежные'!BH$1)</f>
        <v>3</v>
      </c>
      <c r="BI96" s="36">
        <f>SUMIFS('свод практик'!$CD$6:$CD$277,'свод практик'!$J$6:$J$277,'свод субъектов ИБ+смежные'!BI$1)</f>
        <v>73</v>
      </c>
      <c r="BJ96" s="36">
        <f>SUMIFS('свод практик'!$CD$6:$CD$277,'свод практик'!$J$6:$J$277,'свод субъектов ИБ+смежные'!BJ$1)</f>
        <v>0</v>
      </c>
      <c r="BK96" s="36">
        <f>SUMIFS('свод практик'!$CD$6:$CD$277,'свод практик'!$J$6:$J$277,'свод субъектов ИБ+смежные'!BK$1)</f>
        <v>15</v>
      </c>
      <c r="BL96" s="36">
        <f>SUMIFS('свод практик'!$CD$6:$CD$277,'свод практик'!$J$6:$J$277,'свод субъектов ИБ+смежные'!BL$1)</f>
        <v>12</v>
      </c>
      <c r="BM96" s="36">
        <f>SUMIFS('свод практик'!$CD$6:$CD$277,'свод практик'!$J$6:$J$277,'свод субъектов ИБ+смежные'!BM$1)</f>
        <v>8</v>
      </c>
      <c r="BN96" s="36">
        <f>SUMIFS('свод практик'!$CD$6:$CD$277,'свод практик'!$J$6:$J$277,'свод субъектов ИБ+смежные'!BN$1)</f>
        <v>0</v>
      </c>
      <c r="BO96" s="36">
        <f>SUMIFS('свод практик'!$CD$6:$CD$277,'свод практик'!$J$6:$J$277,'свод субъектов ИБ+смежные'!BO$1)</f>
        <v>0</v>
      </c>
      <c r="BP96" s="36">
        <f>SUMIFS('свод практик'!$CD$6:$CD$277,'свод практик'!$J$6:$J$277,'свод субъектов ИБ+смежные'!BP$1)</f>
        <v>26</v>
      </c>
      <c r="BQ96" s="160">
        <f>SUMIFS('свод практик'!$CD$6:$CD$277,'свод практик'!$J$6:$J$277,'свод субъектов ИБ+смежные'!BQ$1)</f>
        <v>0</v>
      </c>
      <c r="BR96" s="36">
        <f>SUMIFS('свод практик'!$CD$6:$CD$277,'свод практик'!$J$6:$J$277,'свод субъектов ИБ+смежные'!BR$1)</f>
        <v>0</v>
      </c>
      <c r="BS96" s="36">
        <f>SUMIFS('свод практик'!$CD$6:$CD$277,'свод практик'!$J$6:$J$277,'свод субъектов ИБ+смежные'!BS$1)</f>
        <v>4</v>
      </c>
      <c r="BT96" s="36">
        <f>SUMIFS('свод практик'!$CD$6:$CD$277,'свод практик'!$J$6:$J$277,'свод субъектов ИБ+смежные'!BT$1)</f>
        <v>20</v>
      </c>
      <c r="BU96" s="36">
        <f>SUMIFS('свод практик'!$CD$6:$CD$277,'свод практик'!$J$6:$J$277,'свод субъектов ИБ+смежные'!BU$1)</f>
        <v>14</v>
      </c>
      <c r="BV96" s="36">
        <f>SUMIFS('свод практик'!$CD$6:$CD$277,'свод практик'!$J$6:$J$277,'свод субъектов ИБ+смежные'!BV$1)</f>
        <v>0</v>
      </c>
      <c r="BW96" s="36">
        <f>SUMIFS('свод практик'!$CD$6:$CD$277,'свод практик'!$J$6:$J$277,'свод субъектов ИБ+смежные'!BW$1)</f>
        <v>0</v>
      </c>
      <c r="BX96" s="36">
        <f>SUMIFS('свод практик'!$CD$6:$CD$277,'свод практик'!$J$6:$J$277,'свод субъектов ИБ+смежные'!BX$1)</f>
        <v>10</v>
      </c>
      <c r="BY96" s="36">
        <f>SUMIFS('свод практик'!$CD$6:$CD$277,'свод практик'!$J$6:$J$277,'свод субъектов ИБ+смежные'!BY$1)</f>
        <v>6</v>
      </c>
      <c r="BZ96" s="36">
        <f>SUMIFS('свод практик'!$CD$6:$CD$277,'свод практик'!$J$6:$J$277,'свод субъектов ИБ+смежные'!BZ$1)</f>
        <v>0</v>
      </c>
      <c r="CA96" s="160">
        <f>SUMIFS('свод практик'!$CD$6:$CD$277,'свод практик'!$J$6:$J$277,'свод субъектов ИБ+смежные'!CA$1)</f>
        <v>0</v>
      </c>
      <c r="CB96" s="160">
        <f>SUMIFS('свод практик'!$CD$6:$CD$277,'свод практик'!$J$6:$J$277,'свод субъектов ИБ+смежные'!CB$1)</f>
        <v>0</v>
      </c>
      <c r="CC96" s="36">
        <f>SUMIFS('свод практик'!$CD$6:$CD$277,'свод практик'!$J$6:$J$277,'свод субъектов ИБ+смежные'!CC$1)</f>
        <v>2</v>
      </c>
      <c r="CD96" s="36">
        <f>SUMIFS('свод практик'!$CD$6:$CD$277,'свод практик'!$J$6:$J$277,'свод субъектов ИБ+смежные'!CD$1)</f>
        <v>0</v>
      </c>
      <c r="CE96" s="36">
        <f>SUMIFS('свод практик'!$CD$6:$CD$277,'свод практик'!$J$6:$J$277,'свод субъектов ИБ+смежные'!CE$1)</f>
        <v>27</v>
      </c>
      <c r="CF96" s="36">
        <f>SUMIFS('свод практик'!$CD$6:$CD$277,'свод практик'!$J$6:$J$277,'свод субъектов ИБ+смежные'!CF$1)</f>
        <v>18</v>
      </c>
      <c r="CG96" s="36">
        <f>SUMIFS('свод практик'!$CD$6:$CD$277,'свод практик'!$J$6:$J$277,'свод субъектов ИБ+смежные'!CG$1)</f>
        <v>0</v>
      </c>
      <c r="CH96" s="36">
        <f>SUMIFS('свод практик'!$CD$6:$CD$277,'свод практик'!$J$6:$J$277,'свод субъектов ИБ+смежные'!CH$1)</f>
        <v>10</v>
      </c>
      <c r="CI96" s="36">
        <f>SUMIFS('свод практик'!$CD$6:$CD$277,'свод практик'!$J$6:$J$277,'свод субъектов ИБ+смежные'!CI$1)</f>
        <v>0</v>
      </c>
      <c r="CJ96" s="160">
        <f>SUMIFS('свод практик'!$CD$6:$CD$277,'свод практик'!$J$6:$J$277,'свод субъектов ИБ+смежные'!CJ$1)</f>
        <v>0</v>
      </c>
      <c r="CK96" s="36">
        <f>SUMIFS('свод практик'!$CD$6:$CD$277,'свод практик'!$J$6:$J$277,'свод субъектов ИБ+смежные'!CK$1)</f>
        <v>0</v>
      </c>
      <c r="CL96" s="36">
        <f>SUMIFS('свод практик'!$CD$6:$CD$277,'свод практик'!$J$6:$J$277,'свод субъектов ИБ+смежные'!CL$1)</f>
        <v>5</v>
      </c>
      <c r="CM96" s="36">
        <f>SUMIFS('свод практик'!$CD$6:$CD$277,'свод практик'!$J$6:$J$277,'свод субъектов ИБ+смежные'!CM$1)</f>
        <v>13</v>
      </c>
      <c r="CN96" s="36">
        <f>SUMIFS('свод практик'!$CD$6:$CD$277,'свод практик'!$J$6:$J$277,'свод субъектов ИБ+смежные'!CN$1)</f>
        <v>13</v>
      </c>
      <c r="CO96" s="160">
        <f>SUMIFS('свод практик'!$CD$6:$CD$277,'свод практик'!$J$6:$J$277,'свод субъектов ИБ+смежные'!CO$1)</f>
        <v>0</v>
      </c>
      <c r="CP96" s="36">
        <f>SUMIFS('свод практик'!$CD$6:$CD$277,'свод практик'!$J$6:$J$277,'свод субъектов ИБ+смежные'!CP$1)</f>
        <v>10</v>
      </c>
      <c r="CQ96" s="36">
        <f>SUMIFS('свод практик'!$CD$6:$CD$277,'свод практик'!$J$6:$J$277,'свод субъектов ИБ+смежные'!CQ$1)</f>
        <v>0</v>
      </c>
      <c r="CR96" s="160">
        <f>SUMIFS('свод практик'!$CD$6:$CD$277,'свод практик'!$J$6:$J$277,'свод субъектов ИБ+смежные'!CR$1)</f>
        <v>0</v>
      </c>
      <c r="CS96" s="36">
        <f>SUMIFS('свод практик'!$CD$6:$CD$277,'свод практик'!$J$6:$J$277,'свод субъектов ИБ+смежные'!CS$1)</f>
        <v>0</v>
      </c>
      <c r="CT96" s="36">
        <f>SUMIFS('свод практик'!$CD$6:$CD$277,'свод практик'!$J$6:$J$277,'свод субъектов ИБ+смежные'!CT$1)</f>
        <v>0</v>
      </c>
      <c r="CU96" s="36">
        <f>SUMIFS('свод практик'!$CD$6:$CD$277,'свод практик'!$J$6:$J$277,'свод субъектов ИБ+смежные'!CU$1)</f>
        <v>3</v>
      </c>
      <c r="CV96" s="36">
        <f>SUMIFS('свод практик'!$CD$6:$CD$277,'свод практик'!$J$6:$J$277,'свод субъектов ИБ+смежные'!CV$1)</f>
        <v>4</v>
      </c>
    </row>
    <row r="97" spans="1:100" ht="14">
      <c r="A97" s="716"/>
      <c r="B97" s="716"/>
      <c r="C97" s="773"/>
      <c r="D97" s="42" t="s">
        <v>4949</v>
      </c>
      <c r="E97" s="42">
        <v>63</v>
      </c>
      <c r="F97" s="43" t="s">
        <v>5156</v>
      </c>
      <c r="G97" s="762"/>
      <c r="H97" s="45" t="s">
        <v>60</v>
      </c>
      <c r="I97" s="46"/>
      <c r="L97" s="36" t="s">
        <v>278</v>
      </c>
      <c r="M97" s="36">
        <v>2.2080040145527537E-2</v>
      </c>
      <c r="N97" s="36">
        <v>2.1846333315658308E-2</v>
      </c>
      <c r="O97" s="228">
        <f>O96/O126</f>
        <v>2.8615905865116066E-2</v>
      </c>
      <c r="P97" s="145">
        <f t="shared" ref="P97:CA97" si="53">P96/P126</f>
        <v>0.33333333333333331</v>
      </c>
      <c r="Q97" s="145">
        <f t="shared" si="53"/>
        <v>5.5555555555555552E-2</v>
      </c>
      <c r="R97" s="145">
        <f t="shared" si="53"/>
        <v>3.4313725490196081E-2</v>
      </c>
      <c r="S97" s="145">
        <f t="shared" si="53"/>
        <v>0</v>
      </c>
      <c r="T97" s="145">
        <f t="shared" si="53"/>
        <v>2.4324324324324326E-2</v>
      </c>
      <c r="U97" s="145">
        <f t="shared" si="53"/>
        <v>6.6666666666666666E-2</v>
      </c>
      <c r="V97" s="145">
        <f t="shared" si="53"/>
        <v>3.709488481062085E-2</v>
      </c>
      <c r="W97" s="145">
        <f t="shared" si="53"/>
        <v>3.5211267605633804E-2</v>
      </c>
      <c r="X97" s="145">
        <f t="shared" si="53"/>
        <v>0.38202247191011235</v>
      </c>
      <c r="Y97" s="145">
        <f t="shared" si="53"/>
        <v>0</v>
      </c>
      <c r="Z97" s="145">
        <f t="shared" si="53"/>
        <v>5.2980132450331126E-2</v>
      </c>
      <c r="AA97" s="145">
        <f t="shared" si="53"/>
        <v>2.1505376344086023E-2</v>
      </c>
      <c r="AB97" s="145">
        <f t="shared" si="53"/>
        <v>6.0470324748040316E-2</v>
      </c>
      <c r="AC97" s="145">
        <f t="shared" si="53"/>
        <v>0.14461538461538462</v>
      </c>
      <c r="AD97" s="145" t="e">
        <f t="shared" si="53"/>
        <v>#DIV/0!</v>
      </c>
      <c r="AE97" s="145" t="e">
        <f t="shared" si="53"/>
        <v>#DIV/0!</v>
      </c>
      <c r="AF97" s="145">
        <f t="shared" si="53"/>
        <v>0</v>
      </c>
      <c r="AG97" s="145" t="e">
        <f t="shared" si="53"/>
        <v>#DIV/0!</v>
      </c>
      <c r="AH97" s="145" t="e">
        <f t="shared" si="53"/>
        <v>#DIV/0!</v>
      </c>
      <c r="AI97" s="145">
        <f t="shared" si="53"/>
        <v>0</v>
      </c>
      <c r="AJ97" s="145">
        <f t="shared" si="53"/>
        <v>0</v>
      </c>
      <c r="AK97" s="145">
        <f t="shared" si="53"/>
        <v>0</v>
      </c>
      <c r="AL97" s="145">
        <f t="shared" si="53"/>
        <v>0</v>
      </c>
      <c r="AM97" s="145">
        <f t="shared" si="53"/>
        <v>0</v>
      </c>
      <c r="AN97" s="145" t="e">
        <f t="shared" si="53"/>
        <v>#DIV/0!</v>
      </c>
      <c r="AO97" s="145" t="e">
        <f t="shared" si="53"/>
        <v>#DIV/0!</v>
      </c>
      <c r="AP97" s="145">
        <f t="shared" si="53"/>
        <v>0</v>
      </c>
      <c r="AQ97" s="145">
        <f t="shared" si="53"/>
        <v>0</v>
      </c>
      <c r="AR97" s="145">
        <f t="shared" si="53"/>
        <v>3.9215686274509803E-2</v>
      </c>
      <c r="AS97" s="145">
        <f t="shared" si="53"/>
        <v>3.9855072463768113E-2</v>
      </c>
      <c r="AT97" s="145">
        <f t="shared" si="53"/>
        <v>1.5625E-2</v>
      </c>
      <c r="AU97" s="145">
        <f t="shared" si="53"/>
        <v>0</v>
      </c>
      <c r="AV97" s="145">
        <f t="shared" si="53"/>
        <v>0</v>
      </c>
      <c r="AW97" s="145">
        <f t="shared" si="53"/>
        <v>0</v>
      </c>
      <c r="AX97" s="145">
        <f t="shared" si="53"/>
        <v>0</v>
      </c>
      <c r="AY97" s="162" t="e">
        <f t="shared" si="53"/>
        <v>#DIV/0!</v>
      </c>
      <c r="AZ97" s="145">
        <f t="shared" si="53"/>
        <v>3.2948929159802307E-3</v>
      </c>
      <c r="BA97" s="145">
        <f t="shared" si="53"/>
        <v>0</v>
      </c>
      <c r="BB97" s="162" t="e">
        <f t="shared" si="53"/>
        <v>#DIV/0!</v>
      </c>
      <c r="BC97" s="145">
        <f t="shared" si="53"/>
        <v>0.35714285714285715</v>
      </c>
      <c r="BD97" s="162" t="e">
        <f t="shared" si="53"/>
        <v>#DIV/0!</v>
      </c>
      <c r="BE97" s="162" t="e">
        <f t="shared" si="53"/>
        <v>#DIV/0!</v>
      </c>
      <c r="BF97" s="145">
        <f t="shared" si="53"/>
        <v>0</v>
      </c>
      <c r="BG97" s="145">
        <f t="shared" si="53"/>
        <v>0</v>
      </c>
      <c r="BH97" s="145">
        <f t="shared" si="53"/>
        <v>0.13043478260869565</v>
      </c>
      <c r="BI97" s="145">
        <f t="shared" si="53"/>
        <v>0.12310286677908938</v>
      </c>
      <c r="BJ97" s="145">
        <f t="shared" si="53"/>
        <v>0</v>
      </c>
      <c r="BK97" s="145">
        <f t="shared" si="53"/>
        <v>7.3891625615763554E-2</v>
      </c>
      <c r="BL97" s="145">
        <f t="shared" si="53"/>
        <v>9.3023255813953487E-2</v>
      </c>
      <c r="BM97" s="145">
        <f t="shared" si="53"/>
        <v>5.4421768707482991E-2</v>
      </c>
      <c r="BN97" s="145">
        <f t="shared" si="53"/>
        <v>0</v>
      </c>
      <c r="BO97" s="145">
        <f t="shared" si="53"/>
        <v>0</v>
      </c>
      <c r="BP97" s="145">
        <f t="shared" si="53"/>
        <v>0.2</v>
      </c>
      <c r="BQ97" s="145" t="e">
        <f t="shared" si="53"/>
        <v>#DIV/0!</v>
      </c>
      <c r="BR97" s="145">
        <f t="shared" si="53"/>
        <v>0</v>
      </c>
      <c r="BS97" s="145">
        <f t="shared" si="53"/>
        <v>3.8461538461538464E-2</v>
      </c>
      <c r="BT97" s="145">
        <f t="shared" si="53"/>
        <v>0.10471204188481675</v>
      </c>
      <c r="BU97" s="145">
        <f t="shared" si="53"/>
        <v>2.2950819672131147E-2</v>
      </c>
      <c r="BV97" s="145">
        <f t="shared" si="53"/>
        <v>0</v>
      </c>
      <c r="BW97" s="145">
        <f t="shared" si="53"/>
        <v>0</v>
      </c>
      <c r="BX97" s="145">
        <f t="shared" si="53"/>
        <v>2.2573363431151242E-2</v>
      </c>
      <c r="BY97" s="145">
        <f t="shared" si="53"/>
        <v>3.4090909090909088E-2</v>
      </c>
      <c r="BZ97" s="145">
        <f t="shared" si="53"/>
        <v>0</v>
      </c>
      <c r="CA97" s="145" t="e">
        <f t="shared" si="53"/>
        <v>#DIV/0!</v>
      </c>
      <c r="CB97" s="145" t="e">
        <f t="shared" ref="CB97:CV97" si="54">CB96/CB126</f>
        <v>#DIV/0!</v>
      </c>
      <c r="CC97" s="145">
        <f t="shared" si="54"/>
        <v>0.33333333333333331</v>
      </c>
      <c r="CD97" s="145">
        <f t="shared" si="54"/>
        <v>0</v>
      </c>
      <c r="CE97" s="145">
        <f t="shared" si="54"/>
        <v>4.9723756906077346E-2</v>
      </c>
      <c r="CF97" s="145">
        <f t="shared" si="54"/>
        <v>6.298110566829951E-3</v>
      </c>
      <c r="CG97" s="145">
        <f t="shared" si="54"/>
        <v>0</v>
      </c>
      <c r="CH97" s="145">
        <f t="shared" si="54"/>
        <v>0.1388888888888889</v>
      </c>
      <c r="CI97" s="145">
        <f t="shared" si="54"/>
        <v>0</v>
      </c>
      <c r="CJ97" s="145" t="e">
        <f t="shared" si="54"/>
        <v>#DIV/0!</v>
      </c>
      <c r="CK97" s="145">
        <f t="shared" si="54"/>
        <v>0</v>
      </c>
      <c r="CL97" s="145">
        <f t="shared" si="54"/>
        <v>4.5871559633027525E-2</v>
      </c>
      <c r="CM97" s="145">
        <f t="shared" si="54"/>
        <v>8.8435374149659865E-2</v>
      </c>
      <c r="CN97" s="145">
        <f t="shared" si="54"/>
        <v>5.2208835341365459E-2</v>
      </c>
      <c r="CO97" s="145" t="e">
        <f t="shared" si="54"/>
        <v>#DIV/0!</v>
      </c>
      <c r="CP97" s="145">
        <f t="shared" si="54"/>
        <v>3.6496350364963501E-2</v>
      </c>
      <c r="CQ97" s="145">
        <f t="shared" si="54"/>
        <v>0</v>
      </c>
      <c r="CR97" s="145" t="e">
        <f t="shared" si="54"/>
        <v>#DIV/0!</v>
      </c>
      <c r="CS97" s="145">
        <f t="shared" si="54"/>
        <v>0</v>
      </c>
      <c r="CT97" s="145">
        <f t="shared" si="54"/>
        <v>0</v>
      </c>
      <c r="CU97" s="145">
        <f t="shared" si="54"/>
        <v>3.7037037037037035E-2</v>
      </c>
      <c r="CV97" s="145">
        <f t="shared" si="54"/>
        <v>8.0482897384305842E-3</v>
      </c>
    </row>
    <row r="98" spans="1:100" ht="14">
      <c r="A98" s="716"/>
      <c r="B98" s="716"/>
      <c r="C98" s="773"/>
      <c r="D98" s="42" t="s">
        <v>4949</v>
      </c>
      <c r="E98" s="42">
        <v>64</v>
      </c>
      <c r="F98" s="43" t="s">
        <v>5157</v>
      </c>
      <c r="G98" s="762" t="s">
        <v>5158</v>
      </c>
      <c r="H98" s="45" t="s">
        <v>5140</v>
      </c>
      <c r="I98" s="46"/>
      <c r="M98" s="36">
        <v>1618</v>
      </c>
      <c r="N98" s="36">
        <v>1051</v>
      </c>
      <c r="O98" s="224">
        <f>SUM(P98:CV98)</f>
        <v>1573</v>
      </c>
      <c r="P98" s="36">
        <f>SUMIFS('свод практик'!$CE$6:$CE$277,'свод практик'!$J$6:$J$277,'свод субъектов ИБ+смежные'!P$1)</f>
        <v>0</v>
      </c>
      <c r="Q98" s="36">
        <f>SUMIFS('свод практик'!$CE$6:$CE$277,'свод практик'!$J$6:$J$277,'свод субъектов ИБ+смежные'!Q$1)</f>
        <v>0</v>
      </c>
      <c r="R98" s="36">
        <f>SUMIFS('свод практик'!$CE$6:$CE$277,'свод практик'!$J$6:$J$277,'свод субъектов ИБ+смежные'!R$1)</f>
        <v>0</v>
      </c>
      <c r="S98" s="36">
        <f>SUMIFS('свод практик'!$CE$6:$CE$277,'свод практик'!$J$6:$J$277,'свод субъектов ИБ+смежные'!S$1)</f>
        <v>0</v>
      </c>
      <c r="T98" s="36">
        <f>SUMIFS('свод практик'!$CE$6:$CE$277,'свод практик'!$J$6:$J$277,'свод субъектов ИБ+смежные'!T$1)</f>
        <v>3</v>
      </c>
      <c r="U98" s="36">
        <f>SUMIFS('свод практик'!$CE$6:$CE$277,'свод практик'!$J$6:$J$277,'свод субъектов ИБ+смежные'!U$1)</f>
        <v>0</v>
      </c>
      <c r="V98" s="36">
        <f>SUMIFS('свод практик'!$CE$6:$CE$277,'свод практик'!$J$6:$J$277,'свод субъектов ИБ+смежные'!V$1)</f>
        <v>495</v>
      </c>
      <c r="W98" s="36">
        <f>SUMIFS('свод практик'!$CE$6:$CE$277,'свод практик'!$J$6:$J$277,'свод субъектов ИБ+смежные'!W$1)</f>
        <v>0</v>
      </c>
      <c r="X98" s="36">
        <f>SUMIFS('свод практик'!$CE$6:$CE$277,'свод практик'!$J$6:$J$277,'свод субъектов ИБ+смежные'!X$1)</f>
        <v>0</v>
      </c>
      <c r="Y98" s="36">
        <f>SUMIFS('свод практик'!$CE$6:$CE$277,'свод практик'!$J$6:$J$277,'свод субъектов ИБ+смежные'!Y$1)</f>
        <v>0</v>
      </c>
      <c r="Z98" s="36">
        <f>SUMIFS('свод практик'!$CE$6:$CE$277,'свод практик'!$J$6:$J$277,'свод субъектов ИБ+смежные'!Z$1)</f>
        <v>0</v>
      </c>
      <c r="AA98" s="36">
        <f>SUMIFS('свод практик'!$CE$6:$CE$277,'свод практик'!$J$6:$J$277,'свод субъектов ИБ+смежные'!AA$1)</f>
        <v>6</v>
      </c>
      <c r="AB98" s="36">
        <f>SUMIFS('свод практик'!$CE$6:$CE$277,'свод практик'!$J$6:$J$277,'свод субъектов ИБ+смежные'!AB$1)</f>
        <v>0</v>
      </c>
      <c r="AC98" s="36">
        <f>SUMIFS('свод практик'!$CE$6:$CE$277,'свод практик'!$J$6:$J$277,'свод субъектов ИБ+смежные'!AC$1)</f>
        <v>0</v>
      </c>
      <c r="AD98" s="160">
        <f>SUMIFS('свод практик'!$CE$6:$CE$277,'свод практик'!$J$6:$J$277,'свод субъектов ИБ+смежные'!AD$1)</f>
        <v>0</v>
      </c>
      <c r="AE98" s="160">
        <f>SUMIFS('свод практик'!$CE$6:$CE$277,'свод практик'!$J$6:$J$277,'свод субъектов ИБ+смежные'!AE$1)</f>
        <v>0</v>
      </c>
      <c r="AF98" s="36">
        <f>SUMIFS('свод практик'!$CE$6:$CE$277,'свод практик'!$J$6:$J$277,'свод субъектов ИБ+смежные'!AF$1)</f>
        <v>0</v>
      </c>
      <c r="AG98" s="160">
        <f>SUMIFS('свод практик'!$CE$6:$CE$277,'свод практик'!$J$6:$J$277,'свод субъектов ИБ+смежные'!AG$1)</f>
        <v>0</v>
      </c>
      <c r="AH98" s="160">
        <f>SUMIFS('свод практик'!$CE$6:$CE$277,'свод практик'!$J$6:$J$277,'свод субъектов ИБ+смежные'!AH$1)</f>
        <v>0</v>
      </c>
      <c r="AI98" s="36">
        <f>SUMIFS('свод практик'!$CE$6:$CE$277,'свод практик'!$J$6:$J$277,'свод субъектов ИБ+смежные'!AI$1)</f>
        <v>367</v>
      </c>
      <c r="AJ98" s="36">
        <f>SUMIFS('свод практик'!$CE$6:$CE$277,'свод практик'!$J$6:$J$277,'свод субъектов ИБ+смежные'!AJ$1)</f>
        <v>0</v>
      </c>
      <c r="AK98" s="36">
        <f>SUMIFS('свод практик'!$CE$6:$CE$277,'свод практик'!$J$6:$J$277,'свод субъектов ИБ+смежные'!AK$1)</f>
        <v>2</v>
      </c>
      <c r="AL98" s="36">
        <f>SUMIFS('свод практик'!$CE$6:$CE$277,'свод практик'!$J$6:$J$277,'свод субъектов ИБ+смежные'!AL$1)</f>
        <v>0</v>
      </c>
      <c r="AM98" s="36">
        <f>SUMIFS('свод практик'!$CE$6:$CE$277,'свод практик'!$J$6:$J$277,'свод субъектов ИБ+смежные'!AM$1)</f>
        <v>0</v>
      </c>
      <c r="AN98" s="160">
        <f>SUMIFS('свод практик'!$CE$6:$CE$277,'свод практик'!$J$6:$J$277,'свод субъектов ИБ+смежные'!AN$1)</f>
        <v>0</v>
      </c>
      <c r="AO98" s="160">
        <f>SUMIFS('свод практик'!$CE$6:$CE$277,'свод практик'!$J$6:$J$277,'свод субъектов ИБ+смежные'!AO$1)</f>
        <v>0</v>
      </c>
      <c r="AP98" s="36">
        <f>SUMIFS('свод практик'!$CE$6:$CE$277,'свод практик'!$J$6:$J$277,'свод субъектов ИБ+смежные'!AP$1)</f>
        <v>7</v>
      </c>
      <c r="AQ98" s="36">
        <f>SUMIFS('свод практик'!$CE$6:$CE$277,'свод практик'!$J$6:$J$277,'свод субъектов ИБ+смежные'!AQ$1)</f>
        <v>4</v>
      </c>
      <c r="AR98" s="36">
        <f>SUMIFS('свод практик'!$CE$6:$CE$277,'свод практик'!$J$6:$J$277,'свод субъектов ИБ+смежные'!AR$1)</f>
        <v>10</v>
      </c>
      <c r="AS98" s="36">
        <f>SUMIFS('свод практик'!$CE$6:$CE$277,'свод практик'!$J$6:$J$277,'свод субъектов ИБ+смежные'!AS$1)</f>
        <v>28</v>
      </c>
      <c r="AT98" s="36">
        <f>SUMIFS('свод практик'!$CE$6:$CE$277,'свод практик'!$J$6:$J$277,'свод субъектов ИБ+смежные'!AT$1)</f>
        <v>21</v>
      </c>
      <c r="AU98" s="36">
        <f>SUMIFS('свод практик'!$CE$6:$CE$277,'свод практик'!$J$6:$J$277,'свод субъектов ИБ+смежные'!AU$1)</f>
        <v>0</v>
      </c>
      <c r="AV98" s="36">
        <f>SUMIFS('свод практик'!$CE$6:$CE$277,'свод практик'!$J$6:$J$277,'свод субъектов ИБ+смежные'!AV$1)</f>
        <v>0</v>
      </c>
      <c r="AW98" s="36">
        <f>SUMIFS('свод практик'!$CE$6:$CE$277,'свод практик'!$J$6:$J$277,'свод субъектов ИБ+смежные'!AW$1)</f>
        <v>0</v>
      </c>
      <c r="AX98" s="36">
        <f>SUMIFS('свод практик'!$CE$6:$CE$277,'свод практик'!$J$6:$J$277,'свод субъектов ИБ+смежные'!AX$1)</f>
        <v>13</v>
      </c>
      <c r="AY98" s="160">
        <f>SUMIFS('свод практик'!$CE$6:$CE$277,'свод практик'!$J$6:$J$277,'свод субъектов ИБ+смежные'!AY$1)</f>
        <v>0</v>
      </c>
      <c r="AZ98" s="36">
        <f>SUMIFS('свод практик'!$CE$6:$CE$277,'свод практик'!$J$6:$J$277,'свод субъектов ИБ+смежные'!AZ$1)</f>
        <v>4</v>
      </c>
      <c r="BA98" s="36">
        <f>SUMIFS('свод практик'!$CE$6:$CE$277,'свод практик'!$J$6:$J$277,'свод субъектов ИБ+смежные'!BA$1)</f>
        <v>0</v>
      </c>
      <c r="BB98" s="160">
        <f>SUMIFS('свод практик'!$CE$6:$CE$277,'свод практик'!$J$6:$J$277,'свод субъектов ИБ+смежные'!BB$1)</f>
        <v>0</v>
      </c>
      <c r="BC98" s="36">
        <f>SUMIFS('свод практик'!$CE$6:$CE$277,'свод практик'!$J$6:$J$277,'свод субъектов ИБ+смежные'!BC$1)</f>
        <v>0</v>
      </c>
      <c r="BD98" s="160">
        <f>SUMIFS('свод практик'!$CE$6:$CE$277,'свод практик'!$J$6:$J$277,'свод субъектов ИБ+смежные'!BD$1)</f>
        <v>0</v>
      </c>
      <c r="BE98" s="160">
        <f>SUMIFS('свод практик'!$CE$6:$CE$277,'свод практик'!$J$6:$J$277,'свод субъектов ИБ+смежные'!BE$1)</f>
        <v>0</v>
      </c>
      <c r="BF98" s="36">
        <f>SUMIFS('свод практик'!$CE$6:$CE$277,'свод практик'!$J$6:$J$277,'свод субъектов ИБ+смежные'!BF$1)</f>
        <v>0</v>
      </c>
      <c r="BG98" s="36">
        <f>SUMIFS('свод практик'!$CE$6:$CE$277,'свод практик'!$J$6:$J$277,'свод субъектов ИБ+смежные'!BG$1)</f>
        <v>12</v>
      </c>
      <c r="BH98" s="36">
        <f>SUMIFS('свод практик'!$CE$6:$CE$277,'свод практик'!$J$6:$J$277,'свод субъектов ИБ+смежные'!BH$1)</f>
        <v>0</v>
      </c>
      <c r="BI98" s="36">
        <f>SUMIFS('свод практик'!$CE$6:$CE$277,'свод практик'!$J$6:$J$277,'свод субъектов ИБ+смежные'!BI$1)</f>
        <v>0</v>
      </c>
      <c r="BJ98" s="36">
        <f>SUMIFS('свод практик'!$CE$6:$CE$277,'свод практик'!$J$6:$J$277,'свод субъектов ИБ+смежные'!BJ$1)</f>
        <v>0</v>
      </c>
      <c r="BK98" s="36">
        <f>SUMIFS('свод практик'!$CE$6:$CE$277,'свод практик'!$J$6:$J$277,'свод субъектов ИБ+смежные'!BK$1)</f>
        <v>7</v>
      </c>
      <c r="BL98" s="36">
        <f>SUMIFS('свод практик'!$CE$6:$CE$277,'свод практик'!$J$6:$J$277,'свод субъектов ИБ+смежные'!BL$1)</f>
        <v>7</v>
      </c>
      <c r="BM98" s="36">
        <f>SUMIFS('свод практик'!$CE$6:$CE$277,'свод практик'!$J$6:$J$277,'свод субъектов ИБ+смежные'!BM$1)</f>
        <v>0</v>
      </c>
      <c r="BN98" s="36">
        <f>SUMIFS('свод практик'!$CE$6:$CE$277,'свод практик'!$J$6:$J$277,'свод субъектов ИБ+смежные'!BN$1)</f>
        <v>1</v>
      </c>
      <c r="BO98" s="36">
        <f>SUMIFS('свод практик'!$CE$6:$CE$277,'свод практик'!$J$6:$J$277,'свод субъектов ИБ+смежные'!BO$1)</f>
        <v>0</v>
      </c>
      <c r="BP98" s="36">
        <f>SUMIFS('свод практик'!$CE$6:$CE$277,'свод практик'!$J$6:$J$277,'свод субъектов ИБ+смежные'!BP$1)</f>
        <v>5</v>
      </c>
      <c r="BQ98" s="160">
        <f>SUMIFS('свод практик'!$CE$6:$CE$277,'свод практик'!$J$6:$J$277,'свод субъектов ИБ+смежные'!BQ$1)</f>
        <v>0</v>
      </c>
      <c r="BR98" s="36">
        <f>SUMIFS('свод практик'!$CE$6:$CE$277,'свод практик'!$J$6:$J$277,'свод субъектов ИБ+смежные'!BR$1)</f>
        <v>0</v>
      </c>
      <c r="BS98" s="36">
        <f>SUMIFS('свод практик'!$CE$6:$CE$277,'свод практик'!$J$6:$J$277,'свод субъектов ИБ+смежные'!BS$1)</f>
        <v>0</v>
      </c>
      <c r="BT98" s="36">
        <f>SUMIFS('свод практик'!$CE$6:$CE$277,'свод практик'!$J$6:$J$277,'свод субъектов ИБ+смежные'!BT$1)</f>
        <v>0</v>
      </c>
      <c r="BU98" s="36">
        <f>SUMIFS('свод практик'!$CE$6:$CE$277,'свод практик'!$J$6:$J$277,'свод субъектов ИБ+смежные'!BU$1)</f>
        <v>1</v>
      </c>
      <c r="BV98" s="36">
        <f>SUMIFS('свод практик'!$CE$6:$CE$277,'свод практик'!$J$6:$J$277,'свод субъектов ИБ+смежные'!BV$1)</f>
        <v>0</v>
      </c>
      <c r="BW98" s="36">
        <f>SUMIFS('свод практик'!$CE$6:$CE$277,'свод практик'!$J$6:$J$277,'свод субъектов ИБ+смежные'!BW$1)</f>
        <v>0</v>
      </c>
      <c r="BX98" s="36">
        <f>SUMIFS('свод практик'!$CE$6:$CE$277,'свод практик'!$J$6:$J$277,'свод субъектов ИБ+смежные'!BX$1)</f>
        <v>12</v>
      </c>
      <c r="BY98" s="36">
        <f>SUMIFS('свод практик'!$CE$6:$CE$277,'свод практик'!$J$6:$J$277,'свод субъектов ИБ+смежные'!BY$1)</f>
        <v>33</v>
      </c>
      <c r="BZ98" s="36">
        <f>SUMIFS('свод практик'!$CE$6:$CE$277,'свод практик'!$J$6:$J$277,'свод субъектов ИБ+смежные'!BZ$1)</f>
        <v>13</v>
      </c>
      <c r="CA98" s="160">
        <f>SUMIFS('свод практик'!$CE$6:$CE$277,'свод практик'!$J$6:$J$277,'свод субъектов ИБ+смежные'!CA$1)</f>
        <v>0</v>
      </c>
      <c r="CB98" s="160">
        <f>SUMIFS('свод практик'!$CE$6:$CE$277,'свод практик'!$J$6:$J$277,'свод субъектов ИБ+смежные'!CB$1)</f>
        <v>0</v>
      </c>
      <c r="CC98" s="36">
        <f>SUMIFS('свод практик'!$CE$6:$CE$277,'свод практик'!$J$6:$J$277,'свод субъектов ИБ+смежные'!CC$1)</f>
        <v>0</v>
      </c>
      <c r="CD98" s="36">
        <f>SUMIFS('свод практик'!$CE$6:$CE$277,'свод практик'!$J$6:$J$277,'свод субъектов ИБ+смежные'!CD$1)</f>
        <v>0</v>
      </c>
      <c r="CE98" s="36">
        <f>SUMIFS('свод практик'!$CE$6:$CE$277,'свод практик'!$J$6:$J$277,'свод субъектов ИБ+смежные'!CE$1)</f>
        <v>0</v>
      </c>
      <c r="CF98" s="36">
        <f>SUMIFS('свод практик'!$CE$6:$CE$277,'свод практик'!$J$6:$J$277,'свод субъектов ИБ+смежные'!CF$1)</f>
        <v>18</v>
      </c>
      <c r="CG98" s="36">
        <f>SUMIFS('свод практик'!$CE$6:$CE$277,'свод практик'!$J$6:$J$277,'свод субъектов ИБ+смежные'!CG$1)</f>
        <v>0</v>
      </c>
      <c r="CH98" s="36">
        <f>SUMIFS('свод практик'!$CE$6:$CE$277,'свод практик'!$J$6:$J$277,'свод субъектов ИБ+смежные'!CH$1)</f>
        <v>0</v>
      </c>
      <c r="CI98" s="36">
        <f>SUMIFS('свод практик'!$CE$6:$CE$277,'свод практик'!$J$6:$J$277,'свод субъектов ИБ+смежные'!CI$1)</f>
        <v>177</v>
      </c>
      <c r="CJ98" s="160">
        <f>SUMIFS('свод практик'!$CE$6:$CE$277,'свод практик'!$J$6:$J$277,'свод субъектов ИБ+смежные'!CJ$1)</f>
        <v>0</v>
      </c>
      <c r="CK98" s="36">
        <f>SUMIFS('свод практик'!$CE$6:$CE$277,'свод практик'!$J$6:$J$277,'свод субъектов ИБ+смежные'!CK$1)</f>
        <v>0</v>
      </c>
      <c r="CL98" s="36">
        <f>SUMIFS('свод практик'!$CE$6:$CE$277,'свод практик'!$J$6:$J$277,'свод субъектов ИБ+смежные'!CL$1)</f>
        <v>6</v>
      </c>
      <c r="CM98" s="36">
        <f>SUMIFS('свод практик'!$CE$6:$CE$277,'свод практик'!$J$6:$J$277,'свод субъектов ИБ+смежные'!CM$1)</f>
        <v>13</v>
      </c>
      <c r="CN98" s="36">
        <f>SUMIFS('свод практик'!$CE$6:$CE$277,'свод практик'!$J$6:$J$277,'свод субъектов ИБ+смежные'!CN$1)</f>
        <v>0</v>
      </c>
      <c r="CO98" s="160">
        <f>SUMIFS('свод практик'!$CE$6:$CE$277,'свод практик'!$J$6:$J$277,'свод субъектов ИБ+смежные'!CO$1)</f>
        <v>0</v>
      </c>
      <c r="CP98" s="36">
        <f>SUMIFS('свод практик'!$CE$6:$CE$277,'свод практик'!$J$6:$J$277,'свод субъектов ИБ+смежные'!CP$1)</f>
        <v>19</v>
      </c>
      <c r="CQ98" s="36">
        <f>SUMIFS('свод практик'!$CE$6:$CE$277,'свод практик'!$J$6:$J$277,'свод субъектов ИБ+смежные'!CQ$1)</f>
        <v>95</v>
      </c>
      <c r="CR98" s="160">
        <f>SUMIFS('свод практик'!$CE$6:$CE$277,'свод практик'!$J$6:$J$277,'свод субъектов ИБ+смежные'!CR$1)</f>
        <v>0</v>
      </c>
      <c r="CS98" s="36">
        <f>SUMIFS('свод практик'!$CE$6:$CE$277,'свод практик'!$J$6:$J$277,'свод субъектов ИБ+смежные'!CS$1)</f>
        <v>27</v>
      </c>
      <c r="CT98" s="36">
        <f>SUMIFS('свод практик'!$CE$6:$CE$277,'свод практик'!$J$6:$J$277,'свод субъектов ИБ+смежные'!CT$1)</f>
        <v>0</v>
      </c>
      <c r="CU98" s="36">
        <f>SUMIFS('свод практик'!$CE$6:$CE$277,'свод практик'!$J$6:$J$277,'свод субъектов ИБ+смежные'!CU$1)</f>
        <v>3</v>
      </c>
      <c r="CV98" s="36">
        <f>SUMIFS('свод практик'!$CE$6:$CE$277,'свод практик'!$J$6:$J$277,'свод субъектов ИБ+смежные'!CV$1)</f>
        <v>164</v>
      </c>
    </row>
    <row r="99" spans="1:100" ht="14">
      <c r="A99" s="716"/>
      <c r="B99" s="716"/>
      <c r="C99" s="773"/>
      <c r="D99" s="42" t="s">
        <v>4949</v>
      </c>
      <c r="E99" s="42">
        <v>65</v>
      </c>
      <c r="F99" s="43" t="s">
        <v>5159</v>
      </c>
      <c r="G99" s="762"/>
      <c r="H99" s="45" t="s">
        <v>60</v>
      </c>
      <c r="I99" s="46"/>
      <c r="M99" s="36">
        <v>0.1014929118052942</v>
      </c>
      <c r="N99" s="36">
        <v>5.5729359987273984E-2</v>
      </c>
      <c r="O99" s="228">
        <f>O98/O126</f>
        <v>7.202051188132412E-2</v>
      </c>
      <c r="P99" s="145">
        <f t="shared" ref="P99:CA99" si="55">P98/P126</f>
        <v>0</v>
      </c>
      <c r="Q99" s="145">
        <f t="shared" si="55"/>
        <v>0</v>
      </c>
      <c r="R99" s="145">
        <f t="shared" si="55"/>
        <v>0</v>
      </c>
      <c r="S99" s="145">
        <f t="shared" si="55"/>
        <v>0</v>
      </c>
      <c r="T99" s="145">
        <f t="shared" si="55"/>
        <v>8.1081081081081086E-3</v>
      </c>
      <c r="U99" s="145">
        <f t="shared" si="55"/>
        <v>0</v>
      </c>
      <c r="V99" s="145">
        <f t="shared" si="55"/>
        <v>0.19328387348691917</v>
      </c>
      <c r="W99" s="145">
        <f t="shared" si="55"/>
        <v>0</v>
      </c>
      <c r="X99" s="145">
        <f t="shared" si="55"/>
        <v>0</v>
      </c>
      <c r="Y99" s="145">
        <f t="shared" si="55"/>
        <v>0</v>
      </c>
      <c r="Z99" s="145">
        <f t="shared" si="55"/>
        <v>0</v>
      </c>
      <c r="AA99" s="145">
        <f t="shared" si="55"/>
        <v>6.4516129032258063E-2</v>
      </c>
      <c r="AB99" s="145">
        <f t="shared" si="55"/>
        <v>0</v>
      </c>
      <c r="AC99" s="145">
        <f t="shared" si="55"/>
        <v>0</v>
      </c>
      <c r="AD99" s="145" t="e">
        <f t="shared" si="55"/>
        <v>#DIV/0!</v>
      </c>
      <c r="AE99" s="145" t="e">
        <f t="shared" si="55"/>
        <v>#DIV/0!</v>
      </c>
      <c r="AF99" s="145">
        <f t="shared" si="55"/>
        <v>0</v>
      </c>
      <c r="AG99" s="145" t="e">
        <f t="shared" si="55"/>
        <v>#DIV/0!</v>
      </c>
      <c r="AH99" s="145" t="e">
        <f t="shared" si="55"/>
        <v>#DIV/0!</v>
      </c>
      <c r="AI99" s="145">
        <f t="shared" si="55"/>
        <v>0.21588235294117647</v>
      </c>
      <c r="AJ99" s="145">
        <f t="shared" si="55"/>
        <v>0</v>
      </c>
      <c r="AK99" s="145">
        <f t="shared" si="55"/>
        <v>3.5087719298245615E-3</v>
      </c>
      <c r="AL99" s="145">
        <f t="shared" si="55"/>
        <v>0</v>
      </c>
      <c r="AM99" s="145">
        <f t="shared" si="55"/>
        <v>0</v>
      </c>
      <c r="AN99" s="145" t="e">
        <f t="shared" si="55"/>
        <v>#DIV/0!</v>
      </c>
      <c r="AO99" s="145" t="e">
        <f t="shared" si="55"/>
        <v>#DIV/0!</v>
      </c>
      <c r="AP99" s="145">
        <f t="shared" si="55"/>
        <v>4.6357615894039736E-2</v>
      </c>
      <c r="AQ99" s="145">
        <f t="shared" si="55"/>
        <v>3.7383177570093455E-2</v>
      </c>
      <c r="AR99" s="145">
        <f t="shared" si="55"/>
        <v>2.8011204481792718E-2</v>
      </c>
      <c r="AS99" s="145">
        <f t="shared" si="55"/>
        <v>0.10144927536231885</v>
      </c>
      <c r="AT99" s="145">
        <f t="shared" si="55"/>
        <v>6.5625000000000003E-2</v>
      </c>
      <c r="AU99" s="145">
        <f t="shared" si="55"/>
        <v>0</v>
      </c>
      <c r="AV99" s="145">
        <f t="shared" si="55"/>
        <v>0</v>
      </c>
      <c r="AW99" s="145">
        <f t="shared" si="55"/>
        <v>0</v>
      </c>
      <c r="AX99" s="145">
        <f t="shared" si="55"/>
        <v>4.4368600682593858E-2</v>
      </c>
      <c r="AY99" s="162" t="e">
        <f t="shared" si="55"/>
        <v>#DIV/0!</v>
      </c>
      <c r="AZ99" s="145">
        <f t="shared" si="55"/>
        <v>6.5897858319604614E-3</v>
      </c>
      <c r="BA99" s="145">
        <f t="shared" si="55"/>
        <v>0</v>
      </c>
      <c r="BB99" s="162" t="e">
        <f t="shared" si="55"/>
        <v>#DIV/0!</v>
      </c>
      <c r="BC99" s="145">
        <f t="shared" si="55"/>
        <v>0</v>
      </c>
      <c r="BD99" s="162" t="e">
        <f t="shared" si="55"/>
        <v>#DIV/0!</v>
      </c>
      <c r="BE99" s="162" t="e">
        <f t="shared" si="55"/>
        <v>#DIV/0!</v>
      </c>
      <c r="BF99" s="145">
        <f t="shared" si="55"/>
        <v>0</v>
      </c>
      <c r="BG99" s="145">
        <f t="shared" si="55"/>
        <v>0.33333333333333331</v>
      </c>
      <c r="BH99" s="145">
        <f t="shared" si="55"/>
        <v>0</v>
      </c>
      <c r="BI99" s="145">
        <f t="shared" si="55"/>
        <v>0</v>
      </c>
      <c r="BJ99" s="145">
        <f t="shared" si="55"/>
        <v>0</v>
      </c>
      <c r="BK99" s="145">
        <f t="shared" si="55"/>
        <v>3.4482758620689655E-2</v>
      </c>
      <c r="BL99" s="145">
        <f t="shared" si="55"/>
        <v>5.4263565891472867E-2</v>
      </c>
      <c r="BM99" s="145">
        <f t="shared" si="55"/>
        <v>0</v>
      </c>
      <c r="BN99" s="145">
        <f t="shared" si="55"/>
        <v>0.1111111111111111</v>
      </c>
      <c r="BO99" s="145">
        <f t="shared" si="55"/>
        <v>0</v>
      </c>
      <c r="BP99" s="145">
        <f t="shared" si="55"/>
        <v>3.8461538461538464E-2</v>
      </c>
      <c r="BQ99" s="145" t="e">
        <f t="shared" si="55"/>
        <v>#DIV/0!</v>
      </c>
      <c r="BR99" s="145">
        <f t="shared" si="55"/>
        <v>0</v>
      </c>
      <c r="BS99" s="145">
        <f t="shared" si="55"/>
        <v>0</v>
      </c>
      <c r="BT99" s="145">
        <f t="shared" si="55"/>
        <v>0</v>
      </c>
      <c r="BU99" s="145">
        <f t="shared" si="55"/>
        <v>1.639344262295082E-3</v>
      </c>
      <c r="BV99" s="145">
        <f t="shared" si="55"/>
        <v>0</v>
      </c>
      <c r="BW99" s="145">
        <f t="shared" si="55"/>
        <v>0</v>
      </c>
      <c r="BX99" s="145">
        <f t="shared" si="55"/>
        <v>2.7088036117381489E-2</v>
      </c>
      <c r="BY99" s="145">
        <f t="shared" si="55"/>
        <v>0.1875</v>
      </c>
      <c r="BZ99" s="145">
        <f t="shared" si="55"/>
        <v>7.0270270270270274E-2</v>
      </c>
      <c r="CA99" s="145" t="e">
        <f t="shared" si="55"/>
        <v>#DIV/0!</v>
      </c>
      <c r="CB99" s="145" t="e">
        <f t="shared" ref="CB99:CV99" si="56">CB98/CB126</f>
        <v>#DIV/0!</v>
      </c>
      <c r="CC99" s="145">
        <f t="shared" si="56"/>
        <v>0</v>
      </c>
      <c r="CD99" s="145">
        <f t="shared" si="56"/>
        <v>0</v>
      </c>
      <c r="CE99" s="145">
        <f t="shared" si="56"/>
        <v>0</v>
      </c>
      <c r="CF99" s="145">
        <f t="shared" si="56"/>
        <v>6.298110566829951E-3</v>
      </c>
      <c r="CG99" s="145">
        <f t="shared" si="56"/>
        <v>0</v>
      </c>
      <c r="CH99" s="145">
        <f t="shared" si="56"/>
        <v>0</v>
      </c>
      <c r="CI99" s="145">
        <f t="shared" si="56"/>
        <v>0.34980237154150196</v>
      </c>
      <c r="CJ99" s="145" t="e">
        <f t="shared" si="56"/>
        <v>#DIV/0!</v>
      </c>
      <c r="CK99" s="145">
        <f t="shared" si="56"/>
        <v>0</v>
      </c>
      <c r="CL99" s="145">
        <f t="shared" si="56"/>
        <v>5.5045871559633031E-2</v>
      </c>
      <c r="CM99" s="145">
        <f t="shared" si="56"/>
        <v>8.8435374149659865E-2</v>
      </c>
      <c r="CN99" s="145">
        <f t="shared" si="56"/>
        <v>0</v>
      </c>
      <c r="CO99" s="145" t="e">
        <f t="shared" si="56"/>
        <v>#DIV/0!</v>
      </c>
      <c r="CP99" s="145">
        <f t="shared" si="56"/>
        <v>6.9343065693430656E-2</v>
      </c>
      <c r="CQ99" s="145">
        <f t="shared" si="56"/>
        <v>0.5864197530864198</v>
      </c>
      <c r="CR99" s="145" t="e">
        <f t="shared" si="56"/>
        <v>#DIV/0!</v>
      </c>
      <c r="CS99" s="145">
        <f t="shared" si="56"/>
        <v>4.0785498489425982E-2</v>
      </c>
      <c r="CT99" s="145">
        <f t="shared" si="56"/>
        <v>0</v>
      </c>
      <c r="CU99" s="145">
        <f t="shared" si="56"/>
        <v>3.7037037037037035E-2</v>
      </c>
      <c r="CV99" s="145">
        <f t="shared" si="56"/>
        <v>0.32997987927565392</v>
      </c>
    </row>
    <row r="100" spans="1:100" ht="14">
      <c r="A100" s="716"/>
      <c r="B100" s="716"/>
      <c r="C100" s="773"/>
      <c r="D100" s="42" t="s">
        <v>4949</v>
      </c>
      <c r="E100" s="42">
        <v>87</v>
      </c>
      <c r="F100" s="48" t="s">
        <v>5160</v>
      </c>
      <c r="G100" s="762" t="s">
        <v>25</v>
      </c>
      <c r="H100" s="45" t="s">
        <v>5140</v>
      </c>
      <c r="I100" s="46"/>
      <c r="M100" s="36" t="s">
        <v>5497</v>
      </c>
      <c r="N100" s="36">
        <v>1451</v>
      </c>
      <c r="O100" s="224">
        <f>SUM(P100:CV100)</f>
        <v>1477</v>
      </c>
      <c r="P100" s="36">
        <f>SUMIFS('свод практик'!$CF$6:$CF$277,'свод практик'!$J$6:$J$277,'свод субъектов ИБ+смежные'!P$1)</f>
        <v>0</v>
      </c>
      <c r="Q100" s="36">
        <f>SUMIFS('свод практик'!$CF$6:$CF$277,'свод практик'!$J$6:$J$277,'свод субъектов ИБ+смежные'!Q$1)</f>
        <v>0</v>
      </c>
      <c r="R100" s="36">
        <f>SUMIFS('свод практик'!$CF$6:$CF$277,'свод практик'!$J$6:$J$277,'свод субъектов ИБ+смежные'!R$1)</f>
        <v>45</v>
      </c>
      <c r="S100" s="36">
        <f>SUMIFS('свод практик'!$CF$6:$CF$277,'свод практик'!$J$6:$J$277,'свод субъектов ИБ+смежные'!S$1)</f>
        <v>19</v>
      </c>
      <c r="T100" s="36">
        <f>SUMIFS('свод практик'!$CF$6:$CF$277,'свод практик'!$J$6:$J$277,'свод субъектов ИБ+смежные'!T$1)</f>
        <v>53</v>
      </c>
      <c r="U100" s="36">
        <f>SUMIFS('свод практик'!$CF$6:$CF$277,'свод практик'!$J$6:$J$277,'свод субъектов ИБ+смежные'!U$1)</f>
        <v>0</v>
      </c>
      <c r="V100" s="36">
        <f>SUMIFS('свод практик'!$CF$6:$CF$277,'свод практик'!$J$6:$J$277,'свод субъектов ИБ+смежные'!V$1)</f>
        <v>272</v>
      </c>
      <c r="W100" s="36">
        <f>SUMIFS('свод практик'!$CF$6:$CF$277,'свод практик'!$J$6:$J$277,'свод субъектов ИБ+смежные'!W$1)</f>
        <v>3</v>
      </c>
      <c r="X100" s="36">
        <f>SUMIFS('свод практик'!$CF$6:$CF$277,'свод практик'!$J$6:$J$277,'свод субъектов ИБ+смежные'!X$1)</f>
        <v>2</v>
      </c>
      <c r="Y100" s="36">
        <f>SUMIFS('свод практик'!$CF$6:$CF$277,'свод практик'!$J$6:$J$277,'свод субъектов ИБ+смежные'!Y$1)</f>
        <v>0</v>
      </c>
      <c r="Z100" s="36">
        <f>SUMIFS('свод практик'!$CF$6:$CF$277,'свод практик'!$J$6:$J$277,'свод субъектов ИБ+смежные'!Z$1)</f>
        <v>0</v>
      </c>
      <c r="AA100" s="36">
        <f>SUMIFS('свод практик'!$CF$6:$CF$277,'свод практик'!$J$6:$J$277,'свод субъектов ИБ+смежные'!AA$1)</f>
        <v>14</v>
      </c>
      <c r="AB100" s="36">
        <f>SUMIFS('свод практик'!$CF$6:$CF$277,'свод практик'!$J$6:$J$277,'свод субъектов ИБ+смежные'!AB$1)</f>
        <v>68</v>
      </c>
      <c r="AC100" s="36">
        <f>SUMIFS('свод практик'!$CF$6:$CF$277,'свод практик'!$J$6:$J$277,'свод субъектов ИБ+смежные'!AC$1)</f>
        <v>0</v>
      </c>
      <c r="AD100" s="160">
        <f>SUMIFS('свод практик'!$CF$6:$CF$277,'свод практик'!$J$6:$J$277,'свод субъектов ИБ+смежные'!AD$1)</f>
        <v>0</v>
      </c>
      <c r="AE100" s="160">
        <f>SUMIFS('свод практик'!$CF$6:$CF$277,'свод практик'!$J$6:$J$277,'свод субъектов ИБ+смежные'!AE$1)</f>
        <v>0</v>
      </c>
      <c r="AF100" s="36">
        <f>SUMIFS('свод практик'!$CF$6:$CF$277,'свод практик'!$J$6:$J$277,'свод субъектов ИБ+смежные'!AF$1)</f>
        <v>0</v>
      </c>
      <c r="AG100" s="160">
        <f>SUMIFS('свод практик'!$CF$6:$CF$277,'свод практик'!$J$6:$J$277,'свод субъектов ИБ+смежные'!AG$1)</f>
        <v>0</v>
      </c>
      <c r="AH100" s="160">
        <f>SUMIFS('свод практик'!$CF$6:$CF$277,'свод практик'!$J$6:$J$277,'свод субъектов ИБ+смежные'!AH$1)</f>
        <v>0</v>
      </c>
      <c r="AI100" s="36">
        <f>SUMIFS('свод практик'!$CF$6:$CF$277,'свод практик'!$J$6:$J$277,'свод субъектов ИБ+смежные'!AI$1)</f>
        <v>390</v>
      </c>
      <c r="AJ100" s="36">
        <f>SUMIFS('свод практик'!$CF$6:$CF$277,'свод практик'!$J$6:$J$277,'свод субъектов ИБ+смежные'!AJ$1)</f>
        <v>0</v>
      </c>
      <c r="AK100" s="36">
        <f>SUMIFS('свод практик'!$CF$6:$CF$277,'свод практик'!$J$6:$J$277,'свод субъектов ИБ+смежные'!AK$1)</f>
        <v>1</v>
      </c>
      <c r="AL100" s="36">
        <f>SUMIFS('свод практик'!$CF$6:$CF$277,'свод практик'!$J$6:$J$277,'свод субъектов ИБ+смежные'!AL$1)</f>
        <v>0</v>
      </c>
      <c r="AM100" s="36">
        <f>SUMIFS('свод практик'!$CF$6:$CF$277,'свод практик'!$J$6:$J$277,'свод субъектов ИБ+смежные'!AM$1)</f>
        <v>21</v>
      </c>
      <c r="AN100" s="160">
        <f>SUMIFS('свод практик'!$CF$6:$CF$277,'свод практик'!$J$6:$J$277,'свод субъектов ИБ+смежные'!AN$1)</f>
        <v>0</v>
      </c>
      <c r="AO100" s="160">
        <f>SUMIFS('свод практик'!$CF$6:$CF$277,'свод практик'!$J$6:$J$277,'свод субъектов ИБ+смежные'!AO$1)</f>
        <v>0</v>
      </c>
      <c r="AP100" s="36">
        <f>SUMIFS('свод практик'!$CF$6:$CF$277,'свод практик'!$J$6:$J$277,'свод субъектов ИБ+смежные'!AP$1)</f>
        <v>15</v>
      </c>
      <c r="AQ100" s="36">
        <f>SUMIFS('свод практик'!$CF$6:$CF$277,'свод практик'!$J$6:$J$277,'свод субъектов ИБ+смежные'!AQ$1)</f>
        <v>1</v>
      </c>
      <c r="AR100" s="36">
        <f>SUMIFS('свод практик'!$CF$6:$CF$277,'свод практик'!$J$6:$J$277,'свод субъектов ИБ+смежные'!AR$1)</f>
        <v>26</v>
      </c>
      <c r="AS100" s="36">
        <f>SUMIFS('свод практик'!$CF$6:$CF$277,'свод практик'!$J$6:$J$277,'свод субъектов ИБ+смежные'!AS$1)</f>
        <v>22</v>
      </c>
      <c r="AT100" s="36">
        <f>SUMIFS('свод практик'!$CF$6:$CF$277,'свод практик'!$J$6:$J$277,'свод субъектов ИБ+смежные'!AT$1)</f>
        <v>14</v>
      </c>
      <c r="AU100" s="36">
        <f>SUMIFS('свод практик'!$CF$6:$CF$277,'свод практик'!$J$6:$J$277,'свод субъектов ИБ+смежные'!AU$1)</f>
        <v>0</v>
      </c>
      <c r="AV100" s="36">
        <f>SUMIFS('свод практик'!$CF$6:$CF$277,'свод практик'!$J$6:$J$277,'свод субъектов ИБ+смежные'!AV$1)</f>
        <v>15</v>
      </c>
      <c r="AW100" s="36">
        <f>SUMIFS('свод практик'!$CF$6:$CF$277,'свод практик'!$J$6:$J$277,'свод субъектов ИБ+смежные'!AW$1)</f>
        <v>0</v>
      </c>
      <c r="AX100" s="36">
        <f>SUMIFS('свод практик'!$CF$6:$CF$277,'свод практик'!$J$6:$J$277,'свод субъектов ИБ+смежные'!AX$1)</f>
        <v>21</v>
      </c>
      <c r="AY100" s="160">
        <f>SUMIFS('свод практик'!$CF$6:$CF$277,'свод практик'!$J$6:$J$277,'свод субъектов ИБ+смежные'!AY$1)</f>
        <v>0</v>
      </c>
      <c r="AZ100" s="36">
        <f>SUMIFS('свод практик'!$CF$6:$CF$277,'свод практик'!$J$6:$J$277,'свод субъектов ИБ+смежные'!AZ$1)</f>
        <v>2</v>
      </c>
      <c r="BA100" s="36">
        <f>SUMIFS('свод практик'!$CF$6:$CF$277,'свод практик'!$J$6:$J$277,'свод субъектов ИБ+смежные'!BA$1)</f>
        <v>0</v>
      </c>
      <c r="BB100" s="160">
        <f>SUMIFS('свод практик'!$CF$6:$CF$277,'свод практик'!$J$6:$J$277,'свод субъектов ИБ+смежные'!BB$1)</f>
        <v>0</v>
      </c>
      <c r="BC100" s="36">
        <f>SUMIFS('свод практик'!$CF$6:$CF$277,'свод практик'!$J$6:$J$277,'свод субъектов ИБ+смежные'!BC$1)</f>
        <v>0</v>
      </c>
      <c r="BD100" s="160">
        <f>SUMIFS('свод практик'!$CF$6:$CF$277,'свод практик'!$J$6:$J$277,'свод субъектов ИБ+смежные'!BD$1)</f>
        <v>0</v>
      </c>
      <c r="BE100" s="160">
        <f>SUMIFS('свод практик'!$CF$6:$CF$277,'свод практик'!$J$6:$J$277,'свод субъектов ИБ+смежные'!BE$1)</f>
        <v>0</v>
      </c>
      <c r="BF100" s="36">
        <f>SUMIFS('свод практик'!$CF$6:$CF$277,'свод практик'!$J$6:$J$277,'свод субъектов ИБ+смежные'!BF$1)</f>
        <v>0</v>
      </c>
      <c r="BG100" s="36">
        <f>SUMIFS('свод практик'!$CF$6:$CF$277,'свод практик'!$J$6:$J$277,'свод субъектов ИБ+смежные'!BG$1)</f>
        <v>4</v>
      </c>
      <c r="BH100" s="36">
        <f>SUMIFS('свод практик'!$CF$6:$CF$277,'свод практик'!$J$6:$J$277,'свод субъектов ИБ+смежные'!BH$1)</f>
        <v>1</v>
      </c>
      <c r="BI100" s="36">
        <f>SUMIFS('свод практик'!$CF$6:$CF$277,'свод практик'!$J$6:$J$277,'свод субъектов ИБ+смежные'!BI$1)</f>
        <v>13</v>
      </c>
      <c r="BJ100" s="36">
        <f>SUMIFS('свод практик'!$CF$6:$CF$277,'свод практик'!$J$6:$J$277,'свод субъектов ИБ+смежные'!BJ$1)</f>
        <v>9</v>
      </c>
      <c r="BK100" s="36">
        <f>SUMIFS('свод практик'!$CF$6:$CF$277,'свод практик'!$J$6:$J$277,'свод субъектов ИБ+смежные'!BK$1)</f>
        <v>19</v>
      </c>
      <c r="BL100" s="36">
        <f>SUMIFS('свод практик'!$CF$6:$CF$277,'свод практик'!$J$6:$J$277,'свод субъектов ИБ+смежные'!BL$1)</f>
        <v>7</v>
      </c>
      <c r="BM100" s="36">
        <f>SUMIFS('свод практик'!$CF$6:$CF$277,'свод практик'!$J$6:$J$277,'свод субъектов ИБ+смежные'!BM$1)</f>
        <v>18</v>
      </c>
      <c r="BN100" s="36">
        <f>SUMIFS('свод практик'!$CF$6:$CF$277,'свод практик'!$J$6:$J$277,'свод субъектов ИБ+смежные'!BN$1)</f>
        <v>1</v>
      </c>
      <c r="BO100" s="36">
        <f>SUMIFS('свод практик'!$CF$6:$CF$277,'свод практик'!$J$6:$J$277,'свод субъектов ИБ+смежные'!BO$1)</f>
        <v>0</v>
      </c>
      <c r="BP100" s="36">
        <f>SUMIFS('свод практик'!$CF$6:$CF$277,'свод практик'!$J$6:$J$277,'свод субъектов ИБ+смежные'!BP$1)</f>
        <v>14</v>
      </c>
      <c r="BQ100" s="160">
        <f>SUMIFS('свод практик'!$CF$6:$CF$277,'свод практик'!$J$6:$J$277,'свод субъектов ИБ+смежные'!BQ$1)</f>
        <v>0</v>
      </c>
      <c r="BR100" s="36">
        <f>SUMIFS('свод практик'!$CF$6:$CF$277,'свод практик'!$J$6:$J$277,'свод субъектов ИБ+смежные'!BR$1)</f>
        <v>1</v>
      </c>
      <c r="BS100" s="36">
        <f>SUMIFS('свод практик'!$CF$6:$CF$277,'свод практик'!$J$6:$J$277,'свод субъектов ИБ+смежные'!BS$1)</f>
        <v>0</v>
      </c>
      <c r="BT100" s="36">
        <f>SUMIFS('свод практик'!$CF$6:$CF$277,'свод практик'!$J$6:$J$277,'свод субъектов ИБ+смежные'!BT$1)</f>
        <v>7</v>
      </c>
      <c r="BU100" s="36">
        <f>SUMIFS('свод практик'!$CF$6:$CF$277,'свод практик'!$J$6:$J$277,'свод субъектов ИБ+смежные'!BU$1)</f>
        <v>11</v>
      </c>
      <c r="BV100" s="36">
        <f>SUMIFS('свод практик'!$CF$6:$CF$277,'свод практик'!$J$6:$J$277,'свод субъектов ИБ+смежные'!BV$1)</f>
        <v>0</v>
      </c>
      <c r="BW100" s="36">
        <f>SUMIFS('свод практик'!$CF$6:$CF$277,'свод практик'!$J$6:$J$277,'свод субъектов ИБ+смежные'!BW$1)</f>
        <v>7</v>
      </c>
      <c r="BX100" s="36">
        <f>SUMIFS('свод практик'!$CF$6:$CF$277,'свод практик'!$J$6:$J$277,'свод субъектов ИБ+смежные'!BX$1)</f>
        <v>44</v>
      </c>
      <c r="BY100" s="36">
        <f>SUMIFS('свод практик'!$CF$6:$CF$277,'свод практик'!$J$6:$J$277,'свод субъектов ИБ+смежные'!BY$1)</f>
        <v>6</v>
      </c>
      <c r="BZ100" s="36">
        <f>SUMIFS('свод практик'!$CF$6:$CF$277,'свод практик'!$J$6:$J$277,'свод субъектов ИБ+смежные'!BZ$1)</f>
        <v>8</v>
      </c>
      <c r="CA100" s="160">
        <f>SUMIFS('свод практик'!$CF$6:$CF$277,'свод практик'!$J$6:$J$277,'свод субъектов ИБ+смежные'!CA$1)</f>
        <v>0</v>
      </c>
      <c r="CB100" s="160">
        <f>SUMIFS('свод практик'!$CF$6:$CF$277,'свод практик'!$J$6:$J$277,'свод субъектов ИБ+смежные'!CB$1)</f>
        <v>0</v>
      </c>
      <c r="CC100" s="36">
        <f>SUMIFS('свод практик'!$CF$6:$CF$277,'свод практик'!$J$6:$J$277,'свод субъектов ИБ+смежные'!CC$1)</f>
        <v>0</v>
      </c>
      <c r="CD100" s="36">
        <f>SUMIFS('свод практик'!$CF$6:$CF$277,'свод практик'!$J$6:$J$277,'свод субъектов ИБ+смежные'!CD$1)</f>
        <v>48</v>
      </c>
      <c r="CE100" s="36">
        <f>SUMIFS('свод практик'!$CF$6:$CF$277,'свод практик'!$J$6:$J$277,'свод субъектов ИБ+смежные'!CE$1)</f>
        <v>11</v>
      </c>
      <c r="CF100" s="36">
        <f>SUMIFS('свод практик'!$CF$6:$CF$277,'свод практик'!$J$6:$J$277,'свод субъектов ИБ+смежные'!CF$1)</f>
        <v>109</v>
      </c>
      <c r="CG100" s="36">
        <f>SUMIFS('свод практик'!$CF$6:$CF$277,'свод практик'!$J$6:$J$277,'свод субъектов ИБ+смежные'!CG$1)</f>
        <v>4</v>
      </c>
      <c r="CH100" s="36">
        <f>SUMIFS('свод практик'!$CF$6:$CF$277,'свод практик'!$J$6:$J$277,'свод субъектов ИБ+смежные'!CH$1)</f>
        <v>3</v>
      </c>
      <c r="CI100" s="36">
        <f>SUMIFS('свод практик'!$CF$6:$CF$277,'свод практик'!$J$6:$J$277,'свод субъектов ИБ+смежные'!CI$1)</f>
        <v>20</v>
      </c>
      <c r="CJ100" s="160">
        <f>SUMIFS('свод практик'!$CF$6:$CF$277,'свод практик'!$J$6:$J$277,'свод субъектов ИБ+смежные'!CJ$1)</f>
        <v>0</v>
      </c>
      <c r="CK100" s="36">
        <f>SUMIFS('свод практик'!$CF$6:$CF$277,'свод практик'!$J$6:$J$277,'свод субъектов ИБ+смежные'!CK$1)</f>
        <v>0</v>
      </c>
      <c r="CL100" s="36">
        <f>SUMIFS('свод практик'!$CF$6:$CF$277,'свод практик'!$J$6:$J$277,'свод субъектов ИБ+смежные'!CL$1)</f>
        <v>7</v>
      </c>
      <c r="CM100" s="36">
        <f>SUMIFS('свод практик'!$CF$6:$CF$277,'свод практик'!$J$6:$J$277,'свод субъектов ИБ+смежные'!CM$1)</f>
        <v>42</v>
      </c>
      <c r="CN100" s="36">
        <f>SUMIFS('свод практик'!$CF$6:$CF$277,'свод практик'!$J$6:$J$277,'свод субъектов ИБ+смежные'!CN$1)</f>
        <v>3</v>
      </c>
      <c r="CO100" s="160">
        <f>SUMIFS('свод практик'!$CF$6:$CF$277,'свод практик'!$J$6:$J$277,'свод субъектов ИБ+смежные'!CO$1)</f>
        <v>0</v>
      </c>
      <c r="CP100" s="36">
        <f>SUMIFS('свод практик'!$CF$6:$CF$277,'свод практик'!$J$6:$J$277,'свод субъектов ИБ+смежные'!CP$1)</f>
        <v>7</v>
      </c>
      <c r="CQ100" s="36">
        <f>SUMIFS('свод практик'!$CF$6:$CF$277,'свод практик'!$J$6:$J$277,'свод субъектов ИБ+смежные'!CQ$1)</f>
        <v>10</v>
      </c>
      <c r="CR100" s="160">
        <f>SUMIFS('свод практик'!$CF$6:$CF$277,'свод практик'!$J$6:$J$277,'свод субъектов ИБ+смежные'!CR$1)</f>
        <v>0</v>
      </c>
      <c r="CS100" s="36">
        <f>SUMIFS('свод практик'!$CF$6:$CF$277,'свод практик'!$J$6:$J$277,'свод субъектов ИБ+смежные'!CS$1)</f>
        <v>13</v>
      </c>
      <c r="CT100" s="36">
        <f>SUMIFS('свод практик'!$CF$6:$CF$277,'свод практик'!$J$6:$J$277,'свод субъектов ИБ+смежные'!CT$1)</f>
        <v>1</v>
      </c>
      <c r="CU100" s="36">
        <f>SUMIFS('свод практик'!$CF$6:$CF$277,'свод практик'!$J$6:$J$277,'свод субъектов ИБ+смежные'!CU$1)</f>
        <v>12</v>
      </c>
      <c r="CV100" s="36">
        <f>SUMIFS('свод практик'!$CF$6:$CF$277,'свод практик'!$J$6:$J$277,'свод субъектов ИБ+смежные'!CV$1)</f>
        <v>13</v>
      </c>
    </row>
    <row r="101" spans="1:100" ht="14">
      <c r="A101" s="716"/>
      <c r="B101" s="716"/>
      <c r="C101" s="773"/>
      <c r="D101" s="42" t="s">
        <v>4949</v>
      </c>
      <c r="E101" s="42">
        <v>88</v>
      </c>
      <c r="F101" s="48" t="s">
        <v>5161</v>
      </c>
      <c r="G101" s="762"/>
      <c r="H101" s="45" t="s">
        <v>60</v>
      </c>
      <c r="I101" s="46"/>
      <c r="L101" s="36" t="s">
        <v>278</v>
      </c>
      <c r="M101" s="36" t="s">
        <v>5497</v>
      </c>
      <c r="N101" s="36">
        <v>7.6939392332573311E-2</v>
      </c>
      <c r="O101" s="228">
        <f>O100/O126</f>
        <v>6.7625108740442294E-2</v>
      </c>
      <c r="P101" s="145">
        <f t="shared" ref="P101:CA101" si="57">P100/P126</f>
        <v>0</v>
      </c>
      <c r="Q101" s="145">
        <f t="shared" si="57"/>
        <v>0</v>
      </c>
      <c r="R101" s="145">
        <f t="shared" si="57"/>
        <v>0.22058823529411764</v>
      </c>
      <c r="S101" s="145">
        <f t="shared" si="57"/>
        <v>0.23170731707317074</v>
      </c>
      <c r="T101" s="145">
        <f t="shared" si="57"/>
        <v>0.14324324324324325</v>
      </c>
      <c r="U101" s="145">
        <f t="shared" si="57"/>
        <v>0</v>
      </c>
      <c r="V101" s="145">
        <f t="shared" si="57"/>
        <v>0.10620851229988286</v>
      </c>
      <c r="W101" s="145">
        <f t="shared" si="57"/>
        <v>2.1126760563380281E-2</v>
      </c>
      <c r="X101" s="145">
        <f t="shared" si="57"/>
        <v>2.247191011235955E-2</v>
      </c>
      <c r="Y101" s="145">
        <f t="shared" si="57"/>
        <v>0</v>
      </c>
      <c r="Z101" s="145">
        <f t="shared" si="57"/>
        <v>0</v>
      </c>
      <c r="AA101" s="145">
        <f t="shared" si="57"/>
        <v>0.15053763440860216</v>
      </c>
      <c r="AB101" s="145">
        <f t="shared" si="57"/>
        <v>7.6147816349384098E-2</v>
      </c>
      <c r="AC101" s="145">
        <f t="shared" si="57"/>
        <v>0</v>
      </c>
      <c r="AD101" s="145" t="e">
        <f t="shared" si="57"/>
        <v>#DIV/0!</v>
      </c>
      <c r="AE101" s="145" t="e">
        <f t="shared" si="57"/>
        <v>#DIV/0!</v>
      </c>
      <c r="AF101" s="145">
        <f t="shared" si="57"/>
        <v>0</v>
      </c>
      <c r="AG101" s="145" t="e">
        <f t="shared" si="57"/>
        <v>#DIV/0!</v>
      </c>
      <c r="AH101" s="145" t="e">
        <f t="shared" si="57"/>
        <v>#DIV/0!</v>
      </c>
      <c r="AI101" s="145">
        <f t="shared" si="57"/>
        <v>0.22941176470588234</v>
      </c>
      <c r="AJ101" s="145">
        <f t="shared" si="57"/>
        <v>0</v>
      </c>
      <c r="AK101" s="145">
        <f t="shared" si="57"/>
        <v>1.7543859649122807E-3</v>
      </c>
      <c r="AL101" s="145">
        <f t="shared" si="57"/>
        <v>0</v>
      </c>
      <c r="AM101" s="145">
        <f t="shared" si="57"/>
        <v>0.12352941176470589</v>
      </c>
      <c r="AN101" s="145" t="e">
        <f t="shared" si="57"/>
        <v>#DIV/0!</v>
      </c>
      <c r="AO101" s="145" t="e">
        <f t="shared" si="57"/>
        <v>#DIV/0!</v>
      </c>
      <c r="AP101" s="145">
        <f t="shared" si="57"/>
        <v>9.9337748344370855E-2</v>
      </c>
      <c r="AQ101" s="145">
        <f t="shared" si="57"/>
        <v>9.3457943925233638E-3</v>
      </c>
      <c r="AR101" s="145">
        <f t="shared" si="57"/>
        <v>7.2829131652661069E-2</v>
      </c>
      <c r="AS101" s="145">
        <f t="shared" si="57"/>
        <v>7.9710144927536225E-2</v>
      </c>
      <c r="AT101" s="145">
        <f t="shared" si="57"/>
        <v>4.3749999999999997E-2</v>
      </c>
      <c r="AU101" s="145">
        <f t="shared" si="57"/>
        <v>0</v>
      </c>
      <c r="AV101" s="145">
        <f t="shared" si="57"/>
        <v>0.125</v>
      </c>
      <c r="AW101" s="145">
        <f t="shared" si="57"/>
        <v>0</v>
      </c>
      <c r="AX101" s="145">
        <f t="shared" si="57"/>
        <v>7.1672354948805458E-2</v>
      </c>
      <c r="AY101" s="162" t="e">
        <f t="shared" si="57"/>
        <v>#DIV/0!</v>
      </c>
      <c r="AZ101" s="145">
        <f t="shared" si="57"/>
        <v>3.2948929159802307E-3</v>
      </c>
      <c r="BA101" s="145">
        <f t="shared" si="57"/>
        <v>0</v>
      </c>
      <c r="BB101" s="162" t="e">
        <f t="shared" si="57"/>
        <v>#DIV/0!</v>
      </c>
      <c r="BC101" s="145">
        <f t="shared" si="57"/>
        <v>0</v>
      </c>
      <c r="BD101" s="162" t="e">
        <f t="shared" si="57"/>
        <v>#DIV/0!</v>
      </c>
      <c r="BE101" s="162" t="e">
        <f t="shared" si="57"/>
        <v>#DIV/0!</v>
      </c>
      <c r="BF101" s="145">
        <f t="shared" si="57"/>
        <v>0</v>
      </c>
      <c r="BG101" s="145">
        <f t="shared" si="57"/>
        <v>0.1111111111111111</v>
      </c>
      <c r="BH101" s="145">
        <f t="shared" si="57"/>
        <v>4.3478260869565216E-2</v>
      </c>
      <c r="BI101" s="145">
        <f t="shared" si="57"/>
        <v>2.1922428330522766E-2</v>
      </c>
      <c r="BJ101" s="145">
        <f t="shared" si="57"/>
        <v>2.0642201834862386E-2</v>
      </c>
      <c r="BK101" s="145">
        <f t="shared" si="57"/>
        <v>9.3596059113300489E-2</v>
      </c>
      <c r="BL101" s="145">
        <f t="shared" si="57"/>
        <v>5.4263565891472867E-2</v>
      </c>
      <c r="BM101" s="145">
        <f t="shared" si="57"/>
        <v>0.12244897959183673</v>
      </c>
      <c r="BN101" s="145">
        <f t="shared" si="57"/>
        <v>0.1111111111111111</v>
      </c>
      <c r="BO101" s="145">
        <f t="shared" si="57"/>
        <v>0</v>
      </c>
      <c r="BP101" s="145">
        <f t="shared" si="57"/>
        <v>0.1076923076923077</v>
      </c>
      <c r="BQ101" s="145" t="e">
        <f t="shared" si="57"/>
        <v>#DIV/0!</v>
      </c>
      <c r="BR101" s="145">
        <f t="shared" si="57"/>
        <v>0.04</v>
      </c>
      <c r="BS101" s="145">
        <f t="shared" si="57"/>
        <v>0</v>
      </c>
      <c r="BT101" s="145">
        <f t="shared" si="57"/>
        <v>3.6649214659685861E-2</v>
      </c>
      <c r="BU101" s="145">
        <f t="shared" si="57"/>
        <v>1.8032786885245903E-2</v>
      </c>
      <c r="BV101" s="145">
        <f t="shared" si="57"/>
        <v>0</v>
      </c>
      <c r="BW101" s="145">
        <f t="shared" si="57"/>
        <v>6.363636363636363E-2</v>
      </c>
      <c r="BX101" s="145">
        <f t="shared" si="57"/>
        <v>9.9322799097065456E-2</v>
      </c>
      <c r="BY101" s="145">
        <f t="shared" si="57"/>
        <v>3.4090909090909088E-2</v>
      </c>
      <c r="BZ101" s="145">
        <f t="shared" si="57"/>
        <v>4.3243243243243246E-2</v>
      </c>
      <c r="CA101" s="145" t="e">
        <f t="shared" si="57"/>
        <v>#DIV/0!</v>
      </c>
      <c r="CB101" s="145" t="e">
        <f t="shared" ref="CB101:CV101" si="58">CB100/CB126</f>
        <v>#DIV/0!</v>
      </c>
      <c r="CC101" s="145">
        <f t="shared" si="58"/>
        <v>0</v>
      </c>
      <c r="CD101" s="145">
        <f t="shared" si="58"/>
        <v>0.19047619047619047</v>
      </c>
      <c r="CE101" s="145">
        <f t="shared" si="58"/>
        <v>2.0257826887661142E-2</v>
      </c>
      <c r="CF101" s="145">
        <f t="shared" si="58"/>
        <v>3.8138558432470257E-2</v>
      </c>
      <c r="CG101" s="145">
        <f t="shared" si="58"/>
        <v>1.4760147601476014E-2</v>
      </c>
      <c r="CH101" s="145">
        <f t="shared" si="58"/>
        <v>4.1666666666666664E-2</v>
      </c>
      <c r="CI101" s="145">
        <f t="shared" si="58"/>
        <v>3.9525691699604744E-2</v>
      </c>
      <c r="CJ101" s="145" t="e">
        <f t="shared" si="58"/>
        <v>#DIV/0!</v>
      </c>
      <c r="CK101" s="145">
        <f t="shared" si="58"/>
        <v>0</v>
      </c>
      <c r="CL101" s="145">
        <f t="shared" si="58"/>
        <v>6.4220183486238536E-2</v>
      </c>
      <c r="CM101" s="145">
        <f t="shared" si="58"/>
        <v>0.2857142857142857</v>
      </c>
      <c r="CN101" s="145">
        <f t="shared" si="58"/>
        <v>1.2048192771084338E-2</v>
      </c>
      <c r="CO101" s="145" t="e">
        <f t="shared" si="58"/>
        <v>#DIV/0!</v>
      </c>
      <c r="CP101" s="145">
        <f t="shared" si="58"/>
        <v>2.5547445255474453E-2</v>
      </c>
      <c r="CQ101" s="145">
        <f t="shared" si="58"/>
        <v>6.1728395061728392E-2</v>
      </c>
      <c r="CR101" s="145" t="e">
        <f t="shared" si="58"/>
        <v>#DIV/0!</v>
      </c>
      <c r="CS101" s="145">
        <f t="shared" si="58"/>
        <v>1.9637462235649546E-2</v>
      </c>
      <c r="CT101" s="145">
        <f t="shared" si="58"/>
        <v>0.1</v>
      </c>
      <c r="CU101" s="145">
        <f t="shared" si="58"/>
        <v>0.14814814814814814</v>
      </c>
      <c r="CV101" s="145">
        <f t="shared" si="58"/>
        <v>2.6156941649899398E-2</v>
      </c>
    </row>
    <row r="102" spans="1:100" ht="14">
      <c r="A102" s="716"/>
      <c r="B102" s="716"/>
      <c r="C102" s="773"/>
      <c r="D102" s="42" t="s">
        <v>4949</v>
      </c>
      <c r="E102" s="42">
        <v>66</v>
      </c>
      <c r="F102" s="43" t="s">
        <v>5162</v>
      </c>
      <c r="G102" s="762" t="s">
        <v>5163</v>
      </c>
      <c r="H102" s="45" t="s">
        <v>5140</v>
      </c>
      <c r="I102" s="46"/>
      <c r="M102" s="36">
        <v>733</v>
      </c>
      <c r="N102" s="36">
        <v>1007</v>
      </c>
      <c r="O102" s="224">
        <f>SUM(P102:CV102)</f>
        <v>1453</v>
      </c>
      <c r="P102" s="36">
        <f>SUMIFS('свод практик'!$CG$6:$CG$277,'свод практик'!$J$6:$J$277,'свод субъектов ИБ+смежные'!P$1)</f>
        <v>0</v>
      </c>
      <c r="Q102" s="36">
        <f>SUMIFS('свод практик'!$CG$6:$CG$277,'свод практик'!$J$6:$J$277,'свод субъектов ИБ+смежные'!Q$1)</f>
        <v>2</v>
      </c>
      <c r="R102" s="36">
        <f>SUMIFS('свод практик'!$CG$6:$CG$277,'свод практик'!$J$6:$J$277,'свод субъектов ИБ+смежные'!R$1)</f>
        <v>33</v>
      </c>
      <c r="S102" s="36">
        <f>SUMIFS('свод практик'!$CG$6:$CG$277,'свод практик'!$J$6:$J$277,'свод субъектов ИБ+смежные'!S$1)</f>
        <v>12</v>
      </c>
      <c r="T102" s="36">
        <f>SUMIFS('свод практик'!$CG$6:$CG$277,'свод практик'!$J$6:$J$277,'свод субъектов ИБ+смежные'!T$1)</f>
        <v>82</v>
      </c>
      <c r="U102" s="36">
        <f>SUMIFS('свод практик'!$CG$6:$CG$277,'свод практик'!$J$6:$J$277,'свод субъектов ИБ+смежные'!U$1)</f>
        <v>3</v>
      </c>
      <c r="V102" s="36">
        <f>SUMIFS('свод практик'!$CG$6:$CG$277,'свод практик'!$J$6:$J$277,'свод субъектов ИБ+смежные'!V$1)</f>
        <v>89</v>
      </c>
      <c r="W102" s="36">
        <f>SUMIFS('свод практик'!$CG$6:$CG$277,'свод практик'!$J$6:$J$277,'свод субъектов ИБ+смежные'!W$1)</f>
        <v>10</v>
      </c>
      <c r="X102" s="36">
        <f>SUMIFS('свод практик'!$CG$6:$CG$277,'свод практик'!$J$6:$J$277,'свод субъектов ИБ+смежные'!X$1)</f>
        <v>14</v>
      </c>
      <c r="Y102" s="36">
        <f>SUMIFS('свод практик'!$CG$6:$CG$277,'свод практик'!$J$6:$J$277,'свод субъектов ИБ+смежные'!Y$1)</f>
        <v>307</v>
      </c>
      <c r="Z102" s="36">
        <f>SUMIFS('свод практик'!$CG$6:$CG$277,'свод практик'!$J$6:$J$277,'свод субъектов ИБ+смежные'!Z$1)</f>
        <v>4</v>
      </c>
      <c r="AA102" s="36">
        <f>SUMIFS('свод практик'!$CG$6:$CG$277,'свод практик'!$J$6:$J$277,'свод субъектов ИБ+смежные'!AA$1)</f>
        <v>12</v>
      </c>
      <c r="AB102" s="36">
        <f>SUMIFS('свод практик'!$CG$6:$CG$277,'свод практик'!$J$6:$J$277,'свод субъектов ИБ+смежные'!AB$1)</f>
        <v>79</v>
      </c>
      <c r="AC102" s="36">
        <f>SUMIFS('свод практик'!$CG$6:$CG$277,'свод практик'!$J$6:$J$277,'свод субъектов ИБ+смежные'!AC$1)</f>
        <v>5</v>
      </c>
      <c r="AD102" s="160">
        <f>SUMIFS('свод практик'!$CG$6:$CG$277,'свод практик'!$J$6:$J$277,'свод субъектов ИБ+смежные'!AD$1)</f>
        <v>0</v>
      </c>
      <c r="AE102" s="160">
        <f>SUMIFS('свод практик'!$CG$6:$CG$277,'свод практик'!$J$6:$J$277,'свод субъектов ИБ+смежные'!AE$1)</f>
        <v>0</v>
      </c>
      <c r="AF102" s="36">
        <f>SUMIFS('свод практик'!$CG$6:$CG$277,'свод практик'!$J$6:$J$277,'свод субъектов ИБ+смежные'!AF$1)</f>
        <v>0</v>
      </c>
      <c r="AG102" s="160">
        <f>SUMIFS('свод практик'!$CG$6:$CG$277,'свод практик'!$J$6:$J$277,'свод субъектов ИБ+смежные'!AG$1)</f>
        <v>0</v>
      </c>
      <c r="AH102" s="160">
        <f>SUMIFS('свод практик'!$CG$6:$CG$277,'свод практик'!$J$6:$J$277,'свод субъектов ИБ+смежные'!AH$1)</f>
        <v>0</v>
      </c>
      <c r="AI102" s="36">
        <f>SUMIFS('свод практик'!$CG$6:$CG$277,'свод практик'!$J$6:$J$277,'свод субъектов ИБ+смежные'!AI$1)</f>
        <v>35</v>
      </c>
      <c r="AJ102" s="36">
        <f>SUMIFS('свод практик'!$CG$6:$CG$277,'свод практик'!$J$6:$J$277,'свод субъектов ИБ+смежные'!AJ$1)</f>
        <v>0</v>
      </c>
      <c r="AK102" s="36">
        <f>SUMIFS('свод практик'!$CG$6:$CG$277,'свод практик'!$J$6:$J$277,'свод субъектов ИБ+смежные'!AK$1)</f>
        <v>4</v>
      </c>
      <c r="AL102" s="36">
        <f>SUMIFS('свод практик'!$CG$6:$CG$277,'свод практик'!$J$6:$J$277,'свод субъектов ИБ+смежные'!AL$1)</f>
        <v>0</v>
      </c>
      <c r="AM102" s="36">
        <f>SUMIFS('свод практик'!$CG$6:$CG$277,'свод практик'!$J$6:$J$277,'свод субъектов ИБ+смежные'!AM$1)</f>
        <v>27</v>
      </c>
      <c r="AN102" s="160">
        <f>SUMIFS('свод практик'!$CG$6:$CG$277,'свод практик'!$J$6:$J$277,'свод субъектов ИБ+смежные'!AN$1)</f>
        <v>0</v>
      </c>
      <c r="AO102" s="160">
        <f>SUMIFS('свод практик'!$CG$6:$CG$277,'свод практик'!$J$6:$J$277,'свод субъектов ИБ+смежные'!AO$1)</f>
        <v>0</v>
      </c>
      <c r="AP102" s="36">
        <f>SUMIFS('свод практик'!$CG$6:$CG$277,'свод практик'!$J$6:$J$277,'свод субъектов ИБ+смежные'!AP$1)</f>
        <v>22</v>
      </c>
      <c r="AQ102" s="36">
        <f>SUMIFS('свод практик'!$CG$6:$CG$277,'свод практик'!$J$6:$J$277,'свод субъектов ИБ+смежные'!AQ$1)</f>
        <v>31</v>
      </c>
      <c r="AR102" s="36">
        <f>SUMIFS('свод практик'!$CG$6:$CG$277,'свод практик'!$J$6:$J$277,'свод субъектов ИБ+смежные'!AR$1)</f>
        <v>22</v>
      </c>
      <c r="AS102" s="36">
        <f>SUMIFS('свод практик'!$CG$6:$CG$277,'свод практик'!$J$6:$J$277,'свод субъектов ИБ+смежные'!AS$1)</f>
        <v>33</v>
      </c>
      <c r="AT102" s="36">
        <f>SUMIFS('свод практик'!$CG$6:$CG$277,'свод практик'!$J$6:$J$277,'свод субъектов ИБ+смежные'!AT$1)</f>
        <v>11</v>
      </c>
      <c r="AU102" s="36">
        <f>SUMIFS('свод практик'!$CG$6:$CG$277,'свод практик'!$J$6:$J$277,'свод субъектов ИБ+смежные'!AU$1)</f>
        <v>0</v>
      </c>
      <c r="AV102" s="36">
        <f>SUMIFS('свод практик'!$CG$6:$CG$277,'свод практик'!$J$6:$J$277,'свод субъектов ИБ+смежные'!AV$1)</f>
        <v>13</v>
      </c>
      <c r="AW102" s="36">
        <f>SUMIFS('свод практик'!$CG$6:$CG$277,'свод практик'!$J$6:$J$277,'свод субъектов ИБ+смежные'!AW$1)</f>
        <v>1</v>
      </c>
      <c r="AX102" s="36">
        <f>SUMIFS('свод практик'!$CG$6:$CG$277,'свод практик'!$J$6:$J$277,'свод субъектов ИБ+смежные'!AX$1)</f>
        <v>5</v>
      </c>
      <c r="AY102" s="160">
        <f>SUMIFS('свод практик'!$CG$6:$CG$277,'свод практик'!$J$6:$J$277,'свод субъектов ИБ+смежные'!AY$1)</f>
        <v>0</v>
      </c>
      <c r="AZ102" s="36">
        <f>SUMIFS('свод практик'!$CG$6:$CG$277,'свод практик'!$J$6:$J$277,'свод субъектов ИБ+смежные'!AZ$1)</f>
        <v>17</v>
      </c>
      <c r="BA102" s="36">
        <f>SUMIFS('свод практик'!$CG$6:$CG$277,'свод практик'!$J$6:$J$277,'свод субъектов ИБ+смежные'!BA$1)</f>
        <v>2</v>
      </c>
      <c r="BB102" s="160">
        <f>SUMIFS('свод практик'!$CG$6:$CG$277,'свод практик'!$J$6:$J$277,'свод субъектов ИБ+смежные'!BB$1)</f>
        <v>0</v>
      </c>
      <c r="BC102" s="36">
        <f>SUMIFS('свод практик'!$CG$6:$CG$277,'свод практик'!$J$6:$J$277,'свод субъектов ИБ+смежные'!BC$1)</f>
        <v>1</v>
      </c>
      <c r="BD102" s="160">
        <f>SUMIFS('свод практик'!$CG$6:$CG$277,'свод практик'!$J$6:$J$277,'свод субъектов ИБ+смежные'!BD$1)</f>
        <v>0</v>
      </c>
      <c r="BE102" s="160">
        <f>SUMIFS('свод практик'!$CG$6:$CG$277,'свод практик'!$J$6:$J$277,'свод субъектов ИБ+смежные'!BE$1)</f>
        <v>0</v>
      </c>
      <c r="BF102" s="36">
        <f>SUMIFS('свод практик'!$CG$6:$CG$277,'свод практик'!$J$6:$J$277,'свод субъектов ИБ+смежные'!BF$1)</f>
        <v>0</v>
      </c>
      <c r="BG102" s="36">
        <f>SUMIFS('свод практик'!$CG$6:$CG$277,'свод практик'!$J$6:$J$277,'свод субъектов ИБ+смежные'!BG$1)</f>
        <v>5</v>
      </c>
      <c r="BH102" s="36">
        <f>SUMIFS('свод практик'!$CG$6:$CG$277,'свод практик'!$J$6:$J$277,'свод субъектов ИБ+смежные'!BH$1)</f>
        <v>1</v>
      </c>
      <c r="BI102" s="36">
        <f>SUMIFS('свод практик'!$CG$6:$CG$277,'свод практик'!$J$6:$J$277,'свод субъектов ИБ+смежные'!BI$1)</f>
        <v>17</v>
      </c>
      <c r="BJ102" s="36">
        <f>SUMIFS('свод практик'!$CG$6:$CG$277,'свод практик'!$J$6:$J$277,'свод субъектов ИБ+смежные'!BJ$1)</f>
        <v>23</v>
      </c>
      <c r="BK102" s="36">
        <f>SUMIFS('свод практик'!$CG$6:$CG$277,'свод практик'!$J$6:$J$277,'свод субъектов ИБ+смежные'!BK$1)</f>
        <v>13</v>
      </c>
      <c r="BL102" s="36">
        <f>SUMIFS('свод практик'!$CG$6:$CG$277,'свод практик'!$J$6:$J$277,'свод субъектов ИБ+смежные'!BL$1)</f>
        <v>29</v>
      </c>
      <c r="BM102" s="36">
        <f>SUMIFS('свод практик'!$CG$6:$CG$277,'свод практик'!$J$6:$J$277,'свод субъектов ИБ+смежные'!BM$1)</f>
        <v>9</v>
      </c>
      <c r="BN102" s="36">
        <f>SUMIFS('свод практик'!$CG$6:$CG$277,'свод практик'!$J$6:$J$277,'свод субъектов ИБ+смежные'!BN$1)</f>
        <v>1</v>
      </c>
      <c r="BO102" s="36">
        <f>SUMIFS('свод практик'!$CG$6:$CG$277,'свод практик'!$J$6:$J$277,'свод субъектов ИБ+смежные'!BO$1)</f>
        <v>8</v>
      </c>
      <c r="BP102" s="36">
        <f>SUMIFS('свод практик'!$CG$6:$CG$277,'свод практик'!$J$6:$J$277,'свод субъектов ИБ+смежные'!BP$1)</f>
        <v>10</v>
      </c>
      <c r="BQ102" s="160">
        <f>SUMIFS('свод практик'!$CG$6:$CG$277,'свод практик'!$J$6:$J$277,'свод субъектов ИБ+смежные'!BQ$1)</f>
        <v>0</v>
      </c>
      <c r="BR102" s="36">
        <f>SUMIFS('свод практик'!$CG$6:$CG$277,'свод практик'!$J$6:$J$277,'свод субъектов ИБ+смежные'!BR$1)</f>
        <v>5</v>
      </c>
      <c r="BS102" s="36">
        <f>SUMIFS('свод практик'!$CG$6:$CG$277,'свод практик'!$J$6:$J$277,'свод субъектов ИБ+смежные'!BS$1)</f>
        <v>5</v>
      </c>
      <c r="BT102" s="36">
        <f>SUMIFS('свод практик'!$CG$6:$CG$277,'свод практик'!$J$6:$J$277,'свод субъектов ИБ+смежные'!BT$1)</f>
        <v>21</v>
      </c>
      <c r="BU102" s="36">
        <f>SUMIFS('свод практик'!$CG$6:$CG$277,'свод практик'!$J$6:$J$277,'свод субъектов ИБ+смежные'!BU$1)</f>
        <v>42</v>
      </c>
      <c r="BV102" s="36">
        <f>SUMIFS('свод практик'!$CG$6:$CG$277,'свод практик'!$J$6:$J$277,'свод субъектов ИБ+смежные'!BV$1)</f>
        <v>4</v>
      </c>
      <c r="BW102" s="36">
        <f>SUMIFS('свод практик'!$CG$6:$CG$277,'свод практик'!$J$6:$J$277,'свод субъектов ИБ+смежные'!BW$1)</f>
        <v>9</v>
      </c>
      <c r="BX102" s="36">
        <f>SUMIFS('свод практик'!$CG$6:$CG$277,'свод практик'!$J$6:$J$277,'свод субъектов ИБ+смежные'!BX$1)</f>
        <v>39</v>
      </c>
      <c r="BY102" s="36">
        <f>SUMIFS('свод практик'!$CG$6:$CG$277,'свод практик'!$J$6:$J$277,'свод субъектов ИБ+смежные'!BY$1)</f>
        <v>61</v>
      </c>
      <c r="BZ102" s="36">
        <f>SUMIFS('свод практик'!$CG$6:$CG$277,'свод практик'!$J$6:$J$277,'свод субъектов ИБ+смежные'!BZ$1)</f>
        <v>14</v>
      </c>
      <c r="CA102" s="160">
        <f>SUMIFS('свод практик'!$CG$6:$CG$277,'свод практик'!$J$6:$J$277,'свод субъектов ИБ+смежные'!CA$1)</f>
        <v>0</v>
      </c>
      <c r="CB102" s="160">
        <f>SUMIFS('свод практик'!$CG$6:$CG$277,'свод практик'!$J$6:$J$277,'свод субъектов ИБ+смежные'!CB$1)</f>
        <v>0</v>
      </c>
      <c r="CC102" s="36">
        <f>SUMIFS('свод практик'!$CG$6:$CG$277,'свод практик'!$J$6:$J$277,'свод субъектов ИБ+смежные'!CC$1)</f>
        <v>1</v>
      </c>
      <c r="CD102" s="36">
        <f>SUMIFS('свод практик'!$CG$6:$CG$277,'свод практик'!$J$6:$J$277,'свод субъектов ИБ+смежные'!CD$1)</f>
        <v>40</v>
      </c>
      <c r="CE102" s="36">
        <f>SUMIFS('свод практик'!$CG$6:$CG$277,'свод практик'!$J$6:$J$277,'свод субъектов ИБ+смежные'!CE$1)</f>
        <v>7</v>
      </c>
      <c r="CF102" s="36">
        <f>SUMIFS('свод практик'!$CG$6:$CG$277,'свод практик'!$J$6:$J$277,'свод субъектов ИБ+смежные'!CF$1)</f>
        <v>55</v>
      </c>
      <c r="CG102" s="36">
        <f>SUMIFS('свод практик'!$CG$6:$CG$277,'свод практик'!$J$6:$J$277,'свод субъектов ИБ+смежные'!CG$1)</f>
        <v>15</v>
      </c>
      <c r="CH102" s="36">
        <f>SUMIFS('свод практик'!$CG$6:$CG$277,'свод практик'!$J$6:$J$277,'свод субъектов ИБ+смежные'!CH$1)</f>
        <v>8</v>
      </c>
      <c r="CI102" s="36">
        <f>SUMIFS('свод практик'!$CG$6:$CG$277,'свод практик'!$J$6:$J$277,'свод субъектов ИБ+смежные'!CI$1)</f>
        <v>10</v>
      </c>
      <c r="CJ102" s="160">
        <f>SUMIFS('свод практик'!$CG$6:$CG$277,'свод практик'!$J$6:$J$277,'свод субъектов ИБ+смежные'!CJ$1)</f>
        <v>0</v>
      </c>
      <c r="CK102" s="36">
        <f>SUMIFS('свод практик'!$CG$6:$CG$277,'свод практик'!$J$6:$J$277,'свод субъектов ИБ+смежные'!CK$1)</f>
        <v>0</v>
      </c>
      <c r="CL102" s="36">
        <f>SUMIFS('свод практик'!$CG$6:$CG$277,'свод практик'!$J$6:$J$277,'свод субъектов ИБ+смежные'!CL$1)</f>
        <v>10</v>
      </c>
      <c r="CM102" s="36">
        <f>SUMIFS('свод практик'!$CG$6:$CG$277,'свод практик'!$J$6:$J$277,'свод субъектов ИБ+смежные'!CM$1)</f>
        <v>8</v>
      </c>
      <c r="CN102" s="36">
        <f>SUMIFS('свод практик'!$CG$6:$CG$277,'свод практик'!$J$6:$J$277,'свод субъектов ИБ+смежные'!CN$1)</f>
        <v>43</v>
      </c>
      <c r="CO102" s="160">
        <f>SUMIFS('свод практик'!$CG$6:$CG$277,'свод практик'!$J$6:$J$277,'свод субъектов ИБ+смежные'!CO$1)</f>
        <v>0</v>
      </c>
      <c r="CP102" s="36">
        <f>SUMIFS('свод практик'!$CG$6:$CG$277,'свод практик'!$J$6:$J$277,'свод субъектов ИБ+смежные'!CP$1)</f>
        <v>17</v>
      </c>
      <c r="CQ102" s="36">
        <f>SUMIFS('свод практик'!$CG$6:$CG$277,'свод практик'!$J$6:$J$277,'свод субъектов ИБ+смежные'!CQ$1)</f>
        <v>3</v>
      </c>
      <c r="CR102" s="160">
        <f>SUMIFS('свод практик'!$CG$6:$CG$277,'свод практик'!$J$6:$J$277,'свод субъектов ИБ+смежные'!CR$1)</f>
        <v>0</v>
      </c>
      <c r="CS102" s="36">
        <f>SUMIFS('свод практик'!$CG$6:$CG$277,'свод практик'!$J$6:$J$277,'свод субъектов ИБ+смежные'!CS$1)</f>
        <v>0</v>
      </c>
      <c r="CT102" s="36">
        <f>SUMIFS('свод практик'!$CG$6:$CG$277,'свод практик'!$J$6:$J$277,'свод субъектов ИБ+смежные'!CT$1)</f>
        <v>1</v>
      </c>
      <c r="CU102" s="36">
        <f>SUMIFS('свод практик'!$CG$6:$CG$277,'свод практик'!$J$6:$J$277,'свод субъектов ИБ+смежные'!CU$1)</f>
        <v>8</v>
      </c>
      <c r="CV102" s="36">
        <f>SUMIFS('свод практик'!$CG$6:$CG$277,'свод практик'!$J$6:$J$277,'свод субъектов ИБ+смежные'!CV$1)</f>
        <v>35</v>
      </c>
    </row>
    <row r="103" spans="1:100" ht="14">
      <c r="A103" s="716"/>
      <c r="B103" s="716"/>
      <c r="C103" s="773"/>
      <c r="D103" s="42" t="s">
        <v>4949</v>
      </c>
      <c r="E103" s="42">
        <v>67</v>
      </c>
      <c r="F103" s="43" t="s">
        <v>5164</v>
      </c>
      <c r="G103" s="762"/>
      <c r="H103" s="45" t="s">
        <v>60</v>
      </c>
      <c r="I103" s="46"/>
      <c r="M103" s="36">
        <v>4.5979174507590016E-2</v>
      </c>
      <c r="N103" s="36">
        <v>5.3396256429291057E-2</v>
      </c>
      <c r="O103" s="228">
        <f>O102/O126</f>
        <v>6.6526257955221824E-2</v>
      </c>
      <c r="P103" s="145">
        <f t="shared" ref="P103:CA103" si="59">P102/P126</f>
        <v>0</v>
      </c>
      <c r="Q103" s="145">
        <f t="shared" si="59"/>
        <v>5.5555555555555552E-2</v>
      </c>
      <c r="R103" s="145">
        <f t="shared" si="59"/>
        <v>0.16176470588235295</v>
      </c>
      <c r="S103" s="145">
        <f t="shared" si="59"/>
        <v>0.14634146341463414</v>
      </c>
      <c r="T103" s="145">
        <f t="shared" si="59"/>
        <v>0.22162162162162163</v>
      </c>
      <c r="U103" s="145">
        <f t="shared" si="59"/>
        <v>0.2</v>
      </c>
      <c r="V103" s="145">
        <f t="shared" si="59"/>
        <v>3.4752049980476374E-2</v>
      </c>
      <c r="W103" s="145">
        <f t="shared" si="59"/>
        <v>7.0422535211267609E-2</v>
      </c>
      <c r="X103" s="145">
        <f t="shared" si="59"/>
        <v>0.15730337078651685</v>
      </c>
      <c r="Y103" s="145">
        <f t="shared" si="59"/>
        <v>0.29127134724857684</v>
      </c>
      <c r="Z103" s="145">
        <f t="shared" si="59"/>
        <v>8.8300220750551876E-3</v>
      </c>
      <c r="AA103" s="145">
        <f t="shared" si="59"/>
        <v>0.12903225806451613</v>
      </c>
      <c r="AB103" s="145">
        <f t="shared" si="59"/>
        <v>8.8465845464725648E-2</v>
      </c>
      <c r="AC103" s="145">
        <f t="shared" si="59"/>
        <v>1.5384615384615385E-2</v>
      </c>
      <c r="AD103" s="145" t="e">
        <f t="shared" si="59"/>
        <v>#DIV/0!</v>
      </c>
      <c r="AE103" s="145" t="e">
        <f t="shared" si="59"/>
        <v>#DIV/0!</v>
      </c>
      <c r="AF103" s="145">
        <f t="shared" si="59"/>
        <v>0</v>
      </c>
      <c r="AG103" s="145" t="e">
        <f t="shared" si="59"/>
        <v>#DIV/0!</v>
      </c>
      <c r="AH103" s="145" t="e">
        <f t="shared" si="59"/>
        <v>#DIV/0!</v>
      </c>
      <c r="AI103" s="145">
        <f t="shared" si="59"/>
        <v>2.0588235294117647E-2</v>
      </c>
      <c r="AJ103" s="145">
        <f t="shared" si="59"/>
        <v>0</v>
      </c>
      <c r="AK103" s="145">
        <f t="shared" si="59"/>
        <v>7.0175438596491229E-3</v>
      </c>
      <c r="AL103" s="145">
        <f t="shared" si="59"/>
        <v>0</v>
      </c>
      <c r="AM103" s="145">
        <f t="shared" si="59"/>
        <v>0.1588235294117647</v>
      </c>
      <c r="AN103" s="145" t="e">
        <f t="shared" si="59"/>
        <v>#DIV/0!</v>
      </c>
      <c r="AO103" s="145" t="e">
        <f t="shared" si="59"/>
        <v>#DIV/0!</v>
      </c>
      <c r="AP103" s="145">
        <f t="shared" si="59"/>
        <v>0.14569536423841059</v>
      </c>
      <c r="AQ103" s="145">
        <f t="shared" si="59"/>
        <v>0.28971962616822428</v>
      </c>
      <c r="AR103" s="145">
        <f t="shared" si="59"/>
        <v>6.1624649859943981E-2</v>
      </c>
      <c r="AS103" s="145">
        <f t="shared" si="59"/>
        <v>0.11956521739130435</v>
      </c>
      <c r="AT103" s="145">
        <f t="shared" si="59"/>
        <v>3.4375000000000003E-2</v>
      </c>
      <c r="AU103" s="145">
        <f t="shared" si="59"/>
        <v>0</v>
      </c>
      <c r="AV103" s="145">
        <f t="shared" si="59"/>
        <v>0.10833333333333334</v>
      </c>
      <c r="AW103" s="145">
        <f t="shared" si="59"/>
        <v>7.246376811594203E-3</v>
      </c>
      <c r="AX103" s="145">
        <f t="shared" si="59"/>
        <v>1.7064846416382253E-2</v>
      </c>
      <c r="AY103" s="162" t="e">
        <f t="shared" si="59"/>
        <v>#DIV/0!</v>
      </c>
      <c r="AZ103" s="145">
        <f t="shared" si="59"/>
        <v>2.800658978583196E-2</v>
      </c>
      <c r="BA103" s="145">
        <f t="shared" si="59"/>
        <v>2.4691358024691357E-2</v>
      </c>
      <c r="BB103" s="162" t="e">
        <f t="shared" si="59"/>
        <v>#DIV/0!</v>
      </c>
      <c r="BC103" s="145">
        <f t="shared" si="59"/>
        <v>2.3809523809523808E-2</v>
      </c>
      <c r="BD103" s="162" t="e">
        <f t="shared" si="59"/>
        <v>#DIV/0!</v>
      </c>
      <c r="BE103" s="162" t="e">
        <f t="shared" si="59"/>
        <v>#DIV/0!</v>
      </c>
      <c r="BF103" s="145">
        <f t="shared" si="59"/>
        <v>0</v>
      </c>
      <c r="BG103" s="145">
        <f t="shared" si="59"/>
        <v>0.1388888888888889</v>
      </c>
      <c r="BH103" s="145">
        <f t="shared" si="59"/>
        <v>4.3478260869565216E-2</v>
      </c>
      <c r="BI103" s="145">
        <f t="shared" si="59"/>
        <v>2.866779089376054E-2</v>
      </c>
      <c r="BJ103" s="145">
        <f t="shared" si="59"/>
        <v>5.2752293577981654E-2</v>
      </c>
      <c r="BK103" s="145">
        <f t="shared" si="59"/>
        <v>6.4039408866995079E-2</v>
      </c>
      <c r="BL103" s="145">
        <f t="shared" si="59"/>
        <v>0.22480620155038761</v>
      </c>
      <c r="BM103" s="145">
        <f t="shared" si="59"/>
        <v>6.1224489795918366E-2</v>
      </c>
      <c r="BN103" s="145">
        <f t="shared" si="59"/>
        <v>0.1111111111111111</v>
      </c>
      <c r="BO103" s="145">
        <f t="shared" si="59"/>
        <v>5.3691275167785234E-2</v>
      </c>
      <c r="BP103" s="145">
        <f t="shared" si="59"/>
        <v>7.6923076923076927E-2</v>
      </c>
      <c r="BQ103" s="145" t="e">
        <f t="shared" si="59"/>
        <v>#DIV/0!</v>
      </c>
      <c r="BR103" s="145">
        <f t="shared" si="59"/>
        <v>0.2</v>
      </c>
      <c r="BS103" s="145">
        <f t="shared" si="59"/>
        <v>4.807692307692308E-2</v>
      </c>
      <c r="BT103" s="145">
        <f t="shared" si="59"/>
        <v>0.1099476439790576</v>
      </c>
      <c r="BU103" s="145">
        <f t="shared" si="59"/>
        <v>6.8852459016393447E-2</v>
      </c>
      <c r="BV103" s="145">
        <f t="shared" si="59"/>
        <v>0.23529411764705882</v>
      </c>
      <c r="BW103" s="145">
        <f t="shared" si="59"/>
        <v>8.1818181818181818E-2</v>
      </c>
      <c r="BX103" s="145">
        <f t="shared" si="59"/>
        <v>8.8036117381489837E-2</v>
      </c>
      <c r="BY103" s="145">
        <f t="shared" si="59"/>
        <v>0.34659090909090912</v>
      </c>
      <c r="BZ103" s="145">
        <f t="shared" si="59"/>
        <v>7.567567567567568E-2</v>
      </c>
      <c r="CA103" s="145" t="e">
        <f t="shared" si="59"/>
        <v>#DIV/0!</v>
      </c>
      <c r="CB103" s="145" t="e">
        <f t="shared" ref="CB103:CV103" si="60">CB102/CB126</f>
        <v>#DIV/0!</v>
      </c>
      <c r="CC103" s="145">
        <f t="shared" si="60"/>
        <v>0.16666666666666666</v>
      </c>
      <c r="CD103" s="145">
        <f t="shared" si="60"/>
        <v>0.15873015873015872</v>
      </c>
      <c r="CE103" s="145">
        <f t="shared" si="60"/>
        <v>1.289134438305709E-2</v>
      </c>
      <c r="CF103" s="145">
        <f t="shared" si="60"/>
        <v>1.9244226731980407E-2</v>
      </c>
      <c r="CG103" s="145">
        <f t="shared" si="60"/>
        <v>5.5350553505535055E-2</v>
      </c>
      <c r="CH103" s="145">
        <f t="shared" si="60"/>
        <v>0.1111111111111111</v>
      </c>
      <c r="CI103" s="145">
        <f t="shared" si="60"/>
        <v>1.9762845849802372E-2</v>
      </c>
      <c r="CJ103" s="145" t="e">
        <f t="shared" si="60"/>
        <v>#DIV/0!</v>
      </c>
      <c r="CK103" s="145">
        <f t="shared" si="60"/>
        <v>0</v>
      </c>
      <c r="CL103" s="145">
        <f t="shared" si="60"/>
        <v>9.1743119266055051E-2</v>
      </c>
      <c r="CM103" s="145">
        <f t="shared" si="60"/>
        <v>5.4421768707482991E-2</v>
      </c>
      <c r="CN103" s="145">
        <f t="shared" si="60"/>
        <v>0.17269076305220885</v>
      </c>
      <c r="CO103" s="145" t="e">
        <f t="shared" si="60"/>
        <v>#DIV/0!</v>
      </c>
      <c r="CP103" s="145">
        <f t="shared" si="60"/>
        <v>6.2043795620437957E-2</v>
      </c>
      <c r="CQ103" s="145">
        <f t="shared" si="60"/>
        <v>1.8518518518518517E-2</v>
      </c>
      <c r="CR103" s="145" t="e">
        <f t="shared" si="60"/>
        <v>#DIV/0!</v>
      </c>
      <c r="CS103" s="145">
        <f t="shared" si="60"/>
        <v>0</v>
      </c>
      <c r="CT103" s="145">
        <f t="shared" si="60"/>
        <v>0.1</v>
      </c>
      <c r="CU103" s="145">
        <f t="shared" si="60"/>
        <v>9.8765432098765427E-2</v>
      </c>
      <c r="CV103" s="145">
        <f t="shared" si="60"/>
        <v>7.0422535211267609E-2</v>
      </c>
    </row>
    <row r="104" spans="1:100" ht="14">
      <c r="A104" s="716"/>
      <c r="B104" s="716"/>
      <c r="C104" s="773"/>
      <c r="D104" s="42" t="s">
        <v>4949</v>
      </c>
      <c r="E104" s="42">
        <v>89</v>
      </c>
      <c r="F104" s="48" t="s">
        <v>5165</v>
      </c>
      <c r="G104" s="762" t="s">
        <v>5166</v>
      </c>
      <c r="H104" s="45" t="s">
        <v>5140</v>
      </c>
      <c r="I104" s="46"/>
      <c r="M104" s="36" t="s">
        <v>5497</v>
      </c>
      <c r="N104" s="36">
        <v>1578</v>
      </c>
      <c r="O104" s="224">
        <f>SUM(P104:CV104)</f>
        <v>2440</v>
      </c>
      <c r="P104" s="36">
        <f>SUMIFS('свод практик'!$CH$6:$CH$277,'свод практик'!$J$6:$J$277,'свод субъектов ИБ+смежные'!P$1)</f>
        <v>0</v>
      </c>
      <c r="Q104" s="36">
        <f>SUMIFS('свод практик'!$CH$6:$CH$277,'свод практик'!$J$6:$J$277,'свод субъектов ИБ+смежные'!Q$1)</f>
        <v>0</v>
      </c>
      <c r="R104" s="36">
        <f>SUMIFS('свод практик'!$CH$6:$CH$277,'свод практик'!$J$6:$J$277,'свод субъектов ИБ+смежные'!R$1)</f>
        <v>0</v>
      </c>
      <c r="S104" s="36">
        <f>SUMIFS('свод практик'!$CH$6:$CH$277,'свод практик'!$J$6:$J$277,'свод субъектов ИБ+смежные'!S$1)</f>
        <v>0</v>
      </c>
      <c r="T104" s="36">
        <f>SUMIFS('свод практик'!$CH$6:$CH$277,'свод практик'!$J$6:$J$277,'свод субъектов ИБ+смежные'!T$1)</f>
        <v>0</v>
      </c>
      <c r="U104" s="36">
        <f>SUMIFS('свод практик'!$CH$6:$CH$277,'свод практик'!$J$6:$J$277,'свод субъектов ИБ+смежные'!U$1)</f>
        <v>0</v>
      </c>
      <c r="V104" s="36">
        <f>SUMIFS('свод практик'!$CH$6:$CH$277,'свод практик'!$J$6:$J$277,'свод субъектов ИБ+смежные'!V$1)</f>
        <v>400</v>
      </c>
      <c r="W104" s="36">
        <f>SUMIFS('свод практик'!$CH$6:$CH$277,'свод практик'!$J$6:$J$277,'свод субъектов ИБ+смежные'!W$1)</f>
        <v>2</v>
      </c>
      <c r="X104" s="36">
        <f>SUMIFS('свод практик'!$CH$6:$CH$277,'свод практик'!$J$6:$J$277,'свод субъектов ИБ+смежные'!X$1)</f>
        <v>2</v>
      </c>
      <c r="Y104" s="36">
        <f>SUMIFS('свод практик'!$CH$6:$CH$277,'свод практик'!$J$6:$J$277,'свод субъектов ИБ+смежные'!Y$1)</f>
        <v>531</v>
      </c>
      <c r="Z104" s="36">
        <f>SUMIFS('свод практик'!$CH$6:$CH$277,'свод практик'!$J$6:$J$277,'свод субъектов ИБ+смежные'!Z$1)</f>
        <v>151</v>
      </c>
      <c r="AA104" s="36">
        <f>SUMIFS('свод практик'!$CH$6:$CH$277,'свод практик'!$J$6:$J$277,'свод субъектов ИБ+смежные'!AA$1)</f>
        <v>3</v>
      </c>
      <c r="AB104" s="36">
        <f>SUMIFS('свод практик'!$CH$6:$CH$277,'свод практик'!$J$6:$J$277,'свод субъектов ИБ+смежные'!AB$1)</f>
        <v>0</v>
      </c>
      <c r="AC104" s="36">
        <f>SUMIFS('свод практик'!$CH$6:$CH$277,'свод практик'!$J$6:$J$277,'свод субъектов ИБ+смежные'!AC$1)</f>
        <v>3</v>
      </c>
      <c r="AD104" s="160">
        <f>SUMIFS('свод практик'!$CH$6:$CH$277,'свод практик'!$J$6:$J$277,'свод субъектов ИБ+смежные'!AD$1)</f>
        <v>0</v>
      </c>
      <c r="AE104" s="160">
        <f>SUMIFS('свод практик'!$CH$6:$CH$277,'свод практик'!$J$6:$J$277,'свод субъектов ИБ+смежные'!AE$1)</f>
        <v>0</v>
      </c>
      <c r="AF104" s="36">
        <f>SUMIFS('свод практик'!$CH$6:$CH$277,'свод практик'!$J$6:$J$277,'свод субъектов ИБ+смежные'!AF$1)</f>
        <v>0</v>
      </c>
      <c r="AG104" s="160">
        <f>SUMIFS('свод практик'!$CH$6:$CH$277,'свод практик'!$J$6:$J$277,'свод субъектов ИБ+смежные'!AG$1)</f>
        <v>0</v>
      </c>
      <c r="AH104" s="160">
        <f>SUMIFS('свод практик'!$CH$6:$CH$277,'свод практик'!$J$6:$J$277,'свод субъектов ИБ+смежные'!AH$1)</f>
        <v>0</v>
      </c>
      <c r="AI104" s="36">
        <f>SUMIFS('свод практик'!$CH$6:$CH$277,'свод практик'!$J$6:$J$277,'свод субъектов ИБ+смежные'!AI$1)</f>
        <v>0</v>
      </c>
      <c r="AJ104" s="36">
        <f>SUMIFS('свод практик'!$CH$6:$CH$277,'свод практик'!$J$6:$J$277,'свод субъектов ИБ+смежные'!AJ$1)</f>
        <v>0</v>
      </c>
      <c r="AK104" s="36">
        <f>SUMIFS('свод практик'!$CH$6:$CH$277,'свод практик'!$J$6:$J$277,'свод субъектов ИБ+смежные'!AK$1)</f>
        <v>80</v>
      </c>
      <c r="AL104" s="36">
        <f>SUMIFS('свод практик'!$CH$6:$CH$277,'свод практик'!$J$6:$J$277,'свод субъектов ИБ+смежные'!AL$1)</f>
        <v>0</v>
      </c>
      <c r="AM104" s="36">
        <f>SUMIFS('свод практик'!$CH$6:$CH$277,'свод практик'!$J$6:$J$277,'свод субъектов ИБ+смежные'!AM$1)</f>
        <v>0</v>
      </c>
      <c r="AN104" s="160">
        <f>SUMIFS('свод практик'!$CH$6:$CH$277,'свод практик'!$J$6:$J$277,'свод субъектов ИБ+смежные'!AN$1)</f>
        <v>0</v>
      </c>
      <c r="AO104" s="160">
        <f>SUMIFS('свод практик'!$CH$6:$CH$277,'свод практик'!$J$6:$J$277,'свод субъектов ИБ+смежные'!AO$1)</f>
        <v>0</v>
      </c>
      <c r="AP104" s="36">
        <f>SUMIFS('свод практик'!$CH$6:$CH$277,'свод практик'!$J$6:$J$277,'свод субъектов ИБ+смежные'!AP$1)</f>
        <v>0</v>
      </c>
      <c r="AQ104" s="36">
        <f>SUMIFS('свод практик'!$CH$6:$CH$277,'свод практик'!$J$6:$J$277,'свод субъектов ИБ+смежные'!AQ$1)</f>
        <v>0</v>
      </c>
      <c r="AR104" s="36">
        <f>SUMIFS('свод практик'!$CH$6:$CH$277,'свод практик'!$J$6:$J$277,'свод субъектов ИБ+смежные'!AR$1)</f>
        <v>0</v>
      </c>
      <c r="AS104" s="36">
        <f>SUMIFS('свод практик'!$CH$6:$CH$277,'свод практик'!$J$6:$J$277,'свод субъектов ИБ+смежные'!AS$1)</f>
        <v>0</v>
      </c>
      <c r="AT104" s="36">
        <f>SUMIFS('свод практик'!$CH$6:$CH$277,'свод практик'!$J$6:$J$277,'свод субъектов ИБ+смежные'!AT$1)</f>
        <v>122</v>
      </c>
      <c r="AU104" s="36">
        <f>SUMIFS('свод практик'!$CH$6:$CH$277,'свод практик'!$J$6:$J$277,'свод субъектов ИБ+смежные'!AU$1)</f>
        <v>0</v>
      </c>
      <c r="AV104" s="36">
        <f>SUMIFS('свод практик'!$CH$6:$CH$277,'свод практик'!$J$6:$J$277,'свод субъектов ИБ+смежные'!AV$1)</f>
        <v>0</v>
      </c>
      <c r="AW104" s="36">
        <f>SUMIFS('свод практик'!$CH$6:$CH$277,'свод практик'!$J$6:$J$277,'свод субъектов ИБ+смежные'!AW$1)</f>
        <v>0</v>
      </c>
      <c r="AX104" s="36">
        <f>SUMIFS('свод практик'!$CH$6:$CH$277,'свод практик'!$J$6:$J$277,'свод субъектов ИБ+смежные'!AX$1)</f>
        <v>192</v>
      </c>
      <c r="AY104" s="160">
        <f>SUMIFS('свод практик'!$CH$6:$CH$277,'свод практик'!$J$6:$J$277,'свод субъектов ИБ+смежные'!AY$1)</f>
        <v>0</v>
      </c>
      <c r="AZ104" s="36">
        <f>SUMIFS('свод практик'!$CH$6:$CH$277,'свод практик'!$J$6:$J$277,'свод субъектов ИБ+смежные'!AZ$1)</f>
        <v>59</v>
      </c>
      <c r="BA104" s="36">
        <f>SUMIFS('свод практик'!$CH$6:$CH$277,'свод практик'!$J$6:$J$277,'свод субъектов ИБ+смежные'!BA$1)</f>
        <v>22</v>
      </c>
      <c r="BB104" s="160">
        <f>SUMIFS('свод практик'!$CH$6:$CH$277,'свод практик'!$J$6:$J$277,'свод субъектов ИБ+смежные'!BB$1)</f>
        <v>0</v>
      </c>
      <c r="BC104" s="36">
        <f>SUMIFS('свод практик'!$CH$6:$CH$277,'свод практик'!$J$6:$J$277,'свод субъектов ИБ+смежные'!BC$1)</f>
        <v>0</v>
      </c>
      <c r="BD104" s="160">
        <f>SUMIFS('свод практик'!$CH$6:$CH$277,'свод практик'!$J$6:$J$277,'свод субъектов ИБ+смежные'!BD$1)</f>
        <v>0</v>
      </c>
      <c r="BE104" s="160">
        <f>SUMIFS('свод практик'!$CH$6:$CH$277,'свод практик'!$J$6:$J$277,'свод субъектов ИБ+смежные'!BE$1)</f>
        <v>0</v>
      </c>
      <c r="BF104" s="36">
        <f>SUMIFS('свод практик'!$CH$6:$CH$277,'свод практик'!$J$6:$J$277,'свод субъектов ИБ+смежные'!BF$1)</f>
        <v>0</v>
      </c>
      <c r="BG104" s="36">
        <f>SUMIFS('свод практик'!$CH$6:$CH$277,'свод практик'!$J$6:$J$277,'свод субъектов ИБ+смежные'!BG$1)</f>
        <v>0</v>
      </c>
      <c r="BH104" s="36">
        <f>SUMIFS('свод практик'!$CH$6:$CH$277,'свод практик'!$J$6:$J$277,'свод субъектов ИБ+смежные'!BH$1)</f>
        <v>2</v>
      </c>
      <c r="BI104" s="36">
        <f>SUMIFS('свод практик'!$CH$6:$CH$277,'свод практик'!$J$6:$J$277,'свод субъектов ИБ+смежные'!BI$1)</f>
        <v>0</v>
      </c>
      <c r="BJ104" s="36">
        <f>SUMIFS('свод практик'!$CH$6:$CH$277,'свод практик'!$J$6:$J$277,'свод субъектов ИБ+смежные'!BJ$1)</f>
        <v>121</v>
      </c>
      <c r="BK104" s="36">
        <f>SUMIFS('свод практик'!$CH$6:$CH$277,'свод практик'!$J$6:$J$277,'свод субъектов ИБ+смежные'!BK$1)</f>
        <v>1</v>
      </c>
      <c r="BL104" s="36">
        <f>SUMIFS('свод практик'!$CH$6:$CH$277,'свод практик'!$J$6:$J$277,'свод субъектов ИБ+смежные'!BL$1)</f>
        <v>4</v>
      </c>
      <c r="BM104" s="36">
        <f>SUMIFS('свод практик'!$CH$6:$CH$277,'свод практик'!$J$6:$J$277,'свод субъектов ИБ+смежные'!BM$1)</f>
        <v>1</v>
      </c>
      <c r="BN104" s="36">
        <f>SUMIFS('свод практик'!$CH$6:$CH$277,'свод практик'!$J$6:$J$277,'свод субъектов ИБ+смежные'!BN$1)</f>
        <v>0</v>
      </c>
      <c r="BO104" s="36">
        <f>SUMIFS('свод практик'!$CH$6:$CH$277,'свод практик'!$J$6:$J$277,'свод субъектов ИБ+смежные'!BO$1)</f>
        <v>69</v>
      </c>
      <c r="BP104" s="36">
        <f>SUMIFS('свод практик'!$CH$6:$CH$277,'свод практик'!$J$6:$J$277,'свод субъектов ИБ+смежные'!BP$1)</f>
        <v>4</v>
      </c>
      <c r="BQ104" s="160">
        <f>SUMIFS('свод практик'!$CH$6:$CH$277,'свод практик'!$J$6:$J$277,'свод субъектов ИБ+смежные'!BQ$1)</f>
        <v>0</v>
      </c>
      <c r="BR104" s="36">
        <f>SUMIFS('свод практик'!$CH$6:$CH$277,'свод практик'!$J$6:$J$277,'свод субъектов ИБ+смежные'!BR$1)</f>
        <v>0</v>
      </c>
      <c r="BS104" s="36">
        <f>SUMIFS('свод практик'!$CH$6:$CH$277,'свод практик'!$J$6:$J$277,'свод субъектов ИБ+смежные'!BS$1)</f>
        <v>21</v>
      </c>
      <c r="BT104" s="36">
        <f>SUMIFS('свод практик'!$CH$6:$CH$277,'свод практик'!$J$6:$J$277,'свод субъектов ИБ+смежные'!BT$1)</f>
        <v>14</v>
      </c>
      <c r="BU104" s="36">
        <f>SUMIFS('свод практик'!$CH$6:$CH$277,'свод практик'!$J$6:$J$277,'свод субъектов ИБ+смежные'!BU$1)</f>
        <v>204</v>
      </c>
      <c r="BV104" s="36">
        <f>SUMIFS('свод практик'!$CH$6:$CH$277,'свод практик'!$J$6:$J$277,'свод субъектов ИБ+смежные'!BV$1)</f>
        <v>0</v>
      </c>
      <c r="BW104" s="36">
        <f>SUMIFS('свод практик'!$CH$6:$CH$277,'свод практик'!$J$6:$J$277,'свод субъектов ИБ+смежные'!BW$1)</f>
        <v>0</v>
      </c>
      <c r="BX104" s="36">
        <f>SUMIFS('свод практик'!$CH$6:$CH$277,'свод практик'!$J$6:$J$277,'свод субъектов ИБ+смежные'!BX$1)</f>
        <v>86</v>
      </c>
      <c r="BY104" s="36">
        <f>SUMIFS('свод практик'!$CH$6:$CH$277,'свод практик'!$J$6:$J$277,'свод субъектов ИБ+смежные'!BY$1)</f>
        <v>0</v>
      </c>
      <c r="BZ104" s="36">
        <f>SUMIFS('свод практик'!$CH$6:$CH$277,'свод практик'!$J$6:$J$277,'свод субъектов ИБ+смежные'!BZ$1)</f>
        <v>71</v>
      </c>
      <c r="CA104" s="160">
        <f>SUMIFS('свод практик'!$CH$6:$CH$277,'свод практик'!$J$6:$J$277,'свод субъектов ИБ+смежные'!CA$1)</f>
        <v>0</v>
      </c>
      <c r="CB104" s="160">
        <f>SUMIFS('свод практик'!$CH$6:$CH$277,'свод практик'!$J$6:$J$277,'свод субъектов ИБ+смежные'!CB$1)</f>
        <v>0</v>
      </c>
      <c r="CC104" s="36">
        <f>SUMIFS('свод практик'!$CH$6:$CH$277,'свод практик'!$J$6:$J$277,'свод субъектов ИБ+смежные'!CC$1)</f>
        <v>0</v>
      </c>
      <c r="CD104" s="36">
        <f>SUMIFS('свод практик'!$CH$6:$CH$277,'свод практик'!$J$6:$J$277,'свод субъектов ИБ+смежные'!CD$1)</f>
        <v>0</v>
      </c>
      <c r="CE104" s="36">
        <f>SUMIFS('свод практик'!$CH$6:$CH$277,'свод практик'!$J$6:$J$277,'свод субъектов ИБ+смежные'!CE$1)</f>
        <v>37</v>
      </c>
      <c r="CF104" s="36">
        <f>SUMIFS('свод практик'!$CH$6:$CH$277,'свод практик'!$J$6:$J$277,'свод субъектов ИБ+смежные'!CF$1)</f>
        <v>2</v>
      </c>
      <c r="CG104" s="36">
        <f>SUMIFS('свод практик'!$CH$6:$CH$277,'свод практик'!$J$6:$J$277,'свод субъектов ИБ+смежные'!CG$1)</f>
        <v>37</v>
      </c>
      <c r="CH104" s="36">
        <f>SUMIFS('свод практик'!$CH$6:$CH$277,'свод практик'!$J$6:$J$277,'свод субъектов ИБ+смежные'!CH$1)</f>
        <v>0</v>
      </c>
      <c r="CI104" s="36">
        <f>SUMIFS('свод практик'!$CH$6:$CH$277,'свод практик'!$J$6:$J$277,'свод субъектов ИБ+смежные'!CI$1)</f>
        <v>7</v>
      </c>
      <c r="CJ104" s="160">
        <f>SUMIFS('свод практик'!$CH$6:$CH$277,'свод практик'!$J$6:$J$277,'свод субъектов ИБ+смежные'!CJ$1)</f>
        <v>0</v>
      </c>
      <c r="CK104" s="36">
        <f>SUMIFS('свод практик'!$CH$6:$CH$277,'свод практик'!$J$6:$J$277,'свод субъектов ИБ+смежные'!CK$1)</f>
        <v>11</v>
      </c>
      <c r="CL104" s="36">
        <f>SUMIFS('свод практик'!$CH$6:$CH$277,'свод практик'!$J$6:$J$277,'свод субъектов ИБ+смежные'!CL$1)</f>
        <v>6</v>
      </c>
      <c r="CM104" s="36">
        <f>SUMIFS('свод практик'!$CH$6:$CH$277,'свод практик'!$J$6:$J$277,'свод субъектов ИБ+смежные'!CM$1)</f>
        <v>4</v>
      </c>
      <c r="CN104" s="36">
        <f>SUMIFS('свод практик'!$CH$6:$CH$277,'свод практик'!$J$6:$J$277,'свод субъектов ИБ+смежные'!CN$1)</f>
        <v>11</v>
      </c>
      <c r="CO104" s="160">
        <f>SUMIFS('свод практик'!$CH$6:$CH$277,'свод практик'!$J$6:$J$277,'свод субъектов ИБ+смежные'!CO$1)</f>
        <v>0</v>
      </c>
      <c r="CP104" s="36">
        <f>SUMIFS('свод практик'!$CH$6:$CH$277,'свод практик'!$J$6:$J$277,'свод субъектов ИБ+смежные'!CP$1)</f>
        <v>28</v>
      </c>
      <c r="CQ104" s="36">
        <f>SUMIFS('свод практик'!$CH$6:$CH$277,'свод практик'!$J$6:$J$277,'свод субъектов ИБ+смежные'!CQ$1)</f>
        <v>15</v>
      </c>
      <c r="CR104" s="160">
        <f>SUMIFS('свод практик'!$CH$6:$CH$277,'свод практик'!$J$6:$J$277,'свод субъектов ИБ+смежные'!CR$1)</f>
        <v>0</v>
      </c>
      <c r="CS104" s="36">
        <f>SUMIFS('свод практик'!$CH$6:$CH$277,'свод практик'!$J$6:$J$277,'свод субъектов ИБ+смежные'!CS$1)</f>
        <v>0</v>
      </c>
      <c r="CT104" s="36">
        <f>SUMIFS('свод практик'!$CH$6:$CH$277,'свод практик'!$J$6:$J$277,'свод субъектов ИБ+смежные'!CT$1)</f>
        <v>0</v>
      </c>
      <c r="CU104" s="36">
        <f>SUMIFS('свод практик'!$CH$6:$CH$277,'свод практик'!$J$6:$J$277,'свод субъектов ИБ+смежные'!CU$1)</f>
        <v>1</v>
      </c>
      <c r="CV104" s="36">
        <f>SUMIFS('свод практик'!$CH$6:$CH$277,'свод практик'!$J$6:$J$277,'свод субъектов ИБ+смежные'!CV$1)</f>
        <v>116</v>
      </c>
    </row>
    <row r="105" spans="1:100" ht="14">
      <c r="A105" s="716"/>
      <c r="B105" s="716"/>
      <c r="C105" s="773"/>
      <c r="D105" s="42" t="s">
        <v>4949</v>
      </c>
      <c r="E105" s="42">
        <v>90</v>
      </c>
      <c r="F105" s="48" t="s">
        <v>5167</v>
      </c>
      <c r="G105" s="762"/>
      <c r="H105" s="45" t="s">
        <v>60</v>
      </c>
      <c r="I105" s="46"/>
      <c r="L105" s="36" t="s">
        <v>278</v>
      </c>
      <c r="M105" s="36" t="s">
        <v>5497</v>
      </c>
      <c r="N105" s="36">
        <v>8.367357760220584E-2</v>
      </c>
      <c r="O105" s="228">
        <f>O104/O126</f>
        <v>0.11171649649741312</v>
      </c>
      <c r="P105" s="145">
        <f t="shared" ref="P105:CA105" si="61">P104/P126</f>
        <v>0</v>
      </c>
      <c r="Q105" s="145">
        <f t="shared" si="61"/>
        <v>0</v>
      </c>
      <c r="R105" s="145">
        <f t="shared" si="61"/>
        <v>0</v>
      </c>
      <c r="S105" s="145">
        <f t="shared" si="61"/>
        <v>0</v>
      </c>
      <c r="T105" s="145">
        <f t="shared" si="61"/>
        <v>0</v>
      </c>
      <c r="U105" s="145">
        <f t="shared" si="61"/>
        <v>0</v>
      </c>
      <c r="V105" s="145">
        <f t="shared" si="61"/>
        <v>0.15618898867629832</v>
      </c>
      <c r="W105" s="145">
        <f t="shared" si="61"/>
        <v>1.4084507042253521E-2</v>
      </c>
      <c r="X105" s="145">
        <f t="shared" si="61"/>
        <v>2.247191011235955E-2</v>
      </c>
      <c r="Y105" s="145">
        <f t="shared" si="61"/>
        <v>0.50379506641366223</v>
      </c>
      <c r="Z105" s="145">
        <f t="shared" si="61"/>
        <v>0.33333333333333331</v>
      </c>
      <c r="AA105" s="145">
        <f t="shared" si="61"/>
        <v>3.2258064516129031E-2</v>
      </c>
      <c r="AB105" s="145">
        <f t="shared" si="61"/>
        <v>0</v>
      </c>
      <c r="AC105" s="145">
        <f t="shared" si="61"/>
        <v>9.2307692307692316E-3</v>
      </c>
      <c r="AD105" s="145" t="e">
        <f t="shared" si="61"/>
        <v>#DIV/0!</v>
      </c>
      <c r="AE105" s="145" t="e">
        <f t="shared" si="61"/>
        <v>#DIV/0!</v>
      </c>
      <c r="AF105" s="145">
        <f t="shared" si="61"/>
        <v>0</v>
      </c>
      <c r="AG105" s="145" t="e">
        <f t="shared" si="61"/>
        <v>#DIV/0!</v>
      </c>
      <c r="AH105" s="145" t="e">
        <f t="shared" si="61"/>
        <v>#DIV/0!</v>
      </c>
      <c r="AI105" s="145">
        <f t="shared" si="61"/>
        <v>0</v>
      </c>
      <c r="AJ105" s="145">
        <f t="shared" si="61"/>
        <v>0</v>
      </c>
      <c r="AK105" s="145">
        <f t="shared" si="61"/>
        <v>0.14035087719298245</v>
      </c>
      <c r="AL105" s="145">
        <f t="shared" si="61"/>
        <v>0</v>
      </c>
      <c r="AM105" s="145">
        <f t="shared" si="61"/>
        <v>0</v>
      </c>
      <c r="AN105" s="145" t="e">
        <f t="shared" si="61"/>
        <v>#DIV/0!</v>
      </c>
      <c r="AO105" s="145" t="e">
        <f t="shared" si="61"/>
        <v>#DIV/0!</v>
      </c>
      <c r="AP105" s="145">
        <f t="shared" si="61"/>
        <v>0</v>
      </c>
      <c r="AQ105" s="145">
        <f t="shared" si="61"/>
        <v>0</v>
      </c>
      <c r="AR105" s="145">
        <f t="shared" si="61"/>
        <v>0</v>
      </c>
      <c r="AS105" s="145">
        <f t="shared" si="61"/>
        <v>0</v>
      </c>
      <c r="AT105" s="145">
        <f t="shared" si="61"/>
        <v>0.38124999999999998</v>
      </c>
      <c r="AU105" s="145">
        <f t="shared" si="61"/>
        <v>0</v>
      </c>
      <c r="AV105" s="145">
        <f t="shared" si="61"/>
        <v>0</v>
      </c>
      <c r="AW105" s="145">
        <f t="shared" si="61"/>
        <v>0</v>
      </c>
      <c r="AX105" s="145">
        <f t="shared" si="61"/>
        <v>0.65529010238907848</v>
      </c>
      <c r="AY105" s="162" t="e">
        <f t="shared" si="61"/>
        <v>#DIV/0!</v>
      </c>
      <c r="AZ105" s="145">
        <f t="shared" si="61"/>
        <v>9.7199341021416807E-2</v>
      </c>
      <c r="BA105" s="145">
        <f t="shared" si="61"/>
        <v>0.27160493827160492</v>
      </c>
      <c r="BB105" s="162" t="e">
        <f t="shared" si="61"/>
        <v>#DIV/0!</v>
      </c>
      <c r="BC105" s="145">
        <f t="shared" si="61"/>
        <v>0</v>
      </c>
      <c r="BD105" s="162" t="e">
        <f t="shared" si="61"/>
        <v>#DIV/0!</v>
      </c>
      <c r="BE105" s="162" t="e">
        <f t="shared" si="61"/>
        <v>#DIV/0!</v>
      </c>
      <c r="BF105" s="145">
        <f t="shared" si="61"/>
        <v>0</v>
      </c>
      <c r="BG105" s="145">
        <f t="shared" si="61"/>
        <v>0</v>
      </c>
      <c r="BH105" s="145">
        <f t="shared" si="61"/>
        <v>8.6956521739130432E-2</v>
      </c>
      <c r="BI105" s="145">
        <f t="shared" si="61"/>
        <v>0</v>
      </c>
      <c r="BJ105" s="145">
        <f t="shared" si="61"/>
        <v>0.27752293577981652</v>
      </c>
      <c r="BK105" s="145">
        <f t="shared" si="61"/>
        <v>4.9261083743842365E-3</v>
      </c>
      <c r="BL105" s="145">
        <f t="shared" si="61"/>
        <v>3.1007751937984496E-2</v>
      </c>
      <c r="BM105" s="145">
        <f t="shared" si="61"/>
        <v>6.8027210884353739E-3</v>
      </c>
      <c r="BN105" s="145">
        <f t="shared" si="61"/>
        <v>0</v>
      </c>
      <c r="BO105" s="145">
        <f t="shared" si="61"/>
        <v>0.46308724832214765</v>
      </c>
      <c r="BP105" s="145">
        <f t="shared" si="61"/>
        <v>3.0769230769230771E-2</v>
      </c>
      <c r="BQ105" s="145" t="e">
        <f t="shared" si="61"/>
        <v>#DIV/0!</v>
      </c>
      <c r="BR105" s="145">
        <f t="shared" si="61"/>
        <v>0</v>
      </c>
      <c r="BS105" s="145">
        <f t="shared" si="61"/>
        <v>0.20192307692307693</v>
      </c>
      <c r="BT105" s="145">
        <f t="shared" si="61"/>
        <v>7.3298429319371722E-2</v>
      </c>
      <c r="BU105" s="145">
        <f t="shared" si="61"/>
        <v>0.33442622950819673</v>
      </c>
      <c r="BV105" s="145">
        <f t="shared" si="61"/>
        <v>0</v>
      </c>
      <c r="BW105" s="145">
        <f t="shared" si="61"/>
        <v>0</v>
      </c>
      <c r="BX105" s="145">
        <f t="shared" si="61"/>
        <v>0.19413092550790068</v>
      </c>
      <c r="BY105" s="145">
        <f t="shared" si="61"/>
        <v>0</v>
      </c>
      <c r="BZ105" s="145">
        <f t="shared" si="61"/>
        <v>0.38378378378378381</v>
      </c>
      <c r="CA105" s="145" t="e">
        <f t="shared" si="61"/>
        <v>#DIV/0!</v>
      </c>
      <c r="CB105" s="145" t="e">
        <f t="shared" ref="CB105:CV105" si="62">CB104/CB126</f>
        <v>#DIV/0!</v>
      </c>
      <c r="CC105" s="145">
        <f t="shared" si="62"/>
        <v>0</v>
      </c>
      <c r="CD105" s="145">
        <f t="shared" si="62"/>
        <v>0</v>
      </c>
      <c r="CE105" s="145">
        <f t="shared" si="62"/>
        <v>6.8139963167587483E-2</v>
      </c>
      <c r="CF105" s="145">
        <f t="shared" si="62"/>
        <v>6.9979006298110562E-4</v>
      </c>
      <c r="CG105" s="145">
        <f t="shared" si="62"/>
        <v>0.13653136531365315</v>
      </c>
      <c r="CH105" s="145">
        <f t="shared" si="62"/>
        <v>0</v>
      </c>
      <c r="CI105" s="145">
        <f t="shared" si="62"/>
        <v>1.383399209486166E-2</v>
      </c>
      <c r="CJ105" s="145" t="e">
        <f t="shared" si="62"/>
        <v>#DIV/0!</v>
      </c>
      <c r="CK105" s="145">
        <f t="shared" si="62"/>
        <v>0.6470588235294118</v>
      </c>
      <c r="CL105" s="145">
        <f t="shared" si="62"/>
        <v>5.5045871559633031E-2</v>
      </c>
      <c r="CM105" s="145">
        <f t="shared" si="62"/>
        <v>2.7210884353741496E-2</v>
      </c>
      <c r="CN105" s="145">
        <f t="shared" si="62"/>
        <v>4.4176706827309238E-2</v>
      </c>
      <c r="CO105" s="145" t="e">
        <f t="shared" si="62"/>
        <v>#DIV/0!</v>
      </c>
      <c r="CP105" s="145">
        <f t="shared" si="62"/>
        <v>0.10218978102189781</v>
      </c>
      <c r="CQ105" s="145">
        <f t="shared" si="62"/>
        <v>9.2592592592592587E-2</v>
      </c>
      <c r="CR105" s="145" t="e">
        <f t="shared" si="62"/>
        <v>#DIV/0!</v>
      </c>
      <c r="CS105" s="145">
        <f t="shared" si="62"/>
        <v>0</v>
      </c>
      <c r="CT105" s="145">
        <f t="shared" si="62"/>
        <v>0</v>
      </c>
      <c r="CU105" s="145">
        <f t="shared" si="62"/>
        <v>1.2345679012345678E-2</v>
      </c>
      <c r="CV105" s="145">
        <f t="shared" si="62"/>
        <v>0.23340040241448692</v>
      </c>
    </row>
    <row r="106" spans="1:100" ht="14">
      <c r="A106" s="716"/>
      <c r="B106" s="716"/>
      <c r="C106" s="773"/>
      <c r="D106" s="42" t="s">
        <v>4949</v>
      </c>
      <c r="E106" s="42">
        <v>68</v>
      </c>
      <c r="F106" s="43" t="s">
        <v>5168</v>
      </c>
      <c r="G106" s="762" t="s">
        <v>5169</v>
      </c>
      <c r="H106" s="45" t="s">
        <v>5140</v>
      </c>
      <c r="I106" s="46"/>
      <c r="M106" s="36">
        <v>1295</v>
      </c>
      <c r="N106" s="36">
        <v>1475</v>
      </c>
      <c r="O106" s="224">
        <f>SUM(P106:CV106)</f>
        <v>1756</v>
      </c>
      <c r="P106" s="36">
        <f>SUMIFS('свод практик'!$CI$6:$CI$277,'свод практик'!$J$6:$J$277,'свод субъектов ИБ+смежные'!P$1)</f>
        <v>1</v>
      </c>
      <c r="Q106" s="36">
        <f>SUMIFS('свод практик'!$CI$6:$CI$277,'свод практик'!$J$6:$J$277,'свод субъектов ИБ+смежные'!Q$1)</f>
        <v>7</v>
      </c>
      <c r="R106" s="36">
        <f>SUMIFS('свод практик'!$CI$6:$CI$277,'свод практик'!$J$6:$J$277,'свод субъектов ИБ+смежные'!R$1)</f>
        <v>57</v>
      </c>
      <c r="S106" s="36">
        <f>SUMIFS('свод практик'!$CI$6:$CI$277,'свод практик'!$J$6:$J$277,'свод субъектов ИБ+смежные'!S$1)</f>
        <v>4</v>
      </c>
      <c r="T106" s="36">
        <f>SUMIFS('свод практик'!$CI$6:$CI$277,'свод практик'!$J$6:$J$277,'свод субъектов ИБ+смежные'!T$1)</f>
        <v>0</v>
      </c>
      <c r="U106" s="36">
        <f>SUMIFS('свод практик'!$CI$6:$CI$277,'свод практик'!$J$6:$J$277,'свод субъектов ИБ+смежные'!U$1)</f>
        <v>11</v>
      </c>
      <c r="V106" s="36">
        <f>SUMIFS('свод практик'!$CI$6:$CI$277,'свод практик'!$J$6:$J$277,'свод субъектов ИБ+смежные'!V$1)</f>
        <v>194</v>
      </c>
      <c r="W106" s="36">
        <f>SUMIFS('свод практик'!$CI$6:$CI$277,'свод практик'!$J$6:$J$277,'свод субъектов ИБ+смежные'!W$1)</f>
        <v>36</v>
      </c>
      <c r="X106" s="36">
        <f>SUMIFS('свод практик'!$CI$6:$CI$277,'свод практик'!$J$6:$J$277,'свод субъектов ИБ+смежные'!X$1)</f>
        <v>13</v>
      </c>
      <c r="Y106" s="36">
        <f>SUMIFS('свод практик'!$CI$6:$CI$277,'свод практик'!$J$6:$J$277,'свод субъектов ИБ+смежные'!Y$1)</f>
        <v>129</v>
      </c>
      <c r="Z106" s="36">
        <f>SUMIFS('свод практик'!$CI$6:$CI$277,'свод практик'!$J$6:$J$277,'свод субъектов ИБ+смежные'!Z$1)</f>
        <v>30</v>
      </c>
      <c r="AA106" s="36">
        <f>SUMIFS('свод практик'!$CI$6:$CI$277,'свод практик'!$J$6:$J$277,'свод субъектов ИБ+смежные'!AA$1)</f>
        <v>3</v>
      </c>
      <c r="AB106" s="36">
        <f>SUMIFS('свод практик'!$CI$6:$CI$277,'свод практик'!$J$6:$J$277,'свод субъектов ИБ+смежные'!AB$1)</f>
        <v>187</v>
      </c>
      <c r="AC106" s="36">
        <f>SUMIFS('свод практик'!$CI$6:$CI$277,'свод практик'!$J$6:$J$277,'свод субъектов ИБ+смежные'!AC$1)</f>
        <v>72</v>
      </c>
      <c r="AD106" s="160">
        <f>SUMIFS('свод практик'!$CI$6:$CI$277,'свод практик'!$J$6:$J$277,'свод субъектов ИБ+смежные'!AD$1)</f>
        <v>0</v>
      </c>
      <c r="AE106" s="160">
        <f>SUMIFS('свод практик'!$CI$6:$CI$277,'свод практик'!$J$6:$J$277,'свод субъектов ИБ+смежные'!AE$1)</f>
        <v>0</v>
      </c>
      <c r="AF106" s="36">
        <f>SUMIFS('свод практик'!$CI$6:$CI$277,'свод практик'!$J$6:$J$277,'свод субъектов ИБ+смежные'!AF$1)</f>
        <v>0</v>
      </c>
      <c r="AG106" s="160">
        <f>SUMIFS('свод практик'!$CI$6:$CI$277,'свод практик'!$J$6:$J$277,'свод субъектов ИБ+смежные'!AG$1)</f>
        <v>0</v>
      </c>
      <c r="AH106" s="160">
        <f>SUMIFS('свод практик'!$CI$6:$CI$277,'свод практик'!$J$6:$J$277,'свод субъектов ИБ+смежные'!AH$1)</f>
        <v>0</v>
      </c>
      <c r="AI106" s="36">
        <f>SUMIFS('свод практик'!$CI$6:$CI$277,'свод практик'!$J$6:$J$277,'свод субъектов ИБ+смежные'!AI$1)</f>
        <v>78</v>
      </c>
      <c r="AJ106" s="36">
        <f>SUMIFS('свод практик'!$CI$6:$CI$277,'свод практик'!$J$6:$J$277,'свод субъектов ИБ+смежные'!AJ$1)</f>
        <v>1</v>
      </c>
      <c r="AK106" s="36">
        <f>SUMIFS('свод практик'!$CI$6:$CI$277,'свод практик'!$J$6:$J$277,'свод субъектов ИБ+смежные'!AK$1)</f>
        <v>33</v>
      </c>
      <c r="AL106" s="36">
        <f>SUMIFS('свод практик'!$CI$6:$CI$277,'свод практик'!$J$6:$J$277,'свод субъектов ИБ+смежные'!AL$1)</f>
        <v>3</v>
      </c>
      <c r="AM106" s="36">
        <f>SUMIFS('свод практик'!$CI$6:$CI$277,'свод практик'!$J$6:$J$277,'свод субъектов ИБ+смежные'!AM$1)</f>
        <v>18</v>
      </c>
      <c r="AN106" s="160">
        <f>SUMIFS('свод практик'!$CI$6:$CI$277,'свод практик'!$J$6:$J$277,'свод субъектов ИБ+смежные'!AN$1)</f>
        <v>0</v>
      </c>
      <c r="AO106" s="160">
        <f>SUMIFS('свод практик'!$CI$6:$CI$277,'свод практик'!$J$6:$J$277,'свод субъектов ИБ+смежные'!AO$1)</f>
        <v>0</v>
      </c>
      <c r="AP106" s="36">
        <f>SUMIFS('свод практик'!$CI$6:$CI$277,'свод практик'!$J$6:$J$277,'свод субъектов ИБ+смежные'!AP$1)</f>
        <v>12</v>
      </c>
      <c r="AQ106" s="36">
        <f>SUMIFS('свод практик'!$CI$6:$CI$277,'свод практик'!$J$6:$J$277,'свод субъектов ИБ+смежные'!AQ$1)</f>
        <v>17</v>
      </c>
      <c r="AR106" s="36">
        <f>SUMIFS('свод практик'!$CI$6:$CI$277,'свод практик'!$J$6:$J$277,'свод субъектов ИБ+смежные'!AR$1)</f>
        <v>0</v>
      </c>
      <c r="AS106" s="36">
        <f>SUMIFS('свод практик'!$CI$6:$CI$277,'свод практик'!$J$6:$J$277,'свод субъектов ИБ+смежные'!AS$1)</f>
        <v>23</v>
      </c>
      <c r="AT106" s="36">
        <f>SUMIFS('свод практик'!$CI$6:$CI$277,'свод практик'!$J$6:$J$277,'свод субъектов ИБ+смежные'!AT$1)</f>
        <v>23</v>
      </c>
      <c r="AU106" s="36">
        <f>SUMIFS('свод практик'!$CI$6:$CI$277,'свод практик'!$J$6:$J$277,'свод субъектов ИБ+смежные'!AU$1)</f>
        <v>0</v>
      </c>
      <c r="AV106" s="36">
        <f>SUMIFS('свод практик'!$CI$6:$CI$277,'свод практик'!$J$6:$J$277,'свод субъектов ИБ+смежные'!AV$1)</f>
        <v>13</v>
      </c>
      <c r="AW106" s="36">
        <f>SUMIFS('свод практик'!$CI$6:$CI$277,'свод практик'!$J$6:$J$277,'свод субъектов ИБ+смежные'!AW$1)</f>
        <v>17</v>
      </c>
      <c r="AX106" s="36">
        <f>SUMIFS('свод практик'!$CI$6:$CI$277,'свод практик'!$J$6:$J$277,'свод субъектов ИБ+смежные'!AX$1)</f>
        <v>10</v>
      </c>
      <c r="AY106" s="160">
        <f>SUMIFS('свод практик'!$CI$6:$CI$277,'свод практик'!$J$6:$J$277,'свод субъектов ИБ+смежные'!AY$1)</f>
        <v>0</v>
      </c>
      <c r="AZ106" s="36">
        <f>SUMIFS('свод практик'!$CI$6:$CI$277,'свод практик'!$J$6:$J$277,'свод субъектов ИБ+смежные'!AZ$1)</f>
        <v>55</v>
      </c>
      <c r="BA106" s="36">
        <f>SUMIFS('свод практик'!$CI$6:$CI$277,'свод практик'!$J$6:$J$277,'свод субъектов ИБ+смежные'!BA$1)</f>
        <v>1</v>
      </c>
      <c r="BB106" s="160">
        <f>SUMIFS('свод практик'!$CI$6:$CI$277,'свод практик'!$J$6:$J$277,'свод субъектов ИБ+смежные'!BB$1)</f>
        <v>0</v>
      </c>
      <c r="BC106" s="36">
        <f>SUMIFS('свод практик'!$CI$6:$CI$277,'свод практик'!$J$6:$J$277,'свод субъектов ИБ+смежные'!BC$1)</f>
        <v>0</v>
      </c>
      <c r="BD106" s="160">
        <f>SUMIFS('свод практик'!$CI$6:$CI$277,'свод практик'!$J$6:$J$277,'свод субъектов ИБ+смежные'!BD$1)</f>
        <v>0</v>
      </c>
      <c r="BE106" s="160">
        <f>SUMIFS('свод практик'!$CI$6:$CI$277,'свод практик'!$J$6:$J$277,'свод субъектов ИБ+смежные'!BE$1)</f>
        <v>0</v>
      </c>
      <c r="BF106" s="36">
        <f>SUMIFS('свод практик'!$CI$6:$CI$277,'свод практик'!$J$6:$J$277,'свод субъектов ИБ+смежные'!BF$1)</f>
        <v>2</v>
      </c>
      <c r="BG106" s="36">
        <f>SUMIFS('свод практик'!$CI$6:$CI$277,'свод практик'!$J$6:$J$277,'свод субъектов ИБ+смежные'!BG$1)</f>
        <v>4</v>
      </c>
      <c r="BH106" s="36">
        <f>SUMIFS('свод практик'!$CI$6:$CI$277,'свод практик'!$J$6:$J$277,'свод субъектов ИБ+смежные'!BH$1)</f>
        <v>7</v>
      </c>
      <c r="BI106" s="36">
        <f>SUMIFS('свод практик'!$CI$6:$CI$277,'свод практик'!$J$6:$J$277,'свод субъектов ИБ+смежные'!BI$1)</f>
        <v>53</v>
      </c>
      <c r="BJ106" s="36">
        <f>SUMIFS('свод практик'!$CI$6:$CI$277,'свод практик'!$J$6:$J$277,'свод субъектов ИБ+смежные'!BJ$1)</f>
        <v>58</v>
      </c>
      <c r="BK106" s="36">
        <f>SUMIFS('свод практик'!$CI$6:$CI$277,'свод практик'!$J$6:$J$277,'свод субъектов ИБ+смежные'!BK$1)</f>
        <v>11</v>
      </c>
      <c r="BL106" s="36">
        <f>SUMIFS('свод практик'!$CI$6:$CI$277,'свод практик'!$J$6:$J$277,'свод субъектов ИБ+смежные'!BL$1)</f>
        <v>17</v>
      </c>
      <c r="BM106" s="36">
        <f>SUMIFS('свод практик'!$CI$6:$CI$277,'свод практик'!$J$6:$J$277,'свод субъектов ИБ+смежные'!BM$1)</f>
        <v>18</v>
      </c>
      <c r="BN106" s="36">
        <f>SUMIFS('свод практик'!$CI$6:$CI$277,'свод практик'!$J$6:$J$277,'свод субъектов ИБ+смежные'!BN$1)</f>
        <v>1</v>
      </c>
      <c r="BO106" s="36">
        <f>SUMIFS('свод практик'!$CI$6:$CI$277,'свод практик'!$J$6:$J$277,'свод субъектов ИБ+смежные'!BO$1)</f>
        <v>2</v>
      </c>
      <c r="BP106" s="36">
        <f>SUMIFS('свод практик'!$CI$6:$CI$277,'свод практик'!$J$6:$J$277,'свод субъектов ИБ+смежные'!BP$1)</f>
        <v>26</v>
      </c>
      <c r="BQ106" s="160">
        <f>SUMIFS('свод практик'!$CI$6:$CI$277,'свод практик'!$J$6:$J$277,'свод субъектов ИБ+смежные'!BQ$1)</f>
        <v>0</v>
      </c>
      <c r="BR106" s="36">
        <f>SUMIFS('свод практик'!$CI$6:$CI$277,'свод практик'!$J$6:$J$277,'свод субъектов ИБ+смежные'!BR$1)</f>
        <v>3</v>
      </c>
      <c r="BS106" s="36">
        <f>SUMIFS('свод практик'!$CI$6:$CI$277,'свод практик'!$J$6:$J$277,'свод субъектов ИБ+смежные'!BS$1)</f>
        <v>16</v>
      </c>
      <c r="BT106" s="36">
        <f>SUMIFS('свод практик'!$CI$6:$CI$277,'свод практик'!$J$6:$J$277,'свод субъектов ИБ+смежные'!BT$1)</f>
        <v>35</v>
      </c>
      <c r="BU106" s="36">
        <f>SUMIFS('свод практик'!$CI$6:$CI$277,'свод практик'!$J$6:$J$277,'свод субъектов ИБ+смежные'!BU$1)</f>
        <v>154</v>
      </c>
      <c r="BV106" s="36">
        <f>SUMIFS('свод практик'!$CI$6:$CI$277,'свод практик'!$J$6:$J$277,'свод субъектов ИБ+смежные'!BV$1)</f>
        <v>0</v>
      </c>
      <c r="BW106" s="36">
        <f>SUMIFS('свод практик'!$CI$6:$CI$277,'свод практик'!$J$6:$J$277,'свод субъектов ИБ+смежные'!BW$1)</f>
        <v>13</v>
      </c>
      <c r="BX106" s="36">
        <f>SUMIFS('свод практик'!$CI$6:$CI$277,'свод практик'!$J$6:$J$277,'свод субъектов ИБ+смежные'!BX$1)</f>
        <v>9</v>
      </c>
      <c r="BY106" s="36">
        <f>SUMIFS('свод практик'!$CI$6:$CI$277,'свод практик'!$J$6:$J$277,'свод субъектов ИБ+смежные'!BY$1)</f>
        <v>11</v>
      </c>
      <c r="BZ106" s="36">
        <f>SUMIFS('свод практик'!$CI$6:$CI$277,'свод практик'!$J$6:$J$277,'свод субъектов ИБ+смежные'!BZ$1)</f>
        <v>7</v>
      </c>
      <c r="CA106" s="160">
        <f>SUMIFS('свод практик'!$CI$6:$CI$277,'свод практик'!$J$6:$J$277,'свод субъектов ИБ+смежные'!CA$1)</f>
        <v>0</v>
      </c>
      <c r="CB106" s="160">
        <f>SUMIFS('свод практик'!$CI$6:$CI$277,'свод практик'!$J$6:$J$277,'свод субъектов ИБ+смежные'!CB$1)</f>
        <v>0</v>
      </c>
      <c r="CC106" s="36">
        <f>SUMIFS('свод практик'!$CI$6:$CI$277,'свод практик'!$J$6:$J$277,'свод субъектов ИБ+смежные'!CC$1)</f>
        <v>2</v>
      </c>
      <c r="CD106" s="36">
        <f>SUMIFS('свод практик'!$CI$6:$CI$277,'свод практик'!$J$6:$J$277,'свод субъектов ИБ+смежные'!CD$1)</f>
        <v>0</v>
      </c>
      <c r="CE106" s="36">
        <f>SUMIFS('свод практик'!$CI$6:$CI$277,'свод практик'!$J$6:$J$277,'свод субъектов ИБ+смежные'!CE$1)</f>
        <v>23</v>
      </c>
      <c r="CF106" s="36">
        <f>SUMIFS('свод практик'!$CI$6:$CI$277,'свод практик'!$J$6:$J$277,'свод субъектов ИБ+смежные'!CF$1)</f>
        <v>9</v>
      </c>
      <c r="CG106" s="36">
        <f>SUMIFS('свод практик'!$CI$6:$CI$277,'свод практик'!$J$6:$J$277,'свод субъектов ИБ+смежные'!CG$1)</f>
        <v>38</v>
      </c>
      <c r="CH106" s="36">
        <f>SUMIFS('свод практик'!$CI$6:$CI$277,'свод практик'!$J$6:$J$277,'свод субъектов ИБ+смежные'!CH$1)</f>
        <v>16</v>
      </c>
      <c r="CI106" s="36">
        <f>SUMIFS('свод практик'!$CI$6:$CI$277,'свод практик'!$J$6:$J$277,'свод субъектов ИБ+смежные'!CI$1)</f>
        <v>11</v>
      </c>
      <c r="CJ106" s="160">
        <f>SUMIFS('свод практик'!$CI$6:$CI$277,'свод практик'!$J$6:$J$277,'свод субъектов ИБ+смежные'!CJ$1)</f>
        <v>0</v>
      </c>
      <c r="CK106" s="36">
        <f>SUMIFS('свод практик'!$CI$6:$CI$277,'свод практик'!$J$6:$J$277,'свод субъектов ИБ+смежные'!CK$1)</f>
        <v>3</v>
      </c>
      <c r="CL106" s="36">
        <f>SUMIFS('свод практик'!$CI$6:$CI$277,'свод практик'!$J$6:$J$277,'свод субъектов ИБ+смежные'!CL$1)</f>
        <v>13</v>
      </c>
      <c r="CM106" s="36">
        <f>SUMIFS('свод практик'!$CI$6:$CI$277,'свод практик'!$J$6:$J$277,'свод субъектов ИБ+смежные'!CM$1)</f>
        <v>2</v>
      </c>
      <c r="CN106" s="36">
        <f>SUMIFS('свод практик'!$CI$6:$CI$277,'свод практик'!$J$6:$J$277,'свод субъектов ИБ+смежные'!CN$1)</f>
        <v>54</v>
      </c>
      <c r="CO106" s="160">
        <f>SUMIFS('свод практик'!$CI$6:$CI$277,'свод практик'!$J$6:$J$277,'свод субъектов ИБ+смежные'!CO$1)</f>
        <v>0</v>
      </c>
      <c r="CP106" s="36">
        <f>SUMIFS('свод практик'!$CI$6:$CI$277,'свод практик'!$J$6:$J$277,'свод субъектов ИБ+смежные'!CP$1)</f>
        <v>20</v>
      </c>
      <c r="CQ106" s="36">
        <f>SUMIFS('свод практик'!$CI$6:$CI$277,'свод практик'!$J$6:$J$277,'свод субъектов ИБ+смежные'!CQ$1)</f>
        <v>10</v>
      </c>
      <c r="CR106" s="160">
        <f>SUMIFS('свод практик'!$CI$6:$CI$277,'свод практик'!$J$6:$J$277,'свод субъектов ИБ+смежные'!CR$1)</f>
        <v>0</v>
      </c>
      <c r="CS106" s="36">
        <f>SUMIFS('свод практик'!$CI$6:$CI$277,'свод практик'!$J$6:$J$277,'свод субъектов ИБ+смежные'!CS$1)</f>
        <v>41</v>
      </c>
      <c r="CT106" s="36">
        <f>SUMIFS('свод практик'!$CI$6:$CI$277,'свод практик'!$J$6:$J$277,'свод субъектов ИБ+смежные'!CT$1)</f>
        <v>2</v>
      </c>
      <c r="CU106" s="36">
        <f>SUMIFS('свод практик'!$CI$6:$CI$277,'свод практик'!$J$6:$J$277,'свод субъектов ИБ+смежные'!CU$1)</f>
        <v>5</v>
      </c>
      <c r="CV106" s="36">
        <f>SUMIFS('свод практик'!$CI$6:$CI$277,'свод практик'!$J$6:$J$277,'свод субъектов ИБ+смежные'!CV$1)</f>
        <v>12</v>
      </c>
    </row>
    <row r="107" spans="1:100" ht="14">
      <c r="A107" s="716"/>
      <c r="B107" s="716"/>
      <c r="C107" s="773"/>
      <c r="D107" s="42" t="s">
        <v>4949</v>
      </c>
      <c r="E107" s="42">
        <v>69</v>
      </c>
      <c r="F107" s="43" t="s">
        <v>5170</v>
      </c>
      <c r="G107" s="762"/>
      <c r="H107" s="45" t="s">
        <v>60</v>
      </c>
      <c r="I107" s="46"/>
      <c r="L107" s="36" t="s">
        <v>278</v>
      </c>
      <c r="M107" s="36">
        <v>8.123196587630159E-2</v>
      </c>
      <c r="N107" s="36">
        <v>7.8211994273291272E-2</v>
      </c>
      <c r="O107" s="228">
        <f>O106/O126</f>
        <v>8.0399249118630098E-2</v>
      </c>
      <c r="P107" s="145">
        <f t="shared" ref="P107:CA107" si="63">P106/P126</f>
        <v>0.16666666666666666</v>
      </c>
      <c r="Q107" s="145">
        <f t="shared" si="63"/>
        <v>0.19444444444444445</v>
      </c>
      <c r="R107" s="145">
        <f t="shared" si="63"/>
        <v>0.27941176470588236</v>
      </c>
      <c r="S107" s="145">
        <f t="shared" si="63"/>
        <v>4.878048780487805E-2</v>
      </c>
      <c r="T107" s="145">
        <f t="shared" si="63"/>
        <v>0</v>
      </c>
      <c r="U107" s="145">
        <f t="shared" si="63"/>
        <v>0.73333333333333328</v>
      </c>
      <c r="V107" s="145">
        <f t="shared" si="63"/>
        <v>7.5751659508004679E-2</v>
      </c>
      <c r="W107" s="145">
        <f t="shared" si="63"/>
        <v>0.25352112676056338</v>
      </c>
      <c r="X107" s="145">
        <f t="shared" si="63"/>
        <v>0.14606741573033707</v>
      </c>
      <c r="Y107" s="145">
        <f t="shared" si="63"/>
        <v>0.12239089184060721</v>
      </c>
      <c r="Z107" s="145">
        <f t="shared" si="63"/>
        <v>6.6225165562913912E-2</v>
      </c>
      <c r="AA107" s="145">
        <f t="shared" si="63"/>
        <v>3.2258064516129031E-2</v>
      </c>
      <c r="AB107" s="145">
        <f t="shared" si="63"/>
        <v>0.20940649496080627</v>
      </c>
      <c r="AC107" s="145">
        <f t="shared" si="63"/>
        <v>0.22153846153846155</v>
      </c>
      <c r="AD107" s="145" t="e">
        <f t="shared" si="63"/>
        <v>#DIV/0!</v>
      </c>
      <c r="AE107" s="145" t="e">
        <f t="shared" si="63"/>
        <v>#DIV/0!</v>
      </c>
      <c r="AF107" s="145">
        <f t="shared" si="63"/>
        <v>0</v>
      </c>
      <c r="AG107" s="145" t="e">
        <f t="shared" si="63"/>
        <v>#DIV/0!</v>
      </c>
      <c r="AH107" s="145" t="e">
        <f t="shared" si="63"/>
        <v>#DIV/0!</v>
      </c>
      <c r="AI107" s="145">
        <f t="shared" si="63"/>
        <v>4.5882352941176471E-2</v>
      </c>
      <c r="AJ107" s="145">
        <f t="shared" si="63"/>
        <v>1</v>
      </c>
      <c r="AK107" s="145">
        <f t="shared" si="63"/>
        <v>5.7894736842105263E-2</v>
      </c>
      <c r="AL107" s="145">
        <f t="shared" si="63"/>
        <v>0.33333333333333331</v>
      </c>
      <c r="AM107" s="145">
        <f t="shared" si="63"/>
        <v>0.10588235294117647</v>
      </c>
      <c r="AN107" s="145" t="e">
        <f t="shared" si="63"/>
        <v>#DIV/0!</v>
      </c>
      <c r="AO107" s="145" t="e">
        <f t="shared" si="63"/>
        <v>#DIV/0!</v>
      </c>
      <c r="AP107" s="145">
        <f t="shared" si="63"/>
        <v>7.9470198675496692E-2</v>
      </c>
      <c r="AQ107" s="145">
        <f t="shared" si="63"/>
        <v>0.15887850467289719</v>
      </c>
      <c r="AR107" s="145">
        <f t="shared" si="63"/>
        <v>0</v>
      </c>
      <c r="AS107" s="145">
        <f t="shared" si="63"/>
        <v>8.3333333333333329E-2</v>
      </c>
      <c r="AT107" s="145">
        <f t="shared" si="63"/>
        <v>7.1874999999999994E-2</v>
      </c>
      <c r="AU107" s="145">
        <f t="shared" si="63"/>
        <v>0</v>
      </c>
      <c r="AV107" s="145">
        <f t="shared" si="63"/>
        <v>0.10833333333333334</v>
      </c>
      <c r="AW107" s="145">
        <f t="shared" si="63"/>
        <v>0.12318840579710146</v>
      </c>
      <c r="AX107" s="145">
        <f t="shared" si="63"/>
        <v>3.4129692832764506E-2</v>
      </c>
      <c r="AY107" s="162" t="e">
        <f t="shared" si="63"/>
        <v>#DIV/0!</v>
      </c>
      <c r="AZ107" s="145">
        <f t="shared" si="63"/>
        <v>9.0609555189456348E-2</v>
      </c>
      <c r="BA107" s="145">
        <f t="shared" si="63"/>
        <v>1.2345679012345678E-2</v>
      </c>
      <c r="BB107" s="162" t="e">
        <f t="shared" si="63"/>
        <v>#DIV/0!</v>
      </c>
      <c r="BC107" s="145">
        <f t="shared" si="63"/>
        <v>0</v>
      </c>
      <c r="BD107" s="162" t="e">
        <f t="shared" si="63"/>
        <v>#DIV/0!</v>
      </c>
      <c r="BE107" s="162" t="e">
        <f t="shared" si="63"/>
        <v>#DIV/0!</v>
      </c>
      <c r="BF107" s="145">
        <f t="shared" si="63"/>
        <v>0.66666666666666663</v>
      </c>
      <c r="BG107" s="145">
        <f t="shared" si="63"/>
        <v>0.1111111111111111</v>
      </c>
      <c r="BH107" s="145">
        <f t="shared" si="63"/>
        <v>0.30434782608695654</v>
      </c>
      <c r="BI107" s="145">
        <f t="shared" si="63"/>
        <v>8.9376053962900506E-2</v>
      </c>
      <c r="BJ107" s="145">
        <f t="shared" si="63"/>
        <v>0.13302752293577982</v>
      </c>
      <c r="BK107" s="145">
        <f t="shared" si="63"/>
        <v>5.4187192118226604E-2</v>
      </c>
      <c r="BL107" s="145">
        <f t="shared" si="63"/>
        <v>0.13178294573643412</v>
      </c>
      <c r="BM107" s="145">
        <f t="shared" si="63"/>
        <v>0.12244897959183673</v>
      </c>
      <c r="BN107" s="145">
        <f t="shared" si="63"/>
        <v>0.1111111111111111</v>
      </c>
      <c r="BO107" s="145">
        <f t="shared" si="63"/>
        <v>1.3422818791946308E-2</v>
      </c>
      <c r="BP107" s="145">
        <f t="shared" si="63"/>
        <v>0.2</v>
      </c>
      <c r="BQ107" s="145" t="e">
        <f t="shared" si="63"/>
        <v>#DIV/0!</v>
      </c>
      <c r="BR107" s="145">
        <f t="shared" si="63"/>
        <v>0.12</v>
      </c>
      <c r="BS107" s="145">
        <f t="shared" si="63"/>
        <v>0.15384615384615385</v>
      </c>
      <c r="BT107" s="145">
        <f t="shared" si="63"/>
        <v>0.18324607329842932</v>
      </c>
      <c r="BU107" s="145">
        <f t="shared" si="63"/>
        <v>0.25245901639344265</v>
      </c>
      <c r="BV107" s="145">
        <f t="shared" si="63"/>
        <v>0</v>
      </c>
      <c r="BW107" s="145">
        <f t="shared" si="63"/>
        <v>0.11818181818181818</v>
      </c>
      <c r="BX107" s="145">
        <f t="shared" si="63"/>
        <v>2.0316027088036117E-2</v>
      </c>
      <c r="BY107" s="145">
        <f t="shared" si="63"/>
        <v>6.25E-2</v>
      </c>
      <c r="BZ107" s="145">
        <f t="shared" si="63"/>
        <v>3.783783783783784E-2</v>
      </c>
      <c r="CA107" s="145" t="e">
        <f t="shared" si="63"/>
        <v>#DIV/0!</v>
      </c>
      <c r="CB107" s="145" t="e">
        <f t="shared" ref="CB107:CV107" si="64">CB106/CB126</f>
        <v>#DIV/0!</v>
      </c>
      <c r="CC107" s="145">
        <f t="shared" si="64"/>
        <v>0.33333333333333331</v>
      </c>
      <c r="CD107" s="145">
        <f t="shared" si="64"/>
        <v>0</v>
      </c>
      <c r="CE107" s="145">
        <f t="shared" si="64"/>
        <v>4.2357274401473299E-2</v>
      </c>
      <c r="CF107" s="145">
        <f t="shared" si="64"/>
        <v>3.1490552834149755E-3</v>
      </c>
      <c r="CG107" s="145">
        <f t="shared" si="64"/>
        <v>0.14022140221402213</v>
      </c>
      <c r="CH107" s="145">
        <f t="shared" si="64"/>
        <v>0.22222222222222221</v>
      </c>
      <c r="CI107" s="145">
        <f t="shared" si="64"/>
        <v>2.1739130434782608E-2</v>
      </c>
      <c r="CJ107" s="145" t="e">
        <f t="shared" si="64"/>
        <v>#DIV/0!</v>
      </c>
      <c r="CK107" s="145">
        <f t="shared" si="64"/>
        <v>0.17647058823529413</v>
      </c>
      <c r="CL107" s="145">
        <f t="shared" si="64"/>
        <v>0.11926605504587157</v>
      </c>
      <c r="CM107" s="145">
        <f t="shared" si="64"/>
        <v>1.3605442176870748E-2</v>
      </c>
      <c r="CN107" s="145">
        <f t="shared" si="64"/>
        <v>0.21686746987951808</v>
      </c>
      <c r="CO107" s="145" t="e">
        <f t="shared" si="64"/>
        <v>#DIV/0!</v>
      </c>
      <c r="CP107" s="145">
        <f t="shared" si="64"/>
        <v>7.2992700729927001E-2</v>
      </c>
      <c r="CQ107" s="145">
        <f t="shared" si="64"/>
        <v>6.1728395061728392E-2</v>
      </c>
      <c r="CR107" s="145" t="e">
        <f t="shared" si="64"/>
        <v>#DIV/0!</v>
      </c>
      <c r="CS107" s="145">
        <f t="shared" si="64"/>
        <v>6.1933534743202415E-2</v>
      </c>
      <c r="CT107" s="145">
        <f t="shared" si="64"/>
        <v>0.2</v>
      </c>
      <c r="CU107" s="145">
        <f t="shared" si="64"/>
        <v>6.1728395061728392E-2</v>
      </c>
      <c r="CV107" s="145">
        <f t="shared" si="64"/>
        <v>2.4144869215291749E-2</v>
      </c>
    </row>
    <row r="108" spans="1:100" ht="14">
      <c r="A108" s="716"/>
      <c r="B108" s="716"/>
      <c r="C108" s="773"/>
      <c r="D108" s="42" t="s">
        <v>4949</v>
      </c>
      <c r="E108" s="42">
        <v>70</v>
      </c>
      <c r="F108" s="43" t="s">
        <v>5171</v>
      </c>
      <c r="G108" s="762" t="s">
        <v>5172</v>
      </c>
      <c r="H108" s="45" t="s">
        <v>5140</v>
      </c>
      <c r="I108" s="46"/>
      <c r="M108" s="36">
        <v>2854</v>
      </c>
      <c r="N108" s="36">
        <v>1779</v>
      </c>
      <c r="O108" s="224">
        <f>SUM(P108:CV108)</f>
        <v>2336</v>
      </c>
      <c r="P108" s="36">
        <f>SUMIFS('свод практик'!$CJ$6:$CJ$277,'свод практик'!$J$6:$J$277,'свод субъектов ИБ+смежные'!P$1)</f>
        <v>1</v>
      </c>
      <c r="Q108" s="36">
        <f>SUMIFS('свод практик'!$CJ$6:$CJ$277,'свод практик'!$J$6:$J$277,'свод субъектов ИБ+смежные'!Q$1)</f>
        <v>15</v>
      </c>
      <c r="R108" s="36">
        <f>SUMIFS('свод практик'!$CJ$6:$CJ$277,'свод практик'!$J$6:$J$277,'свод субъектов ИБ+смежные'!R$1)</f>
        <v>9</v>
      </c>
      <c r="S108" s="36">
        <f>SUMIFS('свод практик'!$CJ$6:$CJ$277,'свод практик'!$J$6:$J$277,'свод субъектов ИБ+смежные'!S$1)</f>
        <v>34</v>
      </c>
      <c r="T108" s="36">
        <f>SUMIFS('свод практик'!$CJ$6:$CJ$277,'свод практик'!$J$6:$J$277,'свод субъектов ИБ+смежные'!T$1)</f>
        <v>77</v>
      </c>
      <c r="U108" s="36">
        <f>SUMIFS('свод практик'!$CJ$6:$CJ$277,'свод практик'!$J$6:$J$277,'свод субъектов ИБ+смежные'!U$1)</f>
        <v>0</v>
      </c>
      <c r="V108" s="36">
        <f>SUMIFS('свод практик'!$CJ$6:$CJ$277,'свод практик'!$J$6:$J$277,'свод субъектов ИБ+смежные'!V$1)</f>
        <v>113</v>
      </c>
      <c r="W108" s="36">
        <f>SUMIFS('свод практик'!$CJ$6:$CJ$277,'свод практик'!$J$6:$J$277,'свод субъектов ИБ+смежные'!W$1)</f>
        <v>23</v>
      </c>
      <c r="X108" s="36">
        <f>SUMIFS('свод практик'!$CJ$6:$CJ$277,'свод практик'!$J$6:$J$277,'свод субъектов ИБ+смежные'!X$1)</f>
        <v>16</v>
      </c>
      <c r="Y108" s="36">
        <f>SUMIFS('свод практик'!$CJ$6:$CJ$277,'свод практик'!$J$6:$J$277,'свод субъектов ИБ+смежные'!Y$1)</f>
        <v>0</v>
      </c>
      <c r="Z108" s="36">
        <f>SUMIFS('свод практик'!$CJ$6:$CJ$277,'свод практик'!$J$6:$J$277,'свод субъектов ИБ+смежные'!Z$1)</f>
        <v>122</v>
      </c>
      <c r="AA108" s="36">
        <f>SUMIFS('свод практик'!$CJ$6:$CJ$277,'свод практик'!$J$6:$J$277,'свод субъектов ИБ+смежные'!AA$1)</f>
        <v>29</v>
      </c>
      <c r="AB108" s="36">
        <f>SUMIFS('свод практик'!$CJ$6:$CJ$277,'свод практик'!$J$6:$J$277,'свод субъектов ИБ+смежные'!AB$1)</f>
        <v>167</v>
      </c>
      <c r="AC108" s="36">
        <f>SUMIFS('свод практик'!$CJ$6:$CJ$277,'свод практик'!$J$6:$J$277,'свод субъектов ИБ+смежные'!AC$1)</f>
        <v>66</v>
      </c>
      <c r="AD108" s="160">
        <f>SUMIFS('свод практик'!$CJ$6:$CJ$277,'свод практик'!$J$6:$J$277,'свод субъектов ИБ+смежные'!AD$1)</f>
        <v>0</v>
      </c>
      <c r="AE108" s="160">
        <f>SUMIFS('свод практик'!$CJ$6:$CJ$277,'свод практик'!$J$6:$J$277,'свод субъектов ИБ+смежные'!AE$1)</f>
        <v>0</v>
      </c>
      <c r="AF108" s="36">
        <f>SUMIFS('свод практик'!$CJ$6:$CJ$277,'свод практик'!$J$6:$J$277,'свод субъектов ИБ+смежные'!AF$1)</f>
        <v>0</v>
      </c>
      <c r="AG108" s="160">
        <f>SUMIFS('свод практик'!$CJ$6:$CJ$277,'свод практик'!$J$6:$J$277,'свод субъектов ИБ+смежные'!AG$1)</f>
        <v>0</v>
      </c>
      <c r="AH108" s="160">
        <f>SUMIFS('свод практик'!$CJ$6:$CJ$277,'свод практик'!$J$6:$J$277,'свод субъектов ИБ+смежные'!AH$1)</f>
        <v>0</v>
      </c>
      <c r="AI108" s="36">
        <f>SUMIFS('свод практик'!$CJ$6:$CJ$277,'свод практик'!$J$6:$J$277,'свод субъектов ИБ+смежные'!AI$1)</f>
        <v>216</v>
      </c>
      <c r="AJ108" s="36">
        <f>SUMIFS('свод практик'!$CJ$6:$CJ$277,'свод практик'!$J$6:$J$277,'свод субъектов ИБ+смежные'!AJ$1)</f>
        <v>0</v>
      </c>
      <c r="AK108" s="36">
        <f>SUMIFS('свод практик'!$CJ$6:$CJ$277,'свод практик'!$J$6:$J$277,'свод субъектов ИБ+смежные'!AK$1)</f>
        <v>23</v>
      </c>
      <c r="AL108" s="36">
        <f>SUMIFS('свод практик'!$CJ$6:$CJ$277,'свод практик'!$J$6:$J$277,'свод субъектов ИБ+смежные'!AL$1)</f>
        <v>3</v>
      </c>
      <c r="AM108" s="36">
        <f>SUMIFS('свод практик'!$CJ$6:$CJ$277,'свод практик'!$J$6:$J$277,'свод субъектов ИБ+смежные'!AM$1)</f>
        <v>32</v>
      </c>
      <c r="AN108" s="160">
        <f>SUMIFS('свод практик'!$CJ$6:$CJ$277,'свод практик'!$J$6:$J$277,'свод субъектов ИБ+смежные'!AN$1)</f>
        <v>0</v>
      </c>
      <c r="AO108" s="160">
        <f>SUMIFS('свод практик'!$CJ$6:$CJ$277,'свод практик'!$J$6:$J$277,'свод субъектов ИБ+смежные'!AO$1)</f>
        <v>0</v>
      </c>
      <c r="AP108" s="36">
        <f>SUMIFS('свод практик'!$CJ$6:$CJ$277,'свод практик'!$J$6:$J$277,'свод субъектов ИБ+смежные'!AP$1)</f>
        <v>30</v>
      </c>
      <c r="AQ108" s="36">
        <f>SUMIFS('свод практик'!$CJ$6:$CJ$277,'свод практик'!$J$6:$J$277,'свод субъектов ИБ+смежные'!AQ$1)</f>
        <v>18</v>
      </c>
      <c r="AR108" s="36">
        <f>SUMIFS('свод практик'!$CJ$6:$CJ$277,'свод практик'!$J$6:$J$277,'свод субъектов ИБ+смежные'!AR$1)</f>
        <v>65</v>
      </c>
      <c r="AS108" s="36">
        <f>SUMIFS('свод практик'!$CJ$6:$CJ$277,'свод практик'!$J$6:$J$277,'свод субъектов ИБ+смежные'!AS$1)</f>
        <v>20</v>
      </c>
      <c r="AT108" s="36">
        <f>SUMIFS('свод практик'!$CJ$6:$CJ$277,'свод практик'!$J$6:$J$277,'свод субъектов ИБ+смежные'!AT$1)</f>
        <v>44</v>
      </c>
      <c r="AU108" s="36">
        <f>SUMIFS('свод практик'!$CJ$6:$CJ$277,'свод практик'!$J$6:$J$277,'свод субъектов ИБ+смежные'!AU$1)</f>
        <v>4</v>
      </c>
      <c r="AV108" s="36">
        <f>SUMIFS('свод практик'!$CJ$6:$CJ$277,'свод практик'!$J$6:$J$277,'свод субъектов ИБ+смежные'!AV$1)</f>
        <v>18</v>
      </c>
      <c r="AW108" s="36">
        <f>SUMIFS('свод практик'!$CJ$6:$CJ$277,'свод практик'!$J$6:$J$277,'свод субъектов ИБ+смежные'!AW$1)</f>
        <v>101</v>
      </c>
      <c r="AX108" s="36">
        <f>SUMIFS('свод практик'!$CJ$6:$CJ$277,'свод практик'!$J$6:$J$277,'свод субъектов ИБ+смежные'!AX$1)</f>
        <v>6</v>
      </c>
      <c r="AY108" s="160">
        <f>SUMIFS('свод практик'!$CJ$6:$CJ$277,'свод практик'!$J$6:$J$277,'свод субъектов ИБ+смежные'!AY$1)</f>
        <v>0</v>
      </c>
      <c r="AZ108" s="36">
        <f>SUMIFS('свод практик'!$CJ$6:$CJ$277,'свод практик'!$J$6:$J$277,'свод субъектов ИБ+смежные'!AZ$1)</f>
        <v>6</v>
      </c>
      <c r="BA108" s="36">
        <f>SUMIFS('свод практик'!$CJ$6:$CJ$277,'свод практик'!$J$6:$J$277,'свод субъектов ИБ+смежные'!BA$1)</f>
        <v>56</v>
      </c>
      <c r="BB108" s="160">
        <f>SUMIFS('свод практик'!$CJ$6:$CJ$277,'свод практик'!$J$6:$J$277,'свод субъектов ИБ+смежные'!BB$1)</f>
        <v>0</v>
      </c>
      <c r="BC108" s="36">
        <f>SUMIFS('свод практик'!$CJ$6:$CJ$277,'свод практик'!$J$6:$J$277,'свод субъектов ИБ+смежные'!BC$1)</f>
        <v>7</v>
      </c>
      <c r="BD108" s="160">
        <f>SUMIFS('свод практик'!$CJ$6:$CJ$277,'свод практик'!$J$6:$J$277,'свод субъектов ИБ+смежные'!BD$1)</f>
        <v>0</v>
      </c>
      <c r="BE108" s="160">
        <f>SUMIFS('свод практик'!$CJ$6:$CJ$277,'свод практик'!$J$6:$J$277,'свод субъектов ИБ+смежные'!BE$1)</f>
        <v>0</v>
      </c>
      <c r="BF108" s="36">
        <f>SUMIFS('свод практик'!$CJ$6:$CJ$277,'свод практик'!$J$6:$J$277,'свод субъектов ИБ+смежные'!BF$1)</f>
        <v>1</v>
      </c>
      <c r="BG108" s="36">
        <f>SUMIFS('свод практик'!$CJ$6:$CJ$277,'свод практик'!$J$6:$J$277,'свод субъектов ИБ+смежные'!BG$1)</f>
        <v>5</v>
      </c>
      <c r="BH108" s="36">
        <f>SUMIFS('свод практик'!$CJ$6:$CJ$277,'свод практик'!$J$6:$J$277,'свод субъектов ИБ+смежные'!BH$1)</f>
        <v>5</v>
      </c>
      <c r="BI108" s="36">
        <f>SUMIFS('свод практик'!$CJ$6:$CJ$277,'свод практик'!$J$6:$J$277,'свод субъектов ИБ+смежные'!BI$1)</f>
        <v>35</v>
      </c>
      <c r="BJ108" s="36">
        <f>SUMIFS('свод практик'!$CJ$6:$CJ$277,'свод практик'!$J$6:$J$277,'свод субъектов ИБ+смежные'!BJ$1)</f>
        <v>29</v>
      </c>
      <c r="BK108" s="36">
        <f>SUMIFS('свод практик'!$CJ$6:$CJ$277,'свод практик'!$J$6:$J$277,'свод субъектов ИБ+смежные'!BK$1)</f>
        <v>37</v>
      </c>
      <c r="BL108" s="36">
        <f>SUMIFS('свод практик'!$CJ$6:$CJ$277,'свод практик'!$J$6:$J$277,'свод субъектов ИБ+смежные'!BL$1)</f>
        <v>4</v>
      </c>
      <c r="BM108" s="36">
        <f>SUMIFS('свод практик'!$CJ$6:$CJ$277,'свод практик'!$J$6:$J$277,'свод субъектов ИБ+смежные'!BM$1)</f>
        <v>10</v>
      </c>
      <c r="BN108" s="36">
        <f>SUMIFS('свод практик'!$CJ$6:$CJ$277,'свод практик'!$J$6:$J$277,'свод субъектов ИБ+смежные'!BN$1)</f>
        <v>5</v>
      </c>
      <c r="BO108" s="36">
        <f>SUMIFS('свод практик'!$CJ$6:$CJ$277,'свод практик'!$J$6:$J$277,'свод субъектов ИБ+смежные'!BO$1)</f>
        <v>46</v>
      </c>
      <c r="BP108" s="36">
        <f>SUMIFS('свод практик'!$CJ$6:$CJ$277,'свод практик'!$J$6:$J$277,'свод субъектов ИБ+смежные'!BP$1)</f>
        <v>9</v>
      </c>
      <c r="BQ108" s="160">
        <f>SUMIFS('свод практик'!$CJ$6:$CJ$277,'свод практик'!$J$6:$J$277,'свод субъектов ИБ+смежные'!BQ$1)</f>
        <v>0</v>
      </c>
      <c r="BR108" s="36">
        <f>SUMIFS('свод практик'!$CJ$6:$CJ$277,'свод практик'!$J$6:$J$277,'свод субъектов ИБ+смежные'!BR$1)</f>
        <v>9</v>
      </c>
      <c r="BS108" s="36">
        <f>SUMIFS('свод практик'!$CJ$6:$CJ$277,'свод практик'!$J$6:$J$277,'свод субъектов ИБ+смежные'!BS$1)</f>
        <v>0</v>
      </c>
      <c r="BT108" s="36">
        <f>SUMIFS('свод практик'!$CJ$6:$CJ$277,'свод практик'!$J$6:$J$277,'свод субъектов ИБ+смежные'!BT$1)</f>
        <v>36</v>
      </c>
      <c r="BU108" s="36">
        <f>SUMIFS('свод практик'!$CJ$6:$CJ$277,'свод практик'!$J$6:$J$277,'свод субъектов ИБ+смежные'!BU$1)</f>
        <v>97</v>
      </c>
      <c r="BV108" s="36">
        <f>SUMIFS('свод практик'!$CJ$6:$CJ$277,'свод практик'!$J$6:$J$277,'свод субъектов ИБ+смежные'!BV$1)</f>
        <v>3</v>
      </c>
      <c r="BW108" s="36">
        <f>SUMIFS('свод практик'!$CJ$6:$CJ$277,'свод практик'!$J$6:$J$277,'свод субъектов ИБ+смежные'!BW$1)</f>
        <v>21</v>
      </c>
      <c r="BX108" s="36">
        <f>SUMIFS('свод практик'!$CJ$6:$CJ$277,'свод практик'!$J$6:$J$277,'свод субъектов ИБ+смежные'!BX$1)</f>
        <v>37</v>
      </c>
      <c r="BY108" s="36">
        <f>SUMIFS('свод практик'!$CJ$6:$CJ$277,'свод практик'!$J$6:$J$277,'свод субъектов ИБ+смежные'!BY$1)</f>
        <v>41</v>
      </c>
      <c r="BZ108" s="36">
        <f>SUMIFS('свод практик'!$CJ$6:$CJ$277,'свод практик'!$J$6:$J$277,'свод субъектов ИБ+смежные'!BZ$1)</f>
        <v>67</v>
      </c>
      <c r="CA108" s="160">
        <f>SUMIFS('свод практик'!$CJ$6:$CJ$277,'свод практик'!$J$6:$J$277,'свод субъектов ИБ+смежные'!CA$1)</f>
        <v>0</v>
      </c>
      <c r="CB108" s="160">
        <f>SUMIFS('свод практик'!$CJ$6:$CJ$277,'свод практик'!$J$6:$J$277,'свод субъектов ИБ+смежные'!CB$1)</f>
        <v>0</v>
      </c>
      <c r="CC108" s="36">
        <f>SUMIFS('свод практик'!$CJ$6:$CJ$277,'свод практик'!$J$6:$J$277,'свод субъектов ИБ+смежные'!CC$1)</f>
        <v>0</v>
      </c>
      <c r="CD108" s="36">
        <f>SUMIFS('свод практик'!$CJ$6:$CJ$277,'свод практик'!$J$6:$J$277,'свод субъектов ИБ+смежные'!CD$1)</f>
        <v>105</v>
      </c>
      <c r="CE108" s="36">
        <f>SUMIFS('свод практик'!$CJ$6:$CJ$277,'свод практик'!$J$6:$J$277,'свод субъектов ИБ+смежные'!CE$1)</f>
        <v>1</v>
      </c>
      <c r="CF108" s="36">
        <f>SUMIFS('свод практик'!$CJ$6:$CJ$277,'свод практик'!$J$6:$J$277,'свод субъектов ИБ+смежные'!CF$1)</f>
        <v>91</v>
      </c>
      <c r="CG108" s="36">
        <f>SUMIFS('свод практик'!$CJ$6:$CJ$277,'свод практик'!$J$6:$J$277,'свод субъектов ИБ+смежные'!CG$1)</f>
        <v>0</v>
      </c>
      <c r="CH108" s="36">
        <f>SUMIFS('свод практик'!$CJ$6:$CJ$277,'свод практик'!$J$6:$J$277,'свод субъектов ИБ+смежные'!CH$1)</f>
        <v>18</v>
      </c>
      <c r="CI108" s="36">
        <f>SUMIFS('свод практик'!$CJ$6:$CJ$277,'свод практик'!$J$6:$J$277,'свод субъектов ИБ+смежные'!CI$1)</f>
        <v>22</v>
      </c>
      <c r="CJ108" s="160">
        <f>SUMIFS('свод практик'!$CJ$6:$CJ$277,'свод практик'!$J$6:$J$277,'свод субъектов ИБ+смежные'!CJ$1)</f>
        <v>0</v>
      </c>
      <c r="CK108" s="36">
        <f>SUMIFS('свод практик'!$CJ$6:$CJ$277,'свод практик'!$J$6:$J$277,'свод субъектов ИБ+смежные'!CK$1)</f>
        <v>3</v>
      </c>
      <c r="CL108" s="36">
        <f>SUMIFS('свод практик'!$CJ$6:$CJ$277,'свод практик'!$J$6:$J$277,'свод субъектов ИБ+смежные'!CL$1)</f>
        <v>9</v>
      </c>
      <c r="CM108" s="36">
        <f>SUMIFS('свод практик'!$CJ$6:$CJ$277,'свод практик'!$J$6:$J$277,'свод субъектов ИБ+смежные'!CM$1)</f>
        <v>19</v>
      </c>
      <c r="CN108" s="36">
        <f>SUMIFS('свод практик'!$CJ$6:$CJ$277,'свод практик'!$J$6:$J$277,'свод субъектов ИБ+смежные'!CN$1)</f>
        <v>29</v>
      </c>
      <c r="CO108" s="160">
        <f>SUMIFS('свод практик'!$CJ$6:$CJ$277,'свод практик'!$J$6:$J$277,'свод субъектов ИБ+смежные'!CO$1)</f>
        <v>0</v>
      </c>
      <c r="CP108" s="36">
        <f>SUMIFS('свод практик'!$CJ$6:$CJ$277,'свод практик'!$J$6:$J$277,'свод субъектов ИБ+смежные'!CP$1)</f>
        <v>113</v>
      </c>
      <c r="CQ108" s="36">
        <f>SUMIFS('свод практик'!$CJ$6:$CJ$277,'свод практик'!$J$6:$J$277,'свод субъектов ИБ+смежные'!CQ$1)</f>
        <v>0</v>
      </c>
      <c r="CR108" s="160">
        <f>SUMIFS('свод практик'!$CJ$6:$CJ$277,'свод практик'!$J$6:$J$277,'свод субъектов ИБ+смежные'!CR$1)</f>
        <v>0</v>
      </c>
      <c r="CS108" s="36">
        <f>SUMIFS('свод практик'!$CJ$6:$CJ$277,'свод практик'!$J$6:$J$277,'свод субъектов ИБ+смежные'!CS$1)</f>
        <v>44</v>
      </c>
      <c r="CT108" s="36">
        <f>SUMIFS('свод практик'!$CJ$6:$CJ$277,'свод практик'!$J$6:$J$277,'свод субъектов ИБ+смежные'!CT$1)</f>
        <v>3</v>
      </c>
      <c r="CU108" s="36">
        <f>SUMIFS('свод практик'!$CJ$6:$CJ$277,'свод практик'!$J$6:$J$277,'свод субъектов ИБ+смежные'!CU$1)</f>
        <v>11</v>
      </c>
      <c r="CV108" s="36">
        <f>SUMIFS('свод практик'!$CJ$6:$CJ$277,'свод практик'!$J$6:$J$277,'свод субъектов ИБ+смежные'!CV$1)</f>
        <v>50</v>
      </c>
    </row>
    <row r="109" spans="1:100" ht="14">
      <c r="A109" s="716"/>
      <c r="B109" s="716"/>
      <c r="C109" s="773"/>
      <c r="D109" s="42" t="s">
        <v>4949</v>
      </c>
      <c r="E109" s="42">
        <v>71</v>
      </c>
      <c r="F109" s="43" t="s">
        <v>5173</v>
      </c>
      <c r="G109" s="762"/>
      <c r="H109" s="45" t="s">
        <v>60</v>
      </c>
      <c r="I109" s="46"/>
      <c r="L109" s="36" t="s">
        <v>278</v>
      </c>
      <c r="M109" s="36">
        <v>0.17902396186174885</v>
      </c>
      <c r="N109" s="36">
        <v>9.4331618855718752E-2</v>
      </c>
      <c r="O109" s="228">
        <f>O108/O126</f>
        <v>0.10695480976145781</v>
      </c>
      <c r="P109" s="145">
        <f t="shared" ref="P109:CA109" si="65">P108/P126</f>
        <v>0.16666666666666666</v>
      </c>
      <c r="Q109" s="145">
        <f t="shared" si="65"/>
        <v>0.41666666666666669</v>
      </c>
      <c r="R109" s="145">
        <f t="shared" si="65"/>
        <v>4.4117647058823532E-2</v>
      </c>
      <c r="S109" s="145">
        <f t="shared" si="65"/>
        <v>0.41463414634146339</v>
      </c>
      <c r="T109" s="145">
        <f t="shared" si="65"/>
        <v>0.20810810810810812</v>
      </c>
      <c r="U109" s="145">
        <f t="shared" si="65"/>
        <v>0</v>
      </c>
      <c r="V109" s="145">
        <f t="shared" si="65"/>
        <v>4.4123389301054278E-2</v>
      </c>
      <c r="W109" s="145">
        <f t="shared" si="65"/>
        <v>0.1619718309859155</v>
      </c>
      <c r="X109" s="145">
        <f t="shared" si="65"/>
        <v>0.1797752808988764</v>
      </c>
      <c r="Y109" s="145">
        <f t="shared" si="65"/>
        <v>0</v>
      </c>
      <c r="Z109" s="145">
        <f t="shared" si="65"/>
        <v>0.26931567328918321</v>
      </c>
      <c r="AA109" s="145">
        <f t="shared" si="65"/>
        <v>0.31182795698924731</v>
      </c>
      <c r="AB109" s="145">
        <f t="shared" si="65"/>
        <v>0.18701007838745801</v>
      </c>
      <c r="AC109" s="145">
        <f t="shared" si="65"/>
        <v>0.20307692307692307</v>
      </c>
      <c r="AD109" s="145" t="e">
        <f t="shared" si="65"/>
        <v>#DIV/0!</v>
      </c>
      <c r="AE109" s="145" t="e">
        <f t="shared" si="65"/>
        <v>#DIV/0!</v>
      </c>
      <c r="AF109" s="145">
        <f t="shared" si="65"/>
        <v>0</v>
      </c>
      <c r="AG109" s="145" t="e">
        <f t="shared" si="65"/>
        <v>#DIV/0!</v>
      </c>
      <c r="AH109" s="145" t="e">
        <f t="shared" si="65"/>
        <v>#DIV/0!</v>
      </c>
      <c r="AI109" s="145">
        <f t="shared" si="65"/>
        <v>0.12705882352941175</v>
      </c>
      <c r="AJ109" s="145">
        <f t="shared" si="65"/>
        <v>0</v>
      </c>
      <c r="AK109" s="145">
        <f t="shared" si="65"/>
        <v>4.0350877192982457E-2</v>
      </c>
      <c r="AL109" s="145">
        <f t="shared" si="65"/>
        <v>0.33333333333333331</v>
      </c>
      <c r="AM109" s="145">
        <f t="shared" si="65"/>
        <v>0.18823529411764706</v>
      </c>
      <c r="AN109" s="145" t="e">
        <f t="shared" si="65"/>
        <v>#DIV/0!</v>
      </c>
      <c r="AO109" s="145" t="e">
        <f t="shared" si="65"/>
        <v>#DIV/0!</v>
      </c>
      <c r="AP109" s="145">
        <f t="shared" si="65"/>
        <v>0.19867549668874171</v>
      </c>
      <c r="AQ109" s="145">
        <f t="shared" si="65"/>
        <v>0.16822429906542055</v>
      </c>
      <c r="AR109" s="145">
        <f t="shared" si="65"/>
        <v>0.18207282913165265</v>
      </c>
      <c r="AS109" s="145">
        <f t="shared" si="65"/>
        <v>7.2463768115942032E-2</v>
      </c>
      <c r="AT109" s="145">
        <f t="shared" si="65"/>
        <v>0.13750000000000001</v>
      </c>
      <c r="AU109" s="145">
        <f t="shared" si="65"/>
        <v>2.8571428571428571E-2</v>
      </c>
      <c r="AV109" s="145">
        <f t="shared" si="65"/>
        <v>0.15</v>
      </c>
      <c r="AW109" s="145">
        <f t="shared" si="65"/>
        <v>0.73188405797101452</v>
      </c>
      <c r="AX109" s="145">
        <f t="shared" si="65"/>
        <v>2.0477815699658702E-2</v>
      </c>
      <c r="AY109" s="162" t="e">
        <f t="shared" si="65"/>
        <v>#DIV/0!</v>
      </c>
      <c r="AZ109" s="145">
        <f t="shared" si="65"/>
        <v>9.8846787479406912E-3</v>
      </c>
      <c r="BA109" s="145">
        <f t="shared" si="65"/>
        <v>0.69135802469135799</v>
      </c>
      <c r="BB109" s="162" t="e">
        <f t="shared" si="65"/>
        <v>#DIV/0!</v>
      </c>
      <c r="BC109" s="145">
        <f t="shared" si="65"/>
        <v>0.16666666666666666</v>
      </c>
      <c r="BD109" s="162" t="e">
        <f t="shared" si="65"/>
        <v>#DIV/0!</v>
      </c>
      <c r="BE109" s="162" t="e">
        <f t="shared" si="65"/>
        <v>#DIV/0!</v>
      </c>
      <c r="BF109" s="145">
        <f t="shared" si="65"/>
        <v>0.33333333333333331</v>
      </c>
      <c r="BG109" s="145">
        <f t="shared" si="65"/>
        <v>0.1388888888888889</v>
      </c>
      <c r="BH109" s="145">
        <f t="shared" si="65"/>
        <v>0.21739130434782608</v>
      </c>
      <c r="BI109" s="145">
        <f t="shared" si="65"/>
        <v>5.9021922428330521E-2</v>
      </c>
      <c r="BJ109" s="145">
        <f t="shared" si="65"/>
        <v>6.6513761467889912E-2</v>
      </c>
      <c r="BK109" s="145">
        <f t="shared" si="65"/>
        <v>0.18226600985221675</v>
      </c>
      <c r="BL109" s="145">
        <f t="shared" si="65"/>
        <v>3.1007751937984496E-2</v>
      </c>
      <c r="BM109" s="145">
        <f t="shared" si="65"/>
        <v>6.8027210884353748E-2</v>
      </c>
      <c r="BN109" s="145">
        <f t="shared" si="65"/>
        <v>0.55555555555555558</v>
      </c>
      <c r="BO109" s="145">
        <f t="shared" si="65"/>
        <v>0.3087248322147651</v>
      </c>
      <c r="BP109" s="145">
        <f t="shared" si="65"/>
        <v>6.9230769230769235E-2</v>
      </c>
      <c r="BQ109" s="145" t="e">
        <f t="shared" si="65"/>
        <v>#DIV/0!</v>
      </c>
      <c r="BR109" s="145">
        <f t="shared" si="65"/>
        <v>0.36</v>
      </c>
      <c r="BS109" s="145">
        <f t="shared" si="65"/>
        <v>0</v>
      </c>
      <c r="BT109" s="145">
        <f t="shared" si="65"/>
        <v>0.18848167539267016</v>
      </c>
      <c r="BU109" s="145">
        <f t="shared" si="65"/>
        <v>0.15901639344262294</v>
      </c>
      <c r="BV109" s="145">
        <f t="shared" si="65"/>
        <v>0.17647058823529413</v>
      </c>
      <c r="BW109" s="145">
        <f t="shared" si="65"/>
        <v>0.19090909090909092</v>
      </c>
      <c r="BX109" s="145">
        <f t="shared" si="65"/>
        <v>8.35214446952596E-2</v>
      </c>
      <c r="BY109" s="145">
        <f t="shared" si="65"/>
        <v>0.23295454545454544</v>
      </c>
      <c r="BZ109" s="145">
        <f t="shared" si="65"/>
        <v>0.36216216216216218</v>
      </c>
      <c r="CA109" s="145" t="e">
        <f t="shared" si="65"/>
        <v>#DIV/0!</v>
      </c>
      <c r="CB109" s="145" t="e">
        <f t="shared" ref="CB109:CV109" si="66">CB108/CB126</f>
        <v>#DIV/0!</v>
      </c>
      <c r="CC109" s="145">
        <f t="shared" si="66"/>
        <v>0</v>
      </c>
      <c r="CD109" s="145">
        <f t="shared" si="66"/>
        <v>0.41666666666666669</v>
      </c>
      <c r="CE109" s="145">
        <f t="shared" si="66"/>
        <v>1.841620626151013E-3</v>
      </c>
      <c r="CF109" s="145">
        <f t="shared" si="66"/>
        <v>3.184044786564031E-2</v>
      </c>
      <c r="CG109" s="145">
        <f t="shared" si="66"/>
        <v>0</v>
      </c>
      <c r="CH109" s="145">
        <f t="shared" si="66"/>
        <v>0.25</v>
      </c>
      <c r="CI109" s="145">
        <f t="shared" si="66"/>
        <v>4.3478260869565216E-2</v>
      </c>
      <c r="CJ109" s="145" t="e">
        <f t="shared" si="66"/>
        <v>#DIV/0!</v>
      </c>
      <c r="CK109" s="145">
        <f t="shared" si="66"/>
        <v>0.17647058823529413</v>
      </c>
      <c r="CL109" s="145">
        <f t="shared" si="66"/>
        <v>8.2568807339449546E-2</v>
      </c>
      <c r="CM109" s="145">
        <f t="shared" si="66"/>
        <v>0.12925170068027211</v>
      </c>
      <c r="CN109" s="145">
        <f t="shared" si="66"/>
        <v>0.11646586345381527</v>
      </c>
      <c r="CO109" s="145" t="e">
        <f t="shared" si="66"/>
        <v>#DIV/0!</v>
      </c>
      <c r="CP109" s="145">
        <f t="shared" si="66"/>
        <v>0.41240875912408759</v>
      </c>
      <c r="CQ109" s="145">
        <f t="shared" si="66"/>
        <v>0</v>
      </c>
      <c r="CR109" s="145" t="e">
        <f t="shared" si="66"/>
        <v>#DIV/0!</v>
      </c>
      <c r="CS109" s="145">
        <f t="shared" si="66"/>
        <v>6.6465256797583083E-2</v>
      </c>
      <c r="CT109" s="145">
        <f t="shared" si="66"/>
        <v>0.3</v>
      </c>
      <c r="CU109" s="145">
        <f t="shared" si="66"/>
        <v>0.13580246913580246</v>
      </c>
      <c r="CV109" s="145">
        <f t="shared" si="66"/>
        <v>0.1006036217303823</v>
      </c>
    </row>
    <row r="110" spans="1:100" ht="14">
      <c r="A110" s="716"/>
      <c r="B110" s="716"/>
      <c r="C110" s="773"/>
      <c r="D110" s="42" t="s">
        <v>4949</v>
      </c>
      <c r="E110" s="42">
        <v>72</v>
      </c>
      <c r="F110" s="43" t="s">
        <v>5174</v>
      </c>
      <c r="G110" s="762" t="s">
        <v>5175</v>
      </c>
      <c r="H110" s="45" t="s">
        <v>5140</v>
      </c>
      <c r="I110" s="46"/>
      <c r="M110" s="36">
        <v>603</v>
      </c>
      <c r="N110" s="36">
        <v>919</v>
      </c>
      <c r="O110" s="224">
        <f>SUM(P110:CV110)</f>
        <v>1072</v>
      </c>
      <c r="P110" s="36">
        <f>SUMIFS('свод практик'!$CK$6:$CK$277,'свод практик'!$J$6:$J$277,'свод субъектов ИБ+смежные'!P$1)</f>
        <v>0</v>
      </c>
      <c r="Q110" s="36">
        <f>SUMIFS('свод практик'!$CK$6:$CK$277,'свод практик'!$J$6:$J$277,'свод субъектов ИБ+смежные'!Q$1)</f>
        <v>0</v>
      </c>
      <c r="R110" s="36">
        <f>SUMIFS('свод практик'!$CK$6:$CK$277,'свод практик'!$J$6:$J$277,'свод субъектов ИБ+смежные'!R$1)</f>
        <v>14</v>
      </c>
      <c r="S110" s="36">
        <f>SUMIFS('свод практик'!$CK$6:$CK$277,'свод практик'!$J$6:$J$277,'свод субъектов ИБ+смежные'!S$1)</f>
        <v>3</v>
      </c>
      <c r="T110" s="36">
        <f>SUMIFS('свод практик'!$CK$6:$CK$277,'свод практик'!$J$6:$J$277,'свод субъектов ИБ+смежные'!T$1)</f>
        <v>0</v>
      </c>
      <c r="U110" s="36">
        <f>SUMIFS('свод практик'!$CK$6:$CK$277,'свод практик'!$J$6:$J$277,'свод субъектов ИБ+смежные'!U$1)</f>
        <v>0</v>
      </c>
      <c r="V110" s="36">
        <f>SUMIFS('свод практик'!$CK$6:$CK$277,'свод практик'!$J$6:$J$277,'свод субъектов ИБ+смежные'!V$1)</f>
        <v>117</v>
      </c>
      <c r="W110" s="36">
        <f>SUMIFS('свод практик'!$CK$6:$CK$277,'свод практик'!$J$6:$J$277,'свод субъектов ИБ+смежные'!W$1)</f>
        <v>0</v>
      </c>
      <c r="X110" s="36">
        <f>SUMIFS('свод практик'!$CK$6:$CK$277,'свод практик'!$J$6:$J$277,'свод субъектов ИБ+смежные'!X$1)</f>
        <v>5</v>
      </c>
      <c r="Y110" s="36">
        <f>SUMIFS('свод практик'!$CK$6:$CK$277,'свод практик'!$J$6:$J$277,'свод субъектов ИБ+смежные'!Y$1)</f>
        <v>0</v>
      </c>
      <c r="Z110" s="36">
        <f>SUMIFS('свод практик'!$CK$6:$CK$277,'свод практик'!$J$6:$J$277,'свод субъектов ИБ+смежные'!Z$1)</f>
        <v>18</v>
      </c>
      <c r="AA110" s="36">
        <f>SUMIFS('свод практик'!$CK$6:$CK$277,'свод практик'!$J$6:$J$277,'свод субъектов ИБ+смежные'!AA$1)</f>
        <v>5</v>
      </c>
      <c r="AB110" s="36">
        <f>SUMIFS('свод практик'!$CK$6:$CK$277,'свод практик'!$J$6:$J$277,'свод субъектов ИБ+смежные'!AB$1)</f>
        <v>0</v>
      </c>
      <c r="AC110" s="36">
        <f>SUMIFS('свод практик'!$CK$6:$CK$277,'свод практик'!$J$6:$J$277,'свод субъектов ИБ+смежные'!AC$1)</f>
        <v>45</v>
      </c>
      <c r="AD110" s="160">
        <f>SUMIFS('свод практик'!$CK$6:$CK$277,'свод практик'!$J$6:$J$277,'свод субъектов ИБ+смежные'!AD$1)</f>
        <v>0</v>
      </c>
      <c r="AE110" s="160">
        <f>SUMIFS('свод практик'!$CK$6:$CK$277,'свод практик'!$J$6:$J$277,'свод субъектов ИБ+смежные'!AE$1)</f>
        <v>0</v>
      </c>
      <c r="AF110" s="36">
        <f>SUMIFS('свод практик'!$CK$6:$CK$277,'свод практик'!$J$6:$J$277,'свод субъектов ИБ+смежные'!AF$1)</f>
        <v>0</v>
      </c>
      <c r="AG110" s="160">
        <f>SUMIFS('свод практик'!$CK$6:$CK$277,'свод практик'!$J$6:$J$277,'свод субъектов ИБ+смежные'!AG$1)</f>
        <v>0</v>
      </c>
      <c r="AH110" s="160">
        <f>SUMIFS('свод практик'!$CK$6:$CK$277,'свод практик'!$J$6:$J$277,'свод субъектов ИБ+смежные'!AH$1)</f>
        <v>0</v>
      </c>
      <c r="AI110" s="36">
        <f>SUMIFS('свод практик'!$CK$6:$CK$277,'свод практик'!$J$6:$J$277,'свод субъектов ИБ+смежные'!AI$1)</f>
        <v>42</v>
      </c>
      <c r="AJ110" s="36">
        <f>SUMIFS('свод практик'!$CK$6:$CK$277,'свод практик'!$J$6:$J$277,'свод субъектов ИБ+смежные'!AJ$1)</f>
        <v>0</v>
      </c>
      <c r="AK110" s="36">
        <f>SUMIFS('свод практик'!$CK$6:$CK$277,'свод практик'!$J$6:$J$277,'свод субъектов ИБ+смежные'!AK$1)</f>
        <v>0</v>
      </c>
      <c r="AL110" s="36">
        <f>SUMIFS('свод практик'!$CK$6:$CK$277,'свод практик'!$J$6:$J$277,'свод субъектов ИБ+смежные'!AL$1)</f>
        <v>2</v>
      </c>
      <c r="AM110" s="36">
        <f>SUMIFS('свод практик'!$CK$6:$CK$277,'свод практик'!$J$6:$J$277,'свод субъектов ИБ+смежные'!AM$1)</f>
        <v>17</v>
      </c>
      <c r="AN110" s="160">
        <f>SUMIFS('свод практик'!$CK$6:$CK$277,'свод практик'!$J$6:$J$277,'свод субъектов ИБ+смежные'!AN$1)</f>
        <v>0</v>
      </c>
      <c r="AO110" s="160">
        <f>SUMIFS('свод практик'!$CK$6:$CK$277,'свод практик'!$J$6:$J$277,'свод субъектов ИБ+смежные'!AO$1)</f>
        <v>0</v>
      </c>
      <c r="AP110" s="36">
        <f>SUMIFS('свод практик'!$CK$6:$CK$277,'свод практик'!$J$6:$J$277,'свод субъектов ИБ+смежные'!AP$1)</f>
        <v>7</v>
      </c>
      <c r="AQ110" s="36">
        <f>SUMIFS('свод практик'!$CK$6:$CK$277,'свод практик'!$J$6:$J$277,'свод субъектов ИБ+смежные'!AQ$1)</f>
        <v>27</v>
      </c>
      <c r="AR110" s="36">
        <f>SUMIFS('свод практик'!$CK$6:$CK$277,'свод практик'!$J$6:$J$277,'свод субъектов ИБ+смежные'!AR$1)</f>
        <v>9</v>
      </c>
      <c r="AS110" s="36">
        <f>SUMIFS('свод практик'!$CK$6:$CK$277,'свод практик'!$J$6:$J$277,'свод субъектов ИБ+смежные'!AS$1)</f>
        <v>21</v>
      </c>
      <c r="AT110" s="36">
        <f>SUMIFS('свод практик'!$CK$6:$CK$277,'свод практик'!$J$6:$J$277,'свод субъектов ИБ+смежные'!AT$1)</f>
        <v>0</v>
      </c>
      <c r="AU110" s="36">
        <f>SUMIFS('свод практик'!$CK$6:$CK$277,'свод практик'!$J$6:$J$277,'свод субъектов ИБ+смежные'!AU$1)</f>
        <v>0</v>
      </c>
      <c r="AV110" s="36">
        <f>SUMIFS('свод практик'!$CK$6:$CK$277,'свод практик'!$J$6:$J$277,'свод субъектов ИБ+смежные'!AV$1)</f>
        <v>16</v>
      </c>
      <c r="AW110" s="36">
        <f>SUMIFS('свод практик'!$CK$6:$CK$277,'свод практик'!$J$6:$J$277,'свод субъектов ИБ+смежные'!AW$1)</f>
        <v>0</v>
      </c>
      <c r="AX110" s="36">
        <f>SUMIFS('свод практик'!$CK$6:$CK$277,'свод практик'!$J$6:$J$277,'свод субъектов ИБ+смежные'!AX$1)</f>
        <v>0</v>
      </c>
      <c r="AY110" s="160">
        <f>SUMIFS('свод практик'!$CK$6:$CK$277,'свод практик'!$J$6:$J$277,'свод субъектов ИБ+смежные'!AY$1)</f>
        <v>0</v>
      </c>
      <c r="AZ110" s="36">
        <f>SUMIFS('свод практик'!$CK$6:$CK$277,'свод практик'!$J$6:$J$277,'свод субъектов ИБ+смежные'!AZ$1)</f>
        <v>2</v>
      </c>
      <c r="BA110" s="36">
        <f>SUMIFS('свод практик'!$CK$6:$CK$277,'свод практик'!$J$6:$J$277,'свод субъектов ИБ+смежные'!BA$1)</f>
        <v>0</v>
      </c>
      <c r="BB110" s="160">
        <f>SUMIFS('свод практик'!$CK$6:$CK$277,'свод практик'!$J$6:$J$277,'свод субъектов ИБ+смежные'!BB$1)</f>
        <v>0</v>
      </c>
      <c r="BC110" s="36">
        <f>SUMIFS('свод практик'!$CK$6:$CK$277,'свод практик'!$J$6:$J$277,'свод субъектов ИБ+смежные'!BC$1)</f>
        <v>2</v>
      </c>
      <c r="BD110" s="160">
        <f>SUMIFS('свод практик'!$CK$6:$CK$277,'свод практик'!$J$6:$J$277,'свод субъектов ИБ+смежные'!BD$1)</f>
        <v>0</v>
      </c>
      <c r="BE110" s="160">
        <f>SUMIFS('свод практик'!$CK$6:$CK$277,'свод практик'!$J$6:$J$277,'свод субъектов ИБ+смежные'!BE$1)</f>
        <v>0</v>
      </c>
      <c r="BF110" s="36">
        <f>SUMIFS('свод практик'!$CK$6:$CK$277,'свод практик'!$J$6:$J$277,'свод субъектов ИБ+смежные'!BF$1)</f>
        <v>0</v>
      </c>
      <c r="BG110" s="36">
        <f>SUMIFS('свод практик'!$CK$6:$CK$277,'свод практик'!$J$6:$J$277,'свод субъектов ИБ+смежные'!BG$1)</f>
        <v>0</v>
      </c>
      <c r="BH110" s="36">
        <f>SUMIFS('свод практик'!$CK$6:$CK$277,'свод практик'!$J$6:$J$277,'свод субъектов ИБ+смежные'!BH$1)</f>
        <v>0</v>
      </c>
      <c r="BI110" s="36">
        <f>SUMIFS('свод практик'!$CK$6:$CK$277,'свод практик'!$J$6:$J$277,'свод субъектов ИБ+смежные'!BI$1)</f>
        <v>66</v>
      </c>
      <c r="BJ110" s="36">
        <f>SUMIFS('свод практик'!$CK$6:$CK$277,'свод практик'!$J$6:$J$277,'свод субъектов ИБ+смежные'!BJ$1)</f>
        <v>11</v>
      </c>
      <c r="BK110" s="36">
        <f>SUMIFS('свод практик'!$CK$6:$CK$277,'свод практик'!$J$6:$J$277,'свод субъектов ИБ+смежные'!BK$1)</f>
        <v>66</v>
      </c>
      <c r="BL110" s="36">
        <f>SUMIFS('свод практик'!$CK$6:$CK$277,'свод практик'!$J$6:$J$277,'свод субъектов ИБ+смежные'!BL$1)</f>
        <v>1</v>
      </c>
      <c r="BM110" s="36">
        <f>SUMIFS('свод практик'!$CK$6:$CK$277,'свод практик'!$J$6:$J$277,'свод субъектов ИБ+смежные'!BM$1)</f>
        <v>33</v>
      </c>
      <c r="BN110" s="36">
        <f>SUMIFS('свод практик'!$CK$6:$CK$277,'свод практик'!$J$6:$J$277,'свод субъектов ИБ+смежные'!BN$1)</f>
        <v>0</v>
      </c>
      <c r="BO110" s="36">
        <f>SUMIFS('свод практик'!$CK$6:$CK$277,'свод практик'!$J$6:$J$277,'свод субъектов ИБ+смежные'!BO$1)</f>
        <v>0</v>
      </c>
      <c r="BP110" s="36">
        <f>SUMIFS('свод практик'!$CK$6:$CK$277,'свод практик'!$J$6:$J$277,'свод субъектов ИБ+смежные'!BP$1)</f>
        <v>0</v>
      </c>
      <c r="BQ110" s="160">
        <f>SUMIFS('свод практик'!$CK$6:$CK$277,'свод практик'!$J$6:$J$277,'свод субъектов ИБ+смежные'!BQ$1)</f>
        <v>0</v>
      </c>
      <c r="BR110" s="36">
        <f>SUMIFS('свод практик'!$CK$6:$CK$277,'свод практик'!$J$6:$J$277,'свод субъектов ИБ+смежные'!BR$1)</f>
        <v>1</v>
      </c>
      <c r="BS110" s="36">
        <f>SUMIFS('свод практик'!$CK$6:$CK$277,'свод практик'!$J$6:$J$277,'свод субъектов ИБ+смежные'!BS$1)</f>
        <v>0</v>
      </c>
      <c r="BT110" s="36">
        <f>SUMIFS('свод практик'!$CK$6:$CK$277,'свод практик'!$J$6:$J$277,'свод субъектов ИБ+смежные'!BT$1)</f>
        <v>35</v>
      </c>
      <c r="BU110" s="36">
        <f>SUMIFS('свод практик'!$CK$6:$CK$277,'свод практик'!$J$6:$J$277,'свод субъектов ИБ+смежные'!BU$1)</f>
        <v>10</v>
      </c>
      <c r="BV110" s="36">
        <f>SUMIFS('свод практик'!$CK$6:$CK$277,'свод практик'!$J$6:$J$277,'свод субъектов ИБ+смежные'!BV$1)</f>
        <v>0</v>
      </c>
      <c r="BW110" s="36">
        <f>SUMIFS('свод практик'!$CK$6:$CK$277,'свод практик'!$J$6:$J$277,'свод субъектов ИБ+смежные'!BW$1)</f>
        <v>3</v>
      </c>
      <c r="BX110" s="36">
        <f>SUMIFS('свод практик'!$CK$6:$CK$277,'свод практик'!$J$6:$J$277,'свод субъектов ИБ+смежные'!BX$1)</f>
        <v>5</v>
      </c>
      <c r="BY110" s="36">
        <f>SUMIFS('свод практик'!$CK$6:$CK$277,'свод практик'!$J$6:$J$277,'свод субъектов ИБ+смежные'!BY$1)</f>
        <v>0</v>
      </c>
      <c r="BZ110" s="36">
        <f>SUMIFS('свод практик'!$CK$6:$CK$277,'свод практик'!$J$6:$J$277,'свод субъектов ИБ+смежные'!BZ$1)</f>
        <v>0</v>
      </c>
      <c r="CA110" s="160">
        <f>SUMIFS('свод практик'!$CK$6:$CK$277,'свод практик'!$J$6:$J$277,'свод субъектов ИБ+смежные'!CA$1)</f>
        <v>0</v>
      </c>
      <c r="CB110" s="160">
        <f>SUMIFS('свод практик'!$CK$6:$CK$277,'свод практик'!$J$6:$J$277,'свод субъектов ИБ+смежные'!CB$1)</f>
        <v>0</v>
      </c>
      <c r="CC110" s="36">
        <f>SUMIFS('свод практик'!$CK$6:$CK$277,'свод практик'!$J$6:$J$277,'свод субъектов ИБ+смежные'!CC$1)</f>
        <v>0</v>
      </c>
      <c r="CD110" s="36">
        <f>SUMIFS('свод практик'!$CK$6:$CK$277,'свод практик'!$J$6:$J$277,'свод субъектов ИБ+смежные'!CD$1)</f>
        <v>6</v>
      </c>
      <c r="CE110" s="36">
        <f>SUMIFS('свод практик'!$CK$6:$CK$277,'свод практик'!$J$6:$J$277,'свод субъектов ИБ+смежные'!CE$1)</f>
        <v>26</v>
      </c>
      <c r="CF110" s="36">
        <f>SUMIFS('свод практик'!$CK$6:$CK$277,'свод практик'!$J$6:$J$277,'свод субъектов ИБ+смежные'!CF$1)</f>
        <v>352</v>
      </c>
      <c r="CG110" s="36">
        <f>SUMIFS('свод практик'!$CK$6:$CK$277,'свод практик'!$J$6:$J$277,'свод субъектов ИБ+смежные'!CG$1)</f>
        <v>13</v>
      </c>
      <c r="CH110" s="36">
        <f>SUMIFS('свод практик'!$CK$6:$CK$277,'свод практик'!$J$6:$J$277,'свод субъектов ИБ+смежные'!CH$1)</f>
        <v>6</v>
      </c>
      <c r="CI110" s="36">
        <f>SUMIFS('свод практик'!$CK$6:$CK$277,'свод практик'!$J$6:$J$277,'свод субъектов ИБ+смежные'!CI$1)</f>
        <v>0</v>
      </c>
      <c r="CJ110" s="160">
        <f>SUMIFS('свод практик'!$CK$6:$CK$277,'свод практик'!$J$6:$J$277,'свод субъектов ИБ+смежные'!CJ$1)</f>
        <v>0</v>
      </c>
      <c r="CK110" s="36">
        <f>SUMIFS('свод практик'!$CK$6:$CK$277,'свод практик'!$J$6:$J$277,'свод субъектов ИБ+смежные'!CK$1)</f>
        <v>0</v>
      </c>
      <c r="CL110" s="36">
        <f>SUMIFS('свод практик'!$CK$6:$CK$277,'свод практик'!$J$6:$J$277,'свод субъектов ИБ+смежные'!CL$1)</f>
        <v>6</v>
      </c>
      <c r="CM110" s="36">
        <f>SUMIFS('свод практик'!$CK$6:$CK$277,'свод практик'!$J$6:$J$277,'свод субъектов ИБ+смежные'!CM$1)</f>
        <v>10</v>
      </c>
      <c r="CN110" s="36">
        <f>SUMIFS('свод практик'!$CK$6:$CK$277,'свод практик'!$J$6:$J$277,'свод субъектов ИБ+смежные'!CN$1)</f>
        <v>9</v>
      </c>
      <c r="CO110" s="160">
        <f>SUMIFS('свод практик'!$CK$6:$CK$277,'свод практик'!$J$6:$J$277,'свод субъектов ИБ+смежные'!CO$1)</f>
        <v>0</v>
      </c>
      <c r="CP110" s="36">
        <f>SUMIFS('свод практик'!$CK$6:$CK$277,'свод практик'!$J$6:$J$277,'свод субъектов ИБ+смежные'!CP$1)</f>
        <v>5</v>
      </c>
      <c r="CQ110" s="36">
        <f>SUMIFS('свод практик'!$CK$6:$CK$277,'свод практик'!$J$6:$J$277,'свод субъектов ИБ+смежные'!CQ$1)</f>
        <v>0</v>
      </c>
      <c r="CR110" s="160">
        <f>SUMIFS('свод практик'!$CK$6:$CK$277,'свод практик'!$J$6:$J$277,'свод субъектов ИБ+смежные'!CR$1)</f>
        <v>0</v>
      </c>
      <c r="CS110" s="36">
        <f>SUMIFS('свод практик'!$CK$6:$CK$277,'свод практик'!$J$6:$J$277,'свод субъектов ИБ+смежные'!CS$1)</f>
        <v>54</v>
      </c>
      <c r="CT110" s="36">
        <f>SUMIFS('свод практик'!$CK$6:$CK$277,'свод практик'!$J$6:$J$277,'свод субъектов ИБ+смежные'!CT$1)</f>
        <v>0</v>
      </c>
      <c r="CU110" s="36">
        <f>SUMIFS('свод практик'!$CK$6:$CK$277,'свод практик'!$J$6:$J$277,'свод субъектов ИБ+смежные'!CU$1)</f>
        <v>2</v>
      </c>
      <c r="CV110" s="36">
        <f>SUMIFS('свод практик'!$CK$6:$CK$277,'свод практик'!$J$6:$J$277,'свод субъектов ИБ+смежные'!CV$1)</f>
        <v>0</v>
      </c>
    </row>
    <row r="111" spans="1:100" ht="14">
      <c r="A111" s="716"/>
      <c r="B111" s="716"/>
      <c r="C111" s="773"/>
      <c r="D111" s="42" t="s">
        <v>4949</v>
      </c>
      <c r="E111" s="42">
        <v>73</v>
      </c>
      <c r="F111" s="43" t="s">
        <v>5176</v>
      </c>
      <c r="G111" s="762"/>
      <c r="H111" s="45" t="s">
        <v>60</v>
      </c>
      <c r="I111" s="46"/>
      <c r="L111" s="36" t="s">
        <v>278</v>
      </c>
      <c r="M111" s="36">
        <v>3.7824614226571324E-2</v>
      </c>
      <c r="N111" s="36">
        <v>4.8730049313325204E-2</v>
      </c>
      <c r="O111" s="228">
        <f>O110/O126</f>
        <v>4.908200173984708E-2</v>
      </c>
      <c r="P111" s="145">
        <f t="shared" ref="P111:CA111" si="67">P110/P126</f>
        <v>0</v>
      </c>
      <c r="Q111" s="145">
        <f t="shared" si="67"/>
        <v>0</v>
      </c>
      <c r="R111" s="145">
        <f t="shared" si="67"/>
        <v>6.8627450980392163E-2</v>
      </c>
      <c r="S111" s="145">
        <f t="shared" si="67"/>
        <v>3.6585365853658534E-2</v>
      </c>
      <c r="T111" s="145">
        <f t="shared" si="67"/>
        <v>0</v>
      </c>
      <c r="U111" s="145">
        <f t="shared" si="67"/>
        <v>0</v>
      </c>
      <c r="V111" s="145">
        <f t="shared" si="67"/>
        <v>4.5685279187817257E-2</v>
      </c>
      <c r="W111" s="145">
        <f t="shared" si="67"/>
        <v>0</v>
      </c>
      <c r="X111" s="145">
        <f t="shared" si="67"/>
        <v>5.6179775280898875E-2</v>
      </c>
      <c r="Y111" s="145">
        <f t="shared" si="67"/>
        <v>0</v>
      </c>
      <c r="Z111" s="145">
        <f t="shared" si="67"/>
        <v>3.9735099337748346E-2</v>
      </c>
      <c r="AA111" s="145">
        <f t="shared" si="67"/>
        <v>5.3763440860215055E-2</v>
      </c>
      <c r="AB111" s="145">
        <f t="shared" si="67"/>
        <v>0</v>
      </c>
      <c r="AC111" s="145">
        <f t="shared" si="67"/>
        <v>0.13846153846153847</v>
      </c>
      <c r="AD111" s="145" t="e">
        <f t="shared" si="67"/>
        <v>#DIV/0!</v>
      </c>
      <c r="AE111" s="145" t="e">
        <f t="shared" si="67"/>
        <v>#DIV/0!</v>
      </c>
      <c r="AF111" s="145">
        <f t="shared" si="67"/>
        <v>0</v>
      </c>
      <c r="AG111" s="145" t="e">
        <f t="shared" si="67"/>
        <v>#DIV/0!</v>
      </c>
      <c r="AH111" s="145" t="e">
        <f t="shared" si="67"/>
        <v>#DIV/0!</v>
      </c>
      <c r="AI111" s="145">
        <f t="shared" si="67"/>
        <v>2.4705882352941175E-2</v>
      </c>
      <c r="AJ111" s="145">
        <f t="shared" si="67"/>
        <v>0</v>
      </c>
      <c r="AK111" s="145">
        <f t="shared" si="67"/>
        <v>0</v>
      </c>
      <c r="AL111" s="145">
        <f t="shared" si="67"/>
        <v>0.22222222222222221</v>
      </c>
      <c r="AM111" s="145">
        <f t="shared" si="67"/>
        <v>0.1</v>
      </c>
      <c r="AN111" s="145" t="e">
        <f t="shared" si="67"/>
        <v>#DIV/0!</v>
      </c>
      <c r="AO111" s="145" t="e">
        <f t="shared" si="67"/>
        <v>#DIV/0!</v>
      </c>
      <c r="AP111" s="145">
        <f t="shared" si="67"/>
        <v>4.6357615894039736E-2</v>
      </c>
      <c r="AQ111" s="145">
        <f t="shared" si="67"/>
        <v>0.25233644859813081</v>
      </c>
      <c r="AR111" s="145">
        <f t="shared" si="67"/>
        <v>2.5210084033613446E-2</v>
      </c>
      <c r="AS111" s="145">
        <f t="shared" si="67"/>
        <v>7.6086956521739135E-2</v>
      </c>
      <c r="AT111" s="145">
        <f t="shared" si="67"/>
        <v>0</v>
      </c>
      <c r="AU111" s="145">
        <f t="shared" si="67"/>
        <v>0</v>
      </c>
      <c r="AV111" s="145">
        <f t="shared" si="67"/>
        <v>0.13333333333333333</v>
      </c>
      <c r="AW111" s="145">
        <f t="shared" si="67"/>
        <v>0</v>
      </c>
      <c r="AX111" s="145">
        <f t="shared" si="67"/>
        <v>0</v>
      </c>
      <c r="AY111" s="162" t="e">
        <f t="shared" si="67"/>
        <v>#DIV/0!</v>
      </c>
      <c r="AZ111" s="145">
        <f t="shared" si="67"/>
        <v>3.2948929159802307E-3</v>
      </c>
      <c r="BA111" s="145">
        <f t="shared" si="67"/>
        <v>0</v>
      </c>
      <c r="BB111" s="162" t="e">
        <f t="shared" si="67"/>
        <v>#DIV/0!</v>
      </c>
      <c r="BC111" s="145">
        <f t="shared" si="67"/>
        <v>4.7619047619047616E-2</v>
      </c>
      <c r="BD111" s="162" t="e">
        <f t="shared" si="67"/>
        <v>#DIV/0!</v>
      </c>
      <c r="BE111" s="162" t="e">
        <f t="shared" si="67"/>
        <v>#DIV/0!</v>
      </c>
      <c r="BF111" s="145">
        <f t="shared" si="67"/>
        <v>0</v>
      </c>
      <c r="BG111" s="145">
        <f t="shared" si="67"/>
        <v>0</v>
      </c>
      <c r="BH111" s="145">
        <f t="shared" si="67"/>
        <v>0</v>
      </c>
      <c r="BI111" s="145">
        <f t="shared" si="67"/>
        <v>0.11129848229342328</v>
      </c>
      <c r="BJ111" s="145">
        <f t="shared" si="67"/>
        <v>2.5229357798165139E-2</v>
      </c>
      <c r="BK111" s="145">
        <f t="shared" si="67"/>
        <v>0.3251231527093596</v>
      </c>
      <c r="BL111" s="145">
        <f t="shared" si="67"/>
        <v>7.7519379844961239E-3</v>
      </c>
      <c r="BM111" s="145">
        <f t="shared" si="67"/>
        <v>0.22448979591836735</v>
      </c>
      <c r="BN111" s="145">
        <f t="shared" si="67"/>
        <v>0</v>
      </c>
      <c r="BO111" s="145">
        <f t="shared" si="67"/>
        <v>0</v>
      </c>
      <c r="BP111" s="145">
        <f t="shared" si="67"/>
        <v>0</v>
      </c>
      <c r="BQ111" s="145" t="e">
        <f t="shared" si="67"/>
        <v>#DIV/0!</v>
      </c>
      <c r="BR111" s="145">
        <f t="shared" si="67"/>
        <v>0.04</v>
      </c>
      <c r="BS111" s="145">
        <f t="shared" si="67"/>
        <v>0</v>
      </c>
      <c r="BT111" s="145">
        <f t="shared" si="67"/>
        <v>0.18324607329842932</v>
      </c>
      <c r="BU111" s="145">
        <f t="shared" si="67"/>
        <v>1.6393442622950821E-2</v>
      </c>
      <c r="BV111" s="145">
        <f t="shared" si="67"/>
        <v>0</v>
      </c>
      <c r="BW111" s="145">
        <f t="shared" si="67"/>
        <v>2.7272727272727271E-2</v>
      </c>
      <c r="BX111" s="145">
        <f t="shared" si="67"/>
        <v>1.1286681715575621E-2</v>
      </c>
      <c r="BY111" s="145">
        <f t="shared" si="67"/>
        <v>0</v>
      </c>
      <c r="BZ111" s="145">
        <f t="shared" si="67"/>
        <v>0</v>
      </c>
      <c r="CA111" s="145" t="e">
        <f t="shared" si="67"/>
        <v>#DIV/0!</v>
      </c>
      <c r="CB111" s="145" t="e">
        <f t="shared" ref="CB111:CV111" si="68">CB110/CB126</f>
        <v>#DIV/0!</v>
      </c>
      <c r="CC111" s="145">
        <f t="shared" si="68"/>
        <v>0</v>
      </c>
      <c r="CD111" s="145">
        <f t="shared" si="68"/>
        <v>2.3809523809523808E-2</v>
      </c>
      <c r="CE111" s="145">
        <f t="shared" si="68"/>
        <v>4.7882136279926338E-2</v>
      </c>
      <c r="CF111" s="145">
        <f t="shared" si="68"/>
        <v>0.1231630510846746</v>
      </c>
      <c r="CG111" s="145">
        <f t="shared" si="68"/>
        <v>4.797047970479705E-2</v>
      </c>
      <c r="CH111" s="145">
        <f t="shared" si="68"/>
        <v>8.3333333333333329E-2</v>
      </c>
      <c r="CI111" s="145">
        <f t="shared" si="68"/>
        <v>0</v>
      </c>
      <c r="CJ111" s="145" t="e">
        <f t="shared" si="68"/>
        <v>#DIV/0!</v>
      </c>
      <c r="CK111" s="145">
        <f t="shared" si="68"/>
        <v>0</v>
      </c>
      <c r="CL111" s="145">
        <f t="shared" si="68"/>
        <v>5.5045871559633031E-2</v>
      </c>
      <c r="CM111" s="145">
        <f t="shared" si="68"/>
        <v>6.8027210884353748E-2</v>
      </c>
      <c r="CN111" s="145">
        <f t="shared" si="68"/>
        <v>3.614457831325301E-2</v>
      </c>
      <c r="CO111" s="145" t="e">
        <f t="shared" si="68"/>
        <v>#DIV/0!</v>
      </c>
      <c r="CP111" s="145">
        <f t="shared" si="68"/>
        <v>1.824817518248175E-2</v>
      </c>
      <c r="CQ111" s="145">
        <f t="shared" si="68"/>
        <v>0</v>
      </c>
      <c r="CR111" s="145" t="e">
        <f t="shared" si="68"/>
        <v>#DIV/0!</v>
      </c>
      <c r="CS111" s="145">
        <f t="shared" si="68"/>
        <v>8.1570996978851965E-2</v>
      </c>
      <c r="CT111" s="145">
        <f t="shared" si="68"/>
        <v>0</v>
      </c>
      <c r="CU111" s="145">
        <f t="shared" si="68"/>
        <v>2.4691358024691357E-2</v>
      </c>
      <c r="CV111" s="145">
        <f t="shared" si="68"/>
        <v>0</v>
      </c>
    </row>
    <row r="112" spans="1:100" ht="14">
      <c r="A112" s="716"/>
      <c r="B112" s="716"/>
      <c r="C112" s="773"/>
      <c r="D112" s="42" t="s">
        <v>4949</v>
      </c>
      <c r="E112" s="42">
        <v>74</v>
      </c>
      <c r="F112" s="43" t="s">
        <v>5177</v>
      </c>
      <c r="G112" s="762" t="s">
        <v>5178</v>
      </c>
      <c r="H112" s="45" t="s">
        <v>5140</v>
      </c>
      <c r="I112" s="46"/>
      <c r="M112" s="36">
        <v>476</v>
      </c>
      <c r="N112" s="36">
        <v>579</v>
      </c>
      <c r="O112" s="224">
        <f>SUM(P112:CV112)</f>
        <v>756</v>
      </c>
      <c r="P112" s="36">
        <f>SUMIFS('свод практик'!$CL$6:$CL$277,'свод практик'!$J$6:$J$277,'свод субъектов ИБ+смежные'!P$1)</f>
        <v>0</v>
      </c>
      <c r="Q112" s="36">
        <f>SUMIFS('свод практик'!$CL$6:$CL$277,'свод практик'!$J$6:$J$277,'свод субъектов ИБ+смежные'!Q$1)</f>
        <v>0</v>
      </c>
      <c r="R112" s="36">
        <f>SUMIFS('свод практик'!$CL$6:$CL$277,'свод практик'!$J$6:$J$277,'свод субъектов ИБ+смежные'!R$1)</f>
        <v>0</v>
      </c>
      <c r="S112" s="36">
        <f>SUMIFS('свод практик'!$CL$6:$CL$277,'свод практик'!$J$6:$J$277,'свод субъектов ИБ+смежные'!S$1)</f>
        <v>0</v>
      </c>
      <c r="T112" s="36">
        <f>SUMIFS('свод практик'!$CL$6:$CL$277,'свод практик'!$J$6:$J$277,'свод субъектов ИБ+смежные'!T$1)</f>
        <v>6</v>
      </c>
      <c r="U112" s="36">
        <f>SUMIFS('свод практик'!$CL$6:$CL$277,'свод практик'!$J$6:$J$277,'свод субъектов ИБ+смежные'!U$1)</f>
        <v>0</v>
      </c>
      <c r="V112" s="36">
        <f>SUMIFS('свод практик'!$CL$6:$CL$277,'свод практик'!$J$6:$J$277,'свод субъектов ИБ+смежные'!V$1)</f>
        <v>91</v>
      </c>
      <c r="W112" s="36">
        <f>SUMIFS('свод практик'!$CL$6:$CL$277,'свод практик'!$J$6:$J$277,'свод субъектов ИБ+смежные'!W$1)</f>
        <v>1</v>
      </c>
      <c r="X112" s="36">
        <f>SUMIFS('свод практик'!$CL$6:$CL$277,'свод практик'!$J$6:$J$277,'свод субъектов ИБ+смежные'!X$1)</f>
        <v>0</v>
      </c>
      <c r="Y112" s="36">
        <f>SUMIFS('свод практик'!$CL$6:$CL$277,'свод практик'!$J$6:$J$277,'свод субъектов ИБ+смежные'!Y$1)</f>
        <v>0</v>
      </c>
      <c r="Z112" s="36">
        <f>SUMIFS('свод практик'!$CL$6:$CL$277,'свод практик'!$J$6:$J$277,'свод субъектов ИБ+смежные'!Z$1)</f>
        <v>7</v>
      </c>
      <c r="AA112" s="36">
        <f>SUMIFS('свод практик'!$CL$6:$CL$277,'свод практик'!$J$6:$J$277,'свод субъектов ИБ+смежные'!AA$1)</f>
        <v>0</v>
      </c>
      <c r="AB112" s="36">
        <f>SUMIFS('свод практик'!$CL$6:$CL$277,'свод практик'!$J$6:$J$277,'свод субъектов ИБ+смежные'!AB$1)</f>
        <v>9</v>
      </c>
      <c r="AC112" s="36">
        <f>SUMIFS('свод практик'!$CL$6:$CL$277,'свод практик'!$J$6:$J$277,'свод субъектов ИБ+смежные'!AC$1)</f>
        <v>0</v>
      </c>
      <c r="AD112" s="160">
        <f>SUMIFS('свод практик'!$CL$6:$CL$277,'свод практик'!$J$6:$J$277,'свод субъектов ИБ+смежные'!AD$1)</f>
        <v>0</v>
      </c>
      <c r="AE112" s="160">
        <f>SUMIFS('свод практик'!$CL$6:$CL$277,'свод практик'!$J$6:$J$277,'свод субъектов ИБ+смежные'!AE$1)</f>
        <v>0</v>
      </c>
      <c r="AF112" s="36">
        <f>SUMIFS('свод практик'!$CL$6:$CL$277,'свод практик'!$J$6:$J$277,'свод субъектов ИБ+смежные'!AF$1)</f>
        <v>0</v>
      </c>
      <c r="AG112" s="160">
        <f>SUMIFS('свод практик'!$CL$6:$CL$277,'свод практик'!$J$6:$J$277,'свод субъектов ИБ+смежные'!AG$1)</f>
        <v>0</v>
      </c>
      <c r="AH112" s="160">
        <f>SUMIFS('свод практик'!$CL$6:$CL$277,'свод практик'!$J$6:$J$277,'свод субъектов ИБ+смежные'!AH$1)</f>
        <v>0</v>
      </c>
      <c r="AI112" s="36">
        <f>SUMIFS('свод практик'!$CL$6:$CL$277,'свод практик'!$J$6:$J$277,'свод субъектов ИБ+смежные'!AI$1)</f>
        <v>31</v>
      </c>
      <c r="AJ112" s="36">
        <f>SUMIFS('свод практик'!$CL$6:$CL$277,'свод практик'!$J$6:$J$277,'свод субъектов ИБ+смежные'!AJ$1)</f>
        <v>0</v>
      </c>
      <c r="AK112" s="36">
        <f>SUMIFS('свод практик'!$CL$6:$CL$277,'свод практик'!$J$6:$J$277,'свод субъектов ИБ+смежные'!AK$1)</f>
        <v>152</v>
      </c>
      <c r="AL112" s="36">
        <f>SUMIFS('свод практик'!$CL$6:$CL$277,'свод практик'!$J$6:$J$277,'свод субъектов ИБ+смежные'!AL$1)</f>
        <v>0</v>
      </c>
      <c r="AM112" s="36">
        <f>SUMIFS('свод практик'!$CL$6:$CL$277,'свод практик'!$J$6:$J$277,'свод субъектов ИБ+смежные'!AM$1)</f>
        <v>0</v>
      </c>
      <c r="AN112" s="160">
        <f>SUMIFS('свод практик'!$CL$6:$CL$277,'свод практик'!$J$6:$J$277,'свод субъектов ИБ+смежные'!AN$1)</f>
        <v>0</v>
      </c>
      <c r="AO112" s="160">
        <f>SUMIFS('свод практик'!$CL$6:$CL$277,'свод практик'!$J$6:$J$277,'свод субъектов ИБ+смежные'!AO$1)</f>
        <v>0</v>
      </c>
      <c r="AP112" s="36">
        <f>SUMIFS('свод практик'!$CL$6:$CL$277,'свод практик'!$J$6:$J$277,'свод субъектов ИБ+смежные'!AP$1)</f>
        <v>0</v>
      </c>
      <c r="AQ112" s="36">
        <f>SUMIFS('свод практик'!$CL$6:$CL$277,'свод практик'!$J$6:$J$277,'свод субъектов ИБ+смежные'!AQ$1)</f>
        <v>0</v>
      </c>
      <c r="AR112" s="36">
        <f>SUMIFS('свод практик'!$CL$6:$CL$277,'свод практик'!$J$6:$J$277,'свод субъектов ИБ+смежные'!AR$1)</f>
        <v>15</v>
      </c>
      <c r="AS112" s="36">
        <f>SUMIFS('свод практик'!$CL$6:$CL$277,'свод практик'!$J$6:$J$277,'свод субъектов ИБ+смежные'!AS$1)</f>
        <v>5</v>
      </c>
      <c r="AT112" s="36">
        <f>SUMIFS('свод практик'!$CL$6:$CL$277,'свод практик'!$J$6:$J$277,'свод субъектов ИБ+смежные'!AT$1)</f>
        <v>0</v>
      </c>
      <c r="AU112" s="36">
        <f>SUMIFS('свод практик'!$CL$6:$CL$277,'свод практик'!$J$6:$J$277,'свод субъектов ИБ+смежные'!AU$1)</f>
        <v>0</v>
      </c>
      <c r="AV112" s="36">
        <f>SUMIFS('свод практик'!$CL$6:$CL$277,'свод практик'!$J$6:$J$277,'свод субъектов ИБ+смежные'!AV$1)</f>
        <v>0</v>
      </c>
      <c r="AW112" s="36">
        <f>SUMIFS('свод практик'!$CL$6:$CL$277,'свод практик'!$J$6:$J$277,'свод субъектов ИБ+смежные'!AW$1)</f>
        <v>0</v>
      </c>
      <c r="AX112" s="36">
        <f>SUMIFS('свод практик'!$CL$6:$CL$277,'свод практик'!$J$6:$J$277,'свод субъектов ИБ+смежные'!AX$1)</f>
        <v>0</v>
      </c>
      <c r="AY112" s="160">
        <f>SUMIFS('свод практик'!$CL$6:$CL$277,'свод практик'!$J$6:$J$277,'свод субъектов ИБ+смежные'!AY$1)</f>
        <v>0</v>
      </c>
      <c r="AZ112" s="36">
        <f>SUMIFS('свод практик'!$CL$6:$CL$277,'свод практик'!$J$6:$J$277,'свод субъектов ИБ+смежные'!AZ$1)</f>
        <v>42</v>
      </c>
      <c r="BA112" s="36">
        <f>SUMIFS('свод практик'!$CL$6:$CL$277,'свод практик'!$J$6:$J$277,'свод субъектов ИБ+смежные'!BA$1)</f>
        <v>0</v>
      </c>
      <c r="BB112" s="160">
        <f>SUMIFS('свод практик'!$CL$6:$CL$277,'свод практик'!$J$6:$J$277,'свод субъектов ИБ+смежные'!BB$1)</f>
        <v>0</v>
      </c>
      <c r="BC112" s="36">
        <f>SUMIFS('свод практик'!$CL$6:$CL$277,'свод практик'!$J$6:$J$277,'свод субъектов ИБ+смежные'!BC$1)</f>
        <v>0</v>
      </c>
      <c r="BD112" s="160">
        <f>SUMIFS('свод практик'!$CL$6:$CL$277,'свод практик'!$J$6:$J$277,'свод субъектов ИБ+смежные'!BD$1)</f>
        <v>0</v>
      </c>
      <c r="BE112" s="160">
        <f>SUMIFS('свод практик'!$CL$6:$CL$277,'свод практик'!$J$6:$J$277,'свод субъектов ИБ+смежные'!BE$1)</f>
        <v>0</v>
      </c>
      <c r="BF112" s="36">
        <f>SUMIFS('свод практик'!$CL$6:$CL$277,'свод практик'!$J$6:$J$277,'свод субъектов ИБ+смежные'!BF$1)</f>
        <v>0</v>
      </c>
      <c r="BG112" s="36">
        <f>SUMIFS('свод практик'!$CL$6:$CL$277,'свод практик'!$J$6:$J$277,'свод субъектов ИБ+смежные'!BG$1)</f>
        <v>0</v>
      </c>
      <c r="BH112" s="36">
        <f>SUMIFS('свод практик'!$CL$6:$CL$277,'свод практик'!$J$6:$J$277,'свод субъектов ИБ+смежные'!BH$1)</f>
        <v>0</v>
      </c>
      <c r="BI112" s="36">
        <f>SUMIFS('свод практик'!$CL$6:$CL$277,'свод практик'!$J$6:$J$277,'свод субъектов ИБ+смежные'!BI$1)</f>
        <v>0</v>
      </c>
      <c r="BJ112" s="36">
        <f>SUMIFS('свод практик'!$CL$6:$CL$277,'свод практик'!$J$6:$J$277,'свод субъектов ИБ+смежные'!BJ$1)</f>
        <v>2</v>
      </c>
      <c r="BK112" s="36">
        <f>SUMIFS('свод практик'!$CL$6:$CL$277,'свод практик'!$J$6:$J$277,'свод субъектов ИБ+смежные'!BK$1)</f>
        <v>1</v>
      </c>
      <c r="BL112" s="36">
        <f>SUMIFS('свод практик'!$CL$6:$CL$277,'свод практик'!$J$6:$J$277,'свод субъектов ИБ+смежные'!BL$1)</f>
        <v>1</v>
      </c>
      <c r="BM112" s="36">
        <f>SUMIFS('свод практик'!$CL$6:$CL$277,'свод практик'!$J$6:$J$277,'свод субъектов ИБ+смежные'!BM$1)</f>
        <v>1</v>
      </c>
      <c r="BN112" s="36">
        <f>SUMIFS('свод практик'!$CL$6:$CL$277,'свод практик'!$J$6:$J$277,'свод субъектов ИБ+смежные'!BN$1)</f>
        <v>0</v>
      </c>
      <c r="BO112" s="36">
        <f>SUMIFS('свод практик'!$CL$6:$CL$277,'свод практик'!$J$6:$J$277,'свод субъектов ИБ+смежные'!BO$1)</f>
        <v>0</v>
      </c>
      <c r="BP112" s="36">
        <f>SUMIFS('свод практик'!$CL$6:$CL$277,'свод практик'!$J$6:$J$277,'свод субъектов ИБ+смежные'!BP$1)</f>
        <v>0</v>
      </c>
      <c r="BQ112" s="160">
        <f>SUMIFS('свод практик'!$CL$6:$CL$277,'свод практик'!$J$6:$J$277,'свод субъектов ИБ+смежные'!BQ$1)</f>
        <v>0</v>
      </c>
      <c r="BR112" s="36">
        <f>SUMIFS('свод практик'!$CL$6:$CL$277,'свод практик'!$J$6:$J$277,'свод субъектов ИБ+смежные'!BR$1)</f>
        <v>2</v>
      </c>
      <c r="BS112" s="36">
        <f>SUMIFS('свод практик'!$CL$6:$CL$277,'свод практик'!$J$6:$J$277,'свод субъектов ИБ+смежные'!BS$1)</f>
        <v>0</v>
      </c>
      <c r="BT112" s="36">
        <f>SUMIFS('свод практик'!$CL$6:$CL$277,'свод практик'!$J$6:$J$277,'свод субъектов ИБ+смежные'!BT$1)</f>
        <v>0</v>
      </c>
      <c r="BU112" s="36">
        <f>SUMIFS('свод практик'!$CL$6:$CL$277,'свод практик'!$J$6:$J$277,'свод субъектов ИБ+смежные'!BU$1)</f>
        <v>2</v>
      </c>
      <c r="BV112" s="36">
        <f>SUMIFS('свод практик'!$CL$6:$CL$277,'свод практик'!$J$6:$J$277,'свод субъектов ИБ+смежные'!BV$1)</f>
        <v>1</v>
      </c>
      <c r="BW112" s="36">
        <f>SUMIFS('свод практик'!$CL$6:$CL$277,'свод практик'!$J$6:$J$277,'свод субъектов ИБ+смежные'!BW$1)</f>
        <v>0</v>
      </c>
      <c r="BX112" s="36">
        <f>SUMIFS('свод практик'!$CL$6:$CL$277,'свод практик'!$J$6:$J$277,'свод субъектов ИБ+смежные'!BX$1)</f>
        <v>8</v>
      </c>
      <c r="BY112" s="36">
        <f>SUMIFS('свод практик'!$CL$6:$CL$277,'свод практик'!$J$6:$J$277,'свод субъектов ИБ+смежные'!BY$1)</f>
        <v>0</v>
      </c>
      <c r="BZ112" s="36">
        <f>SUMIFS('свод практик'!$CL$6:$CL$277,'свод практик'!$J$6:$J$277,'свод субъектов ИБ+смежные'!BZ$1)</f>
        <v>0</v>
      </c>
      <c r="CA112" s="160">
        <f>SUMIFS('свод практик'!$CL$6:$CL$277,'свод практик'!$J$6:$J$277,'свод субъектов ИБ+смежные'!CA$1)</f>
        <v>0</v>
      </c>
      <c r="CB112" s="160">
        <f>SUMIFS('свод практик'!$CL$6:$CL$277,'свод практик'!$J$6:$J$277,'свод субъектов ИБ+смежные'!CB$1)</f>
        <v>0</v>
      </c>
      <c r="CC112" s="36">
        <f>SUMIFS('свод практик'!$CL$6:$CL$277,'свод практик'!$J$6:$J$277,'свод субъектов ИБ+смежные'!CC$1)</f>
        <v>0</v>
      </c>
      <c r="CD112" s="36">
        <f>SUMIFS('свод практик'!$CL$6:$CL$277,'свод практик'!$J$6:$J$277,'свод субъектов ИБ+смежные'!CD$1)</f>
        <v>2</v>
      </c>
      <c r="CE112" s="36">
        <f>SUMIFS('свод практик'!$CL$6:$CL$277,'свод практик'!$J$6:$J$277,'свод субъектов ИБ+смежные'!CE$1)</f>
        <v>21</v>
      </c>
      <c r="CF112" s="36">
        <f>SUMIFS('свод практик'!$CL$6:$CL$277,'свод практик'!$J$6:$J$277,'свод субъектов ИБ+смежные'!CF$1)</f>
        <v>110</v>
      </c>
      <c r="CG112" s="36">
        <f>SUMIFS('свод практик'!$CL$6:$CL$277,'свод практик'!$J$6:$J$277,'свод субъектов ИБ+смежные'!CG$1)</f>
        <v>8</v>
      </c>
      <c r="CH112" s="36">
        <f>SUMIFS('свод практик'!$CL$6:$CL$277,'свод практик'!$J$6:$J$277,'свод субъектов ИБ+смежные'!CH$1)</f>
        <v>0</v>
      </c>
      <c r="CI112" s="36">
        <f>SUMIFS('свод практик'!$CL$6:$CL$277,'свод практик'!$J$6:$J$277,'свод субъектов ИБ+смежные'!CI$1)</f>
        <v>0</v>
      </c>
      <c r="CJ112" s="160">
        <f>SUMIFS('свод практик'!$CL$6:$CL$277,'свод практик'!$J$6:$J$277,'свод субъектов ИБ+смежные'!CJ$1)</f>
        <v>0</v>
      </c>
      <c r="CK112" s="36">
        <f>SUMIFS('свод практик'!$CL$6:$CL$277,'свод практик'!$J$6:$J$277,'свод субъектов ИБ+смежные'!CK$1)</f>
        <v>0</v>
      </c>
      <c r="CL112" s="36">
        <f>SUMIFS('свод практик'!$CL$6:$CL$277,'свод практик'!$J$6:$J$277,'свод субъектов ИБ+смежные'!CL$1)</f>
        <v>0</v>
      </c>
      <c r="CM112" s="36">
        <f>SUMIFS('свод практик'!$CL$6:$CL$277,'свод практик'!$J$6:$J$277,'свод субъектов ИБ+смежные'!CM$1)</f>
        <v>0</v>
      </c>
      <c r="CN112" s="36">
        <f>SUMIFS('свод практик'!$CL$6:$CL$277,'свод практик'!$J$6:$J$277,'свод субъектов ИБ+смежные'!CN$1)</f>
        <v>6</v>
      </c>
      <c r="CO112" s="160">
        <f>SUMIFS('свод практик'!$CL$6:$CL$277,'свод практик'!$J$6:$J$277,'свод субъектов ИБ+смежные'!CO$1)</f>
        <v>0</v>
      </c>
      <c r="CP112" s="36">
        <f>SUMIFS('свод практик'!$CL$6:$CL$277,'свод практик'!$J$6:$J$277,'свод субъектов ИБ+смежные'!CP$1)</f>
        <v>1</v>
      </c>
      <c r="CQ112" s="36">
        <f>SUMIFS('свод практик'!$CL$6:$CL$277,'свод практик'!$J$6:$J$277,'свод субъектов ИБ+смежные'!CQ$1)</f>
        <v>0</v>
      </c>
      <c r="CR112" s="160">
        <f>SUMIFS('свод практик'!$CL$6:$CL$277,'свод практик'!$J$6:$J$277,'свод субъектов ИБ+смежные'!CR$1)</f>
        <v>0</v>
      </c>
      <c r="CS112" s="36">
        <f>SUMIFS('свод практик'!$CL$6:$CL$277,'свод практик'!$J$6:$J$277,'свод субъектов ИБ+смежные'!CS$1)</f>
        <v>228</v>
      </c>
      <c r="CT112" s="36">
        <f>SUMIFS('свод практик'!$CL$6:$CL$277,'свод практик'!$J$6:$J$277,'свод субъектов ИБ+смежные'!CT$1)</f>
        <v>0</v>
      </c>
      <c r="CU112" s="36">
        <f>SUMIFS('свод практик'!$CL$6:$CL$277,'свод практик'!$J$6:$J$277,'свод субъектов ИБ+смежные'!CU$1)</f>
        <v>3</v>
      </c>
      <c r="CV112" s="36">
        <f>SUMIFS('свод практик'!$CL$6:$CL$277,'свод практик'!$J$6:$J$277,'свод субъектов ИБ+смежные'!CV$1)</f>
        <v>0</v>
      </c>
    </row>
    <row r="113" spans="1:101" ht="14">
      <c r="A113" s="716"/>
      <c r="B113" s="716"/>
      <c r="C113" s="773"/>
      <c r="D113" s="42" t="s">
        <v>4949</v>
      </c>
      <c r="E113" s="42">
        <v>75</v>
      </c>
      <c r="F113" s="43" t="s">
        <v>5179</v>
      </c>
      <c r="G113" s="762"/>
      <c r="H113" s="45" t="s">
        <v>60</v>
      </c>
      <c r="I113" s="46"/>
      <c r="L113" s="36" t="s">
        <v>278</v>
      </c>
      <c r="M113" s="36">
        <v>2.9858236105883829E-2</v>
      </c>
      <c r="N113" s="36">
        <v>3.0701521819820776E-2</v>
      </c>
      <c r="O113" s="228">
        <f>O112/O126</f>
        <v>3.4613799734444395E-2</v>
      </c>
      <c r="P113" s="145">
        <f t="shared" ref="P113:CA113" si="69">P112/P126</f>
        <v>0</v>
      </c>
      <c r="Q113" s="145">
        <f t="shared" si="69"/>
        <v>0</v>
      </c>
      <c r="R113" s="145">
        <f t="shared" si="69"/>
        <v>0</v>
      </c>
      <c r="S113" s="145">
        <f t="shared" si="69"/>
        <v>0</v>
      </c>
      <c r="T113" s="145">
        <f t="shared" si="69"/>
        <v>1.6216216216216217E-2</v>
      </c>
      <c r="U113" s="145">
        <f t="shared" si="69"/>
        <v>0</v>
      </c>
      <c r="V113" s="145">
        <f t="shared" si="69"/>
        <v>3.553299492385787E-2</v>
      </c>
      <c r="W113" s="145">
        <f t="shared" si="69"/>
        <v>7.0422535211267607E-3</v>
      </c>
      <c r="X113" s="145">
        <f t="shared" si="69"/>
        <v>0</v>
      </c>
      <c r="Y113" s="145">
        <f t="shared" si="69"/>
        <v>0</v>
      </c>
      <c r="Z113" s="145">
        <f t="shared" si="69"/>
        <v>1.5452538631346579E-2</v>
      </c>
      <c r="AA113" s="145">
        <f t="shared" si="69"/>
        <v>0</v>
      </c>
      <c r="AB113" s="145">
        <f t="shared" si="69"/>
        <v>1.0078387458006719E-2</v>
      </c>
      <c r="AC113" s="145">
        <f t="shared" si="69"/>
        <v>0</v>
      </c>
      <c r="AD113" s="145" t="e">
        <f t="shared" si="69"/>
        <v>#DIV/0!</v>
      </c>
      <c r="AE113" s="145" t="e">
        <f t="shared" si="69"/>
        <v>#DIV/0!</v>
      </c>
      <c r="AF113" s="145">
        <f t="shared" si="69"/>
        <v>0</v>
      </c>
      <c r="AG113" s="145" t="e">
        <f t="shared" si="69"/>
        <v>#DIV/0!</v>
      </c>
      <c r="AH113" s="145" t="e">
        <f t="shared" si="69"/>
        <v>#DIV/0!</v>
      </c>
      <c r="AI113" s="145">
        <f t="shared" si="69"/>
        <v>1.8235294117647058E-2</v>
      </c>
      <c r="AJ113" s="145">
        <f t="shared" si="69"/>
        <v>0</v>
      </c>
      <c r="AK113" s="145">
        <f t="shared" si="69"/>
        <v>0.26666666666666666</v>
      </c>
      <c r="AL113" s="145">
        <f t="shared" si="69"/>
        <v>0</v>
      </c>
      <c r="AM113" s="145">
        <f t="shared" si="69"/>
        <v>0</v>
      </c>
      <c r="AN113" s="145" t="e">
        <f t="shared" si="69"/>
        <v>#DIV/0!</v>
      </c>
      <c r="AO113" s="145" t="e">
        <f t="shared" si="69"/>
        <v>#DIV/0!</v>
      </c>
      <c r="AP113" s="145">
        <f t="shared" si="69"/>
        <v>0</v>
      </c>
      <c r="AQ113" s="145">
        <f t="shared" si="69"/>
        <v>0</v>
      </c>
      <c r="AR113" s="145">
        <f t="shared" si="69"/>
        <v>4.2016806722689079E-2</v>
      </c>
      <c r="AS113" s="145">
        <f t="shared" si="69"/>
        <v>1.8115942028985508E-2</v>
      </c>
      <c r="AT113" s="145">
        <f t="shared" si="69"/>
        <v>0</v>
      </c>
      <c r="AU113" s="145">
        <f t="shared" si="69"/>
        <v>0</v>
      </c>
      <c r="AV113" s="145">
        <f t="shared" si="69"/>
        <v>0</v>
      </c>
      <c r="AW113" s="145">
        <f t="shared" si="69"/>
        <v>0</v>
      </c>
      <c r="AX113" s="145">
        <f t="shared" si="69"/>
        <v>0</v>
      </c>
      <c r="AY113" s="162" t="e">
        <f t="shared" si="69"/>
        <v>#DIV/0!</v>
      </c>
      <c r="AZ113" s="145">
        <f t="shared" si="69"/>
        <v>6.919275123558484E-2</v>
      </c>
      <c r="BA113" s="145">
        <f t="shared" si="69"/>
        <v>0</v>
      </c>
      <c r="BB113" s="162" t="e">
        <f t="shared" si="69"/>
        <v>#DIV/0!</v>
      </c>
      <c r="BC113" s="145">
        <f t="shared" si="69"/>
        <v>0</v>
      </c>
      <c r="BD113" s="162" t="e">
        <f t="shared" si="69"/>
        <v>#DIV/0!</v>
      </c>
      <c r="BE113" s="162" t="e">
        <f t="shared" si="69"/>
        <v>#DIV/0!</v>
      </c>
      <c r="BF113" s="145">
        <f t="shared" si="69"/>
        <v>0</v>
      </c>
      <c r="BG113" s="145">
        <f t="shared" si="69"/>
        <v>0</v>
      </c>
      <c r="BH113" s="145">
        <f t="shared" si="69"/>
        <v>0</v>
      </c>
      <c r="BI113" s="145">
        <f t="shared" si="69"/>
        <v>0</v>
      </c>
      <c r="BJ113" s="145">
        <f t="shared" si="69"/>
        <v>4.5871559633027525E-3</v>
      </c>
      <c r="BK113" s="145">
        <f t="shared" si="69"/>
        <v>4.9261083743842365E-3</v>
      </c>
      <c r="BL113" s="145">
        <f t="shared" si="69"/>
        <v>7.7519379844961239E-3</v>
      </c>
      <c r="BM113" s="145">
        <f t="shared" si="69"/>
        <v>6.8027210884353739E-3</v>
      </c>
      <c r="BN113" s="145">
        <f t="shared" si="69"/>
        <v>0</v>
      </c>
      <c r="BO113" s="145">
        <f t="shared" si="69"/>
        <v>0</v>
      </c>
      <c r="BP113" s="145">
        <f t="shared" si="69"/>
        <v>0</v>
      </c>
      <c r="BQ113" s="145" t="e">
        <f t="shared" si="69"/>
        <v>#DIV/0!</v>
      </c>
      <c r="BR113" s="145">
        <f t="shared" si="69"/>
        <v>0.08</v>
      </c>
      <c r="BS113" s="145">
        <f t="shared" si="69"/>
        <v>0</v>
      </c>
      <c r="BT113" s="145">
        <f t="shared" si="69"/>
        <v>0</v>
      </c>
      <c r="BU113" s="145">
        <f t="shared" si="69"/>
        <v>3.2786885245901639E-3</v>
      </c>
      <c r="BV113" s="145">
        <f t="shared" si="69"/>
        <v>5.8823529411764705E-2</v>
      </c>
      <c r="BW113" s="145">
        <f t="shared" si="69"/>
        <v>0</v>
      </c>
      <c r="BX113" s="145">
        <f t="shared" si="69"/>
        <v>1.8058690744920992E-2</v>
      </c>
      <c r="BY113" s="145">
        <f t="shared" si="69"/>
        <v>0</v>
      </c>
      <c r="BZ113" s="145">
        <f t="shared" si="69"/>
        <v>0</v>
      </c>
      <c r="CA113" s="145" t="e">
        <f t="shared" si="69"/>
        <v>#DIV/0!</v>
      </c>
      <c r="CB113" s="145" t="e">
        <f t="shared" ref="CB113:CV113" si="70">CB112/CB126</f>
        <v>#DIV/0!</v>
      </c>
      <c r="CC113" s="145">
        <f t="shared" si="70"/>
        <v>0</v>
      </c>
      <c r="CD113" s="145">
        <f t="shared" si="70"/>
        <v>7.9365079365079361E-3</v>
      </c>
      <c r="CE113" s="145">
        <f t="shared" si="70"/>
        <v>3.8674033149171269E-2</v>
      </c>
      <c r="CF113" s="145">
        <f t="shared" si="70"/>
        <v>3.8488453463960813E-2</v>
      </c>
      <c r="CG113" s="145">
        <f t="shared" si="70"/>
        <v>2.9520295202952029E-2</v>
      </c>
      <c r="CH113" s="145">
        <f t="shared" si="70"/>
        <v>0</v>
      </c>
      <c r="CI113" s="145">
        <f t="shared" si="70"/>
        <v>0</v>
      </c>
      <c r="CJ113" s="145" t="e">
        <f t="shared" si="70"/>
        <v>#DIV/0!</v>
      </c>
      <c r="CK113" s="145">
        <f t="shared" si="70"/>
        <v>0</v>
      </c>
      <c r="CL113" s="145">
        <f t="shared" si="70"/>
        <v>0</v>
      </c>
      <c r="CM113" s="145">
        <f t="shared" si="70"/>
        <v>0</v>
      </c>
      <c r="CN113" s="145">
        <f t="shared" si="70"/>
        <v>2.4096385542168676E-2</v>
      </c>
      <c r="CO113" s="145" t="e">
        <f t="shared" si="70"/>
        <v>#DIV/0!</v>
      </c>
      <c r="CP113" s="145">
        <f t="shared" si="70"/>
        <v>3.6496350364963502E-3</v>
      </c>
      <c r="CQ113" s="145">
        <f t="shared" si="70"/>
        <v>0</v>
      </c>
      <c r="CR113" s="145" t="e">
        <f t="shared" si="70"/>
        <v>#DIV/0!</v>
      </c>
      <c r="CS113" s="145">
        <f t="shared" si="70"/>
        <v>0.34441087613293053</v>
      </c>
      <c r="CT113" s="145">
        <f t="shared" si="70"/>
        <v>0</v>
      </c>
      <c r="CU113" s="145">
        <f t="shared" si="70"/>
        <v>3.7037037037037035E-2</v>
      </c>
      <c r="CV113" s="145">
        <f t="shared" si="70"/>
        <v>0</v>
      </c>
    </row>
    <row r="114" spans="1:101" ht="14">
      <c r="A114" s="716"/>
      <c r="B114" s="716"/>
      <c r="C114" s="773"/>
      <c r="D114" s="42" t="s">
        <v>4949</v>
      </c>
      <c r="E114" s="42">
        <v>76</v>
      </c>
      <c r="F114" s="43" t="s">
        <v>5180</v>
      </c>
      <c r="G114" s="762" t="s">
        <v>5181</v>
      </c>
      <c r="H114" s="45" t="s">
        <v>5140</v>
      </c>
      <c r="I114" s="46"/>
      <c r="M114" s="36">
        <v>594</v>
      </c>
      <c r="N114" s="36">
        <v>561</v>
      </c>
      <c r="O114" s="224">
        <f>SUM(P114:CV114)</f>
        <v>96</v>
      </c>
      <c r="P114" s="36">
        <f>SUMIFS('свод практик'!$CM$6:$CM$277,'свод практик'!$J$6:$J$277,'свод субъектов ИБ+смежные'!P$1)</f>
        <v>0</v>
      </c>
      <c r="Q114" s="36">
        <f>SUMIFS('свод практик'!$CM$6:$CM$277,'свод практик'!$J$6:$J$277,'свод субъектов ИБ+смежные'!Q$1)</f>
        <v>0</v>
      </c>
      <c r="R114" s="36">
        <f>SUMIFS('свод практик'!$CM$6:$CM$277,'свод практик'!$J$6:$J$277,'свод субъектов ИБ+смежные'!R$1)</f>
        <v>0</v>
      </c>
      <c r="S114" s="36">
        <f>SUMIFS('свод практик'!$CM$6:$CM$277,'свод практик'!$J$6:$J$277,'свод субъектов ИБ+смежные'!S$1)</f>
        <v>0</v>
      </c>
      <c r="T114" s="36">
        <f>SUMIFS('свод практик'!$CM$6:$CM$277,'свод практик'!$J$6:$J$277,'свод субъектов ИБ+смежные'!T$1)</f>
        <v>0</v>
      </c>
      <c r="U114" s="36">
        <f>SUMIFS('свод практик'!$CM$6:$CM$277,'свод практик'!$J$6:$J$277,'свод субъектов ИБ+смежные'!U$1)</f>
        <v>0</v>
      </c>
      <c r="V114" s="36">
        <f>SUMIFS('свод практик'!$CM$6:$CM$277,'свод практик'!$J$6:$J$277,'свод субъектов ИБ+смежные'!V$1)</f>
        <v>0</v>
      </c>
      <c r="W114" s="36">
        <f>SUMIFS('свод практик'!$CM$6:$CM$277,'свод практик'!$J$6:$J$277,'свод субъектов ИБ+смежные'!W$1)</f>
        <v>1</v>
      </c>
      <c r="X114" s="36">
        <f>SUMIFS('свод практик'!$CM$6:$CM$277,'свод практик'!$J$6:$J$277,'свод субъектов ИБ+смежные'!X$1)</f>
        <v>0</v>
      </c>
      <c r="Y114" s="36">
        <f>SUMIFS('свод практик'!$CM$6:$CM$277,'свод практик'!$J$6:$J$277,'свод субъектов ИБ+смежные'!Y$1)</f>
        <v>0</v>
      </c>
      <c r="Z114" s="36">
        <f>SUMIFS('свод практик'!$CM$6:$CM$277,'свод практик'!$J$6:$J$277,'свод субъектов ИБ+смежные'!Z$1)</f>
        <v>0</v>
      </c>
      <c r="AA114" s="36">
        <f>SUMIFS('свод практик'!$CM$6:$CM$277,'свод практик'!$J$6:$J$277,'свод субъектов ИБ+смежные'!AA$1)</f>
        <v>0</v>
      </c>
      <c r="AB114" s="36">
        <f>SUMIFS('свод практик'!$CM$6:$CM$277,'свод практик'!$J$6:$J$277,'свод субъектов ИБ+смежные'!AB$1)</f>
        <v>0</v>
      </c>
      <c r="AC114" s="36">
        <f>SUMIFS('свод практик'!$CM$6:$CM$277,'свод практик'!$J$6:$J$277,'свод субъектов ИБ+смежные'!AC$1)</f>
        <v>0</v>
      </c>
      <c r="AD114" s="160">
        <f>SUMIFS('свод практик'!$CM$6:$CM$277,'свод практик'!$J$6:$J$277,'свод субъектов ИБ+смежные'!AD$1)</f>
        <v>0</v>
      </c>
      <c r="AE114" s="160">
        <f>SUMIFS('свод практик'!$CM$6:$CM$277,'свод практик'!$J$6:$J$277,'свод субъектов ИБ+смежные'!AE$1)</f>
        <v>0</v>
      </c>
      <c r="AF114" s="36">
        <f>SUMIFS('свод практик'!$CM$6:$CM$277,'свод практик'!$J$6:$J$277,'свод субъектов ИБ+смежные'!AF$1)</f>
        <v>0</v>
      </c>
      <c r="AG114" s="160">
        <f>SUMIFS('свод практик'!$CM$6:$CM$277,'свод практик'!$J$6:$J$277,'свод субъектов ИБ+смежные'!AG$1)</f>
        <v>0</v>
      </c>
      <c r="AH114" s="160">
        <f>SUMIFS('свод практик'!$CM$6:$CM$277,'свод практик'!$J$6:$J$277,'свод субъектов ИБ+смежные'!AH$1)</f>
        <v>0</v>
      </c>
      <c r="AI114" s="36">
        <f>SUMIFS('свод практик'!$CM$6:$CM$277,'свод практик'!$J$6:$J$277,'свод субъектов ИБ+смежные'!AI$1)</f>
        <v>0</v>
      </c>
      <c r="AJ114" s="36">
        <f>SUMIFS('свод практик'!$CM$6:$CM$277,'свод практик'!$J$6:$J$277,'свод субъектов ИБ+смежные'!AJ$1)</f>
        <v>0</v>
      </c>
      <c r="AK114" s="36">
        <f>SUMIFS('свод практик'!$CM$6:$CM$277,'свод практик'!$J$6:$J$277,'свод субъектов ИБ+смежные'!AK$1)</f>
        <v>0</v>
      </c>
      <c r="AL114" s="36">
        <f>SUMIFS('свод практик'!$CM$6:$CM$277,'свод практик'!$J$6:$J$277,'свод субъектов ИБ+смежные'!AL$1)</f>
        <v>0</v>
      </c>
      <c r="AM114" s="36">
        <f>SUMIFS('свод практик'!$CM$6:$CM$277,'свод практик'!$J$6:$J$277,'свод субъектов ИБ+смежные'!AM$1)</f>
        <v>0</v>
      </c>
      <c r="AN114" s="160">
        <f>SUMIFS('свод практик'!$CM$6:$CM$277,'свод практик'!$J$6:$J$277,'свод субъектов ИБ+смежные'!AN$1)</f>
        <v>0</v>
      </c>
      <c r="AO114" s="160">
        <f>SUMIFS('свод практик'!$CM$6:$CM$277,'свод практик'!$J$6:$J$277,'свод субъектов ИБ+смежные'!AO$1)</f>
        <v>0</v>
      </c>
      <c r="AP114" s="36">
        <f>SUMIFS('свод практик'!$CM$6:$CM$277,'свод практик'!$J$6:$J$277,'свод субъектов ИБ+смежные'!AP$1)</f>
        <v>7</v>
      </c>
      <c r="AQ114" s="36">
        <f>SUMIFS('свод практик'!$CM$6:$CM$277,'свод практик'!$J$6:$J$277,'свод субъектов ИБ+смежные'!AQ$1)</f>
        <v>0</v>
      </c>
      <c r="AR114" s="36">
        <f>SUMIFS('свод практик'!$CM$6:$CM$277,'свод практик'!$J$6:$J$277,'свод субъектов ИБ+смежные'!AR$1)</f>
        <v>0</v>
      </c>
      <c r="AS114" s="36">
        <f>SUMIFS('свод практик'!$CM$6:$CM$277,'свод практик'!$J$6:$J$277,'свод субъектов ИБ+смежные'!AS$1)</f>
        <v>6</v>
      </c>
      <c r="AT114" s="36">
        <f>SUMIFS('свод практик'!$CM$6:$CM$277,'свод практик'!$J$6:$J$277,'свод субъектов ИБ+смежные'!AT$1)</f>
        <v>0</v>
      </c>
      <c r="AU114" s="36">
        <f>SUMIFS('свод практик'!$CM$6:$CM$277,'свод практик'!$J$6:$J$277,'свод субъектов ИБ+смежные'!AU$1)</f>
        <v>0</v>
      </c>
      <c r="AV114" s="36">
        <f>SUMIFS('свод практик'!$CM$6:$CM$277,'свод практик'!$J$6:$J$277,'свод субъектов ИБ+смежные'!AV$1)</f>
        <v>1</v>
      </c>
      <c r="AW114" s="36">
        <f>SUMIFS('свод практик'!$CM$6:$CM$277,'свод практик'!$J$6:$J$277,'свод субъектов ИБ+смежные'!AW$1)</f>
        <v>0</v>
      </c>
      <c r="AX114" s="36">
        <f>SUMIFS('свод практик'!$CM$6:$CM$277,'свод практик'!$J$6:$J$277,'свод субъектов ИБ+смежные'!AX$1)</f>
        <v>0</v>
      </c>
      <c r="AY114" s="160">
        <f>SUMIFS('свод практик'!$CM$6:$CM$277,'свод практик'!$J$6:$J$277,'свод субъектов ИБ+смежные'!AY$1)</f>
        <v>0</v>
      </c>
      <c r="AZ114" s="36">
        <f>SUMIFS('свод практик'!$CM$6:$CM$277,'свод практик'!$J$6:$J$277,'свод субъектов ИБ+смежные'!AZ$1)</f>
        <v>0</v>
      </c>
      <c r="BA114" s="36">
        <f>SUMIFS('свод практик'!$CM$6:$CM$277,'свод практик'!$J$6:$J$277,'свод субъектов ИБ+смежные'!BA$1)</f>
        <v>0</v>
      </c>
      <c r="BB114" s="160">
        <f>SUMIFS('свод практик'!$CM$6:$CM$277,'свод практик'!$J$6:$J$277,'свод субъектов ИБ+смежные'!BB$1)</f>
        <v>0</v>
      </c>
      <c r="BC114" s="36">
        <f>SUMIFS('свод практик'!$CM$6:$CM$277,'свод практик'!$J$6:$J$277,'свод субъектов ИБ+смежные'!BC$1)</f>
        <v>0</v>
      </c>
      <c r="BD114" s="160">
        <f>SUMIFS('свод практик'!$CM$6:$CM$277,'свод практик'!$J$6:$J$277,'свод субъектов ИБ+смежные'!BD$1)</f>
        <v>0</v>
      </c>
      <c r="BE114" s="160">
        <f>SUMIFS('свод практик'!$CM$6:$CM$277,'свод практик'!$J$6:$J$277,'свод субъектов ИБ+смежные'!BE$1)</f>
        <v>0</v>
      </c>
      <c r="BF114" s="36">
        <f>SUMIFS('свод практик'!$CM$6:$CM$277,'свод практик'!$J$6:$J$277,'свод субъектов ИБ+смежные'!BF$1)</f>
        <v>0</v>
      </c>
      <c r="BG114" s="36">
        <f>SUMIFS('свод практик'!$CM$6:$CM$277,'свод практик'!$J$6:$J$277,'свод субъектов ИБ+смежные'!BG$1)</f>
        <v>0</v>
      </c>
      <c r="BH114" s="36">
        <f>SUMIFS('свод практик'!$CM$6:$CM$277,'свод практик'!$J$6:$J$277,'свод субъектов ИБ+смежные'!BH$1)</f>
        <v>0</v>
      </c>
      <c r="BI114" s="36">
        <f>SUMIFS('свод практик'!$CM$6:$CM$277,'свод практик'!$J$6:$J$277,'свод субъектов ИБ+смежные'!BI$1)</f>
        <v>0</v>
      </c>
      <c r="BJ114" s="36">
        <f>SUMIFS('свод практик'!$CM$6:$CM$277,'свод практик'!$J$6:$J$277,'свод субъектов ИБ+смежные'!BJ$1)</f>
        <v>0</v>
      </c>
      <c r="BK114" s="36">
        <f>SUMIFS('свод практик'!$CM$6:$CM$277,'свод практик'!$J$6:$J$277,'свод субъектов ИБ+смежные'!BK$1)</f>
        <v>0</v>
      </c>
      <c r="BL114" s="36">
        <f>SUMIFS('свод практик'!$CM$6:$CM$277,'свод практик'!$J$6:$J$277,'свод субъектов ИБ+смежные'!BL$1)</f>
        <v>33</v>
      </c>
      <c r="BM114" s="36">
        <f>SUMIFS('свод практик'!$CM$6:$CM$277,'свод практик'!$J$6:$J$277,'свод субъектов ИБ+смежные'!BM$1)</f>
        <v>0</v>
      </c>
      <c r="BN114" s="36">
        <f>SUMIFS('свод практик'!$CM$6:$CM$277,'свод практик'!$J$6:$J$277,'свод субъектов ИБ+смежные'!BN$1)</f>
        <v>0</v>
      </c>
      <c r="BO114" s="36">
        <f>SUMIFS('свод практик'!$CM$6:$CM$277,'свод практик'!$J$6:$J$277,'свод субъектов ИБ+смежные'!BO$1)</f>
        <v>0</v>
      </c>
      <c r="BP114" s="36">
        <f>SUMIFS('свод практик'!$CM$6:$CM$277,'свод практик'!$J$6:$J$277,'свод субъектов ИБ+смежные'!BP$1)</f>
        <v>0</v>
      </c>
      <c r="BQ114" s="160">
        <f>SUMIFS('свод практик'!$CM$6:$CM$277,'свод практик'!$J$6:$J$277,'свод субъектов ИБ+смежные'!BQ$1)</f>
        <v>0</v>
      </c>
      <c r="BR114" s="36">
        <f>SUMIFS('свод практик'!$CM$6:$CM$277,'свод практик'!$J$6:$J$277,'свод субъектов ИБ+смежные'!BR$1)</f>
        <v>1</v>
      </c>
      <c r="BS114" s="36">
        <f>SUMIFS('свод практик'!$CM$6:$CM$277,'свод практик'!$J$6:$J$277,'свод субъектов ИБ+смежные'!BS$1)</f>
        <v>0</v>
      </c>
      <c r="BT114" s="36">
        <f>SUMIFS('свод практик'!$CM$6:$CM$277,'свод практик'!$J$6:$J$277,'свод субъектов ИБ+смежные'!BT$1)</f>
        <v>0</v>
      </c>
      <c r="BU114" s="36">
        <f>SUMIFS('свод практик'!$CM$6:$CM$277,'свод практик'!$J$6:$J$277,'свод субъектов ИБ+смежные'!BU$1)</f>
        <v>11</v>
      </c>
      <c r="BV114" s="36">
        <f>SUMIFS('свод практик'!$CM$6:$CM$277,'свод практик'!$J$6:$J$277,'свод субъектов ИБ+смежные'!BV$1)</f>
        <v>0</v>
      </c>
      <c r="BW114" s="36">
        <f>SUMIFS('свод практик'!$CM$6:$CM$277,'свод практик'!$J$6:$J$277,'свод субъектов ИБ+смежные'!BW$1)</f>
        <v>0</v>
      </c>
      <c r="BX114" s="36">
        <f>SUMIFS('свод практик'!$CM$6:$CM$277,'свод практик'!$J$6:$J$277,'свод субъектов ИБ+смежные'!BX$1)</f>
        <v>0</v>
      </c>
      <c r="BY114" s="36">
        <f>SUMIFS('свод практик'!$CM$6:$CM$277,'свод практик'!$J$6:$J$277,'свод субъектов ИБ+смежные'!BY$1)</f>
        <v>0</v>
      </c>
      <c r="BZ114" s="36">
        <f>SUMIFS('свод практик'!$CM$6:$CM$277,'свод практик'!$J$6:$J$277,'свод субъектов ИБ+смежные'!BZ$1)</f>
        <v>0</v>
      </c>
      <c r="CA114" s="160">
        <f>SUMIFS('свод практик'!$CM$6:$CM$277,'свод практик'!$J$6:$J$277,'свод субъектов ИБ+смежные'!CA$1)</f>
        <v>0</v>
      </c>
      <c r="CB114" s="160">
        <f>SUMIFS('свод практик'!$CM$6:$CM$277,'свод практик'!$J$6:$J$277,'свод субъектов ИБ+смежные'!CB$1)</f>
        <v>0</v>
      </c>
      <c r="CC114" s="36">
        <f>SUMIFS('свод практик'!$CM$6:$CM$277,'свод практик'!$J$6:$J$277,'свод субъектов ИБ+смежные'!CC$1)</f>
        <v>0</v>
      </c>
      <c r="CD114" s="36">
        <f>SUMIFS('свод практик'!$CM$6:$CM$277,'свод практик'!$J$6:$J$277,'свод субъектов ИБ+смежные'!CD$1)</f>
        <v>0</v>
      </c>
      <c r="CE114" s="36">
        <f>SUMIFS('свод практик'!$CM$6:$CM$277,'свод практик'!$J$6:$J$277,'свод субъектов ИБ+смежные'!CE$1)</f>
        <v>0</v>
      </c>
      <c r="CF114" s="36">
        <f>SUMIFS('свод практик'!$CM$6:$CM$277,'свод практик'!$J$6:$J$277,'свод субъектов ИБ+смежные'!CF$1)</f>
        <v>24</v>
      </c>
      <c r="CG114" s="36">
        <f>SUMIFS('свод практик'!$CM$6:$CM$277,'свод практик'!$J$6:$J$277,'свод субъектов ИБ+смежные'!CG$1)</f>
        <v>0</v>
      </c>
      <c r="CH114" s="36">
        <f>SUMIFS('свод практик'!$CM$6:$CM$277,'свод практик'!$J$6:$J$277,'свод субъектов ИБ+смежные'!CH$1)</f>
        <v>0</v>
      </c>
      <c r="CI114" s="36">
        <f>SUMIFS('свод практик'!$CM$6:$CM$277,'свод практик'!$J$6:$J$277,'свод субъектов ИБ+смежные'!CI$1)</f>
        <v>0</v>
      </c>
      <c r="CJ114" s="160">
        <f>SUMIFS('свод практик'!$CM$6:$CM$277,'свод практик'!$J$6:$J$277,'свод субъектов ИБ+смежные'!CJ$1)</f>
        <v>0</v>
      </c>
      <c r="CK114" s="36">
        <f>SUMIFS('свод практик'!$CM$6:$CM$277,'свод практик'!$J$6:$J$277,'свод субъектов ИБ+смежные'!CK$1)</f>
        <v>0</v>
      </c>
      <c r="CL114" s="36">
        <f>SUMIFS('свод практик'!$CM$6:$CM$277,'свод практик'!$J$6:$J$277,'свод субъектов ИБ+смежные'!CL$1)</f>
        <v>0</v>
      </c>
      <c r="CM114" s="36">
        <f>SUMIFS('свод практик'!$CM$6:$CM$277,'свод практик'!$J$6:$J$277,'свод субъектов ИБ+смежные'!CM$1)</f>
        <v>0</v>
      </c>
      <c r="CN114" s="36">
        <f>SUMIFS('свод практик'!$CM$6:$CM$277,'свод практик'!$J$6:$J$277,'свод субъектов ИБ+смежные'!CN$1)</f>
        <v>6</v>
      </c>
      <c r="CO114" s="160">
        <f>SUMIFS('свод практик'!$CM$6:$CM$277,'свод практик'!$J$6:$J$277,'свод субъектов ИБ+смежные'!CO$1)</f>
        <v>0</v>
      </c>
      <c r="CP114" s="36">
        <f>SUMIFS('свод практик'!$CM$6:$CM$277,'свод практик'!$J$6:$J$277,'свод субъектов ИБ+смежные'!CP$1)</f>
        <v>2</v>
      </c>
      <c r="CQ114" s="36">
        <f>SUMIFS('свод практик'!$CM$6:$CM$277,'свод практик'!$J$6:$J$277,'свод субъектов ИБ+смежные'!CQ$1)</f>
        <v>0</v>
      </c>
      <c r="CR114" s="160">
        <f>SUMIFS('свод практик'!$CM$6:$CM$277,'свод практик'!$J$6:$J$277,'свод субъектов ИБ+смежные'!CR$1)</f>
        <v>0</v>
      </c>
      <c r="CS114" s="36">
        <f>SUMIFS('свод практик'!$CM$6:$CM$277,'свод практик'!$J$6:$J$277,'свод субъектов ИБ+смежные'!CS$1)</f>
        <v>0</v>
      </c>
      <c r="CT114" s="36">
        <f>SUMIFS('свод практик'!$CM$6:$CM$277,'свод практик'!$J$6:$J$277,'свод субъектов ИБ+смежные'!CT$1)</f>
        <v>0</v>
      </c>
      <c r="CU114" s="36">
        <f>SUMIFS('свод практик'!$CM$6:$CM$277,'свод практик'!$J$6:$J$277,'свод субъектов ИБ+смежные'!CU$1)</f>
        <v>4</v>
      </c>
      <c r="CV114" s="36">
        <f>SUMIFS('свод практик'!$CM$6:$CM$277,'свод практик'!$J$6:$J$277,'свод субъектов ИБ+смежные'!CV$1)</f>
        <v>0</v>
      </c>
    </row>
    <row r="115" spans="1:101" ht="14">
      <c r="A115" s="716"/>
      <c r="B115" s="716"/>
      <c r="C115" s="773"/>
      <c r="D115" s="42" t="s">
        <v>4949</v>
      </c>
      <c r="E115" s="42">
        <v>77</v>
      </c>
      <c r="F115" s="43" t="s">
        <v>5182</v>
      </c>
      <c r="G115" s="762"/>
      <c r="H115" s="45" t="s">
        <v>60</v>
      </c>
      <c r="I115" s="46"/>
      <c r="L115" s="36" t="s">
        <v>278</v>
      </c>
      <c r="M115" s="36">
        <v>3.7260067745577719E-2</v>
      </c>
      <c r="N115" s="36">
        <v>2.9747070364282306E-2</v>
      </c>
      <c r="O115" s="228">
        <f>O114/O126</f>
        <v>4.3954031408818279E-3</v>
      </c>
      <c r="P115" s="145">
        <f t="shared" ref="P115:CA115" si="71">P114/P126</f>
        <v>0</v>
      </c>
      <c r="Q115" s="145">
        <f t="shared" si="71"/>
        <v>0</v>
      </c>
      <c r="R115" s="145">
        <f t="shared" si="71"/>
        <v>0</v>
      </c>
      <c r="S115" s="145">
        <f t="shared" si="71"/>
        <v>0</v>
      </c>
      <c r="T115" s="145">
        <f t="shared" si="71"/>
        <v>0</v>
      </c>
      <c r="U115" s="145">
        <f t="shared" si="71"/>
        <v>0</v>
      </c>
      <c r="V115" s="145">
        <f t="shared" si="71"/>
        <v>0</v>
      </c>
      <c r="W115" s="145">
        <f t="shared" si="71"/>
        <v>7.0422535211267607E-3</v>
      </c>
      <c r="X115" s="145">
        <f t="shared" si="71"/>
        <v>0</v>
      </c>
      <c r="Y115" s="145">
        <f t="shared" si="71"/>
        <v>0</v>
      </c>
      <c r="Z115" s="145">
        <f t="shared" si="71"/>
        <v>0</v>
      </c>
      <c r="AA115" s="145">
        <f t="shared" si="71"/>
        <v>0</v>
      </c>
      <c r="AB115" s="145">
        <f t="shared" si="71"/>
        <v>0</v>
      </c>
      <c r="AC115" s="145">
        <f t="shared" si="71"/>
        <v>0</v>
      </c>
      <c r="AD115" s="145" t="e">
        <f t="shared" si="71"/>
        <v>#DIV/0!</v>
      </c>
      <c r="AE115" s="145" t="e">
        <f t="shared" si="71"/>
        <v>#DIV/0!</v>
      </c>
      <c r="AF115" s="145">
        <f t="shared" si="71"/>
        <v>0</v>
      </c>
      <c r="AG115" s="145" t="e">
        <f t="shared" si="71"/>
        <v>#DIV/0!</v>
      </c>
      <c r="AH115" s="145" t="e">
        <f t="shared" si="71"/>
        <v>#DIV/0!</v>
      </c>
      <c r="AI115" s="145">
        <f t="shared" si="71"/>
        <v>0</v>
      </c>
      <c r="AJ115" s="145">
        <f t="shared" si="71"/>
        <v>0</v>
      </c>
      <c r="AK115" s="145">
        <f t="shared" si="71"/>
        <v>0</v>
      </c>
      <c r="AL115" s="145">
        <f t="shared" si="71"/>
        <v>0</v>
      </c>
      <c r="AM115" s="145">
        <f t="shared" si="71"/>
        <v>0</v>
      </c>
      <c r="AN115" s="145" t="e">
        <f t="shared" si="71"/>
        <v>#DIV/0!</v>
      </c>
      <c r="AO115" s="145" t="e">
        <f t="shared" si="71"/>
        <v>#DIV/0!</v>
      </c>
      <c r="AP115" s="145">
        <f t="shared" si="71"/>
        <v>4.6357615894039736E-2</v>
      </c>
      <c r="AQ115" s="145">
        <f t="shared" si="71"/>
        <v>0</v>
      </c>
      <c r="AR115" s="145">
        <f t="shared" si="71"/>
        <v>0</v>
      </c>
      <c r="AS115" s="145">
        <f t="shared" si="71"/>
        <v>2.1739130434782608E-2</v>
      </c>
      <c r="AT115" s="145">
        <f t="shared" si="71"/>
        <v>0</v>
      </c>
      <c r="AU115" s="145">
        <f t="shared" si="71"/>
        <v>0</v>
      </c>
      <c r="AV115" s="145">
        <f t="shared" si="71"/>
        <v>8.3333333333333332E-3</v>
      </c>
      <c r="AW115" s="145">
        <f t="shared" si="71"/>
        <v>0</v>
      </c>
      <c r="AX115" s="145">
        <f t="shared" si="71"/>
        <v>0</v>
      </c>
      <c r="AY115" s="162" t="e">
        <f t="shared" si="71"/>
        <v>#DIV/0!</v>
      </c>
      <c r="AZ115" s="145">
        <f t="shared" si="71"/>
        <v>0</v>
      </c>
      <c r="BA115" s="145">
        <f t="shared" si="71"/>
        <v>0</v>
      </c>
      <c r="BB115" s="162" t="e">
        <f t="shared" si="71"/>
        <v>#DIV/0!</v>
      </c>
      <c r="BC115" s="145">
        <f t="shared" si="71"/>
        <v>0</v>
      </c>
      <c r="BD115" s="162" t="e">
        <f t="shared" si="71"/>
        <v>#DIV/0!</v>
      </c>
      <c r="BE115" s="162" t="e">
        <f t="shared" si="71"/>
        <v>#DIV/0!</v>
      </c>
      <c r="BF115" s="145">
        <f t="shared" si="71"/>
        <v>0</v>
      </c>
      <c r="BG115" s="145">
        <f t="shared" si="71"/>
        <v>0</v>
      </c>
      <c r="BH115" s="145">
        <f t="shared" si="71"/>
        <v>0</v>
      </c>
      <c r="BI115" s="145">
        <f t="shared" si="71"/>
        <v>0</v>
      </c>
      <c r="BJ115" s="145">
        <f t="shared" si="71"/>
        <v>0</v>
      </c>
      <c r="BK115" s="145">
        <f t="shared" si="71"/>
        <v>0</v>
      </c>
      <c r="BL115" s="145">
        <f t="shared" si="71"/>
        <v>0.2558139534883721</v>
      </c>
      <c r="BM115" s="145">
        <f t="shared" si="71"/>
        <v>0</v>
      </c>
      <c r="BN115" s="145">
        <f t="shared" si="71"/>
        <v>0</v>
      </c>
      <c r="BO115" s="145">
        <f t="shared" si="71"/>
        <v>0</v>
      </c>
      <c r="BP115" s="145">
        <f t="shared" si="71"/>
        <v>0</v>
      </c>
      <c r="BQ115" s="145" t="e">
        <f t="shared" si="71"/>
        <v>#DIV/0!</v>
      </c>
      <c r="BR115" s="145">
        <f t="shared" si="71"/>
        <v>0.04</v>
      </c>
      <c r="BS115" s="145">
        <f t="shared" si="71"/>
        <v>0</v>
      </c>
      <c r="BT115" s="145">
        <f t="shared" si="71"/>
        <v>0</v>
      </c>
      <c r="BU115" s="145">
        <f t="shared" si="71"/>
        <v>1.8032786885245903E-2</v>
      </c>
      <c r="BV115" s="145">
        <f t="shared" si="71"/>
        <v>0</v>
      </c>
      <c r="BW115" s="145">
        <f t="shared" si="71"/>
        <v>0</v>
      </c>
      <c r="BX115" s="145">
        <f t="shared" si="71"/>
        <v>0</v>
      </c>
      <c r="BY115" s="145">
        <f t="shared" si="71"/>
        <v>0</v>
      </c>
      <c r="BZ115" s="145">
        <f t="shared" si="71"/>
        <v>0</v>
      </c>
      <c r="CA115" s="145" t="e">
        <f t="shared" si="71"/>
        <v>#DIV/0!</v>
      </c>
      <c r="CB115" s="145" t="e">
        <f t="shared" ref="CB115:CV115" si="72">CB114/CB126</f>
        <v>#DIV/0!</v>
      </c>
      <c r="CC115" s="145">
        <f t="shared" si="72"/>
        <v>0</v>
      </c>
      <c r="CD115" s="145">
        <f t="shared" si="72"/>
        <v>0</v>
      </c>
      <c r="CE115" s="145">
        <f t="shared" si="72"/>
        <v>0</v>
      </c>
      <c r="CF115" s="145">
        <f t="shared" si="72"/>
        <v>8.3974807557732675E-3</v>
      </c>
      <c r="CG115" s="145">
        <f t="shared" si="72"/>
        <v>0</v>
      </c>
      <c r="CH115" s="145">
        <f t="shared" si="72"/>
        <v>0</v>
      </c>
      <c r="CI115" s="145">
        <f t="shared" si="72"/>
        <v>0</v>
      </c>
      <c r="CJ115" s="145" t="e">
        <f t="shared" si="72"/>
        <v>#DIV/0!</v>
      </c>
      <c r="CK115" s="145">
        <f t="shared" si="72"/>
        <v>0</v>
      </c>
      <c r="CL115" s="145">
        <f t="shared" si="72"/>
        <v>0</v>
      </c>
      <c r="CM115" s="145">
        <f t="shared" si="72"/>
        <v>0</v>
      </c>
      <c r="CN115" s="145">
        <f t="shared" si="72"/>
        <v>2.4096385542168676E-2</v>
      </c>
      <c r="CO115" s="145" t="e">
        <f t="shared" si="72"/>
        <v>#DIV/0!</v>
      </c>
      <c r="CP115" s="145">
        <f t="shared" si="72"/>
        <v>7.2992700729927005E-3</v>
      </c>
      <c r="CQ115" s="145">
        <f t="shared" si="72"/>
        <v>0</v>
      </c>
      <c r="CR115" s="145" t="e">
        <f t="shared" si="72"/>
        <v>#DIV/0!</v>
      </c>
      <c r="CS115" s="145">
        <f t="shared" si="72"/>
        <v>0</v>
      </c>
      <c r="CT115" s="145">
        <f t="shared" si="72"/>
        <v>0</v>
      </c>
      <c r="CU115" s="145">
        <f t="shared" si="72"/>
        <v>4.9382716049382713E-2</v>
      </c>
      <c r="CV115" s="145">
        <f t="shared" si="72"/>
        <v>0</v>
      </c>
    </row>
    <row r="116" spans="1:101" ht="14">
      <c r="A116" s="716"/>
      <c r="B116" s="716"/>
      <c r="C116" s="773"/>
      <c r="D116" s="42" t="s">
        <v>4949</v>
      </c>
      <c r="E116" s="42">
        <v>78</v>
      </c>
      <c r="F116" s="43" t="s">
        <v>5183</v>
      </c>
      <c r="G116" s="762" t="s">
        <v>5184</v>
      </c>
      <c r="H116" s="45" t="s">
        <v>5140</v>
      </c>
      <c r="I116" s="46"/>
      <c r="M116" s="36">
        <v>213</v>
      </c>
      <c r="N116" s="36">
        <v>359</v>
      </c>
      <c r="O116" s="224">
        <f>SUM(P116:CV116)</f>
        <v>198</v>
      </c>
      <c r="P116" s="36">
        <f>SUMIFS('свод практик'!$CN$6:$CN$277,'свод практик'!$J$6:$J$277,'свод субъектов ИБ+смежные'!P$1)</f>
        <v>0</v>
      </c>
      <c r="Q116" s="36">
        <f>SUMIFS('свод практик'!$CN$6:$CN$277,'свод практик'!$J$6:$J$277,'свод субъектов ИБ+смежные'!Q$1)</f>
        <v>0</v>
      </c>
      <c r="R116" s="36">
        <f>SUMIFS('свод практик'!$CN$6:$CN$277,'свод практик'!$J$6:$J$277,'свод субъектов ИБ+смежные'!R$1)</f>
        <v>0</v>
      </c>
      <c r="S116" s="36">
        <f>SUMIFS('свод практик'!$CN$6:$CN$277,'свод практик'!$J$6:$J$277,'свод субъектов ИБ+смежные'!S$1)</f>
        <v>0</v>
      </c>
      <c r="T116" s="36">
        <f>SUMIFS('свод практик'!$CN$6:$CN$277,'свод практик'!$J$6:$J$277,'свод субъектов ИБ+смежные'!T$1)</f>
        <v>0</v>
      </c>
      <c r="U116" s="36">
        <f>SUMIFS('свод практик'!$CN$6:$CN$277,'свод практик'!$J$6:$J$277,'свод субъектов ИБ+смежные'!U$1)</f>
        <v>0</v>
      </c>
      <c r="V116" s="36">
        <f>SUMIFS('свод практик'!$CN$6:$CN$277,'свод практик'!$J$6:$J$277,'свод субъектов ИБ+смежные'!V$1)</f>
        <v>2</v>
      </c>
      <c r="W116" s="36">
        <f>SUMIFS('свод практик'!$CN$6:$CN$277,'свод практик'!$J$6:$J$277,'свод субъектов ИБ+смежные'!W$1)</f>
        <v>3</v>
      </c>
      <c r="X116" s="36">
        <f>SUMIFS('свод практик'!$CN$6:$CN$277,'свод практик'!$J$6:$J$277,'свод субъектов ИБ+смежные'!X$1)</f>
        <v>0</v>
      </c>
      <c r="Y116" s="36">
        <f>SUMIFS('свод практик'!$CN$6:$CN$277,'свод практик'!$J$6:$J$277,'свод субъектов ИБ+смежные'!Y$1)</f>
        <v>0</v>
      </c>
      <c r="Z116" s="36">
        <f>SUMIFS('свод практик'!$CN$6:$CN$277,'свод практик'!$J$6:$J$277,'свод субъектов ИБ+смежные'!Z$1)</f>
        <v>0</v>
      </c>
      <c r="AA116" s="36">
        <f>SUMIFS('свод практик'!$CN$6:$CN$277,'свод практик'!$J$6:$J$277,'свод субъектов ИБ+смежные'!AA$1)</f>
        <v>0</v>
      </c>
      <c r="AB116" s="36">
        <f>SUMIFS('свод практик'!$CN$6:$CN$277,'свод практик'!$J$6:$J$277,'свод субъектов ИБ+смежные'!AB$1)</f>
        <v>12</v>
      </c>
      <c r="AC116" s="36">
        <f>SUMIFS('свод практик'!$CN$6:$CN$277,'свод практик'!$J$6:$J$277,'свод субъектов ИБ+смежные'!AC$1)</f>
        <v>0</v>
      </c>
      <c r="AD116" s="160">
        <f>SUMIFS('свод практик'!$CN$6:$CN$277,'свод практик'!$J$6:$J$277,'свод субъектов ИБ+смежные'!AD$1)</f>
        <v>0</v>
      </c>
      <c r="AE116" s="160">
        <f>SUMIFS('свод практик'!$CN$6:$CN$277,'свод практик'!$J$6:$J$277,'свод субъектов ИБ+смежные'!AE$1)</f>
        <v>0</v>
      </c>
      <c r="AF116" s="36">
        <f>SUMIFS('свод практик'!$CN$6:$CN$277,'свод практик'!$J$6:$J$277,'свод субъектов ИБ+смежные'!AF$1)</f>
        <v>0</v>
      </c>
      <c r="AG116" s="160">
        <f>SUMIFS('свод практик'!$CN$6:$CN$277,'свод практик'!$J$6:$J$277,'свод субъектов ИБ+смежные'!AG$1)</f>
        <v>0</v>
      </c>
      <c r="AH116" s="160">
        <f>SUMIFS('свод практик'!$CN$6:$CN$277,'свод практик'!$J$6:$J$277,'свод субъектов ИБ+смежные'!AH$1)</f>
        <v>0</v>
      </c>
      <c r="AI116" s="36">
        <f>SUMIFS('свод практик'!$CN$6:$CN$277,'свод практик'!$J$6:$J$277,'свод субъектов ИБ+смежные'!AI$1)</f>
        <v>0</v>
      </c>
      <c r="AJ116" s="36">
        <f>SUMIFS('свод практик'!$CN$6:$CN$277,'свод практик'!$J$6:$J$277,'свод субъектов ИБ+смежные'!AJ$1)</f>
        <v>0</v>
      </c>
      <c r="AK116" s="36">
        <f>SUMIFS('свод практик'!$CN$6:$CN$277,'свод практик'!$J$6:$J$277,'свод субъектов ИБ+смежные'!AK$1)</f>
        <v>12</v>
      </c>
      <c r="AL116" s="36">
        <f>SUMIFS('свод практик'!$CN$6:$CN$277,'свод практик'!$J$6:$J$277,'свод субъектов ИБ+смежные'!AL$1)</f>
        <v>0</v>
      </c>
      <c r="AM116" s="36">
        <f>SUMIFS('свод практик'!$CN$6:$CN$277,'свод практик'!$J$6:$J$277,'свод субъектов ИБ+смежные'!AM$1)</f>
        <v>0</v>
      </c>
      <c r="AN116" s="160">
        <f>SUMIFS('свод практик'!$CN$6:$CN$277,'свод практик'!$J$6:$J$277,'свод субъектов ИБ+смежные'!AN$1)</f>
        <v>0</v>
      </c>
      <c r="AO116" s="160">
        <f>SUMIFS('свод практик'!$CN$6:$CN$277,'свод практик'!$J$6:$J$277,'свод субъектов ИБ+смежные'!AO$1)</f>
        <v>0</v>
      </c>
      <c r="AP116" s="36">
        <f>SUMIFS('свод практик'!$CN$6:$CN$277,'свод практик'!$J$6:$J$277,'свод субъектов ИБ+смежные'!AP$1)</f>
        <v>0</v>
      </c>
      <c r="AQ116" s="36">
        <f>SUMIFS('свод практик'!$CN$6:$CN$277,'свод практик'!$J$6:$J$277,'свод субъектов ИБ+смежные'!AQ$1)</f>
        <v>0</v>
      </c>
      <c r="AR116" s="36">
        <f>SUMIFS('свод практик'!$CN$6:$CN$277,'свод практик'!$J$6:$J$277,'свод субъектов ИБ+смежные'!AR$1)</f>
        <v>0</v>
      </c>
      <c r="AS116" s="36">
        <f>SUMIFS('свод практик'!$CN$6:$CN$277,'свод практик'!$J$6:$J$277,'свод субъектов ИБ+смежные'!AS$1)</f>
        <v>0</v>
      </c>
      <c r="AT116" s="36">
        <f>SUMIFS('свод практик'!$CN$6:$CN$277,'свод практик'!$J$6:$J$277,'свод субъектов ИБ+смежные'!AT$1)</f>
        <v>0</v>
      </c>
      <c r="AU116" s="36">
        <f>SUMIFS('свод практик'!$CN$6:$CN$277,'свод практик'!$J$6:$J$277,'свод субъектов ИБ+смежные'!AU$1)</f>
        <v>0</v>
      </c>
      <c r="AV116" s="36">
        <f>SUMIFS('свод практик'!$CN$6:$CN$277,'свод практик'!$J$6:$J$277,'свод субъектов ИБ+смежные'!AV$1)</f>
        <v>0</v>
      </c>
      <c r="AW116" s="36">
        <f>SUMIFS('свод практик'!$CN$6:$CN$277,'свод практик'!$J$6:$J$277,'свод субъектов ИБ+смежные'!AW$1)</f>
        <v>0</v>
      </c>
      <c r="AX116" s="36">
        <f>SUMIFS('свод практик'!$CN$6:$CN$277,'свод практик'!$J$6:$J$277,'свод субъектов ИБ+смежные'!AX$1)</f>
        <v>0</v>
      </c>
      <c r="AY116" s="160">
        <f>SUMIFS('свод практик'!$CN$6:$CN$277,'свод практик'!$J$6:$J$277,'свод субъектов ИБ+смежные'!AY$1)</f>
        <v>0</v>
      </c>
      <c r="AZ116" s="36">
        <f>SUMIFS('свод практик'!$CN$6:$CN$277,'свод практик'!$J$6:$J$277,'свод субъектов ИБ+смежные'!AZ$1)</f>
        <v>3</v>
      </c>
      <c r="BA116" s="36">
        <f>SUMIFS('свод практик'!$CN$6:$CN$277,'свод практик'!$J$6:$J$277,'свод субъектов ИБ+смежные'!BA$1)</f>
        <v>0</v>
      </c>
      <c r="BB116" s="160">
        <f>SUMIFS('свод практик'!$CN$6:$CN$277,'свод практик'!$J$6:$J$277,'свод субъектов ИБ+смежные'!BB$1)</f>
        <v>0</v>
      </c>
      <c r="BC116" s="36">
        <f>SUMIFS('свод практик'!$CN$6:$CN$277,'свод практик'!$J$6:$J$277,'свод субъектов ИБ+смежные'!BC$1)</f>
        <v>0</v>
      </c>
      <c r="BD116" s="160">
        <f>SUMIFS('свод практик'!$CN$6:$CN$277,'свод практик'!$J$6:$J$277,'свод субъектов ИБ+смежные'!BD$1)</f>
        <v>0</v>
      </c>
      <c r="BE116" s="160">
        <f>SUMIFS('свод практик'!$CN$6:$CN$277,'свод практик'!$J$6:$J$277,'свод субъектов ИБ+смежные'!BE$1)</f>
        <v>0</v>
      </c>
      <c r="BF116" s="36">
        <f>SUMIFS('свод практик'!$CN$6:$CN$277,'свод практик'!$J$6:$J$277,'свод субъектов ИБ+смежные'!BF$1)</f>
        <v>0</v>
      </c>
      <c r="BG116" s="36">
        <f>SUMIFS('свод практик'!$CN$6:$CN$277,'свод практик'!$J$6:$J$277,'свод субъектов ИБ+смежные'!BG$1)</f>
        <v>0</v>
      </c>
      <c r="BH116" s="36">
        <f>SUMIFS('свод практик'!$CN$6:$CN$277,'свод практик'!$J$6:$J$277,'свод субъектов ИБ+смежные'!BH$1)</f>
        <v>0</v>
      </c>
      <c r="BI116" s="36">
        <f>SUMIFS('свод практик'!$CN$6:$CN$277,'свод практик'!$J$6:$J$277,'свод субъектов ИБ+смежные'!BI$1)</f>
        <v>8</v>
      </c>
      <c r="BJ116" s="36">
        <f>SUMIFS('свод практик'!$CN$6:$CN$277,'свод практик'!$J$6:$J$277,'свод субъектов ИБ+смежные'!BJ$1)</f>
        <v>0</v>
      </c>
      <c r="BK116" s="36">
        <f>SUMIFS('свод практик'!$CN$6:$CN$277,'свод практик'!$J$6:$J$277,'свод субъектов ИБ+смежные'!BK$1)</f>
        <v>2</v>
      </c>
      <c r="BL116" s="36">
        <f>SUMIFS('свод практик'!$CN$6:$CN$277,'свод практик'!$J$6:$J$277,'свод субъектов ИБ+смежные'!BL$1)</f>
        <v>0</v>
      </c>
      <c r="BM116" s="36">
        <f>SUMIFS('свод практик'!$CN$6:$CN$277,'свод практик'!$J$6:$J$277,'свод субъектов ИБ+смежные'!BM$1)</f>
        <v>0</v>
      </c>
      <c r="BN116" s="36">
        <f>SUMIFS('свод практик'!$CN$6:$CN$277,'свод практик'!$J$6:$J$277,'свод субъектов ИБ+смежные'!BN$1)</f>
        <v>0</v>
      </c>
      <c r="BO116" s="36">
        <f>SUMIFS('свод практик'!$CN$6:$CN$277,'свод практик'!$J$6:$J$277,'свод субъектов ИБ+смежные'!BO$1)</f>
        <v>18</v>
      </c>
      <c r="BP116" s="36">
        <f>SUMIFS('свод практик'!$CN$6:$CN$277,'свод практик'!$J$6:$J$277,'свод субъектов ИБ+смежные'!BP$1)</f>
        <v>0</v>
      </c>
      <c r="BQ116" s="160">
        <f>SUMIFS('свод практик'!$CN$6:$CN$277,'свод практик'!$J$6:$J$277,'свод субъектов ИБ+смежные'!BQ$1)</f>
        <v>0</v>
      </c>
      <c r="BR116" s="36">
        <f>SUMIFS('свод практик'!$CN$6:$CN$277,'свод практик'!$J$6:$J$277,'свод субъектов ИБ+смежные'!BR$1)</f>
        <v>0</v>
      </c>
      <c r="BS116" s="36">
        <f>SUMIFS('свод практик'!$CN$6:$CN$277,'свод практик'!$J$6:$J$277,'свод субъектов ИБ+смежные'!BS$1)</f>
        <v>0</v>
      </c>
      <c r="BT116" s="36">
        <f>SUMIFS('свод практик'!$CN$6:$CN$277,'свод практик'!$J$6:$J$277,'свод субъектов ИБ+смежные'!BT$1)</f>
        <v>0</v>
      </c>
      <c r="BU116" s="36">
        <f>SUMIFS('свод практик'!$CN$6:$CN$277,'свод практик'!$J$6:$J$277,'свод субъектов ИБ+смежные'!BU$1)</f>
        <v>0</v>
      </c>
      <c r="BV116" s="36">
        <f>SUMIFS('свод практик'!$CN$6:$CN$277,'свод практик'!$J$6:$J$277,'свод субъектов ИБ+смежные'!BV$1)</f>
        <v>0</v>
      </c>
      <c r="BW116" s="36">
        <f>SUMIFS('свод практик'!$CN$6:$CN$277,'свод практик'!$J$6:$J$277,'свод субъектов ИБ+смежные'!BW$1)</f>
        <v>0</v>
      </c>
      <c r="BX116" s="36">
        <f>SUMIFS('свод практик'!$CN$6:$CN$277,'свод практик'!$J$6:$J$277,'свод субъектов ИБ+смежные'!BX$1)</f>
        <v>0</v>
      </c>
      <c r="BY116" s="36">
        <f>SUMIFS('свод практик'!$CN$6:$CN$277,'свод практик'!$J$6:$J$277,'свод субъектов ИБ+смежные'!BY$1)</f>
        <v>0</v>
      </c>
      <c r="BZ116" s="36">
        <f>SUMIFS('свод практик'!$CN$6:$CN$277,'свод практик'!$J$6:$J$277,'свод субъектов ИБ+смежные'!BZ$1)</f>
        <v>0</v>
      </c>
      <c r="CA116" s="160">
        <f>SUMIFS('свод практик'!$CN$6:$CN$277,'свод практик'!$J$6:$J$277,'свод субъектов ИБ+смежные'!CA$1)</f>
        <v>0</v>
      </c>
      <c r="CB116" s="160">
        <f>SUMIFS('свод практик'!$CN$6:$CN$277,'свод практик'!$J$6:$J$277,'свод субъектов ИБ+смежные'!CB$1)</f>
        <v>0</v>
      </c>
      <c r="CC116" s="36">
        <f>SUMIFS('свод практик'!$CN$6:$CN$277,'свод практик'!$J$6:$J$277,'свод субъектов ИБ+смежные'!CC$1)</f>
        <v>0</v>
      </c>
      <c r="CD116" s="36">
        <f>SUMIFS('свод практик'!$CN$6:$CN$277,'свод практик'!$J$6:$J$277,'свод субъектов ИБ+смежные'!CD$1)</f>
        <v>0</v>
      </c>
      <c r="CE116" s="36">
        <f>SUMIFS('свод практик'!$CN$6:$CN$277,'свод практик'!$J$6:$J$277,'свод субъектов ИБ+смежные'!CE$1)</f>
        <v>3</v>
      </c>
      <c r="CF116" s="36">
        <f>SUMIFS('свод практик'!$CN$6:$CN$277,'свод практик'!$J$6:$J$277,'свод субъектов ИБ+смежные'!CF$1)</f>
        <v>0</v>
      </c>
      <c r="CG116" s="36">
        <f>SUMIFS('свод практик'!$CN$6:$CN$277,'свод практик'!$J$6:$J$277,'свод субъектов ИБ+смежные'!CG$1)</f>
        <v>0</v>
      </c>
      <c r="CH116" s="36">
        <f>SUMIFS('свод практик'!$CN$6:$CN$277,'свод практик'!$J$6:$J$277,'свод субъектов ИБ+смежные'!CH$1)</f>
        <v>0</v>
      </c>
      <c r="CI116" s="36">
        <f>SUMIFS('свод практик'!$CN$6:$CN$277,'свод практик'!$J$6:$J$277,'свод субъектов ИБ+смежные'!CI$1)</f>
        <v>123</v>
      </c>
      <c r="CJ116" s="160">
        <f>SUMIFS('свод практик'!$CN$6:$CN$277,'свод практик'!$J$6:$J$277,'свод субъектов ИБ+смежные'!CJ$1)</f>
        <v>0</v>
      </c>
      <c r="CK116" s="36">
        <f>SUMIFS('свод практик'!$CN$6:$CN$277,'свод практик'!$J$6:$J$277,'свод субъектов ИБ+смежные'!CK$1)</f>
        <v>0</v>
      </c>
      <c r="CL116" s="36">
        <f>SUMIFS('свод практик'!$CN$6:$CN$277,'свод практик'!$J$6:$J$277,'свод субъектов ИБ+смежные'!CL$1)</f>
        <v>0</v>
      </c>
      <c r="CM116" s="36">
        <f>SUMIFS('свод практик'!$CN$6:$CN$277,'свод практик'!$J$6:$J$277,'свод субъектов ИБ+смежные'!CM$1)</f>
        <v>0</v>
      </c>
      <c r="CN116" s="36">
        <f>SUMIFS('свод практик'!$CN$6:$CN$277,'свод практик'!$J$6:$J$277,'свод субъектов ИБ+смежные'!CN$1)</f>
        <v>0</v>
      </c>
      <c r="CO116" s="160">
        <f>SUMIFS('свод практик'!$CN$6:$CN$277,'свод практик'!$J$6:$J$277,'свод субъектов ИБ+смежные'!CO$1)</f>
        <v>0</v>
      </c>
      <c r="CP116" s="36">
        <f>SUMIFS('свод практик'!$CN$6:$CN$277,'свод практик'!$J$6:$J$277,'свод субъектов ИБ+смежные'!CP$1)</f>
        <v>0</v>
      </c>
      <c r="CQ116" s="36">
        <f>SUMIFS('свод практик'!$CN$6:$CN$277,'свод практик'!$J$6:$J$277,'свод субъектов ИБ+смежные'!CQ$1)</f>
        <v>10</v>
      </c>
      <c r="CR116" s="160">
        <f>SUMIFS('свод практик'!$CN$6:$CN$277,'свод практик'!$J$6:$J$277,'свод субъектов ИБ+смежные'!CR$1)</f>
        <v>0</v>
      </c>
      <c r="CS116" s="36">
        <f>SUMIFS('свод практик'!$CN$6:$CN$277,'свод практик'!$J$6:$J$277,'свод субъектов ИБ+смежные'!CS$1)</f>
        <v>1</v>
      </c>
      <c r="CT116" s="36">
        <f>SUMIFS('свод практик'!$CN$6:$CN$277,'свод практик'!$J$6:$J$277,'свод субъектов ИБ+смежные'!CT$1)</f>
        <v>0</v>
      </c>
      <c r="CU116" s="36">
        <f>SUMIFS('свод практик'!$CN$6:$CN$277,'свод практик'!$J$6:$J$277,'свод субъектов ИБ+смежные'!CU$1)</f>
        <v>1</v>
      </c>
      <c r="CV116" s="36">
        <f>SUMIFS('свод практик'!$CN$6:$CN$277,'свод практик'!$J$6:$J$277,'свод субъектов ИБ+смежные'!CV$1)</f>
        <v>0</v>
      </c>
    </row>
    <row r="117" spans="1:101" ht="14">
      <c r="A117" s="716"/>
      <c r="B117" s="716"/>
      <c r="C117" s="773"/>
      <c r="D117" s="42" t="s">
        <v>4949</v>
      </c>
      <c r="E117" s="42">
        <v>79</v>
      </c>
      <c r="F117" s="43" t="s">
        <v>5185</v>
      </c>
      <c r="G117" s="762"/>
      <c r="H117" s="45" t="s">
        <v>60</v>
      </c>
      <c r="I117" s="46"/>
      <c r="L117" s="36" t="s">
        <v>278</v>
      </c>
      <c r="M117" s="36">
        <v>1.3360933383515242E-2</v>
      </c>
      <c r="N117" s="36">
        <v>1.9036004029906146E-2</v>
      </c>
      <c r="O117" s="228">
        <f>O116/O126</f>
        <v>9.0655189780687699E-3</v>
      </c>
      <c r="P117" s="145">
        <f t="shared" ref="P117:CA117" si="73">P116/P126</f>
        <v>0</v>
      </c>
      <c r="Q117" s="145">
        <f t="shared" si="73"/>
        <v>0</v>
      </c>
      <c r="R117" s="145">
        <f t="shared" si="73"/>
        <v>0</v>
      </c>
      <c r="S117" s="145">
        <f t="shared" si="73"/>
        <v>0</v>
      </c>
      <c r="T117" s="145">
        <f t="shared" si="73"/>
        <v>0</v>
      </c>
      <c r="U117" s="145">
        <f t="shared" si="73"/>
        <v>0</v>
      </c>
      <c r="V117" s="145">
        <f t="shared" si="73"/>
        <v>7.8094494338149163E-4</v>
      </c>
      <c r="W117" s="145">
        <f t="shared" si="73"/>
        <v>2.1126760563380281E-2</v>
      </c>
      <c r="X117" s="145">
        <f t="shared" si="73"/>
        <v>0</v>
      </c>
      <c r="Y117" s="145">
        <f t="shared" si="73"/>
        <v>0</v>
      </c>
      <c r="Z117" s="145">
        <f t="shared" si="73"/>
        <v>0</v>
      </c>
      <c r="AA117" s="145">
        <f t="shared" si="73"/>
        <v>0</v>
      </c>
      <c r="AB117" s="145">
        <f t="shared" si="73"/>
        <v>1.3437849944008958E-2</v>
      </c>
      <c r="AC117" s="145">
        <f t="shared" si="73"/>
        <v>0</v>
      </c>
      <c r="AD117" s="145" t="e">
        <f t="shared" si="73"/>
        <v>#DIV/0!</v>
      </c>
      <c r="AE117" s="145" t="e">
        <f t="shared" si="73"/>
        <v>#DIV/0!</v>
      </c>
      <c r="AF117" s="145">
        <f t="shared" si="73"/>
        <v>0</v>
      </c>
      <c r="AG117" s="145" t="e">
        <f t="shared" si="73"/>
        <v>#DIV/0!</v>
      </c>
      <c r="AH117" s="145" t="e">
        <f t="shared" si="73"/>
        <v>#DIV/0!</v>
      </c>
      <c r="AI117" s="145">
        <f t="shared" si="73"/>
        <v>0</v>
      </c>
      <c r="AJ117" s="145">
        <f t="shared" si="73"/>
        <v>0</v>
      </c>
      <c r="AK117" s="145">
        <f t="shared" si="73"/>
        <v>2.1052631578947368E-2</v>
      </c>
      <c r="AL117" s="145">
        <f t="shared" si="73"/>
        <v>0</v>
      </c>
      <c r="AM117" s="145">
        <f t="shared" si="73"/>
        <v>0</v>
      </c>
      <c r="AN117" s="145" t="e">
        <f t="shared" si="73"/>
        <v>#DIV/0!</v>
      </c>
      <c r="AO117" s="145" t="e">
        <f t="shared" si="73"/>
        <v>#DIV/0!</v>
      </c>
      <c r="AP117" s="145">
        <f t="shared" si="73"/>
        <v>0</v>
      </c>
      <c r="AQ117" s="145">
        <f t="shared" si="73"/>
        <v>0</v>
      </c>
      <c r="AR117" s="145">
        <f t="shared" si="73"/>
        <v>0</v>
      </c>
      <c r="AS117" s="145">
        <f t="shared" si="73"/>
        <v>0</v>
      </c>
      <c r="AT117" s="145">
        <f t="shared" si="73"/>
        <v>0</v>
      </c>
      <c r="AU117" s="145">
        <f t="shared" si="73"/>
        <v>0</v>
      </c>
      <c r="AV117" s="145">
        <f t="shared" si="73"/>
        <v>0</v>
      </c>
      <c r="AW117" s="145">
        <f t="shared" si="73"/>
        <v>0</v>
      </c>
      <c r="AX117" s="145">
        <f t="shared" si="73"/>
        <v>0</v>
      </c>
      <c r="AY117" s="162" t="e">
        <f t="shared" si="73"/>
        <v>#DIV/0!</v>
      </c>
      <c r="AZ117" s="145">
        <f t="shared" si="73"/>
        <v>4.9423393739703456E-3</v>
      </c>
      <c r="BA117" s="145">
        <f t="shared" si="73"/>
        <v>0</v>
      </c>
      <c r="BB117" s="162" t="e">
        <f t="shared" si="73"/>
        <v>#DIV/0!</v>
      </c>
      <c r="BC117" s="145">
        <f t="shared" si="73"/>
        <v>0</v>
      </c>
      <c r="BD117" s="162" t="e">
        <f t="shared" si="73"/>
        <v>#DIV/0!</v>
      </c>
      <c r="BE117" s="162" t="e">
        <f t="shared" si="73"/>
        <v>#DIV/0!</v>
      </c>
      <c r="BF117" s="145">
        <f t="shared" si="73"/>
        <v>0</v>
      </c>
      <c r="BG117" s="145">
        <f t="shared" si="73"/>
        <v>0</v>
      </c>
      <c r="BH117" s="145">
        <f t="shared" si="73"/>
        <v>0</v>
      </c>
      <c r="BI117" s="145">
        <f t="shared" si="73"/>
        <v>1.3490725126475547E-2</v>
      </c>
      <c r="BJ117" s="145">
        <f t="shared" si="73"/>
        <v>0</v>
      </c>
      <c r="BK117" s="145">
        <f t="shared" si="73"/>
        <v>9.852216748768473E-3</v>
      </c>
      <c r="BL117" s="145">
        <f t="shared" si="73"/>
        <v>0</v>
      </c>
      <c r="BM117" s="145">
        <f t="shared" si="73"/>
        <v>0</v>
      </c>
      <c r="BN117" s="145">
        <f t="shared" si="73"/>
        <v>0</v>
      </c>
      <c r="BO117" s="145">
        <f t="shared" si="73"/>
        <v>0.12080536912751678</v>
      </c>
      <c r="BP117" s="145">
        <f t="shared" si="73"/>
        <v>0</v>
      </c>
      <c r="BQ117" s="145" t="e">
        <f t="shared" si="73"/>
        <v>#DIV/0!</v>
      </c>
      <c r="BR117" s="145">
        <f t="shared" si="73"/>
        <v>0</v>
      </c>
      <c r="BS117" s="145">
        <f t="shared" si="73"/>
        <v>0</v>
      </c>
      <c r="BT117" s="145">
        <f t="shared" si="73"/>
        <v>0</v>
      </c>
      <c r="BU117" s="145">
        <f t="shared" si="73"/>
        <v>0</v>
      </c>
      <c r="BV117" s="145">
        <f t="shared" si="73"/>
        <v>0</v>
      </c>
      <c r="BW117" s="145">
        <f t="shared" si="73"/>
        <v>0</v>
      </c>
      <c r="BX117" s="145">
        <f t="shared" si="73"/>
        <v>0</v>
      </c>
      <c r="BY117" s="145">
        <f t="shared" si="73"/>
        <v>0</v>
      </c>
      <c r="BZ117" s="145">
        <f t="shared" si="73"/>
        <v>0</v>
      </c>
      <c r="CA117" s="145" t="e">
        <f t="shared" si="73"/>
        <v>#DIV/0!</v>
      </c>
      <c r="CB117" s="145" t="e">
        <f t="shared" ref="CB117:CV117" si="74">CB116/CB126</f>
        <v>#DIV/0!</v>
      </c>
      <c r="CC117" s="145">
        <f t="shared" si="74"/>
        <v>0</v>
      </c>
      <c r="CD117" s="145">
        <f t="shared" si="74"/>
        <v>0</v>
      </c>
      <c r="CE117" s="145">
        <f t="shared" si="74"/>
        <v>5.5248618784530384E-3</v>
      </c>
      <c r="CF117" s="145">
        <f t="shared" si="74"/>
        <v>0</v>
      </c>
      <c r="CG117" s="145">
        <f t="shared" si="74"/>
        <v>0</v>
      </c>
      <c r="CH117" s="145">
        <f t="shared" si="74"/>
        <v>0</v>
      </c>
      <c r="CI117" s="145">
        <f t="shared" si="74"/>
        <v>0.24308300395256918</v>
      </c>
      <c r="CJ117" s="145" t="e">
        <f t="shared" si="74"/>
        <v>#DIV/0!</v>
      </c>
      <c r="CK117" s="145">
        <f t="shared" si="74"/>
        <v>0</v>
      </c>
      <c r="CL117" s="145">
        <f t="shared" si="74"/>
        <v>0</v>
      </c>
      <c r="CM117" s="145">
        <f t="shared" si="74"/>
        <v>0</v>
      </c>
      <c r="CN117" s="145">
        <f t="shared" si="74"/>
        <v>0</v>
      </c>
      <c r="CO117" s="145" t="e">
        <f t="shared" si="74"/>
        <v>#DIV/0!</v>
      </c>
      <c r="CP117" s="145">
        <f t="shared" si="74"/>
        <v>0</v>
      </c>
      <c r="CQ117" s="145">
        <f t="shared" si="74"/>
        <v>6.1728395061728392E-2</v>
      </c>
      <c r="CR117" s="145" t="e">
        <f t="shared" si="74"/>
        <v>#DIV/0!</v>
      </c>
      <c r="CS117" s="145">
        <f t="shared" si="74"/>
        <v>1.5105740181268882E-3</v>
      </c>
      <c r="CT117" s="145">
        <f t="shared" si="74"/>
        <v>0</v>
      </c>
      <c r="CU117" s="145">
        <f t="shared" si="74"/>
        <v>1.2345679012345678E-2</v>
      </c>
      <c r="CV117" s="145">
        <f t="shared" si="74"/>
        <v>0</v>
      </c>
    </row>
    <row r="118" spans="1:101" ht="14">
      <c r="A118" s="716"/>
      <c r="B118" s="716"/>
      <c r="C118" s="773"/>
      <c r="D118" s="42" t="s">
        <v>4949</v>
      </c>
      <c r="E118" s="42">
        <v>80</v>
      </c>
      <c r="F118" s="43" t="s">
        <v>5186</v>
      </c>
      <c r="G118" s="762" t="s">
        <v>5187</v>
      </c>
      <c r="H118" s="45" t="s">
        <v>5140</v>
      </c>
      <c r="I118" s="46"/>
      <c r="M118" s="36">
        <v>40</v>
      </c>
      <c r="N118" s="36">
        <v>41</v>
      </c>
      <c r="O118" s="224">
        <f>SUM(P118:CV118)</f>
        <v>58</v>
      </c>
      <c r="P118" s="36">
        <f>SUMIFS('свод практик'!$CO$6:$CO$277,'свод практик'!$J$6:$J$277,'свод субъектов ИБ+смежные'!P$1)</f>
        <v>0</v>
      </c>
      <c r="Q118" s="36">
        <f>SUMIFS('свод практик'!$CO$6:$CO$277,'свод практик'!$J$6:$J$277,'свод субъектов ИБ+смежные'!Q$1)</f>
        <v>0</v>
      </c>
      <c r="R118" s="36">
        <f>SUMIFS('свод практик'!$CO$6:$CO$277,'свод практик'!$J$6:$J$277,'свод субъектов ИБ+смежные'!R$1)</f>
        <v>0</v>
      </c>
      <c r="S118" s="36">
        <f>SUMIFS('свод практик'!$CO$6:$CO$277,'свод практик'!$J$6:$J$277,'свод субъектов ИБ+смежные'!S$1)</f>
        <v>0</v>
      </c>
      <c r="T118" s="36">
        <f>SUMIFS('свод практик'!$CO$6:$CO$277,'свод практик'!$J$6:$J$277,'свод субъектов ИБ+смежные'!T$1)</f>
        <v>20</v>
      </c>
      <c r="U118" s="36">
        <f>SUMIFS('свод практик'!$CO$6:$CO$277,'свод практик'!$J$6:$J$277,'свод субъектов ИБ+смежные'!U$1)</f>
        <v>0</v>
      </c>
      <c r="V118" s="36">
        <f>SUMIFS('свод практик'!$CO$6:$CO$277,'свод практик'!$J$6:$J$277,'свод субъектов ИБ+смежные'!V$1)</f>
        <v>0</v>
      </c>
      <c r="W118" s="36">
        <f>SUMIFS('свод практик'!$CO$6:$CO$277,'свод практик'!$J$6:$J$277,'свод субъектов ИБ+смежные'!W$1)</f>
        <v>2</v>
      </c>
      <c r="X118" s="36">
        <f>SUMIFS('свод практик'!$CO$6:$CO$277,'свод практик'!$J$6:$J$277,'свод субъектов ИБ+смежные'!X$1)</f>
        <v>0</v>
      </c>
      <c r="Y118" s="36">
        <f>SUMIFS('свод практик'!$CO$6:$CO$277,'свод практик'!$J$6:$J$277,'свод субъектов ИБ+смежные'!Y$1)</f>
        <v>0</v>
      </c>
      <c r="Z118" s="36">
        <f>SUMIFS('свод практик'!$CO$6:$CO$277,'свод практик'!$J$6:$J$277,'свод субъектов ИБ+смежные'!Z$1)</f>
        <v>0</v>
      </c>
      <c r="AA118" s="36">
        <f>SUMIFS('свод практик'!$CO$6:$CO$277,'свод практик'!$J$6:$J$277,'свод субъектов ИБ+смежные'!AA$1)</f>
        <v>0</v>
      </c>
      <c r="AB118" s="36">
        <f>SUMIFS('свод практик'!$CO$6:$CO$277,'свод практик'!$J$6:$J$277,'свод субъектов ИБ+смежные'!AB$1)</f>
        <v>0</v>
      </c>
      <c r="AC118" s="36">
        <f>SUMIFS('свод практик'!$CO$6:$CO$277,'свод практик'!$J$6:$J$277,'свод субъектов ИБ+смежные'!AC$1)</f>
        <v>0</v>
      </c>
      <c r="AD118" s="160">
        <f>SUMIFS('свод практик'!$CO$6:$CO$277,'свод практик'!$J$6:$J$277,'свод субъектов ИБ+смежные'!AD$1)</f>
        <v>0</v>
      </c>
      <c r="AE118" s="160">
        <f>SUMIFS('свод практик'!$CO$6:$CO$277,'свод практик'!$J$6:$J$277,'свод субъектов ИБ+смежные'!AE$1)</f>
        <v>0</v>
      </c>
      <c r="AF118" s="36">
        <f>SUMIFS('свод практик'!$CO$6:$CO$277,'свод практик'!$J$6:$J$277,'свод субъектов ИБ+смежные'!AF$1)</f>
        <v>0</v>
      </c>
      <c r="AG118" s="160">
        <f>SUMIFS('свод практик'!$CO$6:$CO$277,'свод практик'!$J$6:$J$277,'свод субъектов ИБ+смежные'!AG$1)</f>
        <v>0</v>
      </c>
      <c r="AH118" s="160">
        <f>SUMIFS('свод практик'!$CO$6:$CO$277,'свод практик'!$J$6:$J$277,'свод субъектов ИБ+смежные'!AH$1)</f>
        <v>0</v>
      </c>
      <c r="AI118" s="36">
        <f>SUMIFS('свод практик'!$CO$6:$CO$277,'свод практик'!$J$6:$J$277,'свод субъектов ИБ+смежные'!AI$1)</f>
        <v>0</v>
      </c>
      <c r="AJ118" s="36">
        <f>SUMIFS('свод практик'!$CO$6:$CO$277,'свод практик'!$J$6:$J$277,'свод субъектов ИБ+смежные'!AJ$1)</f>
        <v>0</v>
      </c>
      <c r="AK118" s="36">
        <f>SUMIFS('свод практик'!$CO$6:$CO$277,'свод практик'!$J$6:$J$277,'свод субъектов ИБ+смежные'!AK$1)</f>
        <v>1</v>
      </c>
      <c r="AL118" s="36">
        <f>SUMIFS('свод практик'!$CO$6:$CO$277,'свод практик'!$J$6:$J$277,'свод субъектов ИБ+смежные'!AL$1)</f>
        <v>0</v>
      </c>
      <c r="AM118" s="36">
        <f>SUMIFS('свод практик'!$CO$6:$CO$277,'свод практик'!$J$6:$J$277,'свод субъектов ИБ+смежные'!AM$1)</f>
        <v>0</v>
      </c>
      <c r="AN118" s="160">
        <f>SUMIFS('свод практик'!$CO$6:$CO$277,'свод практик'!$J$6:$J$277,'свод субъектов ИБ+смежные'!AN$1)</f>
        <v>0</v>
      </c>
      <c r="AO118" s="160">
        <f>SUMIFS('свод практик'!$CO$6:$CO$277,'свод практик'!$J$6:$J$277,'свод субъектов ИБ+смежные'!AO$1)</f>
        <v>0</v>
      </c>
      <c r="AP118" s="36">
        <f>SUMIFS('свод практик'!$CO$6:$CO$277,'свод практик'!$J$6:$J$277,'свод субъектов ИБ+смежные'!AP$1)</f>
        <v>0</v>
      </c>
      <c r="AQ118" s="36">
        <f>SUMIFS('свод практик'!$CO$6:$CO$277,'свод практик'!$J$6:$J$277,'свод субъектов ИБ+смежные'!AQ$1)</f>
        <v>0</v>
      </c>
      <c r="AR118" s="36">
        <f>SUMIFS('свод практик'!$CO$6:$CO$277,'свод практик'!$J$6:$J$277,'свод субъектов ИБ+смежные'!AR$1)</f>
        <v>0</v>
      </c>
      <c r="AS118" s="36">
        <f>SUMIFS('свод практик'!$CO$6:$CO$277,'свод практик'!$J$6:$J$277,'свод субъектов ИБ+смежные'!AS$1)</f>
        <v>0</v>
      </c>
      <c r="AT118" s="36">
        <f>SUMIFS('свод практик'!$CO$6:$CO$277,'свод практик'!$J$6:$J$277,'свод субъектов ИБ+смежные'!AT$1)</f>
        <v>0</v>
      </c>
      <c r="AU118" s="36">
        <f>SUMIFS('свод практик'!$CO$6:$CO$277,'свод практик'!$J$6:$J$277,'свод субъектов ИБ+смежные'!AU$1)</f>
        <v>0</v>
      </c>
      <c r="AV118" s="36">
        <f>SUMIFS('свод практик'!$CO$6:$CO$277,'свод практик'!$J$6:$J$277,'свод субъектов ИБ+смежные'!AV$1)</f>
        <v>0</v>
      </c>
      <c r="AW118" s="36">
        <f>SUMIFS('свод практик'!$CO$6:$CO$277,'свод практик'!$J$6:$J$277,'свод субъектов ИБ+смежные'!AW$1)</f>
        <v>0</v>
      </c>
      <c r="AX118" s="36">
        <f>SUMIFS('свод практик'!$CO$6:$CO$277,'свод практик'!$J$6:$J$277,'свод субъектов ИБ+смежные'!AX$1)</f>
        <v>0</v>
      </c>
      <c r="AY118" s="160">
        <f>SUMIFS('свод практик'!$CO$6:$CO$277,'свод практик'!$J$6:$J$277,'свод субъектов ИБ+смежные'!AY$1)</f>
        <v>0</v>
      </c>
      <c r="AZ118" s="36">
        <f>SUMIFS('свод практик'!$CO$6:$CO$277,'свод практик'!$J$6:$J$277,'свод субъектов ИБ+смежные'!AZ$1)</f>
        <v>6</v>
      </c>
      <c r="BA118" s="36">
        <f>SUMIFS('свод практик'!$CO$6:$CO$277,'свод практик'!$J$6:$J$277,'свод субъектов ИБ+смежные'!BA$1)</f>
        <v>0</v>
      </c>
      <c r="BB118" s="160">
        <f>SUMIFS('свод практик'!$CO$6:$CO$277,'свод практик'!$J$6:$J$277,'свод субъектов ИБ+смежные'!BB$1)</f>
        <v>0</v>
      </c>
      <c r="BC118" s="36">
        <f>SUMIFS('свод практик'!$CO$6:$CO$277,'свод практик'!$J$6:$J$277,'свод субъектов ИБ+смежные'!BC$1)</f>
        <v>0</v>
      </c>
      <c r="BD118" s="160">
        <f>SUMIFS('свод практик'!$CO$6:$CO$277,'свод практик'!$J$6:$J$277,'свод субъектов ИБ+смежные'!BD$1)</f>
        <v>0</v>
      </c>
      <c r="BE118" s="160">
        <f>SUMIFS('свод практик'!$CO$6:$CO$277,'свод практик'!$J$6:$J$277,'свод субъектов ИБ+смежные'!BE$1)</f>
        <v>0</v>
      </c>
      <c r="BF118" s="36">
        <f>SUMIFS('свод практик'!$CO$6:$CO$277,'свод практик'!$J$6:$J$277,'свод субъектов ИБ+смежные'!BF$1)</f>
        <v>0</v>
      </c>
      <c r="BG118" s="36">
        <f>SUMIFS('свод практик'!$CO$6:$CO$277,'свод практик'!$J$6:$J$277,'свод субъектов ИБ+смежные'!BG$1)</f>
        <v>0</v>
      </c>
      <c r="BH118" s="36">
        <f>SUMIFS('свод практик'!$CO$6:$CO$277,'свод практик'!$J$6:$J$277,'свод субъектов ИБ+смежные'!BH$1)</f>
        <v>0</v>
      </c>
      <c r="BI118" s="36">
        <f>SUMIFS('свод практик'!$CO$6:$CO$277,'свод практик'!$J$6:$J$277,'свод субъектов ИБ+смежные'!BI$1)</f>
        <v>2</v>
      </c>
      <c r="BJ118" s="36">
        <f>SUMIFS('свод практик'!$CO$6:$CO$277,'свод практик'!$J$6:$J$277,'свод субъектов ИБ+смежные'!BJ$1)</f>
        <v>0</v>
      </c>
      <c r="BK118" s="36">
        <f>SUMIFS('свод практик'!$CO$6:$CO$277,'свод практик'!$J$6:$J$277,'свод субъектов ИБ+смежные'!BK$1)</f>
        <v>0</v>
      </c>
      <c r="BL118" s="36">
        <f>SUMIFS('свод практик'!$CO$6:$CO$277,'свод практик'!$J$6:$J$277,'свод субъектов ИБ+смежные'!BL$1)</f>
        <v>0</v>
      </c>
      <c r="BM118" s="36">
        <f>SUMIFS('свод практик'!$CO$6:$CO$277,'свод практик'!$J$6:$J$277,'свод субъектов ИБ+смежные'!BM$1)</f>
        <v>0</v>
      </c>
      <c r="BN118" s="36">
        <f>SUMIFS('свод практик'!$CO$6:$CO$277,'свод практик'!$J$6:$J$277,'свод субъектов ИБ+смежные'!BN$1)</f>
        <v>0</v>
      </c>
      <c r="BO118" s="36">
        <f>SUMIFS('свод практик'!$CO$6:$CO$277,'свод практик'!$J$6:$J$277,'свод субъектов ИБ+смежные'!BO$1)</f>
        <v>0</v>
      </c>
      <c r="BP118" s="36">
        <f>SUMIFS('свод практик'!$CO$6:$CO$277,'свод практик'!$J$6:$J$277,'свод субъектов ИБ+смежные'!BP$1)</f>
        <v>0</v>
      </c>
      <c r="BQ118" s="160">
        <f>SUMIFS('свод практик'!$CO$6:$CO$277,'свод практик'!$J$6:$J$277,'свод субъектов ИБ+смежные'!BQ$1)</f>
        <v>0</v>
      </c>
      <c r="BR118" s="36">
        <f>SUMIFS('свод практик'!$CO$6:$CO$277,'свод практик'!$J$6:$J$277,'свод субъектов ИБ+смежные'!BR$1)</f>
        <v>0</v>
      </c>
      <c r="BS118" s="36">
        <f>SUMIFS('свод практик'!$CO$6:$CO$277,'свод практик'!$J$6:$J$277,'свод субъектов ИБ+смежные'!BS$1)</f>
        <v>0</v>
      </c>
      <c r="BT118" s="36">
        <f>SUMIFS('свод практик'!$CO$6:$CO$277,'свод практик'!$J$6:$J$277,'свод субъектов ИБ+смежные'!BT$1)</f>
        <v>0</v>
      </c>
      <c r="BU118" s="36">
        <f>SUMIFS('свод практик'!$CO$6:$CO$277,'свод практик'!$J$6:$J$277,'свод субъектов ИБ+смежные'!BU$1)</f>
        <v>1</v>
      </c>
      <c r="BV118" s="36">
        <f>SUMIFS('свод практик'!$CO$6:$CO$277,'свод практик'!$J$6:$J$277,'свод субъектов ИБ+смежные'!BV$1)</f>
        <v>0</v>
      </c>
      <c r="BW118" s="36">
        <f>SUMIFS('свод практик'!$CO$6:$CO$277,'свод практик'!$J$6:$J$277,'свод субъектов ИБ+смежные'!BW$1)</f>
        <v>0</v>
      </c>
      <c r="BX118" s="36">
        <f>SUMIFS('свод практик'!$CO$6:$CO$277,'свод практик'!$J$6:$J$277,'свод субъектов ИБ+смежные'!BX$1)</f>
        <v>0</v>
      </c>
      <c r="BY118" s="36">
        <f>SUMIFS('свод практик'!$CO$6:$CO$277,'свод практик'!$J$6:$J$277,'свод субъектов ИБ+смежные'!BY$1)</f>
        <v>0</v>
      </c>
      <c r="BZ118" s="36">
        <f>SUMIFS('свод практик'!$CO$6:$CO$277,'свод практик'!$J$6:$J$277,'свод субъектов ИБ+смежные'!BZ$1)</f>
        <v>0</v>
      </c>
      <c r="CA118" s="160">
        <f>SUMIFS('свод практик'!$CO$6:$CO$277,'свод практик'!$J$6:$J$277,'свод субъектов ИБ+смежные'!CA$1)</f>
        <v>0</v>
      </c>
      <c r="CB118" s="160">
        <f>SUMIFS('свод практик'!$CO$6:$CO$277,'свод практик'!$J$6:$J$277,'свод субъектов ИБ+смежные'!CB$1)</f>
        <v>0</v>
      </c>
      <c r="CC118" s="36">
        <f>SUMIFS('свод практик'!$CO$6:$CO$277,'свод практик'!$J$6:$J$277,'свод субъектов ИБ+смежные'!CC$1)</f>
        <v>0</v>
      </c>
      <c r="CD118" s="36">
        <f>SUMIFS('свод практик'!$CO$6:$CO$277,'свод практик'!$J$6:$J$277,'свод субъектов ИБ+смежные'!CD$1)</f>
        <v>0</v>
      </c>
      <c r="CE118" s="36">
        <f>SUMIFS('свод практик'!$CO$6:$CO$277,'свод практик'!$J$6:$J$277,'свод субъектов ИБ+смежные'!CE$1)</f>
        <v>17</v>
      </c>
      <c r="CF118" s="36">
        <f>SUMIFS('свод практик'!$CO$6:$CO$277,'свод практик'!$J$6:$J$277,'свод субъектов ИБ+смежные'!CF$1)</f>
        <v>3</v>
      </c>
      <c r="CG118" s="36">
        <f>SUMIFS('свод практик'!$CO$6:$CO$277,'свод практик'!$J$6:$J$277,'свод субъектов ИБ+смежные'!CG$1)</f>
        <v>0</v>
      </c>
      <c r="CH118" s="36">
        <f>SUMIFS('свод практик'!$CO$6:$CO$277,'свод практик'!$J$6:$J$277,'свод субъектов ИБ+смежные'!CH$1)</f>
        <v>0</v>
      </c>
      <c r="CI118" s="36">
        <f>SUMIFS('свод практик'!$CO$6:$CO$277,'свод практик'!$J$6:$J$277,'свод субъектов ИБ+смежные'!CI$1)</f>
        <v>0</v>
      </c>
      <c r="CJ118" s="160">
        <f>SUMIFS('свод практик'!$CO$6:$CO$277,'свод практик'!$J$6:$J$277,'свод субъектов ИБ+смежные'!CJ$1)</f>
        <v>0</v>
      </c>
      <c r="CK118" s="36">
        <f>SUMIFS('свод практик'!$CO$6:$CO$277,'свод практик'!$J$6:$J$277,'свод субъектов ИБ+смежные'!CK$1)</f>
        <v>0</v>
      </c>
      <c r="CL118" s="36">
        <f>SUMIFS('свод практик'!$CO$6:$CO$277,'свод практик'!$J$6:$J$277,'свод субъектов ИБ+смежные'!CL$1)</f>
        <v>0</v>
      </c>
      <c r="CM118" s="36">
        <f>SUMIFS('свод практик'!$CO$6:$CO$277,'свод практик'!$J$6:$J$277,'свод субъектов ИБ+смежные'!CM$1)</f>
        <v>1</v>
      </c>
      <c r="CN118" s="36">
        <f>SUMIFS('свод практик'!$CO$6:$CO$277,'свод практик'!$J$6:$J$277,'свод субъектов ИБ+смежные'!CN$1)</f>
        <v>5</v>
      </c>
      <c r="CO118" s="160">
        <f>SUMIFS('свод практик'!$CO$6:$CO$277,'свод практик'!$J$6:$J$277,'свод субъектов ИБ+смежные'!CO$1)</f>
        <v>0</v>
      </c>
      <c r="CP118" s="36">
        <f>SUMIFS('свод практик'!$CO$6:$CO$277,'свод практик'!$J$6:$J$277,'свод субъектов ИБ+смежные'!CP$1)</f>
        <v>0</v>
      </c>
      <c r="CQ118" s="36">
        <f>SUMIFS('свод практик'!$CO$6:$CO$277,'свод практик'!$J$6:$J$277,'свод субъектов ИБ+смежные'!CQ$1)</f>
        <v>0</v>
      </c>
      <c r="CR118" s="160">
        <f>SUMIFS('свод практик'!$CO$6:$CO$277,'свод практик'!$J$6:$J$277,'свод субъектов ИБ+смежные'!CR$1)</f>
        <v>0</v>
      </c>
      <c r="CS118" s="36">
        <f>SUMIFS('свод практик'!$CO$6:$CO$277,'свод практик'!$J$6:$J$277,'свод субъектов ИБ+смежные'!CS$1)</f>
        <v>0</v>
      </c>
      <c r="CT118" s="36">
        <f>SUMIFS('свод практик'!$CO$6:$CO$277,'свод практик'!$J$6:$J$277,'свод субъектов ИБ+смежные'!CT$1)</f>
        <v>0</v>
      </c>
      <c r="CU118" s="36">
        <f>SUMIFS('свод практик'!$CO$6:$CO$277,'свод практик'!$J$6:$J$277,'свод субъектов ИБ+смежные'!CU$1)</f>
        <v>0</v>
      </c>
      <c r="CV118" s="36">
        <f>SUMIFS('свод практик'!$CO$6:$CO$277,'свод практик'!$J$6:$J$277,'свод субъектов ИБ+смежные'!CV$1)</f>
        <v>0</v>
      </c>
    </row>
    <row r="119" spans="1:101" ht="14">
      <c r="A119" s="716"/>
      <c r="B119" s="716"/>
      <c r="C119" s="773"/>
      <c r="D119" s="42" t="s">
        <v>4949</v>
      </c>
      <c r="E119" s="42">
        <v>81</v>
      </c>
      <c r="F119" s="43" t="s">
        <v>5188</v>
      </c>
      <c r="G119" s="762"/>
      <c r="H119" s="45" t="s">
        <v>60</v>
      </c>
      <c r="I119" s="46"/>
      <c r="L119" s="36" t="s">
        <v>278</v>
      </c>
      <c r="M119" s="36">
        <v>2.5090954710826749E-3</v>
      </c>
      <c r="N119" s="36">
        <v>2.1740283153931809E-3</v>
      </c>
      <c r="O119" s="228">
        <f>O118/O126</f>
        <v>2.6555560642827708E-3</v>
      </c>
      <c r="P119" s="145">
        <f t="shared" ref="P119:CA119" si="75">P118/P126</f>
        <v>0</v>
      </c>
      <c r="Q119" s="145">
        <f t="shared" si="75"/>
        <v>0</v>
      </c>
      <c r="R119" s="145">
        <f t="shared" si="75"/>
        <v>0</v>
      </c>
      <c r="S119" s="145">
        <f t="shared" si="75"/>
        <v>0</v>
      </c>
      <c r="T119" s="145">
        <f t="shared" si="75"/>
        <v>5.4054054054054057E-2</v>
      </c>
      <c r="U119" s="145">
        <f t="shared" si="75"/>
        <v>0</v>
      </c>
      <c r="V119" s="145">
        <f t="shared" si="75"/>
        <v>0</v>
      </c>
      <c r="W119" s="145">
        <f t="shared" si="75"/>
        <v>1.4084507042253521E-2</v>
      </c>
      <c r="X119" s="145">
        <f t="shared" si="75"/>
        <v>0</v>
      </c>
      <c r="Y119" s="145">
        <f t="shared" si="75"/>
        <v>0</v>
      </c>
      <c r="Z119" s="145">
        <f t="shared" si="75"/>
        <v>0</v>
      </c>
      <c r="AA119" s="145">
        <f t="shared" si="75"/>
        <v>0</v>
      </c>
      <c r="AB119" s="145">
        <f t="shared" si="75"/>
        <v>0</v>
      </c>
      <c r="AC119" s="145">
        <f t="shared" si="75"/>
        <v>0</v>
      </c>
      <c r="AD119" s="145" t="e">
        <f t="shared" si="75"/>
        <v>#DIV/0!</v>
      </c>
      <c r="AE119" s="145" t="e">
        <f t="shared" si="75"/>
        <v>#DIV/0!</v>
      </c>
      <c r="AF119" s="145">
        <f t="shared" si="75"/>
        <v>0</v>
      </c>
      <c r="AG119" s="145" t="e">
        <f t="shared" si="75"/>
        <v>#DIV/0!</v>
      </c>
      <c r="AH119" s="145" t="e">
        <f t="shared" si="75"/>
        <v>#DIV/0!</v>
      </c>
      <c r="AI119" s="145">
        <f t="shared" si="75"/>
        <v>0</v>
      </c>
      <c r="AJ119" s="145">
        <f t="shared" si="75"/>
        <v>0</v>
      </c>
      <c r="AK119" s="145">
        <f t="shared" si="75"/>
        <v>1.7543859649122807E-3</v>
      </c>
      <c r="AL119" s="145">
        <f t="shared" si="75"/>
        <v>0</v>
      </c>
      <c r="AM119" s="145">
        <f t="shared" si="75"/>
        <v>0</v>
      </c>
      <c r="AN119" s="145" t="e">
        <f t="shared" si="75"/>
        <v>#DIV/0!</v>
      </c>
      <c r="AO119" s="145" t="e">
        <f t="shared" si="75"/>
        <v>#DIV/0!</v>
      </c>
      <c r="AP119" s="145">
        <f t="shared" si="75"/>
        <v>0</v>
      </c>
      <c r="AQ119" s="145">
        <f t="shared" si="75"/>
        <v>0</v>
      </c>
      <c r="AR119" s="145">
        <f t="shared" si="75"/>
        <v>0</v>
      </c>
      <c r="AS119" s="145">
        <f t="shared" si="75"/>
        <v>0</v>
      </c>
      <c r="AT119" s="145">
        <f t="shared" si="75"/>
        <v>0</v>
      </c>
      <c r="AU119" s="145">
        <f t="shared" si="75"/>
        <v>0</v>
      </c>
      <c r="AV119" s="145">
        <f t="shared" si="75"/>
        <v>0</v>
      </c>
      <c r="AW119" s="145">
        <f t="shared" si="75"/>
        <v>0</v>
      </c>
      <c r="AX119" s="145">
        <f t="shared" si="75"/>
        <v>0</v>
      </c>
      <c r="AY119" s="162" t="e">
        <f t="shared" si="75"/>
        <v>#DIV/0!</v>
      </c>
      <c r="AZ119" s="145">
        <f t="shared" si="75"/>
        <v>9.8846787479406912E-3</v>
      </c>
      <c r="BA119" s="145">
        <f t="shared" si="75"/>
        <v>0</v>
      </c>
      <c r="BB119" s="162" t="e">
        <f t="shared" si="75"/>
        <v>#DIV/0!</v>
      </c>
      <c r="BC119" s="145">
        <f t="shared" si="75"/>
        <v>0</v>
      </c>
      <c r="BD119" s="162" t="e">
        <f t="shared" si="75"/>
        <v>#DIV/0!</v>
      </c>
      <c r="BE119" s="162" t="e">
        <f t="shared" si="75"/>
        <v>#DIV/0!</v>
      </c>
      <c r="BF119" s="145">
        <f t="shared" si="75"/>
        <v>0</v>
      </c>
      <c r="BG119" s="145">
        <f t="shared" si="75"/>
        <v>0</v>
      </c>
      <c r="BH119" s="145">
        <f t="shared" si="75"/>
        <v>0</v>
      </c>
      <c r="BI119" s="145">
        <f t="shared" si="75"/>
        <v>3.3726812816188868E-3</v>
      </c>
      <c r="BJ119" s="145">
        <f t="shared" si="75"/>
        <v>0</v>
      </c>
      <c r="BK119" s="145">
        <f t="shared" si="75"/>
        <v>0</v>
      </c>
      <c r="BL119" s="145">
        <f t="shared" si="75"/>
        <v>0</v>
      </c>
      <c r="BM119" s="145">
        <f t="shared" si="75"/>
        <v>0</v>
      </c>
      <c r="BN119" s="145">
        <f t="shared" si="75"/>
        <v>0</v>
      </c>
      <c r="BO119" s="145">
        <f t="shared" si="75"/>
        <v>0</v>
      </c>
      <c r="BP119" s="145">
        <f t="shared" si="75"/>
        <v>0</v>
      </c>
      <c r="BQ119" s="145" t="e">
        <f t="shared" si="75"/>
        <v>#DIV/0!</v>
      </c>
      <c r="BR119" s="145">
        <f t="shared" si="75"/>
        <v>0</v>
      </c>
      <c r="BS119" s="145">
        <f t="shared" si="75"/>
        <v>0</v>
      </c>
      <c r="BT119" s="145">
        <f t="shared" si="75"/>
        <v>0</v>
      </c>
      <c r="BU119" s="145">
        <f t="shared" si="75"/>
        <v>1.639344262295082E-3</v>
      </c>
      <c r="BV119" s="145">
        <f t="shared" si="75"/>
        <v>0</v>
      </c>
      <c r="BW119" s="145">
        <f t="shared" si="75"/>
        <v>0</v>
      </c>
      <c r="BX119" s="145">
        <f t="shared" si="75"/>
        <v>0</v>
      </c>
      <c r="BY119" s="145">
        <f t="shared" si="75"/>
        <v>0</v>
      </c>
      <c r="BZ119" s="145">
        <f t="shared" si="75"/>
        <v>0</v>
      </c>
      <c r="CA119" s="145" t="e">
        <f t="shared" si="75"/>
        <v>#DIV/0!</v>
      </c>
      <c r="CB119" s="145" t="e">
        <f t="shared" ref="CB119:CV119" si="76">CB118/CB126</f>
        <v>#DIV/0!</v>
      </c>
      <c r="CC119" s="145">
        <f t="shared" si="76"/>
        <v>0</v>
      </c>
      <c r="CD119" s="145">
        <f t="shared" si="76"/>
        <v>0</v>
      </c>
      <c r="CE119" s="145">
        <f t="shared" si="76"/>
        <v>3.1307550644567222E-2</v>
      </c>
      <c r="CF119" s="145">
        <f t="shared" si="76"/>
        <v>1.0496850944716584E-3</v>
      </c>
      <c r="CG119" s="145">
        <f t="shared" si="76"/>
        <v>0</v>
      </c>
      <c r="CH119" s="145">
        <f t="shared" si="76"/>
        <v>0</v>
      </c>
      <c r="CI119" s="145">
        <f t="shared" si="76"/>
        <v>0</v>
      </c>
      <c r="CJ119" s="145" t="e">
        <f t="shared" si="76"/>
        <v>#DIV/0!</v>
      </c>
      <c r="CK119" s="145">
        <f t="shared" si="76"/>
        <v>0</v>
      </c>
      <c r="CL119" s="145">
        <f t="shared" si="76"/>
        <v>0</v>
      </c>
      <c r="CM119" s="145">
        <f t="shared" si="76"/>
        <v>6.8027210884353739E-3</v>
      </c>
      <c r="CN119" s="145">
        <f t="shared" si="76"/>
        <v>2.0080321285140562E-2</v>
      </c>
      <c r="CO119" s="145" t="e">
        <f t="shared" si="76"/>
        <v>#DIV/0!</v>
      </c>
      <c r="CP119" s="145">
        <f t="shared" si="76"/>
        <v>0</v>
      </c>
      <c r="CQ119" s="145">
        <f t="shared" si="76"/>
        <v>0</v>
      </c>
      <c r="CR119" s="145" t="e">
        <f t="shared" si="76"/>
        <v>#DIV/0!</v>
      </c>
      <c r="CS119" s="145">
        <f t="shared" si="76"/>
        <v>0</v>
      </c>
      <c r="CT119" s="145">
        <f t="shared" si="76"/>
        <v>0</v>
      </c>
      <c r="CU119" s="145">
        <f t="shared" si="76"/>
        <v>0</v>
      </c>
      <c r="CV119" s="145">
        <f t="shared" si="76"/>
        <v>0</v>
      </c>
    </row>
    <row r="120" spans="1:101" ht="14">
      <c r="A120" s="716"/>
      <c r="B120" s="716"/>
      <c r="C120" s="773"/>
      <c r="D120" s="42" t="s">
        <v>4949</v>
      </c>
      <c r="E120" s="42">
        <v>82</v>
      </c>
      <c r="F120" s="43" t="s">
        <v>5189</v>
      </c>
      <c r="G120" s="762" t="s">
        <v>5190</v>
      </c>
      <c r="H120" s="45" t="s">
        <v>5140</v>
      </c>
      <c r="I120" s="46"/>
      <c r="M120" s="36">
        <v>646</v>
      </c>
      <c r="N120" s="36">
        <v>311</v>
      </c>
      <c r="O120" s="224">
        <f>SUM(P120:CV120)</f>
        <v>417</v>
      </c>
      <c r="P120" s="36">
        <f>SUMIFS('свод практик'!$CP$6:$CP$277,'свод практик'!$J$6:$J$277,'свод субъектов ИБ+смежные'!P$1)</f>
        <v>0</v>
      </c>
      <c r="Q120" s="36">
        <f>SUMIFS('свод практик'!$CP$6:$CP$277,'свод практик'!$J$6:$J$277,'свод субъектов ИБ+смежные'!Q$1)</f>
        <v>0</v>
      </c>
      <c r="R120" s="36">
        <f>SUMIFS('свод практик'!$CP$6:$CP$277,'свод практик'!$J$6:$J$277,'свод субъектов ИБ+смежные'!R$1)</f>
        <v>0</v>
      </c>
      <c r="S120" s="36">
        <f>SUMIFS('свод практик'!$CP$6:$CP$277,'свод практик'!$J$6:$J$277,'свод субъектов ИБ+смежные'!S$1)</f>
        <v>0</v>
      </c>
      <c r="T120" s="36">
        <f>SUMIFS('свод практик'!$CP$6:$CP$277,'свод практик'!$J$6:$J$277,'свод субъектов ИБ+смежные'!T$1)</f>
        <v>0</v>
      </c>
      <c r="U120" s="36">
        <f>SUMIFS('свод практик'!$CP$6:$CP$277,'свод практик'!$J$6:$J$277,'свод субъектов ИБ+смежные'!U$1)</f>
        <v>0</v>
      </c>
      <c r="V120" s="36">
        <f>SUMIFS('свод практик'!$CP$6:$CP$277,'свод практик'!$J$6:$J$277,'свод субъектов ИБ+смежные'!V$1)</f>
        <v>114</v>
      </c>
      <c r="W120" s="36">
        <f>SUMIFS('свод практик'!$CP$6:$CP$277,'свод практик'!$J$6:$J$277,'свод субъектов ИБ+смежные'!W$1)</f>
        <v>7</v>
      </c>
      <c r="X120" s="36">
        <f>SUMIFS('свод практик'!$CP$6:$CP$277,'свод практик'!$J$6:$J$277,'свод субъектов ИБ+смежные'!X$1)</f>
        <v>0</v>
      </c>
      <c r="Y120" s="36">
        <f>SUMIFS('свод практик'!$CP$6:$CP$277,'свод практик'!$J$6:$J$277,'свод субъектов ИБ+смежные'!Y$1)</f>
        <v>0</v>
      </c>
      <c r="Z120" s="36">
        <f>SUMIFS('свод практик'!$CP$6:$CP$277,'свод практик'!$J$6:$J$277,'свод субъектов ИБ+смежные'!Z$1)</f>
        <v>0</v>
      </c>
      <c r="AA120" s="36">
        <f>SUMIFS('свод практик'!$CP$6:$CP$277,'свод практик'!$J$6:$J$277,'свод субъектов ИБ+смежные'!AA$1)</f>
        <v>1</v>
      </c>
      <c r="AB120" s="36">
        <f>SUMIFS('свод практик'!$CP$6:$CP$277,'свод практик'!$J$6:$J$277,'свод субъектов ИБ+смежные'!AB$1)</f>
        <v>0</v>
      </c>
      <c r="AC120" s="36">
        <f>SUMIFS('свод практик'!$CP$6:$CP$277,'свод практик'!$J$6:$J$277,'свод субъектов ИБ+смежные'!AC$1)</f>
        <v>0</v>
      </c>
      <c r="AD120" s="160">
        <f>SUMIFS('свод практик'!$CP$6:$CP$277,'свод практик'!$J$6:$J$277,'свод субъектов ИБ+смежные'!AD$1)</f>
        <v>0</v>
      </c>
      <c r="AE120" s="160">
        <f>SUMIFS('свод практик'!$CP$6:$CP$277,'свод практик'!$J$6:$J$277,'свод субъектов ИБ+смежные'!AE$1)</f>
        <v>0</v>
      </c>
      <c r="AF120" s="36">
        <f>SUMIFS('свод практик'!$CP$6:$CP$277,'свод практик'!$J$6:$J$277,'свод субъектов ИБ+смежные'!AF$1)</f>
        <v>1</v>
      </c>
      <c r="AG120" s="160">
        <f>SUMIFS('свод практик'!$CP$6:$CP$277,'свод практик'!$J$6:$J$277,'свод субъектов ИБ+смежные'!AG$1)</f>
        <v>0</v>
      </c>
      <c r="AH120" s="160">
        <f>SUMIFS('свод практик'!$CP$6:$CP$277,'свод практик'!$J$6:$J$277,'свод субъектов ИБ+смежные'!AH$1)</f>
        <v>0</v>
      </c>
      <c r="AI120" s="36">
        <f>SUMIFS('свод практик'!$CP$6:$CP$277,'свод практик'!$J$6:$J$277,'свод субъектов ИБ+смежные'!AI$1)</f>
        <v>151</v>
      </c>
      <c r="AJ120" s="36">
        <f>SUMIFS('свод практик'!$CP$6:$CP$277,'свод практик'!$J$6:$J$277,'свод субъектов ИБ+смежные'!AJ$1)</f>
        <v>0</v>
      </c>
      <c r="AK120" s="36">
        <f>SUMIFS('свод практик'!$CP$6:$CP$277,'свод практик'!$J$6:$J$277,'свод субъектов ИБ+смежные'!AK$1)</f>
        <v>0</v>
      </c>
      <c r="AL120" s="36">
        <f>SUMIFS('свод практик'!$CP$6:$CP$277,'свод практик'!$J$6:$J$277,'свод субъектов ИБ+смежные'!AL$1)</f>
        <v>0</v>
      </c>
      <c r="AM120" s="36">
        <f>SUMIFS('свод практик'!$CP$6:$CP$277,'свод практик'!$J$6:$J$277,'свод субъектов ИБ+смежные'!AM$1)</f>
        <v>0</v>
      </c>
      <c r="AN120" s="160">
        <f>SUMIFS('свод практик'!$CP$6:$CP$277,'свод практик'!$J$6:$J$277,'свод субъектов ИБ+смежные'!AN$1)</f>
        <v>0</v>
      </c>
      <c r="AO120" s="160">
        <f>SUMIFS('свод практик'!$CP$6:$CP$277,'свод практик'!$J$6:$J$277,'свод субъектов ИБ+смежные'!AO$1)</f>
        <v>0</v>
      </c>
      <c r="AP120" s="36">
        <f>SUMIFS('свод практик'!$CP$6:$CP$277,'свод практик'!$J$6:$J$277,'свод субъектов ИБ+смежные'!AP$1)</f>
        <v>1</v>
      </c>
      <c r="AQ120" s="36">
        <f>SUMIFS('свод практик'!$CP$6:$CP$277,'свод практик'!$J$6:$J$277,'свод субъектов ИБ+смежные'!AQ$1)</f>
        <v>0</v>
      </c>
      <c r="AR120" s="36">
        <f>SUMIFS('свод практик'!$CP$6:$CP$277,'свод практик'!$J$6:$J$277,'свод субъектов ИБ+смежные'!AR$1)</f>
        <v>0</v>
      </c>
      <c r="AS120" s="36">
        <f>SUMIFS('свод практик'!$CP$6:$CP$277,'свод практик'!$J$6:$J$277,'свод субъектов ИБ+смежные'!AS$1)</f>
        <v>16</v>
      </c>
      <c r="AT120" s="36">
        <f>SUMIFS('свод практик'!$CP$6:$CP$277,'свод практик'!$J$6:$J$277,'свод субъектов ИБ+смежные'!AT$1)</f>
        <v>0</v>
      </c>
      <c r="AU120" s="36">
        <f>SUMIFS('свод практик'!$CP$6:$CP$277,'свод практик'!$J$6:$J$277,'свод субъектов ИБ+смежные'!AU$1)</f>
        <v>0</v>
      </c>
      <c r="AV120" s="36">
        <f>SUMIFS('свод практик'!$CP$6:$CP$277,'свод практик'!$J$6:$J$277,'свод субъектов ИБ+смежные'!AV$1)</f>
        <v>0</v>
      </c>
      <c r="AW120" s="36">
        <f>SUMIFS('свод практик'!$CP$6:$CP$277,'свод практик'!$J$6:$J$277,'свод субъектов ИБ+смежные'!AW$1)</f>
        <v>0</v>
      </c>
      <c r="AX120" s="36">
        <f>SUMIFS('свод практик'!$CP$6:$CP$277,'свод практик'!$J$6:$J$277,'свод субъектов ИБ+смежные'!AX$1)</f>
        <v>0</v>
      </c>
      <c r="AY120" s="160">
        <f>SUMIFS('свод практик'!$CP$6:$CP$277,'свод практик'!$J$6:$J$277,'свод субъектов ИБ+смежные'!AY$1)</f>
        <v>0</v>
      </c>
      <c r="AZ120" s="36">
        <f>SUMIFS('свод практик'!$CP$6:$CP$277,'свод практик'!$J$6:$J$277,'свод субъектов ИБ+смежные'!AZ$1)</f>
        <v>3</v>
      </c>
      <c r="BA120" s="36">
        <f>SUMIFS('свод практик'!$CP$6:$CP$277,'свод практик'!$J$6:$J$277,'свод субъектов ИБ+смежные'!BA$1)</f>
        <v>0</v>
      </c>
      <c r="BB120" s="160">
        <f>SUMIFS('свод практик'!$CP$6:$CP$277,'свод практик'!$J$6:$J$277,'свод субъектов ИБ+смежные'!BB$1)</f>
        <v>0</v>
      </c>
      <c r="BC120" s="36">
        <f>SUMIFS('свод практик'!$CP$6:$CP$277,'свод практик'!$J$6:$J$277,'свод субъектов ИБ+смежные'!BC$1)</f>
        <v>0</v>
      </c>
      <c r="BD120" s="160">
        <f>SUMIFS('свод практик'!$CP$6:$CP$277,'свод практик'!$J$6:$J$277,'свод субъектов ИБ+смежные'!BD$1)</f>
        <v>0</v>
      </c>
      <c r="BE120" s="160">
        <f>SUMIFS('свод практик'!$CP$6:$CP$277,'свод практик'!$J$6:$J$277,'свод субъектов ИБ+смежные'!BE$1)</f>
        <v>0</v>
      </c>
      <c r="BF120" s="36">
        <f>SUMIFS('свод практик'!$CP$6:$CP$277,'свод практик'!$J$6:$J$277,'свод субъектов ИБ+смежные'!BF$1)</f>
        <v>0</v>
      </c>
      <c r="BG120" s="36">
        <f>SUMIFS('свод практик'!$CP$6:$CP$277,'свод практик'!$J$6:$J$277,'свод субъектов ИБ+смежные'!BG$1)</f>
        <v>1</v>
      </c>
      <c r="BH120" s="36">
        <f>SUMIFS('свод практик'!$CP$6:$CP$277,'свод практик'!$J$6:$J$277,'свод субъектов ИБ+смежные'!BH$1)</f>
        <v>0</v>
      </c>
      <c r="BI120" s="36">
        <f>SUMIFS('свод практик'!$CP$6:$CP$277,'свод практик'!$J$6:$J$277,'свод субъектов ИБ+смежные'!BI$1)</f>
        <v>0</v>
      </c>
      <c r="BJ120" s="36">
        <f>SUMIFS('свод практик'!$CP$6:$CP$277,'свод практик'!$J$6:$J$277,'свод субъектов ИБ+смежные'!BJ$1)</f>
        <v>5</v>
      </c>
      <c r="BK120" s="36">
        <f>SUMIFS('свод практик'!$CP$6:$CP$277,'свод практик'!$J$6:$J$277,'свод субъектов ИБ+смежные'!BK$1)</f>
        <v>1</v>
      </c>
      <c r="BL120" s="36">
        <f>SUMIFS('свод практик'!$CP$6:$CP$277,'свод практик'!$J$6:$J$277,'свод субъектов ИБ+смежные'!BL$1)</f>
        <v>0</v>
      </c>
      <c r="BM120" s="36">
        <f>SUMIFS('свод практик'!$CP$6:$CP$277,'свод практик'!$J$6:$J$277,'свод субъектов ИБ+смежные'!BM$1)</f>
        <v>0</v>
      </c>
      <c r="BN120" s="36">
        <f>SUMIFS('свод практик'!$CP$6:$CP$277,'свод практик'!$J$6:$J$277,'свод субъектов ИБ+смежные'!BN$1)</f>
        <v>0</v>
      </c>
      <c r="BO120" s="36">
        <f>SUMIFS('свод практик'!$CP$6:$CP$277,'свод практик'!$J$6:$J$277,'свод субъектов ИБ+смежные'!BO$1)</f>
        <v>2</v>
      </c>
      <c r="BP120" s="36">
        <f>SUMIFS('свод практик'!$CP$6:$CP$277,'свод практик'!$J$6:$J$277,'свод субъектов ИБ+смежные'!BP$1)</f>
        <v>5</v>
      </c>
      <c r="BQ120" s="160">
        <f>SUMIFS('свод практик'!$CP$6:$CP$277,'свод практик'!$J$6:$J$277,'свод субъектов ИБ+смежные'!BQ$1)</f>
        <v>0</v>
      </c>
      <c r="BR120" s="36">
        <f>SUMIFS('свод практик'!$CP$6:$CP$277,'свод практик'!$J$6:$J$277,'свод субъектов ИБ+смежные'!BR$1)</f>
        <v>2</v>
      </c>
      <c r="BS120" s="36">
        <f>SUMIFS('свод практик'!$CP$6:$CP$277,'свод практик'!$J$6:$J$277,'свод субъектов ИБ+смежные'!BS$1)</f>
        <v>0</v>
      </c>
      <c r="BT120" s="36">
        <f>SUMIFS('свод практик'!$CP$6:$CP$277,'свод практик'!$J$6:$J$277,'свод субъектов ИБ+смежные'!BT$1)</f>
        <v>0</v>
      </c>
      <c r="BU120" s="36">
        <f>SUMIFS('свод практик'!$CP$6:$CP$277,'свод практик'!$J$6:$J$277,'свод субъектов ИБ+смежные'!BU$1)</f>
        <v>1</v>
      </c>
      <c r="BV120" s="36">
        <f>SUMIFS('свод практик'!$CP$6:$CP$277,'свод практик'!$J$6:$J$277,'свод субъектов ИБ+смежные'!BV$1)</f>
        <v>0</v>
      </c>
      <c r="BW120" s="36">
        <f>SUMIFS('свод практик'!$CP$6:$CP$277,'свод практик'!$J$6:$J$277,'свод субъектов ИБ+смежные'!BW$1)</f>
        <v>0</v>
      </c>
      <c r="BX120" s="36">
        <f>SUMIFS('свод практик'!$CP$6:$CP$277,'свод практик'!$J$6:$J$277,'свод субъектов ИБ+смежные'!BX$1)</f>
        <v>16</v>
      </c>
      <c r="BY120" s="36">
        <f>SUMIFS('свод практик'!$CP$6:$CP$277,'свод практик'!$J$6:$J$277,'свод субъектов ИБ+смежные'!BY$1)</f>
        <v>0</v>
      </c>
      <c r="BZ120" s="36">
        <f>SUMIFS('свод практик'!$CP$6:$CP$277,'свод практик'!$J$6:$J$277,'свод субъектов ИБ+смежные'!BZ$1)</f>
        <v>0</v>
      </c>
      <c r="CA120" s="160">
        <f>SUMIFS('свод практик'!$CP$6:$CP$277,'свод практик'!$J$6:$J$277,'свод субъектов ИБ+смежные'!CA$1)</f>
        <v>0</v>
      </c>
      <c r="CB120" s="160">
        <f>SUMIFS('свод практик'!$CP$6:$CP$277,'свод практик'!$J$6:$J$277,'свод субъектов ИБ+смежные'!CB$1)</f>
        <v>0</v>
      </c>
      <c r="CC120" s="36">
        <f>SUMIFS('свод практик'!$CP$6:$CP$277,'свод практик'!$J$6:$J$277,'свод субъектов ИБ+смежные'!CC$1)</f>
        <v>0</v>
      </c>
      <c r="CD120" s="36">
        <f>SUMIFS('свод практик'!$CP$6:$CP$277,'свод практик'!$J$6:$J$277,'свод субъектов ИБ+смежные'!CD$1)</f>
        <v>0</v>
      </c>
      <c r="CE120" s="36">
        <f>SUMIFS('свод практик'!$CP$6:$CP$277,'свод практик'!$J$6:$J$277,'свод субъектов ИБ+смежные'!CE$1)</f>
        <v>8</v>
      </c>
      <c r="CF120" s="36">
        <f>SUMIFS('свод практик'!$CP$6:$CP$277,'свод практик'!$J$6:$J$277,'свод субъектов ИБ+смежные'!CF$1)</f>
        <v>1</v>
      </c>
      <c r="CG120" s="36">
        <f>SUMIFS('свод практик'!$CP$6:$CP$277,'свод практик'!$J$6:$J$277,'свод субъектов ИБ+смежные'!CG$1)</f>
        <v>17</v>
      </c>
      <c r="CH120" s="36">
        <f>SUMIFS('свод практик'!$CP$6:$CP$277,'свод практик'!$J$6:$J$277,'свод субъектов ИБ+смежные'!CH$1)</f>
        <v>0</v>
      </c>
      <c r="CI120" s="36">
        <f>SUMIFS('свод практик'!$CP$6:$CP$277,'свод практик'!$J$6:$J$277,'свод субъектов ИБ+смежные'!CI$1)</f>
        <v>0</v>
      </c>
      <c r="CJ120" s="160">
        <f>SUMIFS('свод практик'!$CP$6:$CP$277,'свод практик'!$J$6:$J$277,'свод субъектов ИБ+смежные'!CJ$1)</f>
        <v>0</v>
      </c>
      <c r="CK120" s="36">
        <f>SUMIFS('свод практик'!$CP$6:$CP$277,'свод практик'!$J$6:$J$277,'свод субъектов ИБ+смежные'!CK$1)</f>
        <v>0</v>
      </c>
      <c r="CL120" s="36">
        <f>SUMIFS('свод практик'!$CP$6:$CP$277,'свод практик'!$J$6:$J$277,'свод субъектов ИБ+смежные'!CL$1)</f>
        <v>0</v>
      </c>
      <c r="CM120" s="36">
        <f>SUMIFS('свод практик'!$CP$6:$CP$277,'свод практик'!$J$6:$J$277,'свод субъектов ИБ+смежные'!CM$1)</f>
        <v>0</v>
      </c>
      <c r="CN120" s="36">
        <f>SUMIFS('свод практик'!$CP$6:$CP$277,'свод практик'!$J$6:$J$277,'свод субъектов ИБ+смежные'!CN$1)</f>
        <v>0</v>
      </c>
      <c r="CO120" s="160">
        <f>SUMIFS('свод практик'!$CP$6:$CP$277,'свод практик'!$J$6:$J$277,'свод субъектов ИБ+смежные'!CO$1)</f>
        <v>0</v>
      </c>
      <c r="CP120" s="36">
        <f>SUMIFS('свод практик'!$CP$6:$CP$277,'свод практик'!$J$6:$J$277,'свод субъектов ИБ+смежные'!CP$1)</f>
        <v>0</v>
      </c>
      <c r="CQ120" s="36">
        <f>SUMIFS('свод практик'!$CP$6:$CP$277,'свод практик'!$J$6:$J$277,'свод субъектов ИБ+смежные'!CQ$1)</f>
        <v>0</v>
      </c>
      <c r="CR120" s="160">
        <f>SUMIFS('свод практик'!$CP$6:$CP$277,'свод практик'!$J$6:$J$277,'свод субъектов ИБ+смежные'!CR$1)</f>
        <v>0</v>
      </c>
      <c r="CS120" s="36">
        <f>SUMIFS('свод практик'!$CP$6:$CP$277,'свод практик'!$J$6:$J$277,'свод субъектов ИБ+смежные'!CS$1)</f>
        <v>2</v>
      </c>
      <c r="CT120" s="36">
        <f>SUMIFS('свод практик'!$CP$6:$CP$277,'свод практик'!$J$6:$J$277,'свод субъектов ИБ+смежные'!CT$1)</f>
        <v>0</v>
      </c>
      <c r="CU120" s="36">
        <f>SUMIFS('свод практик'!$CP$6:$CP$277,'свод практик'!$J$6:$J$277,'свод субъектов ИБ+смежные'!CU$1)</f>
        <v>1</v>
      </c>
      <c r="CV120" s="36">
        <f>SUMIFS('свод практик'!$CP$6:$CP$277,'свод практик'!$J$6:$J$277,'свод субъектов ИБ+смежные'!CV$1)</f>
        <v>61</v>
      </c>
    </row>
    <row r="121" spans="1:101" ht="14">
      <c r="A121" s="716"/>
      <c r="B121" s="716"/>
      <c r="C121" s="773"/>
      <c r="D121" s="42" t="s">
        <v>4949</v>
      </c>
      <c r="E121" s="42">
        <v>83</v>
      </c>
      <c r="F121" s="43" t="s">
        <v>5191</v>
      </c>
      <c r="G121" s="762"/>
      <c r="H121" s="45" t="s">
        <v>60</v>
      </c>
      <c r="I121" s="46"/>
      <c r="M121" s="36">
        <v>4.0521891857985194E-2</v>
      </c>
      <c r="N121" s="36">
        <v>1.6490800148470226E-2</v>
      </c>
      <c r="O121" s="224">
        <f>O120/O126</f>
        <v>1.9092532393205439E-2</v>
      </c>
      <c r="P121" s="36">
        <f t="shared" ref="P121:CA121" si="77">P120/P126</f>
        <v>0</v>
      </c>
      <c r="Q121" s="36">
        <f t="shared" si="77"/>
        <v>0</v>
      </c>
      <c r="R121" s="36">
        <f t="shared" si="77"/>
        <v>0</v>
      </c>
      <c r="S121" s="36">
        <f t="shared" si="77"/>
        <v>0</v>
      </c>
      <c r="T121" s="36">
        <f t="shared" si="77"/>
        <v>0</v>
      </c>
      <c r="U121" s="36">
        <f t="shared" si="77"/>
        <v>0</v>
      </c>
      <c r="V121" s="36">
        <f t="shared" si="77"/>
        <v>4.4513861772745023E-2</v>
      </c>
      <c r="W121" s="36">
        <f t="shared" si="77"/>
        <v>4.9295774647887321E-2</v>
      </c>
      <c r="X121" s="36">
        <f t="shared" si="77"/>
        <v>0</v>
      </c>
      <c r="Y121" s="36">
        <f t="shared" si="77"/>
        <v>0</v>
      </c>
      <c r="Z121" s="36">
        <f t="shared" si="77"/>
        <v>0</v>
      </c>
      <c r="AA121" s="36">
        <f t="shared" si="77"/>
        <v>1.0752688172043012E-2</v>
      </c>
      <c r="AB121" s="36">
        <f t="shared" si="77"/>
        <v>0</v>
      </c>
      <c r="AC121" s="36">
        <f t="shared" si="77"/>
        <v>0</v>
      </c>
      <c r="AD121" s="36" t="e">
        <f t="shared" si="77"/>
        <v>#DIV/0!</v>
      </c>
      <c r="AE121" s="36" t="e">
        <f t="shared" si="77"/>
        <v>#DIV/0!</v>
      </c>
      <c r="AF121" s="36">
        <f t="shared" si="77"/>
        <v>1</v>
      </c>
      <c r="AG121" s="36" t="e">
        <f t="shared" si="77"/>
        <v>#DIV/0!</v>
      </c>
      <c r="AH121" s="36" t="e">
        <f t="shared" si="77"/>
        <v>#DIV/0!</v>
      </c>
      <c r="AI121" s="36">
        <f t="shared" si="77"/>
        <v>8.8823529411764704E-2</v>
      </c>
      <c r="AJ121" s="36">
        <f t="shared" si="77"/>
        <v>0</v>
      </c>
      <c r="AK121" s="36">
        <f t="shared" si="77"/>
        <v>0</v>
      </c>
      <c r="AL121" s="36">
        <f t="shared" si="77"/>
        <v>0</v>
      </c>
      <c r="AM121" s="36">
        <f t="shared" si="77"/>
        <v>0</v>
      </c>
      <c r="AN121" s="36" t="e">
        <f t="shared" si="77"/>
        <v>#DIV/0!</v>
      </c>
      <c r="AO121" s="36" t="e">
        <f t="shared" si="77"/>
        <v>#DIV/0!</v>
      </c>
      <c r="AP121" s="36">
        <f t="shared" si="77"/>
        <v>6.6225165562913907E-3</v>
      </c>
      <c r="AQ121" s="36">
        <f t="shared" si="77"/>
        <v>0</v>
      </c>
      <c r="AR121" s="36">
        <f t="shared" si="77"/>
        <v>0</v>
      </c>
      <c r="AS121" s="36">
        <f t="shared" si="77"/>
        <v>5.7971014492753624E-2</v>
      </c>
      <c r="AT121" s="36">
        <f t="shared" si="77"/>
        <v>0</v>
      </c>
      <c r="AU121" s="36">
        <f t="shared" si="77"/>
        <v>0</v>
      </c>
      <c r="AV121" s="36">
        <f t="shared" si="77"/>
        <v>0</v>
      </c>
      <c r="AW121" s="36">
        <f t="shared" si="77"/>
        <v>0</v>
      </c>
      <c r="AX121" s="36">
        <f t="shared" si="77"/>
        <v>0</v>
      </c>
      <c r="AY121" s="160" t="e">
        <f t="shared" si="77"/>
        <v>#DIV/0!</v>
      </c>
      <c r="AZ121" s="36">
        <f t="shared" si="77"/>
        <v>4.9423393739703456E-3</v>
      </c>
      <c r="BA121" s="36">
        <f t="shared" si="77"/>
        <v>0</v>
      </c>
      <c r="BB121" s="160" t="e">
        <f t="shared" si="77"/>
        <v>#DIV/0!</v>
      </c>
      <c r="BC121" s="36">
        <f t="shared" si="77"/>
        <v>0</v>
      </c>
      <c r="BD121" s="160" t="e">
        <f t="shared" si="77"/>
        <v>#DIV/0!</v>
      </c>
      <c r="BE121" s="160" t="e">
        <f t="shared" si="77"/>
        <v>#DIV/0!</v>
      </c>
      <c r="BF121" s="36">
        <f t="shared" si="77"/>
        <v>0</v>
      </c>
      <c r="BG121" s="36">
        <f t="shared" si="77"/>
        <v>2.7777777777777776E-2</v>
      </c>
      <c r="BH121" s="36">
        <f t="shared" si="77"/>
        <v>0</v>
      </c>
      <c r="BI121" s="36">
        <f t="shared" si="77"/>
        <v>0</v>
      </c>
      <c r="BJ121" s="36">
        <f t="shared" si="77"/>
        <v>1.1467889908256881E-2</v>
      </c>
      <c r="BK121" s="36">
        <f t="shared" si="77"/>
        <v>4.9261083743842365E-3</v>
      </c>
      <c r="BL121" s="36">
        <f t="shared" si="77"/>
        <v>0</v>
      </c>
      <c r="BM121" s="36">
        <f t="shared" si="77"/>
        <v>0</v>
      </c>
      <c r="BN121" s="36">
        <f t="shared" si="77"/>
        <v>0</v>
      </c>
      <c r="BO121" s="36">
        <f t="shared" si="77"/>
        <v>1.3422818791946308E-2</v>
      </c>
      <c r="BP121" s="36">
        <f t="shared" si="77"/>
        <v>3.8461538461538464E-2</v>
      </c>
      <c r="BQ121" s="36" t="e">
        <f t="shared" si="77"/>
        <v>#DIV/0!</v>
      </c>
      <c r="BR121" s="36">
        <f t="shared" si="77"/>
        <v>0.08</v>
      </c>
      <c r="BS121" s="36">
        <f t="shared" si="77"/>
        <v>0</v>
      </c>
      <c r="BT121" s="36">
        <f t="shared" si="77"/>
        <v>0</v>
      </c>
      <c r="BU121" s="36">
        <f t="shared" si="77"/>
        <v>1.639344262295082E-3</v>
      </c>
      <c r="BV121" s="36">
        <f t="shared" si="77"/>
        <v>0</v>
      </c>
      <c r="BW121" s="36">
        <f t="shared" si="77"/>
        <v>0</v>
      </c>
      <c r="BX121" s="36">
        <f t="shared" si="77"/>
        <v>3.6117381489841983E-2</v>
      </c>
      <c r="BY121" s="36">
        <f t="shared" si="77"/>
        <v>0</v>
      </c>
      <c r="BZ121" s="36">
        <f t="shared" si="77"/>
        <v>0</v>
      </c>
      <c r="CA121" s="36" t="e">
        <f t="shared" si="77"/>
        <v>#DIV/0!</v>
      </c>
      <c r="CB121" s="36" t="e">
        <f t="shared" ref="CB121:CV121" si="78">CB120/CB126</f>
        <v>#DIV/0!</v>
      </c>
      <c r="CC121" s="36">
        <f t="shared" si="78"/>
        <v>0</v>
      </c>
      <c r="CD121" s="36">
        <f t="shared" si="78"/>
        <v>0</v>
      </c>
      <c r="CE121" s="36">
        <f t="shared" si="78"/>
        <v>1.4732965009208104E-2</v>
      </c>
      <c r="CF121" s="36">
        <f t="shared" si="78"/>
        <v>3.4989503149055281E-4</v>
      </c>
      <c r="CG121" s="36">
        <f t="shared" si="78"/>
        <v>6.273062730627306E-2</v>
      </c>
      <c r="CH121" s="36">
        <f t="shared" si="78"/>
        <v>0</v>
      </c>
      <c r="CI121" s="36">
        <f t="shared" si="78"/>
        <v>0</v>
      </c>
      <c r="CJ121" s="36" t="e">
        <f t="shared" si="78"/>
        <v>#DIV/0!</v>
      </c>
      <c r="CK121" s="36">
        <f t="shared" si="78"/>
        <v>0</v>
      </c>
      <c r="CL121" s="36">
        <f t="shared" si="78"/>
        <v>0</v>
      </c>
      <c r="CM121" s="36">
        <f t="shared" si="78"/>
        <v>0</v>
      </c>
      <c r="CN121" s="36">
        <f t="shared" si="78"/>
        <v>0</v>
      </c>
      <c r="CO121" s="36" t="e">
        <f t="shared" si="78"/>
        <v>#DIV/0!</v>
      </c>
      <c r="CP121" s="36">
        <f t="shared" si="78"/>
        <v>0</v>
      </c>
      <c r="CQ121" s="36">
        <f t="shared" si="78"/>
        <v>0</v>
      </c>
      <c r="CR121" s="36" t="e">
        <f t="shared" si="78"/>
        <v>#DIV/0!</v>
      </c>
      <c r="CS121" s="36">
        <f t="shared" si="78"/>
        <v>3.0211480362537764E-3</v>
      </c>
      <c r="CT121" s="36">
        <f t="shared" si="78"/>
        <v>0</v>
      </c>
      <c r="CU121" s="36">
        <f t="shared" si="78"/>
        <v>1.2345679012345678E-2</v>
      </c>
      <c r="CV121" s="36">
        <f t="shared" si="78"/>
        <v>0.1227364185110664</v>
      </c>
    </row>
    <row r="122" spans="1:101" ht="14">
      <c r="A122" s="716"/>
      <c r="B122" s="716"/>
      <c r="C122" s="773"/>
      <c r="D122" s="42" t="s">
        <v>4949</v>
      </c>
      <c r="E122" s="42">
        <v>91</v>
      </c>
      <c r="F122" s="48" t="s">
        <v>5192</v>
      </c>
      <c r="G122" s="762" t="s">
        <v>39</v>
      </c>
      <c r="H122" s="45" t="s">
        <v>5140</v>
      </c>
      <c r="I122" s="46"/>
      <c r="M122" s="36" t="s">
        <v>5497</v>
      </c>
      <c r="N122" s="36">
        <v>557</v>
      </c>
      <c r="O122" s="224">
        <f>SUM(P122:CV122)</f>
        <v>110</v>
      </c>
      <c r="P122" s="36">
        <f>SUMIFS('свод практик'!$CQ$6:$CQ$277,'свод практик'!$J$6:$J$277,'свод субъектов ИБ+смежные'!P$1)</f>
        <v>0</v>
      </c>
      <c r="Q122" s="36">
        <f>SUMIFS('свод практик'!$CQ$6:$CQ$277,'свод практик'!$J$6:$J$277,'свод субъектов ИБ+смежные'!Q$1)</f>
        <v>0</v>
      </c>
      <c r="R122" s="36">
        <f>SUMIFS('свод практик'!$CQ$6:$CQ$277,'свод практик'!$J$6:$J$277,'свод субъектов ИБ+смежные'!R$1)</f>
        <v>0</v>
      </c>
      <c r="S122" s="36">
        <f>SUMIFS('свод практик'!$CQ$6:$CQ$277,'свод практик'!$J$6:$J$277,'свод субъектов ИБ+смежные'!S$1)</f>
        <v>0</v>
      </c>
      <c r="T122" s="36">
        <f>SUMIFS('свод практик'!$CQ$6:$CQ$277,'свод практик'!$J$6:$J$277,'свод субъектов ИБ+смежные'!T$1)</f>
        <v>37</v>
      </c>
      <c r="U122" s="36">
        <f>SUMIFS('свод практик'!$CQ$6:$CQ$277,'свод практик'!$J$6:$J$277,'свод субъектов ИБ+смежные'!U$1)</f>
        <v>0</v>
      </c>
      <c r="V122" s="36">
        <f>SUMIFS('свод практик'!$CQ$6:$CQ$277,'свод практик'!$J$6:$J$277,'свод субъектов ИБ+смежные'!V$1)</f>
        <v>0</v>
      </c>
      <c r="W122" s="36">
        <f>SUMIFS('свод практик'!$CQ$6:$CQ$277,'свод практик'!$J$6:$J$277,'свод субъектов ИБ+смежные'!W$1)</f>
        <v>0</v>
      </c>
      <c r="X122" s="36">
        <f>SUMIFS('свод практик'!$CQ$6:$CQ$277,'свод практик'!$J$6:$J$277,'свод субъектов ИБ+смежные'!X$1)</f>
        <v>0</v>
      </c>
      <c r="Y122" s="36">
        <f>SUMIFS('свод практик'!$CQ$6:$CQ$277,'свод практик'!$J$6:$J$277,'свод субъектов ИБ+смежные'!Y$1)</f>
        <v>0</v>
      </c>
      <c r="Z122" s="36">
        <f>SUMIFS('свод практик'!$CQ$6:$CQ$277,'свод практик'!$J$6:$J$277,'свод субъектов ИБ+смежные'!Z$1)</f>
        <v>0</v>
      </c>
      <c r="AA122" s="36">
        <f>SUMIFS('свод практик'!$CQ$6:$CQ$277,'свод практик'!$J$6:$J$277,'свод субъектов ИБ+смежные'!AA$1)</f>
        <v>0</v>
      </c>
      <c r="AB122" s="36">
        <f>SUMIFS('свод практик'!$CQ$6:$CQ$277,'свод практик'!$J$6:$J$277,'свод субъектов ИБ+смежные'!AB$1)</f>
        <v>1</v>
      </c>
      <c r="AC122" s="36">
        <f>SUMIFS('свод практик'!$CQ$6:$CQ$277,'свод практик'!$J$6:$J$277,'свод субъектов ИБ+смежные'!AC$1)</f>
        <v>0</v>
      </c>
      <c r="AD122" s="160">
        <f>SUMIFS('свод практик'!$CQ$6:$CQ$277,'свод практик'!$J$6:$J$277,'свод субъектов ИБ+смежные'!AD$1)</f>
        <v>0</v>
      </c>
      <c r="AE122" s="160">
        <f>SUMIFS('свод практик'!$CQ$6:$CQ$277,'свод практик'!$J$6:$J$277,'свод субъектов ИБ+смежные'!AE$1)</f>
        <v>0</v>
      </c>
      <c r="AF122" s="36">
        <f>SUMIFS('свод практик'!$CQ$6:$CQ$277,'свод практик'!$J$6:$J$277,'свод субъектов ИБ+смежные'!AF$1)</f>
        <v>0</v>
      </c>
      <c r="AG122" s="160">
        <f>SUMIFS('свод практик'!$CQ$6:$CQ$277,'свод практик'!$J$6:$J$277,'свод субъектов ИБ+смежные'!AG$1)</f>
        <v>0</v>
      </c>
      <c r="AH122" s="160">
        <f>SUMIFS('свод практик'!$CQ$6:$CQ$277,'свод практик'!$J$6:$J$277,'свод субъектов ИБ+смежные'!AH$1)</f>
        <v>0</v>
      </c>
      <c r="AI122" s="36">
        <f>SUMIFS('свод практик'!$CQ$6:$CQ$277,'свод практик'!$J$6:$J$277,'свод субъектов ИБ+смежные'!AI$1)</f>
        <v>0</v>
      </c>
      <c r="AJ122" s="36">
        <f>SUMIFS('свод практик'!$CQ$6:$CQ$277,'свод практик'!$J$6:$J$277,'свод субъектов ИБ+смежные'!AJ$1)</f>
        <v>0</v>
      </c>
      <c r="AK122" s="36">
        <f>SUMIFS('свод практик'!$CQ$6:$CQ$277,'свод практик'!$J$6:$J$277,'свод субъектов ИБ+смежные'!AK$1)</f>
        <v>0</v>
      </c>
      <c r="AL122" s="36">
        <f>SUMIFS('свод практик'!$CQ$6:$CQ$277,'свод практик'!$J$6:$J$277,'свод субъектов ИБ+смежные'!AL$1)</f>
        <v>0</v>
      </c>
      <c r="AM122" s="36">
        <f>SUMIFS('свод практик'!$CQ$6:$CQ$277,'свод практик'!$J$6:$J$277,'свод субъектов ИБ+смежные'!AM$1)</f>
        <v>0</v>
      </c>
      <c r="AN122" s="160">
        <f>SUMIFS('свод практик'!$CQ$6:$CQ$277,'свод практик'!$J$6:$J$277,'свод субъектов ИБ+смежные'!AN$1)</f>
        <v>0</v>
      </c>
      <c r="AO122" s="160">
        <f>SUMIFS('свод практик'!$CQ$6:$CQ$277,'свод практик'!$J$6:$J$277,'свод субъектов ИБ+смежные'!AO$1)</f>
        <v>0</v>
      </c>
      <c r="AP122" s="36">
        <f>SUMIFS('свод практик'!$CQ$6:$CQ$277,'свод практик'!$J$6:$J$277,'свод субъектов ИБ+смежные'!AP$1)</f>
        <v>0</v>
      </c>
      <c r="AQ122" s="36">
        <f>SUMIFS('свод практик'!$CQ$6:$CQ$277,'свод практик'!$J$6:$J$277,'свод субъектов ИБ+смежные'!AQ$1)</f>
        <v>0</v>
      </c>
      <c r="AR122" s="36">
        <f>SUMIFS('свод практик'!$CQ$6:$CQ$277,'свод практик'!$J$6:$J$277,'свод субъектов ИБ+смежные'!AR$1)</f>
        <v>0</v>
      </c>
      <c r="AS122" s="36">
        <f>SUMIFS('свод практик'!$CQ$6:$CQ$277,'свод практик'!$J$6:$J$277,'свод субъектов ИБ+смежные'!AS$1)</f>
        <v>0</v>
      </c>
      <c r="AT122" s="36">
        <f>SUMIFS('свод практик'!$CQ$6:$CQ$277,'свод практик'!$J$6:$J$277,'свод субъектов ИБ+смежные'!AT$1)</f>
        <v>0</v>
      </c>
      <c r="AU122" s="36">
        <f>SUMIFS('свод практик'!$CQ$6:$CQ$277,'свод практик'!$J$6:$J$277,'свод субъектов ИБ+смежные'!AU$1)</f>
        <v>0</v>
      </c>
      <c r="AV122" s="36">
        <f>SUMIFS('свод практик'!$CQ$6:$CQ$277,'свод практик'!$J$6:$J$277,'свод субъектов ИБ+смежные'!AV$1)</f>
        <v>0</v>
      </c>
      <c r="AW122" s="36">
        <f>SUMIFS('свод практик'!$CQ$6:$CQ$277,'свод практик'!$J$6:$J$277,'свод субъектов ИБ+смежные'!AW$1)</f>
        <v>0</v>
      </c>
      <c r="AX122" s="36">
        <f>SUMIFS('свод практик'!$CQ$6:$CQ$277,'свод практик'!$J$6:$J$277,'свод субъектов ИБ+смежные'!AX$1)</f>
        <v>0</v>
      </c>
      <c r="AY122" s="160">
        <f>SUMIFS('свод практик'!$CQ$6:$CQ$277,'свод практик'!$J$6:$J$277,'свод субъектов ИБ+смежные'!AY$1)</f>
        <v>0</v>
      </c>
      <c r="AZ122" s="36">
        <f>SUMIFS('свод практик'!$CQ$6:$CQ$277,'свод практик'!$J$6:$J$277,'свод субъектов ИБ+смежные'!AZ$1)</f>
        <v>1</v>
      </c>
      <c r="BA122" s="36">
        <f>SUMIFS('свод практик'!$CQ$6:$CQ$277,'свод практик'!$J$6:$J$277,'свод субъектов ИБ+смежные'!BA$1)</f>
        <v>0</v>
      </c>
      <c r="BB122" s="160">
        <f>SUMIFS('свод практик'!$CQ$6:$CQ$277,'свод практик'!$J$6:$J$277,'свод субъектов ИБ+смежные'!BB$1)</f>
        <v>0</v>
      </c>
      <c r="BC122" s="36">
        <f>SUMIFS('свод практик'!$CQ$6:$CQ$277,'свод практик'!$J$6:$J$277,'свод субъектов ИБ+смежные'!BC$1)</f>
        <v>0</v>
      </c>
      <c r="BD122" s="160">
        <f>SUMIFS('свод практик'!$CQ$6:$CQ$277,'свод практик'!$J$6:$J$277,'свод субъектов ИБ+смежные'!BD$1)</f>
        <v>0</v>
      </c>
      <c r="BE122" s="160">
        <f>SUMIFS('свод практик'!$CQ$6:$CQ$277,'свод практик'!$J$6:$J$277,'свод субъектов ИБ+смежные'!BE$1)</f>
        <v>0</v>
      </c>
      <c r="BF122" s="36">
        <f>SUMIFS('свод практик'!$CQ$6:$CQ$277,'свод практик'!$J$6:$J$277,'свод субъектов ИБ+смежные'!BF$1)</f>
        <v>0</v>
      </c>
      <c r="BG122" s="36">
        <f>SUMIFS('свод практик'!$CQ$6:$CQ$277,'свод практик'!$J$6:$J$277,'свод субъектов ИБ+смежные'!BG$1)</f>
        <v>0</v>
      </c>
      <c r="BH122" s="36">
        <f>SUMIFS('свод практик'!$CQ$6:$CQ$277,'свод практик'!$J$6:$J$277,'свод субъектов ИБ+смежные'!BH$1)</f>
        <v>0</v>
      </c>
      <c r="BI122" s="36">
        <f>SUMIFS('свод практик'!$CQ$6:$CQ$277,'свод практик'!$J$6:$J$277,'свод субъектов ИБ+смежные'!BI$1)</f>
        <v>0</v>
      </c>
      <c r="BJ122" s="36">
        <f>SUMIFS('свод практик'!$CQ$6:$CQ$277,'свод практик'!$J$6:$J$277,'свод субъектов ИБ+смежные'!BJ$1)</f>
        <v>0</v>
      </c>
      <c r="BK122" s="36">
        <f>SUMIFS('свод практик'!$CQ$6:$CQ$277,'свод практик'!$J$6:$J$277,'свод субъектов ИБ+смежные'!BK$1)</f>
        <v>3</v>
      </c>
      <c r="BL122" s="36">
        <f>SUMIFS('свод практик'!$CQ$6:$CQ$277,'свод практик'!$J$6:$J$277,'свод субъектов ИБ+смежные'!BL$1)</f>
        <v>10</v>
      </c>
      <c r="BM122" s="36">
        <f>SUMIFS('свод практик'!$CQ$6:$CQ$277,'свод практик'!$J$6:$J$277,'свод субъектов ИБ+смежные'!BM$1)</f>
        <v>0</v>
      </c>
      <c r="BN122" s="36">
        <f>SUMIFS('свод практик'!$CQ$6:$CQ$277,'свод практик'!$J$6:$J$277,'свод субъектов ИБ+смежные'!BN$1)</f>
        <v>0</v>
      </c>
      <c r="BO122" s="36">
        <f>SUMIFS('свод практик'!$CQ$6:$CQ$277,'свод практик'!$J$6:$J$277,'свод субъектов ИБ+смежные'!BO$1)</f>
        <v>1</v>
      </c>
      <c r="BP122" s="36">
        <f>SUMIFS('свод практик'!$CQ$6:$CQ$277,'свод практик'!$J$6:$J$277,'свод субъектов ИБ+смежные'!BP$1)</f>
        <v>0</v>
      </c>
      <c r="BQ122" s="160">
        <f>SUMIFS('свод практик'!$CQ$6:$CQ$277,'свод практик'!$J$6:$J$277,'свод субъектов ИБ+смежные'!BQ$1)</f>
        <v>0</v>
      </c>
      <c r="BR122" s="36">
        <f>SUMIFS('свод практик'!$CQ$6:$CQ$277,'свод практик'!$J$6:$J$277,'свод субъектов ИБ+смежные'!BR$1)</f>
        <v>0</v>
      </c>
      <c r="BS122" s="36">
        <f>SUMIFS('свод практик'!$CQ$6:$CQ$277,'свод практик'!$J$6:$J$277,'свод субъектов ИБ+смежные'!BS$1)</f>
        <v>0</v>
      </c>
      <c r="BT122" s="36">
        <f>SUMIFS('свод практик'!$CQ$6:$CQ$277,'свод практик'!$J$6:$J$277,'свод субъектов ИБ+смежные'!BT$1)</f>
        <v>1</v>
      </c>
      <c r="BU122" s="36">
        <f>SUMIFS('свод практик'!$CQ$6:$CQ$277,'свод практик'!$J$6:$J$277,'свод субъектов ИБ+смежные'!BU$1)</f>
        <v>14</v>
      </c>
      <c r="BV122" s="36">
        <f>SUMIFS('свод практик'!$CQ$6:$CQ$277,'свод практик'!$J$6:$J$277,'свод субъектов ИБ+смежные'!BV$1)</f>
        <v>3</v>
      </c>
      <c r="BW122" s="36">
        <f>SUMIFS('свод практик'!$CQ$6:$CQ$277,'свод практик'!$J$6:$J$277,'свод субъектов ИБ+смежные'!BW$1)</f>
        <v>0</v>
      </c>
      <c r="BX122" s="36">
        <f>SUMIFS('свод практик'!$CQ$6:$CQ$277,'свод практик'!$J$6:$J$277,'свод субъектов ИБ+смежные'!BX$1)</f>
        <v>0</v>
      </c>
      <c r="BY122" s="36">
        <f>SUMIFS('свод практик'!$CQ$6:$CQ$277,'свод практик'!$J$6:$J$277,'свод субъектов ИБ+смежные'!BY$1)</f>
        <v>0</v>
      </c>
      <c r="BZ122" s="36">
        <f>SUMIFS('свод практик'!$CQ$6:$CQ$277,'свод практик'!$J$6:$J$277,'свод субъектов ИБ+смежные'!BZ$1)</f>
        <v>4</v>
      </c>
      <c r="CA122" s="160">
        <f>SUMIFS('свод практик'!$CQ$6:$CQ$277,'свод практик'!$J$6:$J$277,'свод субъектов ИБ+смежные'!CA$1)</f>
        <v>0</v>
      </c>
      <c r="CB122" s="160">
        <f>SUMIFS('свод практик'!$CQ$6:$CQ$277,'свод практик'!$J$6:$J$277,'свод субъектов ИБ+смежные'!CB$1)</f>
        <v>0</v>
      </c>
      <c r="CC122" s="36">
        <f>SUMIFS('свод практик'!$CQ$6:$CQ$277,'свод практик'!$J$6:$J$277,'свод субъектов ИБ+смежные'!CC$1)</f>
        <v>0</v>
      </c>
      <c r="CD122" s="36">
        <f>SUMIFS('свод практик'!$CQ$6:$CQ$277,'свод практик'!$J$6:$J$277,'свод субъектов ИБ+смежные'!CD$1)</f>
        <v>0</v>
      </c>
      <c r="CE122" s="36">
        <f>SUMIFS('свод практик'!$CQ$6:$CQ$277,'свод практик'!$J$6:$J$277,'свод субъектов ИБ+смежные'!CE$1)</f>
        <v>0</v>
      </c>
      <c r="CF122" s="36">
        <f>SUMIFS('свод практик'!$CQ$6:$CQ$277,'свод практик'!$J$6:$J$277,'свод субъектов ИБ+смежные'!CF$1)</f>
        <v>29</v>
      </c>
      <c r="CG122" s="36">
        <f>SUMIFS('свод практик'!$CQ$6:$CQ$277,'свод практик'!$J$6:$J$277,'свод субъектов ИБ+смежные'!CG$1)</f>
        <v>0</v>
      </c>
      <c r="CH122" s="36">
        <f>SUMIFS('свод практик'!$CQ$6:$CQ$277,'свод практик'!$J$6:$J$277,'свод субъектов ИБ+смежные'!CH$1)</f>
        <v>0</v>
      </c>
      <c r="CI122" s="36">
        <f>SUMIFS('свод практик'!$CQ$6:$CQ$277,'свод практик'!$J$6:$J$277,'свод субъектов ИБ+смежные'!CI$1)</f>
        <v>0</v>
      </c>
      <c r="CJ122" s="160">
        <f>SUMIFS('свод практик'!$CQ$6:$CQ$277,'свод практик'!$J$6:$J$277,'свод субъектов ИБ+смежные'!CJ$1)</f>
        <v>0</v>
      </c>
      <c r="CK122" s="36">
        <f>SUMIFS('свод практик'!$CQ$6:$CQ$277,'свод практик'!$J$6:$J$277,'свод субъектов ИБ+смежные'!CK$1)</f>
        <v>0</v>
      </c>
      <c r="CL122" s="36">
        <f>SUMIFS('свод практик'!$CQ$6:$CQ$277,'свод практик'!$J$6:$J$277,'свод субъектов ИБ+смежные'!CL$1)</f>
        <v>0</v>
      </c>
      <c r="CM122" s="36">
        <f>SUMIFS('свод практик'!$CQ$6:$CQ$277,'свод практик'!$J$6:$J$277,'свод субъектов ИБ+смежные'!CM$1)</f>
        <v>0</v>
      </c>
      <c r="CN122" s="36">
        <f>SUMIFS('свод практик'!$CQ$6:$CQ$277,'свод практик'!$J$6:$J$277,'свод субъектов ИБ+смежные'!CN$1)</f>
        <v>0</v>
      </c>
      <c r="CO122" s="160">
        <f>SUMIFS('свод практик'!$CQ$6:$CQ$277,'свод практик'!$J$6:$J$277,'свод субъектов ИБ+смежные'!CO$1)</f>
        <v>0</v>
      </c>
      <c r="CP122" s="36">
        <f>SUMIFS('свод практик'!$CQ$6:$CQ$277,'свод практик'!$J$6:$J$277,'свод субъектов ИБ+смежные'!CP$1)</f>
        <v>0</v>
      </c>
      <c r="CQ122" s="36">
        <f>SUMIFS('свод практик'!$CQ$6:$CQ$277,'свод практик'!$J$6:$J$277,'свод субъектов ИБ+смежные'!CQ$1)</f>
        <v>0</v>
      </c>
      <c r="CR122" s="160">
        <f>SUMIFS('свод практик'!$CQ$6:$CQ$277,'свод практик'!$J$6:$J$277,'свод субъектов ИБ+смежные'!CR$1)</f>
        <v>0</v>
      </c>
      <c r="CS122" s="36">
        <f>SUMIFS('свод практик'!$CQ$6:$CQ$277,'свод практик'!$J$6:$J$277,'свод субъектов ИБ+смежные'!CS$1)</f>
        <v>0</v>
      </c>
      <c r="CT122" s="36">
        <f>SUMIFS('свод практик'!$CQ$6:$CQ$277,'свод практик'!$J$6:$J$277,'свод субъектов ИБ+смежные'!CT$1)</f>
        <v>0</v>
      </c>
      <c r="CU122" s="36">
        <f>SUMIFS('свод практик'!$CQ$6:$CQ$277,'свод практик'!$J$6:$J$277,'свод субъектов ИБ+смежные'!CU$1)</f>
        <v>4</v>
      </c>
      <c r="CV122" s="36">
        <f>SUMIFS('свод практик'!$CQ$6:$CQ$277,'свод практик'!$J$6:$J$277,'свод субъектов ИБ+смежные'!CV$1)</f>
        <v>2</v>
      </c>
    </row>
    <row r="123" spans="1:101" ht="14">
      <c r="A123" s="716"/>
      <c r="B123" s="716"/>
      <c r="C123" s="773"/>
      <c r="D123" s="42" t="s">
        <v>4949</v>
      </c>
      <c r="E123" s="42">
        <v>92</v>
      </c>
      <c r="F123" s="48" t="s">
        <v>5193</v>
      </c>
      <c r="G123" s="762"/>
      <c r="H123" s="45" t="s">
        <v>60</v>
      </c>
      <c r="I123" s="46"/>
      <c r="L123" s="36" t="s">
        <v>278</v>
      </c>
      <c r="M123" s="36" t="s">
        <v>5497</v>
      </c>
      <c r="N123" s="36">
        <v>2.9534970040829313E-2</v>
      </c>
      <c r="O123" s="228">
        <f>O122/O126</f>
        <v>5.0363994322604275E-3</v>
      </c>
      <c r="P123" s="145">
        <f t="shared" ref="P123:CA123" si="79">P122/P126</f>
        <v>0</v>
      </c>
      <c r="Q123" s="145">
        <f t="shared" si="79"/>
        <v>0</v>
      </c>
      <c r="R123" s="145">
        <f t="shared" si="79"/>
        <v>0</v>
      </c>
      <c r="S123" s="145">
        <f t="shared" si="79"/>
        <v>0</v>
      </c>
      <c r="T123" s="145">
        <f t="shared" si="79"/>
        <v>0.1</v>
      </c>
      <c r="U123" s="145">
        <f t="shared" si="79"/>
        <v>0</v>
      </c>
      <c r="V123" s="145">
        <f t="shared" si="79"/>
        <v>0</v>
      </c>
      <c r="W123" s="145">
        <f t="shared" si="79"/>
        <v>0</v>
      </c>
      <c r="X123" s="145">
        <f t="shared" si="79"/>
        <v>0</v>
      </c>
      <c r="Y123" s="145">
        <f t="shared" si="79"/>
        <v>0</v>
      </c>
      <c r="Z123" s="145">
        <f t="shared" si="79"/>
        <v>0</v>
      </c>
      <c r="AA123" s="145">
        <f t="shared" si="79"/>
        <v>0</v>
      </c>
      <c r="AB123" s="145">
        <f t="shared" si="79"/>
        <v>1.1198208286674132E-3</v>
      </c>
      <c r="AC123" s="145">
        <f t="shared" si="79"/>
        <v>0</v>
      </c>
      <c r="AD123" s="145" t="e">
        <f t="shared" si="79"/>
        <v>#DIV/0!</v>
      </c>
      <c r="AE123" s="145" t="e">
        <f t="shared" si="79"/>
        <v>#DIV/0!</v>
      </c>
      <c r="AF123" s="145">
        <f t="shared" si="79"/>
        <v>0</v>
      </c>
      <c r="AG123" s="145" t="e">
        <f t="shared" si="79"/>
        <v>#DIV/0!</v>
      </c>
      <c r="AH123" s="145" t="e">
        <f t="shared" si="79"/>
        <v>#DIV/0!</v>
      </c>
      <c r="AI123" s="145">
        <f t="shared" si="79"/>
        <v>0</v>
      </c>
      <c r="AJ123" s="145">
        <f t="shared" si="79"/>
        <v>0</v>
      </c>
      <c r="AK123" s="145">
        <f t="shared" si="79"/>
        <v>0</v>
      </c>
      <c r="AL123" s="145">
        <f t="shared" si="79"/>
        <v>0</v>
      </c>
      <c r="AM123" s="145">
        <f t="shared" si="79"/>
        <v>0</v>
      </c>
      <c r="AN123" s="145" t="e">
        <f t="shared" si="79"/>
        <v>#DIV/0!</v>
      </c>
      <c r="AO123" s="145" t="e">
        <f t="shared" si="79"/>
        <v>#DIV/0!</v>
      </c>
      <c r="AP123" s="145">
        <f t="shared" si="79"/>
        <v>0</v>
      </c>
      <c r="AQ123" s="145">
        <f t="shared" si="79"/>
        <v>0</v>
      </c>
      <c r="AR123" s="145">
        <f t="shared" si="79"/>
        <v>0</v>
      </c>
      <c r="AS123" s="145">
        <f t="shared" si="79"/>
        <v>0</v>
      </c>
      <c r="AT123" s="145">
        <f t="shared" si="79"/>
        <v>0</v>
      </c>
      <c r="AU123" s="145">
        <f t="shared" si="79"/>
        <v>0</v>
      </c>
      <c r="AV123" s="145">
        <f t="shared" si="79"/>
        <v>0</v>
      </c>
      <c r="AW123" s="145">
        <f t="shared" si="79"/>
        <v>0</v>
      </c>
      <c r="AX123" s="145">
        <f t="shared" si="79"/>
        <v>0</v>
      </c>
      <c r="AY123" s="162" t="e">
        <f t="shared" si="79"/>
        <v>#DIV/0!</v>
      </c>
      <c r="AZ123" s="145">
        <f t="shared" si="79"/>
        <v>1.6474464579901153E-3</v>
      </c>
      <c r="BA123" s="145">
        <f t="shared" si="79"/>
        <v>0</v>
      </c>
      <c r="BB123" s="162" t="e">
        <f t="shared" si="79"/>
        <v>#DIV/0!</v>
      </c>
      <c r="BC123" s="145">
        <f t="shared" si="79"/>
        <v>0</v>
      </c>
      <c r="BD123" s="162" t="e">
        <f t="shared" si="79"/>
        <v>#DIV/0!</v>
      </c>
      <c r="BE123" s="162" t="e">
        <f t="shared" si="79"/>
        <v>#DIV/0!</v>
      </c>
      <c r="BF123" s="145">
        <f t="shared" si="79"/>
        <v>0</v>
      </c>
      <c r="BG123" s="145">
        <f t="shared" si="79"/>
        <v>0</v>
      </c>
      <c r="BH123" s="145">
        <f t="shared" si="79"/>
        <v>0</v>
      </c>
      <c r="BI123" s="145">
        <f t="shared" si="79"/>
        <v>0</v>
      </c>
      <c r="BJ123" s="145">
        <f t="shared" si="79"/>
        <v>0</v>
      </c>
      <c r="BK123" s="145">
        <f t="shared" si="79"/>
        <v>1.4778325123152709E-2</v>
      </c>
      <c r="BL123" s="145">
        <f t="shared" si="79"/>
        <v>7.7519379844961239E-2</v>
      </c>
      <c r="BM123" s="145">
        <f t="shared" si="79"/>
        <v>0</v>
      </c>
      <c r="BN123" s="145">
        <f t="shared" si="79"/>
        <v>0</v>
      </c>
      <c r="BO123" s="145">
        <f t="shared" si="79"/>
        <v>6.7114093959731542E-3</v>
      </c>
      <c r="BP123" s="145">
        <f t="shared" si="79"/>
        <v>0</v>
      </c>
      <c r="BQ123" s="145" t="e">
        <f t="shared" si="79"/>
        <v>#DIV/0!</v>
      </c>
      <c r="BR123" s="145">
        <f t="shared" si="79"/>
        <v>0</v>
      </c>
      <c r="BS123" s="145">
        <f t="shared" si="79"/>
        <v>0</v>
      </c>
      <c r="BT123" s="145">
        <f t="shared" si="79"/>
        <v>5.235602094240838E-3</v>
      </c>
      <c r="BU123" s="145">
        <f t="shared" si="79"/>
        <v>2.2950819672131147E-2</v>
      </c>
      <c r="BV123" s="145">
        <f t="shared" si="79"/>
        <v>0.17647058823529413</v>
      </c>
      <c r="BW123" s="145">
        <f t="shared" si="79"/>
        <v>0</v>
      </c>
      <c r="BX123" s="145">
        <f t="shared" si="79"/>
        <v>0</v>
      </c>
      <c r="BY123" s="145">
        <f t="shared" si="79"/>
        <v>0</v>
      </c>
      <c r="BZ123" s="145">
        <f t="shared" si="79"/>
        <v>2.1621621621621623E-2</v>
      </c>
      <c r="CA123" s="145" t="e">
        <f t="shared" si="79"/>
        <v>#DIV/0!</v>
      </c>
      <c r="CB123" s="145" t="e">
        <f t="shared" ref="CB123:CV123" si="80">CB122/CB126</f>
        <v>#DIV/0!</v>
      </c>
      <c r="CC123" s="145">
        <f t="shared" si="80"/>
        <v>0</v>
      </c>
      <c r="CD123" s="145">
        <f t="shared" si="80"/>
        <v>0</v>
      </c>
      <c r="CE123" s="145">
        <f t="shared" si="80"/>
        <v>0</v>
      </c>
      <c r="CF123" s="145">
        <f t="shared" si="80"/>
        <v>1.0146955913226032E-2</v>
      </c>
      <c r="CG123" s="145">
        <f t="shared" si="80"/>
        <v>0</v>
      </c>
      <c r="CH123" s="145">
        <f t="shared" si="80"/>
        <v>0</v>
      </c>
      <c r="CI123" s="145">
        <f t="shared" si="80"/>
        <v>0</v>
      </c>
      <c r="CJ123" s="145" t="e">
        <f t="shared" si="80"/>
        <v>#DIV/0!</v>
      </c>
      <c r="CK123" s="145">
        <f t="shared" si="80"/>
        <v>0</v>
      </c>
      <c r="CL123" s="145">
        <f t="shared" si="80"/>
        <v>0</v>
      </c>
      <c r="CM123" s="145">
        <f t="shared" si="80"/>
        <v>0</v>
      </c>
      <c r="CN123" s="145">
        <f t="shared" si="80"/>
        <v>0</v>
      </c>
      <c r="CO123" s="145" t="e">
        <f t="shared" si="80"/>
        <v>#DIV/0!</v>
      </c>
      <c r="CP123" s="145">
        <f t="shared" si="80"/>
        <v>0</v>
      </c>
      <c r="CQ123" s="145">
        <f t="shared" si="80"/>
        <v>0</v>
      </c>
      <c r="CR123" s="145" t="e">
        <f t="shared" si="80"/>
        <v>#DIV/0!</v>
      </c>
      <c r="CS123" s="145">
        <f t="shared" si="80"/>
        <v>0</v>
      </c>
      <c r="CT123" s="145">
        <f t="shared" si="80"/>
        <v>0</v>
      </c>
      <c r="CU123" s="145">
        <f t="shared" si="80"/>
        <v>4.9382716049382713E-2</v>
      </c>
      <c r="CV123" s="145">
        <f t="shared" si="80"/>
        <v>4.0241448692152921E-3</v>
      </c>
    </row>
    <row r="124" spans="1:101" ht="14">
      <c r="A124" s="716"/>
      <c r="B124" s="716"/>
      <c r="C124" s="773"/>
      <c r="D124" s="42" t="s">
        <v>4949</v>
      </c>
      <c r="E124" s="42">
        <v>84</v>
      </c>
      <c r="F124" s="43" t="s">
        <v>5194</v>
      </c>
      <c r="G124" s="762" t="s">
        <v>5195</v>
      </c>
      <c r="H124" s="45" t="s">
        <v>5140</v>
      </c>
      <c r="I124" s="46"/>
      <c r="M124" s="36">
        <v>1268</v>
      </c>
      <c r="N124" s="36">
        <v>224</v>
      </c>
      <c r="O124" s="224">
        <f>SUM(P124:CV124)</f>
        <v>732</v>
      </c>
      <c r="P124" s="36">
        <f>SUMIFS('свод практик'!$CR$6:$CR$277,'свод практик'!$J$6:$J$277,'свод субъектов ИБ+смежные'!P$1)</f>
        <v>0</v>
      </c>
      <c r="Q124" s="36">
        <f>SUMIFS('свод практик'!$CR$6:$CR$277,'свод практик'!$J$6:$J$277,'свод субъектов ИБ+смежные'!Q$1)</f>
        <v>9</v>
      </c>
      <c r="R124" s="36">
        <f>SUMIFS('свод практик'!$CR$6:$CR$277,'свод практик'!$J$6:$J$277,'свод субъектов ИБ+смежные'!R$1)</f>
        <v>0</v>
      </c>
      <c r="S124" s="36">
        <f>SUMIFS('свод практик'!$CR$6:$CR$277,'свод практик'!$J$6:$J$277,'свод субъектов ИБ+смежные'!S$1)</f>
        <v>0</v>
      </c>
      <c r="T124" s="36">
        <f>SUMIFS('свод практик'!$CR$6:$CR$277,'свод практик'!$J$6:$J$277,'свод субъектов ИБ+смежные'!T$1)</f>
        <v>20</v>
      </c>
      <c r="U124" s="36">
        <f>SUMIFS('свод практик'!$CR$6:$CR$277,'свод практик'!$J$6:$J$277,'свод субъектов ИБ+смежные'!U$1)</f>
        <v>0</v>
      </c>
      <c r="V124" s="36">
        <f>SUMIFS('свод практик'!$CR$6:$CR$277,'свод практик'!$J$6:$J$277,'свод субъектов ИБ+смежные'!V$1)</f>
        <v>20</v>
      </c>
      <c r="W124" s="36">
        <f>SUMIFS('свод практик'!$CR$6:$CR$277,'свод практик'!$J$6:$J$277,'свод субъектов ИБ+смежные'!W$1)</f>
        <v>6</v>
      </c>
      <c r="X124" s="36">
        <f>SUMIFS('свод практик'!$CR$6:$CR$277,'свод практик'!$J$6:$J$277,'свод субъектов ИБ+смежные'!X$1)</f>
        <v>0</v>
      </c>
      <c r="Y124" s="36">
        <f>SUMIFS('свод практик'!$CR$6:$CR$277,'свод практик'!$J$6:$J$277,'свод субъектов ИБ+смежные'!Y$1)</f>
        <v>0</v>
      </c>
      <c r="Z124" s="36">
        <f>SUMIFS('свод практик'!$CR$6:$CR$277,'свод практик'!$J$6:$J$277,'свод субъектов ИБ+смежные'!Z$1)</f>
        <v>8</v>
      </c>
      <c r="AA124" s="36">
        <f>SUMIFS('свод практик'!$CR$6:$CR$277,'свод практик'!$J$6:$J$277,'свод субъектов ИБ+смежные'!AA$1)</f>
        <v>0</v>
      </c>
      <c r="AB124" s="36">
        <f>SUMIFS('свод практик'!$CR$6:$CR$277,'свод практик'!$J$6:$J$277,'свод субъектов ИБ+смежные'!AB$1)</f>
        <v>0</v>
      </c>
      <c r="AC124" s="36">
        <f>SUMIFS('свод практик'!$CR$6:$CR$277,'свод практик'!$J$6:$J$277,'свод субъектов ИБ+смежные'!AC$1)</f>
        <v>17</v>
      </c>
      <c r="AD124" s="160">
        <f>SUMIFS('свод практик'!$CR$6:$CR$277,'свод практик'!$J$6:$J$277,'свод субъектов ИБ+смежные'!AD$1)</f>
        <v>0</v>
      </c>
      <c r="AE124" s="160">
        <f>SUMIFS('свод практик'!$CR$6:$CR$277,'свод практик'!$J$6:$J$277,'свод субъектов ИБ+смежные'!AE$1)</f>
        <v>0</v>
      </c>
      <c r="AF124" s="36">
        <f>SUMIFS('свод практик'!$CR$6:$CR$277,'свод практик'!$J$6:$J$277,'свод субъектов ИБ+смежные'!AF$1)</f>
        <v>0</v>
      </c>
      <c r="AG124" s="160">
        <f>SUMIFS('свод практик'!$CR$6:$CR$277,'свод практик'!$J$6:$J$277,'свод субъектов ИБ+смежные'!AG$1)</f>
        <v>0</v>
      </c>
      <c r="AH124" s="160">
        <f>SUMIFS('свод практик'!$CR$6:$CR$277,'свод практик'!$J$6:$J$277,'свод субъектов ИБ+смежные'!AH$1)</f>
        <v>0</v>
      </c>
      <c r="AI124" s="36">
        <f>SUMIFS('свод практик'!$CR$6:$CR$277,'свод практик'!$J$6:$J$277,'свод субъектов ИБ+смежные'!AI$1)</f>
        <v>0</v>
      </c>
      <c r="AJ124" s="36">
        <f>SUMIFS('свод практик'!$CR$6:$CR$277,'свод практик'!$J$6:$J$277,'свод субъектов ИБ+смежные'!AJ$1)</f>
        <v>0</v>
      </c>
      <c r="AK124" s="36">
        <f>SUMIFS('свод практик'!$CR$6:$CR$277,'свод практик'!$J$6:$J$277,'свод субъектов ИБ+смежные'!AK$1)</f>
        <v>0</v>
      </c>
      <c r="AL124" s="36">
        <f>SUMIFS('свод практик'!$CR$6:$CR$277,'свод практик'!$J$6:$J$277,'свод субъектов ИБ+смежные'!AL$1)</f>
        <v>0</v>
      </c>
      <c r="AM124" s="36">
        <f>SUMIFS('свод практик'!$CR$6:$CR$277,'свод практик'!$J$6:$J$277,'свод субъектов ИБ+смежные'!AM$1)</f>
        <v>24</v>
      </c>
      <c r="AN124" s="160">
        <f>SUMIFS('свод практик'!$CR$6:$CR$277,'свод практик'!$J$6:$J$277,'свод субъектов ИБ+смежные'!AN$1)</f>
        <v>0</v>
      </c>
      <c r="AO124" s="160">
        <f>SUMIFS('свод практик'!$CR$6:$CR$277,'свод практик'!$J$6:$J$277,'свод субъектов ИБ+смежные'!AO$1)</f>
        <v>0</v>
      </c>
      <c r="AP124" s="36">
        <f>SUMIFS('свод практик'!$CR$6:$CR$277,'свод практик'!$J$6:$J$277,'свод субъектов ИБ+смежные'!AP$1)</f>
        <v>0</v>
      </c>
      <c r="AQ124" s="36">
        <f>SUMIFS('свод практик'!$CR$6:$CR$277,'свод практик'!$J$6:$J$277,'свод субъектов ИБ+смежные'!AQ$1)</f>
        <v>8</v>
      </c>
      <c r="AR124" s="36">
        <f>SUMIFS('свод практик'!$CR$6:$CR$277,'свод практик'!$J$6:$J$277,'свод субъектов ИБ+смежные'!AR$1)</f>
        <v>0</v>
      </c>
      <c r="AS124" s="36">
        <f>SUMIFS('свод практик'!$CR$6:$CR$277,'свод практик'!$J$6:$J$277,'свод субъектов ИБ+смежные'!AS$1)</f>
        <v>10</v>
      </c>
      <c r="AT124" s="36">
        <f>SUMIFS('свод практик'!$CR$6:$CR$277,'свод практик'!$J$6:$J$277,'свод субъектов ИБ+смежные'!AT$1)</f>
        <v>0</v>
      </c>
      <c r="AU124" s="36">
        <f>SUMIFS('свод практик'!$CR$6:$CR$277,'свод практик'!$J$6:$J$277,'свод субъектов ИБ+смежные'!AU$1)</f>
        <v>0</v>
      </c>
      <c r="AV124" s="36">
        <f>SUMIFS('свод практик'!$CR$6:$CR$277,'свод практик'!$J$6:$J$277,'свод субъектов ИБ+смежные'!AV$1)</f>
        <v>0</v>
      </c>
      <c r="AW124" s="36">
        <f>SUMIFS('свод практик'!$CR$6:$CR$277,'свод практик'!$J$6:$J$277,'свод субъектов ИБ+смежные'!AW$1)</f>
        <v>19</v>
      </c>
      <c r="AX124" s="36">
        <f>SUMIFS('свод практик'!$CR$6:$CR$277,'свод практик'!$J$6:$J$277,'свод субъектов ИБ+смежные'!AX$1)</f>
        <v>1</v>
      </c>
      <c r="AY124" s="160">
        <f>SUMIFS('свод практик'!$CR$6:$CR$277,'свод практик'!$J$6:$J$277,'свод субъектов ИБ+смежные'!AY$1)</f>
        <v>0</v>
      </c>
      <c r="AZ124" s="36">
        <f>SUMIFS('свод практик'!$CR$6:$CR$277,'свод практик'!$J$6:$J$277,'свод субъектов ИБ+смежные'!AZ$1)</f>
        <v>1</v>
      </c>
      <c r="BA124" s="36">
        <f>SUMIFS('свод практик'!$CR$6:$CR$277,'свод практик'!$J$6:$J$277,'свод субъектов ИБ+смежные'!BA$1)</f>
        <v>0</v>
      </c>
      <c r="BB124" s="160">
        <f>SUMIFS('свод практик'!$CR$6:$CR$277,'свод практик'!$J$6:$J$277,'свод субъектов ИБ+смежные'!BB$1)</f>
        <v>0</v>
      </c>
      <c r="BC124" s="36">
        <f>SUMIFS('свод практик'!$CR$6:$CR$277,'свод практик'!$J$6:$J$277,'свод субъектов ИБ+смежные'!BC$1)</f>
        <v>3</v>
      </c>
      <c r="BD124" s="160">
        <f>SUMIFS('свод практик'!$CR$6:$CR$277,'свод практик'!$J$6:$J$277,'свод субъектов ИБ+смежные'!BD$1)</f>
        <v>0</v>
      </c>
      <c r="BE124" s="160">
        <f>SUMIFS('свод практик'!$CR$6:$CR$277,'свод практик'!$J$6:$J$277,'свод субъектов ИБ+смежные'!BE$1)</f>
        <v>0</v>
      </c>
      <c r="BF124" s="36">
        <f>SUMIFS('свод практик'!$CR$6:$CR$277,'свод практик'!$J$6:$J$277,'свод субъектов ИБ+смежные'!BF$1)</f>
        <v>0</v>
      </c>
      <c r="BG124" s="36">
        <f>SUMIFS('свод практик'!$CR$6:$CR$277,'свод практик'!$J$6:$J$277,'свод субъектов ИБ+смежные'!BG$1)</f>
        <v>0</v>
      </c>
      <c r="BH124" s="36">
        <f>SUMIFS('свод практик'!$CR$6:$CR$277,'свод практик'!$J$6:$J$277,'свод субъектов ИБ+смежные'!BH$1)</f>
        <v>0</v>
      </c>
      <c r="BI124" s="36">
        <f>SUMIFS('свод практик'!$CR$6:$CR$277,'свод практик'!$J$6:$J$277,'свод субъектов ИБ+смежные'!BI$1)</f>
        <v>1</v>
      </c>
      <c r="BJ124" s="36">
        <f>SUMIFS('свод практик'!$CR$6:$CR$277,'свод практик'!$J$6:$J$277,'свод субъектов ИБ+смежные'!BJ$1)</f>
        <v>9</v>
      </c>
      <c r="BK124" s="36">
        <f>SUMIFS('свод практик'!$CR$6:$CR$277,'свод практик'!$J$6:$J$277,'свод субъектов ИБ+смежные'!BK$1)</f>
        <v>0</v>
      </c>
      <c r="BL124" s="36">
        <f>SUMIFS('свод практик'!$CR$6:$CR$277,'свод практик'!$J$6:$J$277,'свод субъектов ИБ+смежные'!BL$1)</f>
        <v>0</v>
      </c>
      <c r="BM124" s="36">
        <f>SUMIFS('свод практик'!$CR$6:$CR$277,'свод практик'!$J$6:$J$277,'свод субъектов ИБ+смежные'!BM$1)</f>
        <v>0</v>
      </c>
      <c r="BN124" s="36">
        <f>SUMIFS('свод практик'!$CR$6:$CR$277,'свод практик'!$J$6:$J$277,'свод субъектов ИБ+смежные'!BN$1)</f>
        <v>0</v>
      </c>
      <c r="BO124" s="36">
        <f>SUMIFS('свод практик'!$CR$6:$CR$277,'свод практик'!$J$6:$J$277,'свод субъектов ИБ+смежные'!BO$1)</f>
        <v>0</v>
      </c>
      <c r="BP124" s="36">
        <f>SUMIFS('свод практик'!$CR$6:$CR$277,'свод практик'!$J$6:$J$277,'свод субъектов ИБ+смежные'!BP$1)</f>
        <v>1</v>
      </c>
      <c r="BQ124" s="160">
        <f>SUMIFS('свод практик'!$CR$6:$CR$277,'свод практик'!$J$6:$J$277,'свод субъектов ИБ+смежные'!BQ$1)</f>
        <v>0</v>
      </c>
      <c r="BR124" s="36">
        <f>SUMIFS('свод практик'!$CR$6:$CR$277,'свод практик'!$J$6:$J$277,'свод субъектов ИБ+смежные'!BR$1)</f>
        <v>0</v>
      </c>
      <c r="BS124" s="36">
        <f>SUMIFS('свод практик'!$CR$6:$CR$277,'свод практик'!$J$6:$J$277,'свод субъектов ИБ+смежные'!BS$1)</f>
        <v>1</v>
      </c>
      <c r="BT124" s="36">
        <f>SUMIFS('свод практик'!$CR$6:$CR$277,'свод практик'!$J$6:$J$277,'свод субъектов ИБ+смежные'!BT$1)</f>
        <v>0</v>
      </c>
      <c r="BU124" s="36">
        <f>SUMIFS('свод практик'!$CR$6:$CR$277,'свод практик'!$J$6:$J$277,'свод субъектов ИБ+смежные'!BU$1)</f>
        <v>5</v>
      </c>
      <c r="BV124" s="36">
        <f>SUMIFS('свод практик'!$CR$6:$CR$277,'свод практик'!$J$6:$J$277,'свод субъектов ИБ+смежные'!BV$1)</f>
        <v>2</v>
      </c>
      <c r="BW124" s="36">
        <f>SUMIFS('свод практик'!$CR$6:$CR$277,'свод практик'!$J$6:$J$277,'свод субъектов ИБ+смежные'!BW$1)</f>
        <v>0</v>
      </c>
      <c r="BX124" s="36">
        <f>SUMIFS('свод практик'!$CR$6:$CR$277,'свод практик'!$J$6:$J$277,'свод субъектов ИБ+смежные'!BX$1)</f>
        <v>4</v>
      </c>
      <c r="BY124" s="36">
        <f>SUMIFS('свод практик'!$CR$6:$CR$277,'свод практик'!$J$6:$J$277,'свод субъектов ИБ+смежные'!BY$1)</f>
        <v>1</v>
      </c>
      <c r="BZ124" s="36">
        <f>SUMIFS('свод практик'!$CR$6:$CR$277,'свод практик'!$J$6:$J$277,'свод субъектов ИБ+смежные'!BZ$1)</f>
        <v>0</v>
      </c>
      <c r="CA124" s="160">
        <f>SUMIFS('свод практик'!$CR$6:$CR$277,'свод практик'!$J$6:$J$277,'свод субъектов ИБ+смежные'!CA$1)</f>
        <v>0</v>
      </c>
      <c r="CB124" s="160">
        <f>SUMIFS('свод практик'!$CR$6:$CR$277,'свод практик'!$J$6:$J$277,'свод субъектов ИБ+смежные'!CB$1)</f>
        <v>0</v>
      </c>
      <c r="CC124" s="36">
        <f>SUMIFS('свод практик'!$CR$6:$CR$277,'свод практик'!$J$6:$J$277,'свод субъектов ИБ+смежные'!CC$1)</f>
        <v>0</v>
      </c>
      <c r="CD124" s="36">
        <f>SUMIFS('свод практик'!$CR$6:$CR$277,'свод практик'!$J$6:$J$277,'свод субъектов ИБ+смежные'!CD$1)</f>
        <v>1</v>
      </c>
      <c r="CE124" s="36">
        <f>SUMIFS('свод практик'!$CR$6:$CR$277,'свод практик'!$J$6:$J$277,'свод субъектов ИБ+смежные'!CE$1)</f>
        <v>8</v>
      </c>
      <c r="CF124" s="36">
        <f>SUMIFS('свод практик'!$CR$6:$CR$277,'свод практик'!$J$6:$J$277,'свод субъектов ИБ+смежные'!CF$1)</f>
        <v>477</v>
      </c>
      <c r="CG124" s="36">
        <f>SUMIFS('свод практик'!$CR$6:$CR$277,'свод практик'!$J$6:$J$277,'свод субъектов ИБ+смежные'!CG$1)</f>
        <v>0</v>
      </c>
      <c r="CH124" s="36">
        <f>SUMIFS('свод практик'!$CR$6:$CR$277,'свод практик'!$J$6:$J$277,'свод субъектов ИБ+смежные'!CH$1)</f>
        <v>0</v>
      </c>
      <c r="CI124" s="36">
        <f>SUMIFS('свод практик'!$CR$6:$CR$277,'свод практик'!$J$6:$J$277,'свод субъектов ИБ+смежные'!CI$1)</f>
        <v>0</v>
      </c>
      <c r="CJ124" s="160">
        <f>SUMIFS('свод практик'!$CR$6:$CR$277,'свод практик'!$J$6:$J$277,'свод субъектов ИБ+смежные'!CJ$1)</f>
        <v>0</v>
      </c>
      <c r="CK124" s="36">
        <f>SUMIFS('свод практик'!$CR$6:$CR$277,'свод практик'!$J$6:$J$277,'свод субъектов ИБ+смежные'!CK$1)</f>
        <v>0</v>
      </c>
      <c r="CL124" s="36">
        <f>SUMIFS('свод практик'!$CR$6:$CR$277,'свод практик'!$J$6:$J$277,'свод субъектов ИБ+смежные'!CL$1)</f>
        <v>0</v>
      </c>
      <c r="CM124" s="36">
        <f>SUMIFS('свод практик'!$CR$6:$CR$277,'свод практик'!$J$6:$J$277,'свод субъектов ИБ+смежные'!CM$1)</f>
        <v>1</v>
      </c>
      <c r="CN124" s="36">
        <f>SUMIFS('свод практик'!$CR$6:$CR$277,'свод практик'!$J$6:$J$277,'свод субъектов ИБ+смежные'!CN$1)</f>
        <v>0</v>
      </c>
      <c r="CO124" s="160">
        <f>SUMIFS('свод практик'!$CR$6:$CR$277,'свод практик'!$J$6:$J$277,'свод субъектов ИБ+смежные'!CO$1)</f>
        <v>0</v>
      </c>
      <c r="CP124" s="36">
        <f>SUMIFS('свод практик'!$CR$6:$CR$277,'свод практик'!$J$6:$J$277,'свод субъектов ИБ+смежные'!CP$1)</f>
        <v>27</v>
      </c>
      <c r="CQ124" s="36">
        <f>SUMIFS('свод практик'!$CR$6:$CR$277,'свод практик'!$J$6:$J$277,'свод субъектов ИБ+смежные'!CQ$1)</f>
        <v>19</v>
      </c>
      <c r="CR124" s="160">
        <f>SUMIFS('свод практик'!$CR$6:$CR$277,'свод практик'!$J$6:$J$277,'свод субъектов ИБ+смежные'!CR$1)</f>
        <v>0</v>
      </c>
      <c r="CS124" s="36">
        <f>SUMIFS('свод практик'!$CR$6:$CR$277,'свод практик'!$J$6:$J$277,'свод субъектов ИБ+смежные'!CS$1)</f>
        <v>7</v>
      </c>
      <c r="CT124" s="36">
        <f>SUMIFS('свод практик'!$CR$6:$CR$277,'свод практик'!$J$6:$J$277,'свод субъектов ИБ+смежные'!CT$1)</f>
        <v>0</v>
      </c>
      <c r="CU124" s="36">
        <f>SUMIFS('свод практик'!$CR$6:$CR$277,'свод практик'!$J$6:$J$277,'свод субъектов ИБ+смежные'!CU$1)</f>
        <v>13</v>
      </c>
      <c r="CV124" s="36">
        <f>SUMIFS('свод практик'!$CR$6:$CR$277,'свод практик'!$J$6:$J$277,'свод субъектов ИБ+смежные'!CV$1)</f>
        <v>9</v>
      </c>
    </row>
    <row r="125" spans="1:101" ht="15" thickBot="1">
      <c r="A125" s="716"/>
      <c r="B125" s="716"/>
      <c r="C125" s="773"/>
      <c r="D125" s="76" t="s">
        <v>4949</v>
      </c>
      <c r="E125" s="76">
        <v>85</v>
      </c>
      <c r="F125" s="83" t="s">
        <v>5196</v>
      </c>
      <c r="G125" s="762"/>
      <c r="H125" s="79" t="s">
        <v>60</v>
      </c>
      <c r="I125" s="9"/>
      <c r="L125" s="36" t="s">
        <v>278</v>
      </c>
      <c r="M125" s="36">
        <v>7.9538326433320788E-2</v>
      </c>
      <c r="N125" s="36">
        <v>1.1877618113367622E-2</v>
      </c>
      <c r="O125" s="228">
        <f>O124/O126</f>
        <v>3.3514948949223938E-2</v>
      </c>
      <c r="P125" s="145">
        <f t="shared" ref="P125:CA125" si="81">P124/P126</f>
        <v>0</v>
      </c>
      <c r="Q125" s="145">
        <f t="shared" si="81"/>
        <v>0.25</v>
      </c>
      <c r="R125" s="145">
        <f t="shared" si="81"/>
        <v>0</v>
      </c>
      <c r="S125" s="145">
        <f t="shared" si="81"/>
        <v>0</v>
      </c>
      <c r="T125" s="145">
        <f t="shared" si="81"/>
        <v>5.4054054054054057E-2</v>
      </c>
      <c r="U125" s="145">
        <f t="shared" si="81"/>
        <v>0</v>
      </c>
      <c r="V125" s="145">
        <f t="shared" si="81"/>
        <v>7.8094494338149158E-3</v>
      </c>
      <c r="W125" s="145">
        <f t="shared" si="81"/>
        <v>4.2253521126760563E-2</v>
      </c>
      <c r="X125" s="145">
        <f t="shared" si="81"/>
        <v>0</v>
      </c>
      <c r="Y125" s="145">
        <f t="shared" si="81"/>
        <v>0</v>
      </c>
      <c r="Z125" s="145">
        <f t="shared" si="81"/>
        <v>1.7660044150110375E-2</v>
      </c>
      <c r="AA125" s="145">
        <f t="shared" si="81"/>
        <v>0</v>
      </c>
      <c r="AB125" s="145">
        <f t="shared" si="81"/>
        <v>0</v>
      </c>
      <c r="AC125" s="145">
        <f t="shared" si="81"/>
        <v>5.2307692307692305E-2</v>
      </c>
      <c r="AD125" s="145" t="e">
        <f t="shared" si="81"/>
        <v>#DIV/0!</v>
      </c>
      <c r="AE125" s="145" t="e">
        <f t="shared" si="81"/>
        <v>#DIV/0!</v>
      </c>
      <c r="AF125" s="145">
        <f t="shared" si="81"/>
        <v>0</v>
      </c>
      <c r="AG125" s="145" t="e">
        <f t="shared" si="81"/>
        <v>#DIV/0!</v>
      </c>
      <c r="AH125" s="145" t="e">
        <f t="shared" si="81"/>
        <v>#DIV/0!</v>
      </c>
      <c r="AI125" s="145">
        <f t="shared" si="81"/>
        <v>0</v>
      </c>
      <c r="AJ125" s="145">
        <f t="shared" si="81"/>
        <v>0</v>
      </c>
      <c r="AK125" s="145">
        <f t="shared" si="81"/>
        <v>0</v>
      </c>
      <c r="AL125" s="145">
        <f t="shared" si="81"/>
        <v>0</v>
      </c>
      <c r="AM125" s="145">
        <f t="shared" si="81"/>
        <v>0.14117647058823529</v>
      </c>
      <c r="AN125" s="145" t="e">
        <f t="shared" si="81"/>
        <v>#DIV/0!</v>
      </c>
      <c r="AO125" s="145" t="e">
        <f t="shared" si="81"/>
        <v>#DIV/0!</v>
      </c>
      <c r="AP125" s="145">
        <f t="shared" si="81"/>
        <v>0</v>
      </c>
      <c r="AQ125" s="145">
        <f t="shared" si="81"/>
        <v>7.476635514018691E-2</v>
      </c>
      <c r="AR125" s="145">
        <f t="shared" si="81"/>
        <v>0</v>
      </c>
      <c r="AS125" s="145">
        <f t="shared" si="81"/>
        <v>3.6231884057971016E-2</v>
      </c>
      <c r="AT125" s="145">
        <f t="shared" si="81"/>
        <v>0</v>
      </c>
      <c r="AU125" s="145">
        <f t="shared" si="81"/>
        <v>0</v>
      </c>
      <c r="AV125" s="145">
        <f t="shared" si="81"/>
        <v>0</v>
      </c>
      <c r="AW125" s="145">
        <f t="shared" si="81"/>
        <v>0.13768115942028986</v>
      </c>
      <c r="AX125" s="145">
        <f t="shared" si="81"/>
        <v>3.4129692832764505E-3</v>
      </c>
      <c r="AY125" s="162" t="e">
        <f t="shared" si="81"/>
        <v>#DIV/0!</v>
      </c>
      <c r="AZ125" s="145">
        <f t="shared" si="81"/>
        <v>1.6474464579901153E-3</v>
      </c>
      <c r="BA125" s="145">
        <f t="shared" si="81"/>
        <v>0</v>
      </c>
      <c r="BB125" s="162" t="e">
        <f t="shared" si="81"/>
        <v>#DIV/0!</v>
      </c>
      <c r="BC125" s="145">
        <f t="shared" si="81"/>
        <v>7.1428571428571425E-2</v>
      </c>
      <c r="BD125" s="162" t="e">
        <f t="shared" si="81"/>
        <v>#DIV/0!</v>
      </c>
      <c r="BE125" s="162" t="e">
        <f t="shared" si="81"/>
        <v>#DIV/0!</v>
      </c>
      <c r="BF125" s="145">
        <f t="shared" si="81"/>
        <v>0</v>
      </c>
      <c r="BG125" s="145">
        <f t="shared" si="81"/>
        <v>0</v>
      </c>
      <c r="BH125" s="145">
        <f t="shared" si="81"/>
        <v>0</v>
      </c>
      <c r="BI125" s="145">
        <f t="shared" si="81"/>
        <v>1.6863406408094434E-3</v>
      </c>
      <c r="BJ125" s="145">
        <f t="shared" si="81"/>
        <v>2.0642201834862386E-2</v>
      </c>
      <c r="BK125" s="145">
        <f t="shared" si="81"/>
        <v>0</v>
      </c>
      <c r="BL125" s="145">
        <f t="shared" si="81"/>
        <v>0</v>
      </c>
      <c r="BM125" s="145">
        <f t="shared" si="81"/>
        <v>0</v>
      </c>
      <c r="BN125" s="145">
        <f t="shared" si="81"/>
        <v>0</v>
      </c>
      <c r="BO125" s="145">
        <f t="shared" si="81"/>
        <v>0</v>
      </c>
      <c r="BP125" s="145">
        <f t="shared" si="81"/>
        <v>7.6923076923076927E-3</v>
      </c>
      <c r="BQ125" s="145" t="e">
        <f t="shared" si="81"/>
        <v>#DIV/0!</v>
      </c>
      <c r="BR125" s="145">
        <f t="shared" si="81"/>
        <v>0</v>
      </c>
      <c r="BS125" s="145">
        <f t="shared" si="81"/>
        <v>9.6153846153846159E-3</v>
      </c>
      <c r="BT125" s="145">
        <f t="shared" si="81"/>
        <v>0</v>
      </c>
      <c r="BU125" s="145">
        <f t="shared" si="81"/>
        <v>8.1967213114754103E-3</v>
      </c>
      <c r="BV125" s="145">
        <f t="shared" si="81"/>
        <v>0.11764705882352941</v>
      </c>
      <c r="BW125" s="145">
        <f t="shared" si="81"/>
        <v>0</v>
      </c>
      <c r="BX125" s="145">
        <f t="shared" si="81"/>
        <v>9.0293453724604959E-3</v>
      </c>
      <c r="BY125" s="145">
        <f t="shared" si="81"/>
        <v>5.681818181818182E-3</v>
      </c>
      <c r="BZ125" s="145">
        <f t="shared" si="81"/>
        <v>0</v>
      </c>
      <c r="CA125" s="145" t="e">
        <f t="shared" si="81"/>
        <v>#DIV/0!</v>
      </c>
      <c r="CB125" s="145" t="e">
        <f t="shared" ref="CB125:CV125" si="82">CB124/CB126</f>
        <v>#DIV/0!</v>
      </c>
      <c r="CC125" s="145">
        <f t="shared" si="82"/>
        <v>0</v>
      </c>
      <c r="CD125" s="145">
        <f t="shared" si="82"/>
        <v>3.968253968253968E-3</v>
      </c>
      <c r="CE125" s="145">
        <f t="shared" si="82"/>
        <v>1.4732965009208104E-2</v>
      </c>
      <c r="CF125" s="145">
        <f t="shared" si="82"/>
        <v>0.16689993002099371</v>
      </c>
      <c r="CG125" s="145">
        <f t="shared" si="82"/>
        <v>0</v>
      </c>
      <c r="CH125" s="145">
        <f t="shared" si="82"/>
        <v>0</v>
      </c>
      <c r="CI125" s="145">
        <f t="shared" si="82"/>
        <v>0</v>
      </c>
      <c r="CJ125" s="145" t="e">
        <f t="shared" si="82"/>
        <v>#DIV/0!</v>
      </c>
      <c r="CK125" s="145">
        <f t="shared" si="82"/>
        <v>0</v>
      </c>
      <c r="CL125" s="145">
        <f t="shared" si="82"/>
        <v>0</v>
      </c>
      <c r="CM125" s="145">
        <f t="shared" si="82"/>
        <v>6.8027210884353739E-3</v>
      </c>
      <c r="CN125" s="145">
        <f t="shared" si="82"/>
        <v>0</v>
      </c>
      <c r="CO125" s="145" t="e">
        <f t="shared" si="82"/>
        <v>#DIV/0!</v>
      </c>
      <c r="CP125" s="145">
        <f t="shared" si="82"/>
        <v>9.8540145985401464E-2</v>
      </c>
      <c r="CQ125" s="145">
        <f t="shared" si="82"/>
        <v>0.11728395061728394</v>
      </c>
      <c r="CR125" s="145" t="e">
        <f t="shared" si="82"/>
        <v>#DIV/0!</v>
      </c>
      <c r="CS125" s="145">
        <f t="shared" si="82"/>
        <v>1.0574018126888218E-2</v>
      </c>
      <c r="CT125" s="145">
        <f t="shared" si="82"/>
        <v>0</v>
      </c>
      <c r="CU125" s="145">
        <f t="shared" si="82"/>
        <v>0.16049382716049382</v>
      </c>
      <c r="CV125" s="145">
        <f t="shared" si="82"/>
        <v>1.8108651911468814E-2</v>
      </c>
    </row>
    <row r="126" spans="1:101" ht="42">
      <c r="A126" s="10" t="s">
        <v>5197</v>
      </c>
      <c r="B126" s="11" t="s">
        <v>4990</v>
      </c>
      <c r="C126" s="61" t="s">
        <v>5198</v>
      </c>
      <c r="D126" s="37" t="s">
        <v>4949</v>
      </c>
      <c r="E126" s="37">
        <v>86</v>
      </c>
      <c r="F126" s="38" t="s">
        <v>5199</v>
      </c>
      <c r="G126" s="54" t="s">
        <v>5278</v>
      </c>
      <c r="H126" s="40" t="s">
        <v>5140</v>
      </c>
      <c r="I126" s="55" t="s">
        <v>5090</v>
      </c>
      <c r="M126" s="36">
        <v>15942</v>
      </c>
      <c r="N126" s="36">
        <v>18859</v>
      </c>
      <c r="O126" s="224">
        <f>SUM(O86,O88,O90,O92,O94,O96,O98,O100,O102,O104,O106,O108,O110,O112,O114,O116,O118,O120,O122,O124)</f>
        <v>21841</v>
      </c>
      <c r="P126" s="36">
        <f>SUM(P86,P88,P90,P92,P94,P96,P98,P100,P102,P104,P106,P108,P110,P112,P114,P116,P118,P120,P122,P124)</f>
        <v>6</v>
      </c>
      <c r="Q126" s="36">
        <f t="shared" ref="Q126:CB126" si="83">SUM(Q86,Q88,Q90,Q92,Q94,Q96,Q98,Q100,Q102,Q104,Q106,Q108,Q110,Q112,Q114,Q116,Q118,Q120,Q122,Q124)</f>
        <v>36</v>
      </c>
      <c r="R126" s="36">
        <f t="shared" si="83"/>
        <v>204</v>
      </c>
      <c r="S126" s="36">
        <f t="shared" si="83"/>
        <v>82</v>
      </c>
      <c r="T126" s="36">
        <f t="shared" si="83"/>
        <v>370</v>
      </c>
      <c r="U126" s="36">
        <f t="shared" si="83"/>
        <v>15</v>
      </c>
      <c r="V126" s="36">
        <f t="shared" si="83"/>
        <v>2561</v>
      </c>
      <c r="W126" s="36">
        <f t="shared" si="83"/>
        <v>142</v>
      </c>
      <c r="X126" s="36">
        <f t="shared" si="83"/>
        <v>89</v>
      </c>
      <c r="Y126" s="36">
        <f t="shared" si="83"/>
        <v>1054</v>
      </c>
      <c r="Z126" s="36">
        <f t="shared" si="83"/>
        <v>453</v>
      </c>
      <c r="AA126" s="36">
        <f t="shared" si="83"/>
        <v>93</v>
      </c>
      <c r="AB126" s="36">
        <f t="shared" si="83"/>
        <v>893</v>
      </c>
      <c r="AC126" s="36">
        <f t="shared" si="83"/>
        <v>325</v>
      </c>
      <c r="AD126" s="160">
        <f t="shared" si="83"/>
        <v>0</v>
      </c>
      <c r="AE126" s="160">
        <f t="shared" si="83"/>
        <v>0</v>
      </c>
      <c r="AF126" s="36">
        <f t="shared" si="83"/>
        <v>1</v>
      </c>
      <c r="AG126" s="160">
        <f t="shared" si="83"/>
        <v>0</v>
      </c>
      <c r="AH126" s="160">
        <f t="shared" si="83"/>
        <v>0</v>
      </c>
      <c r="AI126" s="36">
        <f t="shared" si="83"/>
        <v>1700</v>
      </c>
      <c r="AJ126" s="36">
        <f t="shared" si="83"/>
        <v>1</v>
      </c>
      <c r="AK126" s="36">
        <f t="shared" si="83"/>
        <v>570</v>
      </c>
      <c r="AL126" s="36">
        <f t="shared" si="83"/>
        <v>9</v>
      </c>
      <c r="AM126" s="36">
        <f t="shared" si="83"/>
        <v>170</v>
      </c>
      <c r="AN126" s="160">
        <f t="shared" si="83"/>
        <v>0</v>
      </c>
      <c r="AO126" s="160">
        <f t="shared" si="83"/>
        <v>0</v>
      </c>
      <c r="AP126" s="36">
        <f t="shared" si="83"/>
        <v>151</v>
      </c>
      <c r="AQ126" s="36">
        <f t="shared" si="83"/>
        <v>107</v>
      </c>
      <c r="AR126" s="36">
        <f t="shared" si="83"/>
        <v>357</v>
      </c>
      <c r="AS126" s="36">
        <f t="shared" si="83"/>
        <v>276</v>
      </c>
      <c r="AT126" s="36">
        <f t="shared" si="83"/>
        <v>320</v>
      </c>
      <c r="AU126" s="36">
        <f t="shared" si="83"/>
        <v>140</v>
      </c>
      <c r="AV126" s="36">
        <f t="shared" si="83"/>
        <v>120</v>
      </c>
      <c r="AW126" s="36">
        <f t="shared" si="83"/>
        <v>138</v>
      </c>
      <c r="AX126" s="36">
        <f t="shared" si="83"/>
        <v>293</v>
      </c>
      <c r="AY126" s="160">
        <f t="shared" si="83"/>
        <v>0</v>
      </c>
      <c r="AZ126" s="36">
        <f t="shared" si="83"/>
        <v>607</v>
      </c>
      <c r="BA126" s="36">
        <f t="shared" si="83"/>
        <v>81</v>
      </c>
      <c r="BB126" s="160">
        <f t="shared" si="83"/>
        <v>0</v>
      </c>
      <c r="BC126" s="36">
        <f t="shared" si="83"/>
        <v>42</v>
      </c>
      <c r="BD126" s="160">
        <f t="shared" si="83"/>
        <v>0</v>
      </c>
      <c r="BE126" s="160">
        <f t="shared" si="83"/>
        <v>0</v>
      </c>
      <c r="BF126" s="36">
        <f t="shared" si="83"/>
        <v>3</v>
      </c>
      <c r="BG126" s="36">
        <f t="shared" si="83"/>
        <v>36</v>
      </c>
      <c r="BH126" s="36">
        <f t="shared" si="83"/>
        <v>23</v>
      </c>
      <c r="BI126" s="36">
        <f t="shared" si="83"/>
        <v>593</v>
      </c>
      <c r="BJ126" s="36">
        <f t="shared" si="83"/>
        <v>436</v>
      </c>
      <c r="BK126" s="36">
        <f t="shared" si="83"/>
        <v>203</v>
      </c>
      <c r="BL126" s="36">
        <f t="shared" si="83"/>
        <v>129</v>
      </c>
      <c r="BM126" s="36">
        <f t="shared" si="83"/>
        <v>147</v>
      </c>
      <c r="BN126" s="36">
        <f t="shared" si="83"/>
        <v>9</v>
      </c>
      <c r="BO126" s="36">
        <f t="shared" si="83"/>
        <v>149</v>
      </c>
      <c r="BP126" s="36">
        <f t="shared" si="83"/>
        <v>130</v>
      </c>
      <c r="BQ126" s="160">
        <f t="shared" si="83"/>
        <v>0</v>
      </c>
      <c r="BR126" s="36">
        <f t="shared" si="83"/>
        <v>25</v>
      </c>
      <c r="BS126" s="36">
        <f t="shared" si="83"/>
        <v>104</v>
      </c>
      <c r="BT126" s="36">
        <f t="shared" si="83"/>
        <v>191</v>
      </c>
      <c r="BU126" s="36">
        <f t="shared" si="83"/>
        <v>610</v>
      </c>
      <c r="BV126" s="36">
        <f t="shared" si="83"/>
        <v>17</v>
      </c>
      <c r="BW126" s="36">
        <f t="shared" si="83"/>
        <v>110</v>
      </c>
      <c r="BX126" s="36">
        <f t="shared" si="83"/>
        <v>443</v>
      </c>
      <c r="BY126" s="36">
        <f t="shared" si="83"/>
        <v>176</v>
      </c>
      <c r="BZ126" s="36">
        <f t="shared" si="83"/>
        <v>185</v>
      </c>
      <c r="CA126" s="160">
        <f t="shared" si="83"/>
        <v>0</v>
      </c>
      <c r="CB126" s="160">
        <f t="shared" si="83"/>
        <v>0</v>
      </c>
      <c r="CC126" s="36">
        <f t="shared" ref="CC126:CV126" si="84">SUM(CC86,CC88,CC90,CC92,CC94,CC96,CC98,CC100,CC102,CC104,CC106,CC108,CC110,CC112,CC114,CC116,CC118,CC120,CC122,CC124)</f>
        <v>6</v>
      </c>
      <c r="CD126" s="36">
        <f t="shared" si="84"/>
        <v>252</v>
      </c>
      <c r="CE126" s="36">
        <f t="shared" si="84"/>
        <v>543</v>
      </c>
      <c r="CF126" s="36">
        <f t="shared" si="84"/>
        <v>2858</v>
      </c>
      <c r="CG126" s="36">
        <f t="shared" si="84"/>
        <v>271</v>
      </c>
      <c r="CH126" s="36">
        <f t="shared" si="84"/>
        <v>72</v>
      </c>
      <c r="CI126" s="36">
        <f t="shared" si="84"/>
        <v>506</v>
      </c>
      <c r="CJ126" s="160">
        <f t="shared" si="84"/>
        <v>0</v>
      </c>
      <c r="CK126" s="36">
        <f t="shared" si="84"/>
        <v>17</v>
      </c>
      <c r="CL126" s="36">
        <f t="shared" si="84"/>
        <v>109</v>
      </c>
      <c r="CM126" s="36">
        <f t="shared" si="84"/>
        <v>147</v>
      </c>
      <c r="CN126" s="36">
        <f t="shared" si="84"/>
        <v>249</v>
      </c>
      <c r="CO126" s="160">
        <f t="shared" si="84"/>
        <v>0</v>
      </c>
      <c r="CP126" s="36">
        <f t="shared" si="84"/>
        <v>274</v>
      </c>
      <c r="CQ126" s="36">
        <f t="shared" si="84"/>
        <v>162</v>
      </c>
      <c r="CR126" s="160">
        <f t="shared" si="84"/>
        <v>0</v>
      </c>
      <c r="CS126" s="36">
        <f t="shared" si="84"/>
        <v>662</v>
      </c>
      <c r="CT126" s="36">
        <f t="shared" si="84"/>
        <v>10</v>
      </c>
      <c r="CU126" s="36">
        <f t="shared" si="84"/>
        <v>81</v>
      </c>
      <c r="CV126" s="36">
        <f t="shared" si="84"/>
        <v>497</v>
      </c>
    </row>
    <row r="127" spans="1:101" ht="79" customHeight="1">
      <c r="A127" s="21" t="s">
        <v>5200</v>
      </c>
      <c r="B127" s="17" t="s">
        <v>4947</v>
      </c>
      <c r="C127" s="99" t="s">
        <v>5201</v>
      </c>
      <c r="D127" s="42" t="s">
        <v>4949</v>
      </c>
      <c r="E127" s="42">
        <v>87</v>
      </c>
      <c r="F127" s="43" t="s">
        <v>5202</v>
      </c>
      <c r="G127" s="58" t="s">
        <v>5280</v>
      </c>
      <c r="H127" s="45" t="s">
        <v>5082</v>
      </c>
      <c r="I127" s="46" t="s">
        <v>5203</v>
      </c>
      <c r="M127" s="232">
        <v>0.90965584374607955</v>
      </c>
      <c r="N127" s="232">
        <v>1.0241420880237551</v>
      </c>
      <c r="O127" s="232">
        <f>O60/O$126</f>
        <v>1.1017895808923586</v>
      </c>
      <c r="P127" s="232">
        <f>P60/P$126</f>
        <v>1.1943333333333335</v>
      </c>
      <c r="Q127" s="232">
        <f t="shared" ref="Q127:CB127" si="85">Q60/Q$126</f>
        <v>2.1103406833333334</v>
      </c>
      <c r="R127" s="232">
        <f t="shared" si="85"/>
        <v>0.85392156862745094</v>
      </c>
      <c r="S127" s="232">
        <f t="shared" si="85"/>
        <v>1.0929512195121951</v>
      </c>
      <c r="T127" s="232">
        <f t="shared" si="85"/>
        <v>0.15235135135135133</v>
      </c>
      <c r="U127" s="232">
        <f t="shared" si="85"/>
        <v>0.1</v>
      </c>
      <c r="V127" s="232">
        <f t="shared" si="85"/>
        <v>1.2311198750488093</v>
      </c>
      <c r="W127" s="232">
        <f t="shared" si="85"/>
        <v>0.75943661971831</v>
      </c>
      <c r="X127" s="232">
        <f t="shared" si="85"/>
        <v>1.2247191011235956</v>
      </c>
      <c r="Y127" s="232">
        <f t="shared" si="85"/>
        <v>5.6925996204933584E-2</v>
      </c>
      <c r="Z127" s="232">
        <f t="shared" si="85"/>
        <v>1.5747704194260488</v>
      </c>
      <c r="AA127" s="232">
        <f t="shared" si="85"/>
        <v>1.2303333333333335</v>
      </c>
      <c r="AB127" s="232">
        <f t="shared" si="85"/>
        <v>0.28092497200447925</v>
      </c>
      <c r="AC127" s="232">
        <f t="shared" si="85"/>
        <v>0.89876000000000011</v>
      </c>
      <c r="AD127" s="232" t="e">
        <f t="shared" si="85"/>
        <v>#DIV/0!</v>
      </c>
      <c r="AE127" s="232" t="e">
        <f t="shared" si="85"/>
        <v>#DIV/0!</v>
      </c>
      <c r="AF127" s="232">
        <f t="shared" si="85"/>
        <v>25.139099999999999</v>
      </c>
      <c r="AG127" s="232" t="e">
        <f t="shared" si="85"/>
        <v>#DIV/0!</v>
      </c>
      <c r="AH127" s="232" t="e">
        <f t="shared" si="85"/>
        <v>#DIV/0!</v>
      </c>
      <c r="AI127" s="232">
        <f t="shared" si="85"/>
        <v>0.44076470588235289</v>
      </c>
      <c r="AJ127" s="232">
        <f t="shared" si="85"/>
        <v>2</v>
      </c>
      <c r="AK127" s="232">
        <f t="shared" si="85"/>
        <v>3.1324205369122811</v>
      </c>
      <c r="AL127" s="232">
        <f t="shared" si="85"/>
        <v>0.83368811111111107</v>
      </c>
      <c r="AM127" s="232">
        <f t="shared" si="85"/>
        <v>0.97147680911764689</v>
      </c>
      <c r="AN127" s="232" t="e">
        <f t="shared" si="85"/>
        <v>#DIV/0!</v>
      </c>
      <c r="AO127" s="232" t="e">
        <f t="shared" si="85"/>
        <v>#DIV/0!</v>
      </c>
      <c r="AP127" s="232">
        <f t="shared" si="85"/>
        <v>0.79867549668874172</v>
      </c>
      <c r="AQ127" s="232">
        <f t="shared" si="85"/>
        <v>1.1448598130841121</v>
      </c>
      <c r="AR127" s="232">
        <f t="shared" si="85"/>
        <v>1.1795518207282913</v>
      </c>
      <c r="AS127" s="232">
        <f t="shared" si="85"/>
        <v>0.42841304347826087</v>
      </c>
      <c r="AT127" s="232">
        <f t="shared" si="85"/>
        <v>1.5782281250000001</v>
      </c>
      <c r="AU127" s="232">
        <f t="shared" si="85"/>
        <v>0.50995000000000001</v>
      </c>
      <c r="AV127" s="232">
        <f t="shared" si="85"/>
        <v>1.2857499999999999</v>
      </c>
      <c r="AW127" s="232">
        <f t="shared" si="85"/>
        <v>2.1498753260869563</v>
      </c>
      <c r="AX127" s="232">
        <f t="shared" si="85"/>
        <v>1.9349454095563139</v>
      </c>
      <c r="AY127" s="232" t="e">
        <f t="shared" si="85"/>
        <v>#DIV/0!</v>
      </c>
      <c r="AZ127" s="232">
        <f t="shared" si="85"/>
        <v>0.91786985172981883</v>
      </c>
      <c r="BA127" s="232">
        <f t="shared" si="85"/>
        <v>1.0192716049382717</v>
      </c>
      <c r="BB127" s="232" t="e">
        <f t="shared" si="85"/>
        <v>#DIV/0!</v>
      </c>
      <c r="BC127" s="232">
        <f t="shared" si="85"/>
        <v>0.7702336904761905</v>
      </c>
      <c r="BD127" s="232" t="e">
        <f t="shared" si="85"/>
        <v>#DIV/0!</v>
      </c>
      <c r="BE127" s="232" t="e">
        <f t="shared" si="85"/>
        <v>#DIV/0!</v>
      </c>
      <c r="BF127" s="232">
        <f t="shared" si="85"/>
        <v>2.6366666666666667</v>
      </c>
      <c r="BG127" s="232">
        <f t="shared" si="85"/>
        <v>1.0351111111111111</v>
      </c>
      <c r="BH127" s="232">
        <f t="shared" si="85"/>
        <v>1.0122608695652173</v>
      </c>
      <c r="BI127" s="232">
        <f t="shared" si="85"/>
        <v>1.1727386172006744</v>
      </c>
      <c r="BJ127" s="232">
        <f t="shared" si="85"/>
        <v>1.3051048165137615</v>
      </c>
      <c r="BK127" s="232">
        <f t="shared" si="85"/>
        <v>0.77635467980295558</v>
      </c>
      <c r="BL127" s="232">
        <f t="shared" si="85"/>
        <v>0.54399224806201552</v>
      </c>
      <c r="BM127" s="232">
        <f t="shared" si="85"/>
        <v>0.78335306122448989</v>
      </c>
      <c r="BN127" s="232">
        <f t="shared" si="85"/>
        <v>2.7881111111111117</v>
      </c>
      <c r="BO127" s="232">
        <f t="shared" si="85"/>
        <v>3.4933020134228183</v>
      </c>
      <c r="BP127" s="232">
        <f t="shared" si="85"/>
        <v>1.0018822552307693</v>
      </c>
      <c r="BQ127" s="232" t="e">
        <f t="shared" si="85"/>
        <v>#DIV/0!</v>
      </c>
      <c r="BR127" s="232">
        <f t="shared" si="85"/>
        <v>0.18384</v>
      </c>
      <c r="BS127" s="232">
        <f t="shared" si="85"/>
        <v>0.11039423076923077</v>
      </c>
      <c r="BT127" s="232">
        <f t="shared" si="85"/>
        <v>1.0992879581151833</v>
      </c>
      <c r="BU127" s="232">
        <f t="shared" si="85"/>
        <v>0.45122380327868855</v>
      </c>
      <c r="BV127" s="232">
        <f t="shared" si="85"/>
        <v>10.676425882352941</v>
      </c>
      <c r="BW127" s="232">
        <f t="shared" si="85"/>
        <v>0.98387545454545455</v>
      </c>
      <c r="BX127" s="232">
        <f t="shared" si="85"/>
        <v>1.8218284424379234</v>
      </c>
      <c r="BY127" s="232">
        <f t="shared" si="85"/>
        <v>4.896590909090909</v>
      </c>
      <c r="BZ127" s="232">
        <f t="shared" si="85"/>
        <v>11.59096335135135</v>
      </c>
      <c r="CA127" s="232" t="e">
        <f t="shared" si="85"/>
        <v>#DIV/0!</v>
      </c>
      <c r="CB127" s="232" t="e">
        <f t="shared" si="85"/>
        <v>#DIV/0!</v>
      </c>
      <c r="CC127" s="232">
        <f t="shared" ref="CC127:CV127" si="86">CC60/CC$126</f>
        <v>0.13666666666666666</v>
      </c>
      <c r="CD127" s="232">
        <f t="shared" si="86"/>
        <v>2.5737142857142858</v>
      </c>
      <c r="CE127" s="232">
        <f t="shared" si="86"/>
        <v>0.25460957642725596</v>
      </c>
      <c r="CF127" s="232">
        <f t="shared" si="86"/>
        <v>0.47118719384184743</v>
      </c>
      <c r="CG127" s="232">
        <f t="shared" si="86"/>
        <v>0.82730627306273063</v>
      </c>
      <c r="CH127" s="232">
        <f t="shared" si="86"/>
        <v>0.749525055</v>
      </c>
      <c r="CI127" s="232">
        <f t="shared" si="86"/>
        <v>1.3794466403162056</v>
      </c>
      <c r="CJ127" s="232" t="e">
        <f t="shared" si="86"/>
        <v>#DIV/0!</v>
      </c>
      <c r="CK127" s="232">
        <f t="shared" si="86"/>
        <v>25.574058823529409</v>
      </c>
      <c r="CL127" s="232">
        <f t="shared" si="86"/>
        <v>0.84782931284403662</v>
      </c>
      <c r="CM127" s="232">
        <f t="shared" si="86"/>
        <v>1.3099968197278915</v>
      </c>
      <c r="CN127" s="232">
        <f t="shared" si="86"/>
        <v>0.80467871485943776</v>
      </c>
      <c r="CO127" s="232" t="e">
        <f t="shared" si="86"/>
        <v>#DIV/0!</v>
      </c>
      <c r="CP127" s="232">
        <f t="shared" si="86"/>
        <v>2.8587226107299273</v>
      </c>
      <c r="CQ127" s="232">
        <f t="shared" si="86"/>
        <v>0.10987654320987655</v>
      </c>
      <c r="CR127" s="232" t="e">
        <f t="shared" si="86"/>
        <v>#DIV/0!</v>
      </c>
      <c r="CS127" s="232">
        <f t="shared" si="86"/>
        <v>0.67482930513595163</v>
      </c>
      <c r="CT127" s="232">
        <f t="shared" si="86"/>
        <v>2.6659999999999999</v>
      </c>
      <c r="CU127" s="232">
        <f t="shared" si="86"/>
        <v>0.92587654320987633</v>
      </c>
      <c r="CV127" s="232">
        <f t="shared" si="86"/>
        <v>1.487927565392354</v>
      </c>
    </row>
    <row r="128" spans="1:101" ht="32" customHeight="1">
      <c r="A128" s="758" t="s">
        <v>5204</v>
      </c>
      <c r="B128" s="760" t="s">
        <v>4947</v>
      </c>
      <c r="C128" s="770" t="s">
        <v>5205</v>
      </c>
      <c r="D128" s="42" t="s">
        <v>4949</v>
      </c>
      <c r="E128" s="42">
        <v>88</v>
      </c>
      <c r="F128" s="43" t="s">
        <v>5206</v>
      </c>
      <c r="G128" s="58" t="s">
        <v>5207</v>
      </c>
      <c r="H128" s="45" t="s">
        <v>5082</v>
      </c>
      <c r="I128" s="46" t="s">
        <v>5208</v>
      </c>
      <c r="M128" s="232">
        <v>0.48168116415757128</v>
      </c>
      <c r="N128" s="232">
        <v>0.55672697043533592</v>
      </c>
      <c r="O128" s="233">
        <f>O63/O$126</f>
        <v>0.60027867245089517</v>
      </c>
      <c r="P128" s="233">
        <f t="shared" ref="P128:CA128" si="87">P63/P$126</f>
        <v>0.82583333333333331</v>
      </c>
      <c r="Q128" s="233">
        <f t="shared" si="87"/>
        <v>7.1697018888888894E-2</v>
      </c>
      <c r="R128" s="233">
        <f t="shared" si="87"/>
        <v>0.57794117647058829</v>
      </c>
      <c r="S128" s="233">
        <f t="shared" si="87"/>
        <v>0.86984146341463409</v>
      </c>
      <c r="T128" s="233">
        <f t="shared" si="87"/>
        <v>5.6270270270270269E-2</v>
      </c>
      <c r="U128" s="233">
        <f t="shared" si="87"/>
        <v>0.08</v>
      </c>
      <c r="V128" s="233">
        <f t="shared" si="87"/>
        <v>1.0539878953533774</v>
      </c>
      <c r="W128" s="233">
        <f t="shared" si="87"/>
        <v>6.337323943661971E-2</v>
      </c>
      <c r="X128" s="233">
        <f t="shared" si="87"/>
        <v>1.0786516853932584</v>
      </c>
      <c r="Y128" s="233">
        <f t="shared" si="87"/>
        <v>5.6925996204933584E-2</v>
      </c>
      <c r="Z128" s="233">
        <f t="shared" si="87"/>
        <v>0.13673068432671082</v>
      </c>
      <c r="AA128" s="233">
        <f t="shared" si="87"/>
        <v>0.56112903225806454</v>
      </c>
      <c r="AB128" s="233">
        <f t="shared" si="87"/>
        <v>9.18902575587906E-2</v>
      </c>
      <c r="AC128" s="233">
        <f t="shared" si="87"/>
        <v>0.6269015384615384</v>
      </c>
      <c r="AD128" s="233" t="e">
        <f t="shared" si="87"/>
        <v>#DIV/0!</v>
      </c>
      <c r="AE128" s="233" t="e">
        <f t="shared" si="87"/>
        <v>#DIV/0!</v>
      </c>
      <c r="AF128" s="233">
        <f t="shared" si="87"/>
        <v>25.139099999999999</v>
      </c>
      <c r="AG128" s="233" t="e">
        <f t="shared" si="87"/>
        <v>#DIV/0!</v>
      </c>
      <c r="AH128" s="233" t="e">
        <f t="shared" si="87"/>
        <v>#DIV/0!</v>
      </c>
      <c r="AI128" s="233">
        <f t="shared" si="87"/>
        <v>0.38235294117647056</v>
      </c>
      <c r="AJ128" s="233">
        <f t="shared" si="87"/>
        <v>0</v>
      </c>
      <c r="AK128" s="233">
        <f t="shared" si="87"/>
        <v>1.5855398351578947</v>
      </c>
      <c r="AL128" s="233">
        <f t="shared" si="87"/>
        <v>0.59752144444444444</v>
      </c>
      <c r="AM128" s="233">
        <f t="shared" si="87"/>
        <v>0.54430588235294119</v>
      </c>
      <c r="AN128" s="233" t="e">
        <f t="shared" si="87"/>
        <v>#DIV/0!</v>
      </c>
      <c r="AO128" s="233" t="e">
        <f t="shared" si="87"/>
        <v>#DIV/0!</v>
      </c>
      <c r="AP128" s="233">
        <f t="shared" si="87"/>
        <v>0.50198675496688738</v>
      </c>
      <c r="AQ128" s="233">
        <f t="shared" si="87"/>
        <v>0.81869158878504666</v>
      </c>
      <c r="AR128" s="233">
        <f t="shared" si="87"/>
        <v>0.72711484593837528</v>
      </c>
      <c r="AS128" s="233">
        <f t="shared" si="87"/>
        <v>0.32623913043478259</v>
      </c>
      <c r="AT128" s="233">
        <f t="shared" si="87"/>
        <v>0.289728125</v>
      </c>
      <c r="AU128" s="233">
        <f t="shared" si="87"/>
        <v>0</v>
      </c>
      <c r="AV128" s="233">
        <f t="shared" si="87"/>
        <v>0.82166666666666666</v>
      </c>
      <c r="AW128" s="233">
        <f t="shared" si="87"/>
        <v>8.2580398550724646E-2</v>
      </c>
      <c r="AX128" s="233">
        <f t="shared" si="87"/>
        <v>0.38375255972696248</v>
      </c>
      <c r="AY128" s="233" t="e">
        <f t="shared" si="87"/>
        <v>#DIV/0!</v>
      </c>
      <c r="AZ128" s="233">
        <f t="shared" si="87"/>
        <v>0.72717792421746297</v>
      </c>
      <c r="BA128" s="233">
        <f t="shared" si="87"/>
        <v>0.87230562419753077</v>
      </c>
      <c r="BB128" s="233" t="e">
        <f t="shared" si="87"/>
        <v>#DIV/0!</v>
      </c>
      <c r="BC128" s="233">
        <f t="shared" si="87"/>
        <v>0.5190933333333333</v>
      </c>
      <c r="BD128" s="233" t="e">
        <f t="shared" si="87"/>
        <v>#DIV/0!</v>
      </c>
      <c r="BE128" s="233" t="e">
        <f t="shared" si="87"/>
        <v>#DIV/0!</v>
      </c>
      <c r="BF128" s="233">
        <f t="shared" si="87"/>
        <v>0</v>
      </c>
      <c r="BG128" s="233">
        <f t="shared" si="87"/>
        <v>0.62777777777777777</v>
      </c>
      <c r="BH128" s="233">
        <f t="shared" si="87"/>
        <v>0.84700000000000009</v>
      </c>
      <c r="BI128" s="233">
        <f t="shared" si="87"/>
        <v>0.61401180438448566</v>
      </c>
      <c r="BJ128" s="233">
        <f t="shared" si="87"/>
        <v>0.64350068807339456</v>
      </c>
      <c r="BK128" s="233">
        <f t="shared" si="87"/>
        <v>0.5556650246305419</v>
      </c>
      <c r="BL128" s="233">
        <f t="shared" si="87"/>
        <v>0</v>
      </c>
      <c r="BM128" s="233">
        <f t="shared" si="87"/>
        <v>0.47619047619047616</v>
      </c>
      <c r="BN128" s="233">
        <f t="shared" si="87"/>
        <v>1.8904444444444444</v>
      </c>
      <c r="BO128" s="233">
        <f t="shared" si="87"/>
        <v>2.7516778523489931E-2</v>
      </c>
      <c r="BP128" s="233">
        <f t="shared" si="87"/>
        <v>0.89030848653846162</v>
      </c>
      <c r="BQ128" s="233" t="e">
        <f t="shared" si="87"/>
        <v>#DIV/0!</v>
      </c>
      <c r="BR128" s="233">
        <f t="shared" si="87"/>
        <v>0.14000000000000001</v>
      </c>
      <c r="BS128" s="233">
        <f t="shared" si="87"/>
        <v>0</v>
      </c>
      <c r="BT128" s="233">
        <f t="shared" si="87"/>
        <v>0.75684293193717267</v>
      </c>
      <c r="BU128" s="233">
        <f t="shared" si="87"/>
        <v>0.27066557377049177</v>
      </c>
      <c r="BV128" s="233">
        <f t="shared" si="87"/>
        <v>10.676425882352941</v>
      </c>
      <c r="BW128" s="233">
        <f t="shared" si="87"/>
        <v>0.69081909090909088</v>
      </c>
      <c r="BX128" s="233">
        <f t="shared" si="87"/>
        <v>1.1274266365688488</v>
      </c>
      <c r="BY128" s="233">
        <f t="shared" si="87"/>
        <v>4.6289772727272727</v>
      </c>
      <c r="BZ128" s="233">
        <f t="shared" si="87"/>
        <v>0.75387621621621626</v>
      </c>
      <c r="CA128" s="233" t="e">
        <f t="shared" si="87"/>
        <v>#DIV/0!</v>
      </c>
      <c r="CB128" s="233" t="e">
        <f t="shared" ref="CB128:CV128" si="88">CB63/CB$126</f>
        <v>#DIV/0!</v>
      </c>
      <c r="CC128" s="233">
        <f t="shared" si="88"/>
        <v>8.3333333333333329E-2</v>
      </c>
      <c r="CD128" s="233">
        <f t="shared" si="88"/>
        <v>1.5720634920634922</v>
      </c>
      <c r="CE128" s="233">
        <f t="shared" si="88"/>
        <v>0.23103683241252301</v>
      </c>
      <c r="CF128" s="233">
        <f t="shared" si="88"/>
        <v>0.37142407277816653</v>
      </c>
      <c r="CG128" s="233">
        <f t="shared" si="88"/>
        <v>0.43394833948339484</v>
      </c>
      <c r="CH128" s="233">
        <f t="shared" si="88"/>
        <v>0.54750824166666667</v>
      </c>
      <c r="CI128" s="233">
        <f t="shared" si="88"/>
        <v>0.88537549407114624</v>
      </c>
      <c r="CJ128" s="233" t="e">
        <f t="shared" si="88"/>
        <v>#DIV/0!</v>
      </c>
      <c r="CK128" s="233">
        <f t="shared" si="88"/>
        <v>18.618529411764708</v>
      </c>
      <c r="CL128" s="233">
        <f t="shared" si="88"/>
        <v>0.44633027522935781</v>
      </c>
      <c r="CM128" s="233">
        <f t="shared" si="88"/>
        <v>0.76870748299319724</v>
      </c>
      <c r="CN128" s="233">
        <f t="shared" si="88"/>
        <v>0.4823293172690763</v>
      </c>
      <c r="CO128" s="233" t="e">
        <f t="shared" si="88"/>
        <v>#DIV/0!</v>
      </c>
      <c r="CP128" s="233">
        <f t="shared" si="88"/>
        <v>1.1552007299270073</v>
      </c>
      <c r="CQ128" s="233">
        <f t="shared" si="88"/>
        <v>0</v>
      </c>
      <c r="CR128" s="233" t="e">
        <f t="shared" si="88"/>
        <v>#DIV/0!</v>
      </c>
      <c r="CS128" s="233">
        <f t="shared" si="88"/>
        <v>0.39806495468277947</v>
      </c>
      <c r="CT128" s="233">
        <f t="shared" si="88"/>
        <v>2.1331186070000001</v>
      </c>
      <c r="CU128" s="233">
        <f t="shared" si="88"/>
        <v>0</v>
      </c>
      <c r="CV128" s="233">
        <f t="shared" si="88"/>
        <v>0.34185110663983903</v>
      </c>
      <c r="CW128" s="224"/>
    </row>
    <row r="129" spans="1:100" ht="51.5" customHeight="1" thickBot="1">
      <c r="A129" s="759"/>
      <c r="B129" s="722"/>
      <c r="C129" s="771"/>
      <c r="D129" s="49" t="s">
        <v>4949</v>
      </c>
      <c r="E129" s="49">
        <v>89</v>
      </c>
      <c r="F129" s="59" t="s">
        <v>5209</v>
      </c>
      <c r="G129" s="60" t="s">
        <v>5210</v>
      </c>
      <c r="H129" s="52" t="s">
        <v>5082</v>
      </c>
      <c r="I129" s="53" t="s">
        <v>5211</v>
      </c>
      <c r="M129" s="232">
        <v>7.0834226194956718E-2</v>
      </c>
      <c r="N129" s="232">
        <v>0.10303212206691761</v>
      </c>
      <c r="O129" s="233">
        <f>O73/O$126</f>
        <v>9.9830776875600949E-2</v>
      </c>
      <c r="P129" s="233">
        <f t="shared" ref="P129:CA129" si="89">P73/P$126</f>
        <v>0.20550000000000002</v>
      </c>
      <c r="Q129" s="233">
        <f t="shared" si="89"/>
        <v>0.12777777777777777</v>
      </c>
      <c r="R129" s="233">
        <f t="shared" si="89"/>
        <v>0.1122549019607843</v>
      </c>
      <c r="S129" s="233">
        <f t="shared" si="89"/>
        <v>7.5634146341463412E-2</v>
      </c>
      <c r="T129" s="233">
        <f t="shared" si="89"/>
        <v>4.0945945945945944E-2</v>
      </c>
      <c r="U129" s="233">
        <f t="shared" si="89"/>
        <v>1.6666666666666668E-3</v>
      </c>
      <c r="V129" s="233">
        <f t="shared" si="89"/>
        <v>8.3566966028894976E-2</v>
      </c>
      <c r="W129" s="233">
        <f t="shared" si="89"/>
        <v>1.4929577464788731E-3</v>
      </c>
      <c r="X129" s="233">
        <f t="shared" si="89"/>
        <v>5.6179775280898875E-2</v>
      </c>
      <c r="Y129" s="233">
        <f t="shared" si="89"/>
        <v>0</v>
      </c>
      <c r="Z129" s="233">
        <f t="shared" si="89"/>
        <v>0.14956953642384105</v>
      </c>
      <c r="AA129" s="233">
        <f t="shared" si="89"/>
        <v>1.6863516129032256E-2</v>
      </c>
      <c r="AB129" s="233">
        <f t="shared" si="89"/>
        <v>3.1190369540873463E-2</v>
      </c>
      <c r="AC129" s="233">
        <f t="shared" si="89"/>
        <v>0.15135384615384617</v>
      </c>
      <c r="AD129" s="233" t="e">
        <f t="shared" si="89"/>
        <v>#DIV/0!</v>
      </c>
      <c r="AE129" s="233" t="e">
        <f t="shared" si="89"/>
        <v>#DIV/0!</v>
      </c>
      <c r="AF129" s="233">
        <f t="shared" si="89"/>
        <v>0</v>
      </c>
      <c r="AG129" s="233" t="e">
        <f t="shared" si="89"/>
        <v>#DIV/0!</v>
      </c>
      <c r="AH129" s="233" t="e">
        <f t="shared" si="89"/>
        <v>#DIV/0!</v>
      </c>
      <c r="AI129" s="233">
        <f t="shared" si="89"/>
        <v>0</v>
      </c>
      <c r="AJ129" s="233">
        <f t="shared" si="89"/>
        <v>1</v>
      </c>
      <c r="AK129" s="233">
        <f t="shared" si="89"/>
        <v>0.28464385964912281</v>
      </c>
      <c r="AL129" s="233">
        <f t="shared" si="89"/>
        <v>0.12200000000000001</v>
      </c>
      <c r="AM129" s="233">
        <f t="shared" si="89"/>
        <v>0.10138348047058823</v>
      </c>
      <c r="AN129" s="233" t="e">
        <f t="shared" si="89"/>
        <v>#DIV/0!</v>
      </c>
      <c r="AO129" s="233" t="e">
        <f t="shared" si="89"/>
        <v>#DIV/0!</v>
      </c>
      <c r="AP129" s="233">
        <f t="shared" si="89"/>
        <v>0.1</v>
      </c>
      <c r="AQ129" s="233">
        <f t="shared" si="89"/>
        <v>8.9719626168224292E-2</v>
      </c>
      <c r="AR129" s="233">
        <f t="shared" si="89"/>
        <v>0.24207282913165268</v>
      </c>
      <c r="AS129" s="233">
        <f t="shared" si="89"/>
        <v>3.0442028985507245E-2</v>
      </c>
      <c r="AT129" s="233">
        <f t="shared" si="89"/>
        <v>9.4034374999999989E-2</v>
      </c>
      <c r="AU129" s="233">
        <f t="shared" si="89"/>
        <v>0.4250714285714286</v>
      </c>
      <c r="AV129" s="233">
        <f t="shared" si="89"/>
        <v>0.11975000000000001</v>
      </c>
      <c r="AW129" s="233">
        <f t="shared" si="89"/>
        <v>3.8833333333333331E-2</v>
      </c>
      <c r="AX129" s="233">
        <f t="shared" si="89"/>
        <v>5.0991126279863484E-2</v>
      </c>
      <c r="AY129" s="233" t="e">
        <f t="shared" si="89"/>
        <v>#DIV/0!</v>
      </c>
      <c r="AZ129" s="233">
        <f t="shared" si="89"/>
        <v>1.7775947281713344E-3</v>
      </c>
      <c r="BA129" s="233">
        <f t="shared" si="89"/>
        <v>6.9854595432098765E-2</v>
      </c>
      <c r="BB129" s="233" t="e">
        <f t="shared" si="89"/>
        <v>#DIV/0!</v>
      </c>
      <c r="BC129" s="233">
        <f t="shared" si="89"/>
        <v>0.1220050238095238</v>
      </c>
      <c r="BD129" s="233" t="e">
        <f t="shared" si="89"/>
        <v>#DIV/0!</v>
      </c>
      <c r="BE129" s="233" t="e">
        <f t="shared" si="89"/>
        <v>#DIV/0!</v>
      </c>
      <c r="BF129" s="233">
        <f t="shared" si="89"/>
        <v>0.16666666666666666</v>
      </c>
      <c r="BG129" s="233">
        <f t="shared" si="89"/>
        <v>0.26580555555555552</v>
      </c>
      <c r="BH129" s="233">
        <f t="shared" si="89"/>
        <v>1.373913043478261E-2</v>
      </c>
      <c r="BI129" s="233">
        <f t="shared" si="89"/>
        <v>0.17413490725126476</v>
      </c>
      <c r="BJ129" s="233">
        <f t="shared" si="89"/>
        <v>4.5169954128440368E-2</v>
      </c>
      <c r="BK129" s="233">
        <f t="shared" si="89"/>
        <v>6.8965517241379309E-2</v>
      </c>
      <c r="BL129" s="233">
        <f t="shared" si="89"/>
        <v>0.3501937984496124</v>
      </c>
      <c r="BM129" s="233">
        <f t="shared" si="89"/>
        <v>0.11240340136054421</v>
      </c>
      <c r="BN129" s="233">
        <f t="shared" si="89"/>
        <v>0.33923333333333328</v>
      </c>
      <c r="BO129" s="233">
        <f t="shared" si="89"/>
        <v>0.10787919463087249</v>
      </c>
      <c r="BP129" s="233">
        <f t="shared" si="89"/>
        <v>0.10622657976923078</v>
      </c>
      <c r="BQ129" s="233" t="e">
        <f t="shared" si="89"/>
        <v>#DIV/0!</v>
      </c>
      <c r="BR129" s="233">
        <f t="shared" si="89"/>
        <v>4.2399999999999998E-3</v>
      </c>
      <c r="BS129" s="233">
        <f t="shared" si="89"/>
        <v>0.10269230769230769</v>
      </c>
      <c r="BT129" s="233">
        <f t="shared" si="89"/>
        <v>0.10640314136125655</v>
      </c>
      <c r="BU129" s="233">
        <f t="shared" si="89"/>
        <v>4.951068852459016E-2</v>
      </c>
      <c r="BV129" s="233">
        <f t="shared" si="89"/>
        <v>0</v>
      </c>
      <c r="BW129" s="233">
        <f t="shared" si="89"/>
        <v>0.13264181818181819</v>
      </c>
      <c r="BX129" s="233">
        <f t="shared" si="89"/>
        <v>0.38492099322799095</v>
      </c>
      <c r="BY129" s="233">
        <f t="shared" si="89"/>
        <v>1.9886363636363636E-2</v>
      </c>
      <c r="BZ129" s="233">
        <f t="shared" si="89"/>
        <v>0.49170688648648653</v>
      </c>
      <c r="CA129" s="233" t="e">
        <f t="shared" si="89"/>
        <v>#DIV/0!</v>
      </c>
      <c r="CB129" s="233" t="e">
        <f t="shared" ref="CB129:CV129" si="90">CB73/CB$126</f>
        <v>#DIV/0!</v>
      </c>
      <c r="CC129" s="233">
        <f t="shared" si="90"/>
        <v>3.3333333333333332E-4</v>
      </c>
      <c r="CD129" s="233">
        <f t="shared" si="90"/>
        <v>0.35800396825396824</v>
      </c>
      <c r="CE129" s="233">
        <f t="shared" si="90"/>
        <v>4.0515653775322286E-3</v>
      </c>
      <c r="CF129" s="233">
        <f t="shared" si="90"/>
        <v>9.976312106368089E-2</v>
      </c>
      <c r="CG129" s="233">
        <f t="shared" si="90"/>
        <v>0.13099630996309963</v>
      </c>
      <c r="CH129" s="233">
        <f t="shared" si="90"/>
        <v>8.4769228611111108E-2</v>
      </c>
      <c r="CI129" s="233">
        <f t="shared" si="90"/>
        <v>0.23715415019762845</v>
      </c>
      <c r="CJ129" s="233" t="e">
        <f t="shared" si="90"/>
        <v>#DIV/0!</v>
      </c>
      <c r="CK129" s="233">
        <f t="shared" si="90"/>
        <v>7.0411764705882354E-2</v>
      </c>
      <c r="CL129" s="233">
        <f t="shared" si="90"/>
        <v>0.17152293577981653</v>
      </c>
      <c r="CM129" s="233">
        <f t="shared" si="90"/>
        <v>0.11631972789115647</v>
      </c>
      <c r="CN129" s="233">
        <f t="shared" si="90"/>
        <v>0.25732931726907632</v>
      </c>
      <c r="CO129" s="233" t="e">
        <f t="shared" si="90"/>
        <v>#DIV/0!</v>
      </c>
      <c r="CP129" s="233">
        <f t="shared" si="90"/>
        <v>8.6491934306569346E-2</v>
      </c>
      <c r="CQ129" s="233">
        <f t="shared" si="90"/>
        <v>0</v>
      </c>
      <c r="CR129" s="233" t="e">
        <f t="shared" si="90"/>
        <v>#DIV/0!</v>
      </c>
      <c r="CS129" s="233">
        <f t="shared" si="90"/>
        <v>9.4629909365558915E-2</v>
      </c>
      <c r="CT129" s="233">
        <f t="shared" si="90"/>
        <v>4.3341999999999999E-3</v>
      </c>
      <c r="CU129" s="233">
        <f t="shared" si="90"/>
        <v>0.16671975308641973</v>
      </c>
      <c r="CV129" s="233">
        <f t="shared" si="90"/>
        <v>9.0543259557344068E-3</v>
      </c>
    </row>
    <row r="130" spans="1:100" ht="56">
      <c r="A130" s="720" t="s">
        <v>5212</v>
      </c>
      <c r="B130" s="715" t="s">
        <v>4947</v>
      </c>
      <c r="C130" s="717" t="s">
        <v>5213</v>
      </c>
      <c r="D130" s="37" t="s">
        <v>4949</v>
      </c>
      <c r="E130" s="37">
        <v>90</v>
      </c>
      <c r="F130" s="38" t="s">
        <v>5214</v>
      </c>
      <c r="G130" s="57" t="s">
        <v>5273</v>
      </c>
      <c r="H130" s="40" t="s">
        <v>4958</v>
      </c>
      <c r="I130" s="55" t="s">
        <v>4961</v>
      </c>
      <c r="M130" s="36">
        <v>43</v>
      </c>
      <c r="N130" s="36">
        <v>132</v>
      </c>
      <c r="O130" s="224">
        <f t="shared" ref="O130:O135" si="91">SUM(P130:CV130)</f>
        <v>196</v>
      </c>
      <c r="P130" s="36">
        <f>COUNTIFS('свод практик'!$J$6:$J$277,'свод субъектов ИБ+смежные'!P$1,'свод практик'!$E$6:$E$277,"широкая")</f>
        <v>1</v>
      </c>
      <c r="Q130" s="36">
        <f>COUNTIFS('свод практик'!$J$6:$J$277,'свод субъектов ИБ+смежные'!Q$1,'свод практик'!$E$6:$E$277,"широкая")</f>
        <v>1</v>
      </c>
      <c r="R130" s="36">
        <f>COUNTIFS('свод практик'!$J$6:$J$277,'свод субъектов ИБ+смежные'!R$1,'свод практик'!$E$6:$E$277,"широкая")</f>
        <v>1</v>
      </c>
      <c r="S130" s="36">
        <f>COUNTIFS('свод практик'!$J$6:$J$277,'свод субъектов ИБ+смежные'!S$1,'свод практик'!$E$6:$E$277,"широкая")</f>
        <v>1</v>
      </c>
      <c r="T130" s="36">
        <f>COUNTIFS('свод практик'!$J$6:$J$277,'свод субъектов ИБ+смежные'!T$1,'свод практик'!$E$6:$E$277,"широкая")</f>
        <v>2</v>
      </c>
      <c r="U130" s="36">
        <f>COUNTIFS('свод практик'!$J$6:$J$277,'свод субъектов ИБ+смежные'!U$1,'свод практик'!$E$6:$E$277,"широкая")</f>
        <v>1</v>
      </c>
      <c r="V130" s="36">
        <f>COUNTIFS('свод практик'!$J$6:$J$277,'свод субъектов ИБ+смежные'!V$1,'свод практик'!$E$6:$E$277,"широкая")</f>
        <v>8</v>
      </c>
      <c r="W130" s="36">
        <f>COUNTIFS('свод практик'!$J$6:$J$277,'свод субъектов ИБ+смежные'!W$1,'свод практик'!$E$6:$E$277,"широкая")</f>
        <v>3</v>
      </c>
      <c r="X130" s="36">
        <f>COUNTIFS('свод практик'!$J$6:$J$277,'свод субъектов ИБ+смежные'!X$1,'свод практик'!$E$6:$E$277,"широкая")</f>
        <v>1</v>
      </c>
      <c r="Y130" s="36">
        <f>COUNTIFS('свод практик'!$J$6:$J$277,'свод субъектов ИБ+смежные'!Y$1,'свод практик'!$E$6:$E$277,"широкая")</f>
        <v>1</v>
      </c>
      <c r="Z130" s="36">
        <f>COUNTIFS('свод практик'!$J$6:$J$277,'свод субъектов ИБ+смежные'!Z$1,'свод практик'!$E$6:$E$277,"широкая")</f>
        <v>1</v>
      </c>
      <c r="AA130" s="36">
        <f>COUNTIFS('свод практик'!$J$6:$J$277,'свод субъектов ИБ+смежные'!AA$1,'свод практик'!$E$6:$E$277,"широкая")</f>
        <v>1</v>
      </c>
      <c r="AB130" s="36">
        <f>COUNTIFS('свод практик'!$J$6:$J$277,'свод субъектов ИБ+смежные'!AB$1,'свод практик'!$E$6:$E$277,"широкая")</f>
        <v>3</v>
      </c>
      <c r="AC130" s="36">
        <f>COUNTIFS('свод практик'!$J$6:$J$277,'свод субъектов ИБ+смежные'!AC$1,'свод практик'!$E$6:$E$277,"широкая")</f>
        <v>2</v>
      </c>
      <c r="AD130" s="36">
        <f>COUNTIFS('свод практик'!$J$6:$J$277,'свод субъектов ИБ+смежные'!AD$1,'свод практик'!$E$6:$E$277,"широкая")</f>
        <v>0</v>
      </c>
      <c r="AE130" s="36">
        <f>COUNTIFS('свод практик'!$J$6:$J$277,'свод субъектов ИБ+смежные'!AE$1,'свод практик'!$E$6:$E$277,"широкая")</f>
        <v>0</v>
      </c>
      <c r="AF130" s="36">
        <f>COUNTIFS('свод практик'!$J$6:$J$277,'свод субъектов ИБ+смежные'!AF$1,'свод практик'!$E$6:$E$277,"широкая")</f>
        <v>1</v>
      </c>
      <c r="AG130" s="36">
        <f>COUNTIFS('свод практик'!$J$6:$J$277,'свод субъектов ИБ+смежные'!AG$1,'свод практик'!$E$6:$E$277,"широкая")</f>
        <v>0</v>
      </c>
      <c r="AH130" s="36">
        <f>COUNTIFS('свод практик'!$J$6:$J$277,'свод субъектов ИБ+смежные'!AH$1,'свод практик'!$E$6:$E$277,"широкая")</f>
        <v>0</v>
      </c>
      <c r="AI130" s="36">
        <f>COUNTIFS('свод практик'!$J$6:$J$277,'свод субъектов ИБ+смежные'!AI$1,'свод практик'!$E$6:$E$277,"широкая")</f>
        <v>1</v>
      </c>
      <c r="AJ130" s="36">
        <f>COUNTIFS('свод практик'!$J$6:$J$277,'свод субъектов ИБ+смежные'!AJ$1,'свод практик'!$E$6:$E$277,"широкая")</f>
        <v>0</v>
      </c>
      <c r="AK130" s="36">
        <f>COUNTIFS('свод практик'!$J$6:$J$277,'свод субъектов ИБ+смежные'!AK$1,'свод практик'!$E$6:$E$277,"широкая")</f>
        <v>1</v>
      </c>
      <c r="AL130" s="36">
        <f>COUNTIFS('свод практик'!$J$6:$J$277,'свод субъектов ИБ+смежные'!AL$1,'свод практик'!$E$6:$E$277,"широкая")</f>
        <v>1</v>
      </c>
      <c r="AM130" s="36">
        <f>COUNTIFS('свод практик'!$J$6:$J$277,'свод субъектов ИБ+смежные'!AM$1,'свод практик'!$E$6:$E$277,"широкая")</f>
        <v>4</v>
      </c>
      <c r="AN130" s="36">
        <f>COUNTIFS('свод практик'!$J$6:$J$277,'свод субъектов ИБ+смежные'!AN$1,'свод практик'!$E$6:$E$277,"широкая")</f>
        <v>0</v>
      </c>
      <c r="AO130" s="36">
        <f>COUNTIFS('свод практик'!$J$6:$J$277,'свод субъектов ИБ+смежные'!AO$1,'свод практик'!$E$6:$E$277,"широкая")</f>
        <v>0</v>
      </c>
      <c r="AP130" s="36">
        <f>COUNTIFS('свод практик'!$J$6:$J$277,'свод субъектов ИБ+смежные'!AP$1,'свод практик'!$E$6:$E$277,"широкая")</f>
        <v>2</v>
      </c>
      <c r="AQ130" s="36">
        <f>COUNTIFS('свод практик'!$J$6:$J$277,'свод субъектов ИБ+смежные'!AQ$1,'свод практик'!$E$6:$E$277,"широкая")</f>
        <v>1</v>
      </c>
      <c r="AR130" s="36">
        <f>COUNTIFS('свод практик'!$J$6:$J$277,'свод субъектов ИБ+смежные'!AR$1,'свод практик'!$E$6:$E$277,"широкая")</f>
        <v>3</v>
      </c>
      <c r="AS130" s="36">
        <f>COUNTIFS('свод практик'!$J$6:$J$277,'свод субъектов ИБ+смежные'!AS$1,'свод практик'!$E$6:$E$277,"широкая")</f>
        <v>1</v>
      </c>
      <c r="AT130" s="36">
        <f>COUNTIFS('свод практик'!$J$6:$J$277,'свод субъектов ИБ+смежные'!AT$1,'свод практик'!$E$6:$E$277,"широкая")</f>
        <v>0</v>
      </c>
      <c r="AU130" s="36">
        <f>COUNTIFS('свод практик'!$J$6:$J$277,'свод субъектов ИБ+смежные'!AU$1,'свод практик'!$E$6:$E$277,"широкая")</f>
        <v>1</v>
      </c>
      <c r="AV130" s="36">
        <f>COUNTIFS('свод практик'!$J$6:$J$277,'свод субъектов ИБ+смежные'!AV$1,'свод практик'!$E$6:$E$277,"широкая")</f>
        <v>2</v>
      </c>
      <c r="AW130" s="36">
        <f>COUNTIFS('свод практик'!$J$6:$J$277,'свод субъектов ИБ+смежные'!AW$1,'свод практик'!$E$6:$E$277,"широкая")</f>
        <v>0</v>
      </c>
      <c r="AX130" s="36">
        <f>COUNTIFS('свод практик'!$J$6:$J$277,'свод субъектов ИБ+смежные'!AX$1,'свод практик'!$E$6:$E$277,"широкая")</f>
        <v>1</v>
      </c>
      <c r="AY130" s="36">
        <f>COUNTIFS('свод практик'!$J$6:$J$277,'свод субъектов ИБ+смежные'!AY$1,'свод практик'!$E$6:$E$277,"широкая")</f>
        <v>0</v>
      </c>
      <c r="AZ130" s="36">
        <f>COUNTIFS('свод практик'!$J$6:$J$277,'свод субъектов ИБ+смежные'!AZ$1,'свод практик'!$E$6:$E$277,"широкая")</f>
        <v>3</v>
      </c>
      <c r="BA130" s="36">
        <f>COUNTIFS('свод практик'!$J$6:$J$277,'свод субъектов ИБ+смежные'!BA$1,'свод практик'!$E$6:$E$277,"широкая")</f>
        <v>0</v>
      </c>
      <c r="BB130" s="36">
        <f>COUNTIFS('свод практик'!$J$6:$J$277,'свод субъектов ИБ+смежные'!BB$1,'свод практик'!$E$6:$E$277,"широкая")</f>
        <v>0</v>
      </c>
      <c r="BC130" s="36">
        <f>COUNTIFS('свод практик'!$J$6:$J$277,'свод субъектов ИБ+смежные'!BC$1,'свод практик'!$E$6:$E$277,"широкая")</f>
        <v>1</v>
      </c>
      <c r="BD130" s="36">
        <f>COUNTIFS('свод практик'!$J$6:$J$277,'свод субъектов ИБ+смежные'!BD$1,'свод практик'!$E$6:$E$277,"широкая")</f>
        <v>0</v>
      </c>
      <c r="BE130" s="36">
        <f>COUNTIFS('свод практик'!$J$6:$J$277,'свод субъектов ИБ+смежные'!BE$1,'свод практик'!$E$6:$E$277,"широкая")</f>
        <v>0</v>
      </c>
      <c r="BF130" s="36">
        <f>COUNTIFS('свод практик'!$J$6:$J$277,'свод субъектов ИБ+смежные'!BF$1,'свод практик'!$E$6:$E$277,"широкая")</f>
        <v>1</v>
      </c>
      <c r="BG130" s="36">
        <f>COUNTIFS('свод практик'!$J$6:$J$277,'свод субъектов ИБ+смежные'!BG$1,'свод практик'!$E$6:$E$277,"широкая")</f>
        <v>1</v>
      </c>
      <c r="BH130" s="36">
        <f>COUNTIFS('свод практик'!$J$6:$J$277,'свод субъектов ИБ+смежные'!BH$1,'свод практик'!$E$6:$E$277,"широкая")</f>
        <v>1</v>
      </c>
      <c r="BI130" s="36">
        <f>COUNTIFS('свод практик'!$J$6:$J$277,'свод субъектов ИБ+смежные'!BI$1,'свод практик'!$E$6:$E$277,"широкая")</f>
        <v>1</v>
      </c>
      <c r="BJ130" s="36">
        <f>COUNTIFS('свод практик'!$J$6:$J$277,'свод субъектов ИБ+смежные'!BJ$1,'свод практик'!$E$6:$E$277,"широкая")</f>
        <v>3</v>
      </c>
      <c r="BK130" s="36">
        <f>COUNTIFS('свод практик'!$J$6:$J$277,'свод субъектов ИБ+смежные'!BK$1,'свод практик'!$E$6:$E$277,"широкая")</f>
        <v>1</v>
      </c>
      <c r="BL130" s="36">
        <f>COUNTIFS('свод практик'!$J$6:$J$277,'свод субъектов ИБ+смежные'!BL$1,'свод практик'!$E$6:$E$277,"широкая")</f>
        <v>1</v>
      </c>
      <c r="BM130" s="36">
        <f>COUNTIFS('свод практик'!$J$6:$J$277,'свод субъектов ИБ+смежные'!BM$1,'свод практик'!$E$6:$E$277,"широкая")</f>
        <v>15</v>
      </c>
      <c r="BN130" s="36">
        <f>COUNTIFS('свод практик'!$J$6:$J$277,'свод субъектов ИБ+смежные'!BN$1,'свод практик'!$E$6:$E$277,"широкая")</f>
        <v>1</v>
      </c>
      <c r="BO130" s="36">
        <f>COUNTIFS('свод практик'!$J$6:$J$277,'свод субъектов ИБ+смежные'!BO$1,'свод практик'!$E$6:$E$277,"широкая")</f>
        <v>1</v>
      </c>
      <c r="BP130" s="36">
        <f>COUNTIFS('свод практик'!$J$6:$J$277,'свод субъектов ИБ+смежные'!BP$1,'свод практик'!$E$6:$E$277,"широкая")</f>
        <v>1</v>
      </c>
      <c r="BQ130" s="36">
        <f>COUNTIFS('свод практик'!$J$6:$J$277,'свод субъектов ИБ+смежные'!BQ$1,'свод практик'!$E$6:$E$277,"широкая")</f>
        <v>0</v>
      </c>
      <c r="BR130" s="36">
        <f>COUNTIFS('свод практик'!$J$6:$J$277,'свод субъектов ИБ+смежные'!BR$1,'свод практик'!$E$6:$E$277,"широкая")</f>
        <v>0</v>
      </c>
      <c r="BS130" s="36">
        <f>COUNTIFS('свод практик'!$J$6:$J$277,'свод субъектов ИБ+смежные'!BS$1,'свод практик'!$E$6:$E$277,"широкая")</f>
        <v>1</v>
      </c>
      <c r="BT130" s="36">
        <f>COUNTIFS('свод практик'!$J$6:$J$277,'свод субъектов ИБ+смежные'!BT$1,'свод практик'!$E$6:$E$277,"широкая")</f>
        <v>1</v>
      </c>
      <c r="BU130" s="36">
        <f>COUNTIFS('свод практик'!$J$6:$J$277,'свод субъектов ИБ+смежные'!BU$1,'свод практик'!$E$6:$E$277,"широкая")</f>
        <v>4</v>
      </c>
      <c r="BV130" s="36">
        <f>COUNTIFS('свод практик'!$J$6:$J$277,'свод субъектов ИБ+смежные'!BV$1,'свод практик'!$E$6:$E$277,"широкая")</f>
        <v>1</v>
      </c>
      <c r="BW130" s="36">
        <f>COUNTIFS('свод практик'!$J$6:$J$277,'свод субъектов ИБ+смежные'!BW$1,'свод практик'!$E$6:$E$277,"широкая")</f>
        <v>1</v>
      </c>
      <c r="BX130" s="36">
        <f>COUNTIFS('свод практик'!$J$6:$J$277,'свод субъектов ИБ+смежные'!BX$1,'свод практик'!$E$6:$E$277,"широкая")</f>
        <v>1</v>
      </c>
      <c r="BY130" s="36">
        <f>COUNTIFS('свод практик'!$J$6:$J$277,'свод субъектов ИБ+смежные'!BY$1,'свод практик'!$E$6:$E$277,"широкая")</f>
        <v>3</v>
      </c>
      <c r="BZ130" s="36">
        <f>COUNTIFS('свод практик'!$J$6:$J$277,'свод субъектов ИБ+смежные'!BZ$1,'свод практик'!$E$6:$E$277,"широкая")</f>
        <v>2</v>
      </c>
      <c r="CA130" s="36">
        <f>COUNTIFS('свод практик'!$J$6:$J$277,'свод субъектов ИБ+смежные'!CA$1,'свод практик'!$E$6:$E$277,"широкая")</f>
        <v>0</v>
      </c>
      <c r="CB130" s="36">
        <f>COUNTIFS('свод практик'!$J$6:$J$277,'свод субъектов ИБ+смежные'!CB$1,'свод практик'!$E$6:$E$277,"широкая")</f>
        <v>0</v>
      </c>
      <c r="CC130" s="36">
        <f>COUNTIFS('свод практик'!$J$6:$J$277,'свод субъектов ИБ+смежные'!CC$1,'свод практик'!$E$6:$E$277,"широкая")</f>
        <v>1</v>
      </c>
      <c r="CD130" s="36">
        <f>COUNTIFS('свод практик'!$J$6:$J$277,'свод субъектов ИБ+смежные'!CD$1,'свод практик'!$E$6:$E$277,"широкая")</f>
        <v>3</v>
      </c>
      <c r="CE130" s="36">
        <f>COUNTIFS('свод практик'!$J$6:$J$277,'свод субъектов ИБ+смежные'!CE$1,'свод практик'!$E$6:$E$277,"широкая")</f>
        <v>1</v>
      </c>
      <c r="CF130" s="36">
        <f>COUNTIFS('свод практик'!$J$6:$J$277,'свод субъектов ИБ+смежные'!CF$1,'свод практик'!$E$6:$E$277,"широкая")</f>
        <v>3</v>
      </c>
      <c r="CG130" s="36">
        <f>COUNTIFS('свод практик'!$J$6:$J$277,'свод субъектов ИБ+смежные'!CG$1,'свод практик'!$E$6:$E$277,"широкая")</f>
        <v>1</v>
      </c>
      <c r="CH130" s="36">
        <f>COUNTIFS('свод практик'!$J$6:$J$277,'свод субъектов ИБ+смежные'!CH$1,'свод практик'!$E$6:$E$277,"широкая")</f>
        <v>1</v>
      </c>
      <c r="CI130" s="36">
        <f>COUNTIFS('свод практик'!$J$6:$J$277,'свод субъектов ИБ+смежные'!CI$1,'свод практик'!$E$6:$E$277,"широкая")</f>
        <v>1</v>
      </c>
      <c r="CJ130" s="36">
        <f>COUNTIFS('свод практик'!$J$6:$J$277,'свод субъектов ИБ+смежные'!CJ$1,'свод практик'!$E$6:$E$277,"широкая")</f>
        <v>0</v>
      </c>
      <c r="CK130" s="36">
        <f>COUNTIFS('свод практик'!$J$6:$J$277,'свод субъектов ИБ+смежные'!CK$1,'свод практик'!$E$6:$E$277,"широкая")</f>
        <v>0</v>
      </c>
      <c r="CL130" s="36">
        <f>COUNTIFS('свод практик'!$J$6:$J$277,'свод субъектов ИБ+смежные'!CL$1,'свод практик'!$E$6:$E$277,"широкая")</f>
        <v>6</v>
      </c>
      <c r="CM130" s="36">
        <f>COUNTIFS('свод практик'!$J$6:$J$277,'свод субъектов ИБ+смежные'!CM$1,'свод практик'!$E$6:$E$277,"широкая")</f>
        <v>28</v>
      </c>
      <c r="CN130" s="36">
        <f>COUNTIFS('свод практик'!$J$6:$J$277,'свод субъектов ИБ+смежные'!CN$1,'свод практик'!$E$6:$E$277,"широкая")</f>
        <v>2</v>
      </c>
      <c r="CO130" s="36">
        <f>COUNTIFS('свод практик'!$J$6:$J$277,'свод субъектов ИБ+смежные'!CO$1,'свод практик'!$E$6:$E$277,"широкая")</f>
        <v>0</v>
      </c>
      <c r="CP130" s="36">
        <f>COUNTIFS('свод практик'!$J$6:$J$277,'свод субъектов ИБ+смежные'!CP$1,'свод практик'!$E$6:$E$277,"широкая")</f>
        <v>27</v>
      </c>
      <c r="CQ130" s="36">
        <f>COUNTIFS('свод практик'!$J$6:$J$277,'свод субъектов ИБ+смежные'!CQ$1,'свод практик'!$E$6:$E$277,"широкая")</f>
        <v>2</v>
      </c>
      <c r="CR130" s="36">
        <f>COUNTIFS('свод практик'!$J$6:$J$277,'свод субъектов ИБ+смежные'!CR$1,'свод практик'!$E$6:$E$277,"широкая")</f>
        <v>0</v>
      </c>
      <c r="CS130" s="36">
        <f>COUNTIFS('свод практик'!$J$6:$J$277,'свод субъектов ИБ+смежные'!CS$1,'свод практик'!$E$6:$E$277,"широкая")</f>
        <v>2</v>
      </c>
      <c r="CT130" s="36">
        <f>COUNTIFS('свод практик'!$J$6:$J$277,'свод субъектов ИБ+смежные'!CT$1,'свод практик'!$E$6:$E$277,"широкая")</f>
        <v>1</v>
      </c>
      <c r="CU130" s="36">
        <f>COUNTIFS('свод практик'!$J$6:$J$277,'свод субъектов ИБ+смежные'!CU$1,'свод практик'!$E$6:$E$277,"широкая")</f>
        <v>25</v>
      </c>
      <c r="CV130" s="36">
        <f>COUNTIFS('свод практик'!$J$6:$J$277,'свод субъектов ИБ+смежные'!CV$1,'свод практик'!$E$6:$E$277,"широкая")</f>
        <v>1</v>
      </c>
    </row>
    <row r="131" spans="1:100" ht="37" customHeight="1">
      <c r="A131" s="761"/>
      <c r="B131" s="760"/>
      <c r="C131" s="718"/>
      <c r="D131" s="42" t="s">
        <v>4949</v>
      </c>
      <c r="E131" s="42">
        <v>91</v>
      </c>
      <c r="F131" s="43" t="s">
        <v>5215</v>
      </c>
      <c r="G131" s="58" t="s">
        <v>5216</v>
      </c>
      <c r="H131" s="45" t="s">
        <v>4958</v>
      </c>
      <c r="I131" s="46" t="s">
        <v>4961</v>
      </c>
      <c r="M131" s="36">
        <v>29</v>
      </c>
      <c r="N131" s="36">
        <v>47</v>
      </c>
      <c r="O131" s="224">
        <f t="shared" si="91"/>
        <v>37</v>
      </c>
      <c r="P131" s="36">
        <f>COUNTIFS('свод практик'!$J$6:$J$277,'свод субъектов ИБ+смежные'!P$1,'свод практик'!$E$6:$E$277,"узкая")</f>
        <v>0</v>
      </c>
      <c r="Q131" s="36">
        <f>COUNTIFS('свод практик'!$J$6:$J$277,'свод субъектов ИБ+смежные'!Q$1,'свод практик'!$E$6:$E$277,"узкая")</f>
        <v>2</v>
      </c>
      <c r="R131" s="36">
        <f>COUNTIFS('свод практик'!$J$6:$J$277,'свод субъектов ИБ+смежные'!R$1,'свод практик'!$E$6:$E$277,"узкая")</f>
        <v>0</v>
      </c>
      <c r="S131" s="36">
        <f>COUNTIFS('свод практик'!$J$6:$J$277,'свод субъектов ИБ+смежные'!S$1,'свод практик'!$E$6:$E$277,"узкая")</f>
        <v>0</v>
      </c>
      <c r="T131" s="36">
        <f>COUNTIFS('свод практик'!$J$6:$J$277,'свод субъектов ИБ+смежные'!T$1,'свод практик'!$E$6:$E$277,"узкая")</f>
        <v>0</v>
      </c>
      <c r="U131" s="36">
        <f>COUNTIFS('свод практик'!$J$6:$J$277,'свод субъектов ИБ+смежные'!U$1,'свод практик'!$E$6:$E$277,"узкая")</f>
        <v>1</v>
      </c>
      <c r="V131" s="36">
        <f>COUNTIFS('свод практик'!$J$6:$J$277,'свод субъектов ИБ+смежные'!V$1,'свод практик'!$E$6:$E$277,"узкая")</f>
        <v>0</v>
      </c>
      <c r="W131" s="36">
        <f>COUNTIFS('свод практик'!$J$6:$J$277,'свод субъектов ИБ+смежные'!W$1,'свод практик'!$E$6:$E$277,"узкая")</f>
        <v>1</v>
      </c>
      <c r="X131" s="36">
        <f>COUNTIFS('свод практик'!$J$6:$J$277,'свод субъектов ИБ+смежные'!X$1,'свод практик'!$E$6:$E$277,"узкая")</f>
        <v>0</v>
      </c>
      <c r="Y131" s="36">
        <f>COUNTIFS('свод практик'!$J$6:$J$277,'свод субъектов ИБ+смежные'!Y$1,'свод практик'!$E$6:$E$277,"узкая")</f>
        <v>0</v>
      </c>
      <c r="Z131" s="36">
        <f>COUNTIFS('свод практик'!$J$6:$J$277,'свод субъектов ИБ+смежные'!Z$1,'свод практик'!$E$6:$E$277,"узкая")</f>
        <v>2</v>
      </c>
      <c r="AA131" s="36">
        <f>COUNTIFS('свод практик'!$J$6:$J$277,'свод субъектов ИБ+смежные'!AA$1,'свод практик'!$E$6:$E$277,"узкая")</f>
        <v>0</v>
      </c>
      <c r="AB131" s="36">
        <f>COUNTIFS('свод практик'!$J$6:$J$277,'свод субъектов ИБ+смежные'!AB$1,'свод практик'!$E$6:$E$277,"узкая")</f>
        <v>0</v>
      </c>
      <c r="AC131" s="36">
        <f>COUNTIFS('свод практик'!$J$6:$J$277,'свод субъектов ИБ+смежные'!AC$1,'свод практик'!$E$6:$E$277,"узкая")</f>
        <v>1</v>
      </c>
      <c r="AD131" s="36">
        <f>COUNTIFS('свод практик'!$J$6:$J$277,'свод субъектов ИБ+смежные'!AD$1,'свод практик'!$E$6:$E$277,"узкая")</f>
        <v>0</v>
      </c>
      <c r="AE131" s="36">
        <f>COUNTIFS('свод практик'!$J$6:$J$277,'свод субъектов ИБ+смежные'!AE$1,'свод практик'!$E$6:$E$277,"узкая")</f>
        <v>0</v>
      </c>
      <c r="AF131" s="36">
        <f>COUNTIFS('свод практик'!$J$6:$J$277,'свод субъектов ИБ+смежные'!AF$1,'свод практик'!$E$6:$E$277,"узкая")</f>
        <v>0</v>
      </c>
      <c r="AG131" s="36">
        <f>COUNTIFS('свод практик'!$J$6:$J$277,'свод субъектов ИБ+смежные'!AG$1,'свод практик'!$E$6:$E$277,"узкая")</f>
        <v>0</v>
      </c>
      <c r="AH131" s="36">
        <f>COUNTIFS('свод практик'!$J$6:$J$277,'свод субъектов ИБ+смежные'!AH$1,'свод практик'!$E$6:$E$277,"узкая")</f>
        <v>0</v>
      </c>
      <c r="AI131" s="36">
        <f>COUNTIFS('свод практик'!$J$6:$J$277,'свод субъектов ИБ+смежные'!AI$1,'свод практик'!$E$6:$E$277,"узкая")</f>
        <v>0</v>
      </c>
      <c r="AJ131" s="36">
        <f>COUNTIFS('свод практик'!$J$6:$J$277,'свод субъектов ИБ+смежные'!AJ$1,'свод практик'!$E$6:$E$277,"узкая")</f>
        <v>0</v>
      </c>
      <c r="AK131" s="36">
        <f>COUNTIFS('свод практик'!$J$6:$J$277,'свод субъектов ИБ+смежные'!AK$1,'свод практик'!$E$6:$E$277,"узкая")</f>
        <v>1</v>
      </c>
      <c r="AL131" s="36">
        <f>COUNTIFS('свод практик'!$J$6:$J$277,'свод субъектов ИБ+смежные'!AL$1,'свод практик'!$E$6:$E$277,"узкая")</f>
        <v>0</v>
      </c>
      <c r="AM131" s="36">
        <f>COUNTIFS('свод практик'!$J$6:$J$277,'свод субъектов ИБ+смежные'!AM$1,'свод практик'!$E$6:$E$277,"узкая")</f>
        <v>0</v>
      </c>
      <c r="AN131" s="36">
        <f>COUNTIFS('свод практик'!$J$6:$J$277,'свод субъектов ИБ+смежные'!AN$1,'свод практик'!$E$6:$E$277,"узкая")</f>
        <v>0</v>
      </c>
      <c r="AO131" s="36">
        <f>COUNTIFS('свод практик'!$J$6:$J$277,'свод субъектов ИБ+смежные'!AO$1,'свод практик'!$E$6:$E$277,"узкая")</f>
        <v>0</v>
      </c>
      <c r="AP131" s="36">
        <f>COUNTIFS('свод практик'!$J$6:$J$277,'свод субъектов ИБ+смежные'!AP$1,'свод практик'!$E$6:$E$277,"узкая")</f>
        <v>0</v>
      </c>
      <c r="AQ131" s="36">
        <f>COUNTIFS('свод практик'!$J$6:$J$277,'свод субъектов ИБ+смежные'!AQ$1,'свод практик'!$E$6:$E$277,"узкая")</f>
        <v>0</v>
      </c>
      <c r="AR131" s="36">
        <f>COUNTIFS('свод практик'!$J$6:$J$277,'свод субъектов ИБ+смежные'!AR$1,'свод практик'!$E$6:$E$277,"узкая")</f>
        <v>0</v>
      </c>
      <c r="AS131" s="36">
        <f>COUNTIFS('свод практик'!$J$6:$J$277,'свод субъектов ИБ+смежные'!AS$1,'свод практик'!$E$6:$E$277,"узкая")</f>
        <v>0</v>
      </c>
      <c r="AT131" s="36">
        <f>COUNTIFS('свод практик'!$J$6:$J$277,'свод субъектов ИБ+смежные'!AT$1,'свод практик'!$E$6:$E$277,"узкая")</f>
        <v>1</v>
      </c>
      <c r="AU131" s="36">
        <f>COUNTIFS('свод практик'!$J$6:$J$277,'свод субъектов ИБ+смежные'!AU$1,'свод практик'!$E$6:$E$277,"узкая")</f>
        <v>0</v>
      </c>
      <c r="AV131" s="36">
        <f>COUNTIFS('свод практик'!$J$6:$J$277,'свод субъектов ИБ+смежные'!AV$1,'свод практик'!$E$6:$E$277,"узкая")</f>
        <v>0</v>
      </c>
      <c r="AW131" s="36">
        <f>COUNTIFS('свод практик'!$J$6:$J$277,'свод субъектов ИБ+смежные'!AW$1,'свод практик'!$E$6:$E$277,"узкая")</f>
        <v>2</v>
      </c>
      <c r="AX131" s="36">
        <f>COUNTIFS('свод практик'!$J$6:$J$277,'свод субъектов ИБ+смежные'!AX$1,'свод практик'!$E$6:$E$277,"узкая")</f>
        <v>2</v>
      </c>
      <c r="AY131" s="36">
        <f>COUNTIFS('свод практик'!$J$6:$J$277,'свод субъектов ИБ+смежные'!AY$1,'свод практик'!$E$6:$E$277,"узкая")</f>
        <v>0</v>
      </c>
      <c r="AZ131" s="36">
        <f>COUNTIFS('свод практик'!$J$6:$J$277,'свод субъектов ИБ+смежные'!AZ$1,'свод практик'!$E$6:$E$277,"узкая")</f>
        <v>0</v>
      </c>
      <c r="BA131" s="36">
        <f>COUNTIFS('свод практик'!$J$6:$J$277,'свод субъектов ИБ+смежные'!BA$1,'свод практик'!$E$6:$E$277,"узкая")</f>
        <v>1</v>
      </c>
      <c r="BB131" s="36">
        <f>COUNTIFS('свод практик'!$J$6:$J$277,'свод субъектов ИБ+смежные'!BB$1,'свод практик'!$E$6:$E$277,"узкая")</f>
        <v>0</v>
      </c>
      <c r="BC131" s="36">
        <f>COUNTIFS('свод практик'!$J$6:$J$277,'свод субъектов ИБ+смежные'!BC$1,'свод практик'!$E$6:$E$277,"узкая")</f>
        <v>0</v>
      </c>
      <c r="BD131" s="36">
        <f>COUNTIFS('свод практик'!$J$6:$J$277,'свод субъектов ИБ+смежные'!BD$1,'свод практик'!$E$6:$E$277,"узкая")</f>
        <v>0</v>
      </c>
      <c r="BE131" s="36">
        <f>COUNTIFS('свод практик'!$J$6:$J$277,'свод субъектов ИБ+смежные'!BE$1,'свод практик'!$E$6:$E$277,"узкая")</f>
        <v>0</v>
      </c>
      <c r="BF131" s="36">
        <f>COUNTIFS('свод практик'!$J$6:$J$277,'свод субъектов ИБ+смежные'!BF$1,'свод практик'!$E$6:$E$277,"узкая")</f>
        <v>0</v>
      </c>
      <c r="BG131" s="36">
        <f>COUNTIFS('свод практик'!$J$6:$J$277,'свод субъектов ИБ+смежные'!BG$1,'свод практик'!$E$6:$E$277,"узкая")</f>
        <v>0</v>
      </c>
      <c r="BH131" s="36">
        <f>COUNTIFS('свод практик'!$J$6:$J$277,'свод субъектов ИБ+смежные'!BH$1,'свод практик'!$E$6:$E$277,"узкая")</f>
        <v>0</v>
      </c>
      <c r="BI131" s="36">
        <f>COUNTIFS('свод практик'!$J$6:$J$277,'свод субъектов ИБ+смежные'!BI$1,'свод практик'!$E$6:$E$277,"узкая")</f>
        <v>0</v>
      </c>
      <c r="BJ131" s="36">
        <f>COUNTIFS('свод практик'!$J$6:$J$277,'свод субъектов ИБ+смежные'!BJ$1,'свод практик'!$E$6:$E$277,"узкая")</f>
        <v>2</v>
      </c>
      <c r="BK131" s="36">
        <f>COUNTIFS('свод практик'!$J$6:$J$277,'свод субъектов ИБ+смежные'!BK$1,'свод практик'!$E$6:$E$277,"узкая")</f>
        <v>0</v>
      </c>
      <c r="BL131" s="36">
        <f>COUNTIFS('свод практик'!$J$6:$J$277,'свод субъектов ИБ+смежные'!BL$1,'свод практик'!$E$6:$E$277,"узкая")</f>
        <v>0</v>
      </c>
      <c r="BM131" s="36">
        <f>COUNTIFS('свод практик'!$J$6:$J$277,'свод субъектов ИБ+смежные'!BM$1,'свод практик'!$E$6:$E$277,"узкая")</f>
        <v>0</v>
      </c>
      <c r="BN131" s="36">
        <f>COUNTIFS('свод практик'!$J$6:$J$277,'свод субъектов ИБ+смежные'!BN$1,'свод практик'!$E$6:$E$277,"узкая")</f>
        <v>1</v>
      </c>
      <c r="BO131" s="36">
        <f>COUNTIFS('свод практик'!$J$6:$J$277,'свод субъектов ИБ+смежные'!BO$1,'свод практик'!$E$6:$E$277,"узкая")</f>
        <v>1</v>
      </c>
      <c r="BP131" s="36">
        <f>COUNTIFS('свод практик'!$J$6:$J$277,'свод субъектов ИБ+смежные'!BP$1,'свод практик'!$E$6:$E$277,"узкая")</f>
        <v>0</v>
      </c>
      <c r="BQ131" s="36">
        <f>COUNTIFS('свод практик'!$J$6:$J$277,'свод субъектов ИБ+смежные'!BQ$1,'свод практик'!$E$6:$E$277,"узкая")</f>
        <v>0</v>
      </c>
      <c r="BR131" s="36">
        <f>COUNTIFS('свод практик'!$J$6:$J$277,'свод субъектов ИБ+смежные'!BR$1,'свод практик'!$E$6:$E$277,"узкая")</f>
        <v>0</v>
      </c>
      <c r="BS131" s="36">
        <f>COUNTIFS('свод практик'!$J$6:$J$277,'свод субъектов ИБ+смежные'!BS$1,'свод практик'!$E$6:$E$277,"узкая")</f>
        <v>0</v>
      </c>
      <c r="BT131" s="36">
        <f>COUNTIFS('свод практик'!$J$6:$J$277,'свод субъектов ИБ+смежные'!BT$1,'свод практик'!$E$6:$E$277,"узкая")</f>
        <v>1</v>
      </c>
      <c r="BU131" s="36">
        <f>COUNTIFS('свод практик'!$J$6:$J$277,'свод субъектов ИБ+смежные'!BU$1,'свод практик'!$E$6:$E$277,"узкая")</f>
        <v>9</v>
      </c>
      <c r="BV131" s="36">
        <f>COUNTIFS('свод практик'!$J$6:$J$277,'свод субъектов ИБ+смежные'!BV$1,'свод практик'!$E$6:$E$277,"узкая")</f>
        <v>0</v>
      </c>
      <c r="BW131" s="36">
        <f>COUNTIFS('свод практик'!$J$6:$J$277,'свод субъектов ИБ+смежные'!BW$1,'свод практик'!$E$6:$E$277,"узкая")</f>
        <v>0</v>
      </c>
      <c r="BX131" s="36">
        <f>COUNTIFS('свод практик'!$J$6:$J$277,'свод субъектов ИБ+смежные'!BX$1,'свод практик'!$E$6:$E$277,"узкая")</f>
        <v>0</v>
      </c>
      <c r="BY131" s="36">
        <f>COUNTIFS('свод практик'!$J$6:$J$277,'свод субъектов ИБ+смежные'!BY$1,'свод практик'!$E$6:$E$277,"узкая")</f>
        <v>0</v>
      </c>
      <c r="BZ131" s="36">
        <f>COUNTIFS('свод практик'!$J$6:$J$277,'свод субъектов ИБ+смежные'!BZ$1,'свод практик'!$E$6:$E$277,"узкая")</f>
        <v>4</v>
      </c>
      <c r="CA131" s="36">
        <f>COUNTIFS('свод практик'!$J$6:$J$277,'свод субъектов ИБ+смежные'!CA$1,'свод практик'!$E$6:$E$277,"узкая")</f>
        <v>0</v>
      </c>
      <c r="CB131" s="36">
        <f>COUNTIFS('свод практик'!$J$6:$J$277,'свод субъектов ИБ+смежные'!CB$1,'свод практик'!$E$6:$E$277,"узкая")</f>
        <v>0</v>
      </c>
      <c r="CC131" s="36">
        <f>COUNTIFS('свод практик'!$J$6:$J$277,'свод субъектов ИБ+смежные'!CC$1,'свод практик'!$E$6:$E$277,"узкая")</f>
        <v>0</v>
      </c>
      <c r="CD131" s="36">
        <f>COUNTIFS('свод практик'!$J$6:$J$277,'свод субъектов ИБ+смежные'!CD$1,'свод практик'!$E$6:$E$277,"узкая")</f>
        <v>0</v>
      </c>
      <c r="CE131" s="36">
        <f>COUNTIFS('свод практик'!$J$6:$J$277,'свод субъектов ИБ+смежные'!CE$1,'свод практик'!$E$6:$E$277,"узкая")</f>
        <v>1</v>
      </c>
      <c r="CF131" s="36">
        <f>COUNTIFS('свод практик'!$J$6:$J$277,'свод субъектов ИБ+смежные'!CF$1,'свод практик'!$E$6:$E$277,"узкая")</f>
        <v>0</v>
      </c>
      <c r="CG131" s="36">
        <f>COUNTIFS('свод практик'!$J$6:$J$277,'свод субъектов ИБ+смежные'!CG$1,'свод практик'!$E$6:$E$277,"узкая")</f>
        <v>0</v>
      </c>
      <c r="CH131" s="36">
        <f>COUNTIFS('свод практик'!$J$6:$J$277,'свод субъектов ИБ+смежные'!CH$1,'свод практик'!$E$6:$E$277,"узкая")</f>
        <v>0</v>
      </c>
      <c r="CI131" s="36">
        <f>COUNTIFS('свод практик'!$J$6:$J$277,'свод субъектов ИБ+смежные'!CI$1,'свод практик'!$E$6:$E$277,"узкая")</f>
        <v>0</v>
      </c>
      <c r="CJ131" s="36">
        <f>COUNTIFS('свод практик'!$J$6:$J$277,'свод субъектов ИБ+смежные'!CJ$1,'свод практик'!$E$6:$E$277,"узкая")</f>
        <v>0</v>
      </c>
      <c r="CK131" s="36">
        <f>COUNTIFS('свод практик'!$J$6:$J$277,'свод субъектов ИБ+смежные'!CK$1,'свод практик'!$E$6:$E$277,"узкая")</f>
        <v>2</v>
      </c>
      <c r="CL131" s="36">
        <f>COUNTIFS('свод практик'!$J$6:$J$277,'свод субъектов ИБ+смежные'!CL$1,'свод практик'!$E$6:$E$277,"узкая")</f>
        <v>0</v>
      </c>
      <c r="CM131" s="36">
        <f>COUNTIFS('свод практик'!$J$6:$J$277,'свод субъектов ИБ+смежные'!CM$1,'свод практик'!$E$6:$E$277,"узкая")</f>
        <v>0</v>
      </c>
      <c r="CN131" s="36">
        <f>COUNTIFS('свод практик'!$J$6:$J$277,'свод субъектов ИБ+смежные'!CN$1,'свод практик'!$E$6:$E$277,"узкая")</f>
        <v>0</v>
      </c>
      <c r="CO131" s="36">
        <f>COUNTIFS('свод практик'!$J$6:$J$277,'свод субъектов ИБ+смежные'!CO$1,'свод практик'!$E$6:$E$277,"узкая")</f>
        <v>0</v>
      </c>
      <c r="CP131" s="36">
        <f>COUNTIFS('свод практик'!$J$6:$J$277,'свод субъектов ИБ+смежные'!CP$1,'свод практик'!$E$6:$E$277,"узкая")</f>
        <v>2</v>
      </c>
      <c r="CQ131" s="36">
        <f>COUNTIFS('свод практик'!$J$6:$J$277,'свод субъектов ИБ+смежные'!CQ$1,'свод практик'!$E$6:$E$277,"узкая")</f>
        <v>0</v>
      </c>
      <c r="CR131" s="36">
        <f>COUNTIFS('свод практик'!$J$6:$J$277,'свод субъектов ИБ+смежные'!CR$1,'свод практик'!$E$6:$E$277,"узкая")</f>
        <v>0</v>
      </c>
      <c r="CS131" s="36">
        <f>COUNTIFS('свод практик'!$J$6:$J$277,'свод субъектов ИБ+смежные'!CS$1,'свод практик'!$E$6:$E$277,"узкая")</f>
        <v>0</v>
      </c>
      <c r="CT131" s="36">
        <f>COUNTIFS('свод практик'!$J$6:$J$277,'свод субъектов ИБ+смежные'!CT$1,'свод практик'!$E$6:$E$277,"узкая")</f>
        <v>0</v>
      </c>
      <c r="CU131" s="36">
        <f>COUNTIFS('свод практик'!$J$6:$J$277,'свод субъектов ИБ+смежные'!CU$1,'свод практик'!$E$6:$E$277,"узкая")</f>
        <v>0</v>
      </c>
      <c r="CV131" s="36">
        <f>COUNTIFS('свод практик'!$J$6:$J$277,'свод субъектов ИБ+смежные'!CV$1,'свод практик'!$E$6:$E$277,"узкая")</f>
        <v>0</v>
      </c>
    </row>
    <row r="132" spans="1:100" ht="29.5" customHeight="1" thickBot="1">
      <c r="A132" s="721"/>
      <c r="B132" s="722"/>
      <c r="C132" s="719"/>
      <c r="D132" s="49" t="s">
        <v>4949</v>
      </c>
      <c r="E132" s="49">
        <v>92</v>
      </c>
      <c r="F132" s="59" t="s">
        <v>5217</v>
      </c>
      <c r="G132" s="60" t="s">
        <v>5218</v>
      </c>
      <c r="H132" s="52" t="s">
        <v>4958</v>
      </c>
      <c r="I132" s="53" t="s">
        <v>4961</v>
      </c>
      <c r="M132" s="36">
        <v>38</v>
      </c>
      <c r="N132" s="36">
        <v>13</v>
      </c>
      <c r="O132" s="224">
        <f t="shared" si="91"/>
        <v>13</v>
      </c>
      <c r="P132" s="36">
        <f>COUNTIFS('свод практик'!$J$6:$J$277,'свод субъектов ИБ+смежные'!P$1,'свод практик'!$E$6:$E$277,"специализированная")</f>
        <v>0</v>
      </c>
      <c r="Q132" s="36">
        <f>COUNTIFS('свод практик'!$J$6:$J$277,'свод субъектов ИБ+смежные'!Q$1,'свод практик'!$E$6:$E$277,"специализированная")</f>
        <v>0</v>
      </c>
      <c r="R132" s="36">
        <f>COUNTIFS('свод практик'!$J$6:$J$277,'свод субъектов ИБ+смежные'!R$1,'свод практик'!$E$6:$E$277,"специализированная")</f>
        <v>0</v>
      </c>
      <c r="S132" s="36">
        <f>COUNTIFS('свод практик'!$J$6:$J$277,'свод субъектов ИБ+смежные'!S$1,'свод практик'!$E$6:$E$277,"специализированная")</f>
        <v>0</v>
      </c>
      <c r="T132" s="36">
        <f>COUNTIFS('свод практик'!$J$6:$J$277,'свод субъектов ИБ+смежные'!T$1,'свод практик'!$E$6:$E$277,"специализированная")</f>
        <v>0</v>
      </c>
      <c r="U132" s="36">
        <f>COUNTIFS('свод практик'!$J$6:$J$277,'свод субъектов ИБ+смежные'!U$1,'свод практик'!$E$6:$E$277,"специализированная")</f>
        <v>0</v>
      </c>
      <c r="V132" s="36">
        <f>COUNTIFS('свод практик'!$J$6:$J$277,'свод субъектов ИБ+смежные'!V$1,'свод практик'!$E$6:$E$277,"специализированная")</f>
        <v>2</v>
      </c>
      <c r="W132" s="36">
        <f>COUNTIFS('свод практик'!$J$6:$J$277,'свод субъектов ИБ+смежные'!W$1,'свод практик'!$E$6:$E$277,"специализированная")</f>
        <v>0</v>
      </c>
      <c r="X132" s="36">
        <f>COUNTIFS('свод практик'!$J$6:$J$277,'свод субъектов ИБ+смежные'!X$1,'свод практик'!$E$6:$E$277,"специализированная")</f>
        <v>0</v>
      </c>
      <c r="Y132" s="36">
        <f>COUNTIFS('свод практик'!$J$6:$J$277,'свод субъектов ИБ+смежные'!Y$1,'свод практик'!$E$6:$E$277,"специализированная")</f>
        <v>0</v>
      </c>
      <c r="Z132" s="36">
        <f>COUNTIFS('свод практик'!$J$6:$J$277,'свод субъектов ИБ+смежные'!Z$1,'свод практик'!$E$6:$E$277,"специализированная")</f>
        <v>0</v>
      </c>
      <c r="AA132" s="36">
        <f>COUNTIFS('свод практик'!$J$6:$J$277,'свод субъектов ИБ+смежные'!AA$1,'свод практик'!$E$6:$E$277,"специализированная")</f>
        <v>0</v>
      </c>
      <c r="AB132" s="36">
        <f>COUNTIFS('свод практик'!$J$6:$J$277,'свод субъектов ИБ+смежные'!AB$1,'свод практик'!$E$6:$E$277,"специализированная")</f>
        <v>0</v>
      </c>
      <c r="AC132" s="36">
        <f>COUNTIFS('свод практик'!$J$6:$J$277,'свод субъектов ИБ+смежные'!AC$1,'свод практик'!$E$6:$E$277,"специализированная")</f>
        <v>0</v>
      </c>
      <c r="AD132" s="36">
        <f>COUNTIFS('свод практик'!$J$6:$J$277,'свод субъектов ИБ+смежные'!AD$1,'свод практик'!$E$6:$E$277,"специализированная")</f>
        <v>0</v>
      </c>
      <c r="AE132" s="36">
        <f>COUNTIFS('свод практик'!$J$6:$J$277,'свод субъектов ИБ+смежные'!AE$1,'свод практик'!$E$6:$E$277,"специализированная")</f>
        <v>0</v>
      </c>
      <c r="AF132" s="36">
        <f>COUNTIFS('свод практик'!$J$6:$J$277,'свод субъектов ИБ+смежные'!AF$1,'свод практик'!$E$6:$E$277,"специализированная")</f>
        <v>0</v>
      </c>
      <c r="AG132" s="36">
        <f>COUNTIFS('свод практик'!$J$6:$J$277,'свод субъектов ИБ+смежные'!AG$1,'свод практик'!$E$6:$E$277,"специализированная")</f>
        <v>0</v>
      </c>
      <c r="AH132" s="36">
        <f>COUNTIFS('свод практик'!$J$6:$J$277,'свод субъектов ИБ+смежные'!AH$1,'свод практик'!$E$6:$E$277,"специализированная")</f>
        <v>0</v>
      </c>
      <c r="AI132" s="36">
        <f>COUNTIFS('свод практик'!$J$6:$J$277,'свод субъектов ИБ+смежные'!AI$1,'свод практик'!$E$6:$E$277,"специализированная")</f>
        <v>0</v>
      </c>
      <c r="AJ132" s="36">
        <f>COUNTIFS('свод практик'!$J$6:$J$277,'свод субъектов ИБ+смежные'!AJ$1,'свод практик'!$E$6:$E$277,"специализированная")</f>
        <v>1</v>
      </c>
      <c r="AK132" s="36">
        <f>COUNTIFS('свод практик'!$J$6:$J$277,'свод субъектов ИБ+смежные'!AK$1,'свод практик'!$E$6:$E$277,"специализированная")</f>
        <v>0</v>
      </c>
      <c r="AL132" s="36">
        <f>COUNTIFS('свод практик'!$J$6:$J$277,'свод субъектов ИБ+смежные'!AL$1,'свод практик'!$E$6:$E$277,"специализированная")</f>
        <v>0</v>
      </c>
      <c r="AM132" s="36">
        <f>COUNTIFS('свод практик'!$J$6:$J$277,'свод субъектов ИБ+смежные'!AM$1,'свод практик'!$E$6:$E$277,"специализированная")</f>
        <v>0</v>
      </c>
      <c r="AN132" s="36">
        <f>COUNTIFS('свод практик'!$J$6:$J$277,'свод субъектов ИБ+смежные'!AN$1,'свод практик'!$E$6:$E$277,"специализированная")</f>
        <v>0</v>
      </c>
      <c r="AO132" s="36">
        <f>COUNTIFS('свод практик'!$J$6:$J$277,'свод субъектов ИБ+смежные'!AO$1,'свод практик'!$E$6:$E$277,"специализированная")</f>
        <v>0</v>
      </c>
      <c r="AP132" s="36">
        <f>COUNTIFS('свод практик'!$J$6:$J$277,'свод субъектов ИБ+смежные'!AP$1,'свод практик'!$E$6:$E$277,"специализированная")</f>
        <v>0</v>
      </c>
      <c r="AQ132" s="36">
        <f>COUNTIFS('свод практик'!$J$6:$J$277,'свод субъектов ИБ+смежные'!AQ$1,'свод практик'!$E$6:$E$277,"специализированная")</f>
        <v>0</v>
      </c>
      <c r="AR132" s="36">
        <f>COUNTIFS('свод практик'!$J$6:$J$277,'свод субъектов ИБ+смежные'!AR$1,'свод практик'!$E$6:$E$277,"специализированная")</f>
        <v>0</v>
      </c>
      <c r="AS132" s="36">
        <f>COUNTIFS('свод практик'!$J$6:$J$277,'свод субъектов ИБ+смежные'!AS$1,'свод практик'!$E$6:$E$277,"специализированная")</f>
        <v>0</v>
      </c>
      <c r="AT132" s="36">
        <f>COUNTIFS('свод практик'!$J$6:$J$277,'свод субъектов ИБ+смежные'!AT$1,'свод практик'!$E$6:$E$277,"специализированная")</f>
        <v>1</v>
      </c>
      <c r="AU132" s="36">
        <f>COUNTIFS('свод практик'!$J$6:$J$277,'свод субъектов ИБ+смежные'!AU$1,'свод практик'!$E$6:$E$277,"специализированная")</f>
        <v>0</v>
      </c>
      <c r="AV132" s="36">
        <f>COUNTIFS('свод практик'!$J$6:$J$277,'свод субъектов ИБ+смежные'!AV$1,'свод практик'!$E$6:$E$277,"специализированная")</f>
        <v>0</v>
      </c>
      <c r="AW132" s="36">
        <f>COUNTIFS('свод практик'!$J$6:$J$277,'свод субъектов ИБ+смежные'!AW$1,'свод практик'!$E$6:$E$277,"специализированная")</f>
        <v>1</v>
      </c>
      <c r="AX132" s="36">
        <f>COUNTIFS('свод практик'!$J$6:$J$277,'свод субъектов ИБ+смежные'!AX$1,'свод практик'!$E$6:$E$277,"специализированная")</f>
        <v>0</v>
      </c>
      <c r="AY132" s="36">
        <f>COUNTIFS('свод практик'!$J$6:$J$277,'свод субъектов ИБ+смежные'!AY$1,'свод практик'!$E$6:$E$277,"специализированная")</f>
        <v>0</v>
      </c>
      <c r="AZ132" s="36">
        <f>COUNTIFS('свод практик'!$J$6:$J$277,'свод субъектов ИБ+смежные'!AZ$1,'свод практик'!$E$6:$E$277,"специализированная")</f>
        <v>0</v>
      </c>
      <c r="BA132" s="36">
        <f>COUNTIFS('свод практик'!$J$6:$J$277,'свод субъектов ИБ+смежные'!BA$1,'свод практик'!$E$6:$E$277,"специализированная")</f>
        <v>0</v>
      </c>
      <c r="BB132" s="36">
        <f>COUNTIFS('свод практик'!$J$6:$J$277,'свод субъектов ИБ+смежные'!BB$1,'свод практик'!$E$6:$E$277,"специализированная")</f>
        <v>0</v>
      </c>
      <c r="BC132" s="36">
        <f>COUNTIFS('свод практик'!$J$6:$J$277,'свод субъектов ИБ+смежные'!BC$1,'свод практик'!$E$6:$E$277,"специализированная")</f>
        <v>0</v>
      </c>
      <c r="BD132" s="36">
        <f>COUNTIFS('свод практик'!$J$6:$J$277,'свод субъектов ИБ+смежные'!BD$1,'свод практик'!$E$6:$E$277,"специализированная")</f>
        <v>0</v>
      </c>
      <c r="BE132" s="36">
        <f>COUNTIFS('свод практик'!$J$6:$J$277,'свод субъектов ИБ+смежные'!BE$1,'свод практик'!$E$6:$E$277,"специализированная")</f>
        <v>0</v>
      </c>
      <c r="BF132" s="36">
        <f>COUNTIFS('свод практик'!$J$6:$J$277,'свод субъектов ИБ+смежные'!BF$1,'свод практик'!$E$6:$E$277,"специализированная")</f>
        <v>0</v>
      </c>
      <c r="BG132" s="36">
        <f>COUNTIFS('свод практик'!$J$6:$J$277,'свод субъектов ИБ+смежные'!BG$1,'свод практик'!$E$6:$E$277,"специализированная")</f>
        <v>0</v>
      </c>
      <c r="BH132" s="36">
        <f>COUNTIFS('свод практик'!$J$6:$J$277,'свод субъектов ИБ+смежные'!BH$1,'свод практик'!$E$6:$E$277,"специализированная")</f>
        <v>0</v>
      </c>
      <c r="BI132" s="36">
        <f>COUNTIFS('свод практик'!$J$6:$J$277,'свод субъектов ИБ+смежные'!BI$1,'свод практик'!$E$6:$E$277,"специализированная")</f>
        <v>0</v>
      </c>
      <c r="BJ132" s="36">
        <f>COUNTIFS('свод практик'!$J$6:$J$277,'свод субъектов ИБ+смежные'!BJ$1,'свод практик'!$E$6:$E$277,"специализированная")</f>
        <v>1</v>
      </c>
      <c r="BK132" s="36">
        <f>COUNTIFS('свод практик'!$J$6:$J$277,'свод субъектов ИБ+смежные'!BK$1,'свод практик'!$E$6:$E$277,"специализированная")</f>
        <v>0</v>
      </c>
      <c r="BL132" s="36">
        <f>COUNTIFS('свод практик'!$J$6:$J$277,'свод субъектов ИБ+смежные'!BL$1,'свод практик'!$E$6:$E$277,"специализированная")</f>
        <v>0</v>
      </c>
      <c r="BM132" s="36">
        <f>COUNTIFS('свод практик'!$J$6:$J$277,'свод субъектов ИБ+смежные'!BM$1,'свод практик'!$E$6:$E$277,"специализированная")</f>
        <v>0</v>
      </c>
      <c r="BN132" s="36">
        <f>COUNTIFS('свод практик'!$J$6:$J$277,'свод субъектов ИБ+смежные'!BN$1,'свод практик'!$E$6:$E$277,"специализированная")</f>
        <v>0</v>
      </c>
      <c r="BO132" s="36">
        <f>COUNTIFS('свод практик'!$J$6:$J$277,'свод субъектов ИБ+смежные'!BO$1,'свод практик'!$E$6:$E$277,"специализированная")</f>
        <v>0</v>
      </c>
      <c r="BP132" s="36">
        <f>COUNTIFS('свод практик'!$J$6:$J$277,'свод субъектов ИБ+смежные'!BP$1,'свод практик'!$E$6:$E$277,"специализированная")</f>
        <v>0</v>
      </c>
      <c r="BQ132" s="36">
        <f>COUNTIFS('свод практик'!$J$6:$J$277,'свод субъектов ИБ+смежные'!BQ$1,'свод практик'!$E$6:$E$277,"специализированная")</f>
        <v>0</v>
      </c>
      <c r="BR132" s="36">
        <f>COUNTIFS('свод практик'!$J$6:$J$277,'свод субъектов ИБ+смежные'!BR$1,'свод практик'!$E$6:$E$277,"специализированная")</f>
        <v>0</v>
      </c>
      <c r="BS132" s="36">
        <f>COUNTIFS('свод практик'!$J$6:$J$277,'свод субъектов ИБ+смежные'!BS$1,'свод практик'!$E$6:$E$277,"специализированная")</f>
        <v>1</v>
      </c>
      <c r="BT132" s="36">
        <f>COUNTIFS('свод практик'!$J$6:$J$277,'свод субъектов ИБ+смежные'!BT$1,'свод практик'!$E$6:$E$277,"специализированная")</f>
        <v>0</v>
      </c>
      <c r="BU132" s="36">
        <f>COUNTIFS('свод практик'!$J$6:$J$277,'свод субъектов ИБ+смежные'!BU$1,'свод практик'!$E$6:$E$277,"специализированная")</f>
        <v>2</v>
      </c>
      <c r="BV132" s="36">
        <f>COUNTIFS('свод практик'!$J$6:$J$277,'свод субъектов ИБ+смежные'!BV$1,'свод практик'!$E$6:$E$277,"специализированная")</f>
        <v>0</v>
      </c>
      <c r="BW132" s="36">
        <f>COUNTIFS('свод практик'!$J$6:$J$277,'свод субъектов ИБ+смежные'!BW$1,'свод практик'!$E$6:$E$277,"специализированная")</f>
        <v>0</v>
      </c>
      <c r="BX132" s="36">
        <f>COUNTIFS('свод практик'!$J$6:$J$277,'свод субъектов ИБ+смежные'!BX$1,'свод практик'!$E$6:$E$277,"специализированная")</f>
        <v>0</v>
      </c>
      <c r="BY132" s="36">
        <f>COUNTIFS('свод практик'!$J$6:$J$277,'свод субъектов ИБ+смежные'!BY$1,'свод практик'!$E$6:$E$277,"специализированная")</f>
        <v>0</v>
      </c>
      <c r="BZ132" s="36">
        <f>COUNTIFS('свод практик'!$J$6:$J$277,'свод субъектов ИБ+смежные'!BZ$1,'свод практик'!$E$6:$E$277,"специализированная")</f>
        <v>0</v>
      </c>
      <c r="CA132" s="36">
        <f>COUNTIFS('свод практик'!$J$6:$J$277,'свод субъектов ИБ+смежные'!CA$1,'свод практик'!$E$6:$E$277,"специализированная")</f>
        <v>0</v>
      </c>
      <c r="CB132" s="36">
        <f>COUNTIFS('свод практик'!$J$6:$J$277,'свод субъектов ИБ+смежные'!CB$1,'свод практик'!$E$6:$E$277,"специализированная")</f>
        <v>0</v>
      </c>
      <c r="CC132" s="36">
        <f>COUNTIFS('свод практик'!$J$6:$J$277,'свод субъектов ИБ+смежные'!CC$1,'свод практик'!$E$6:$E$277,"специализированная")</f>
        <v>0</v>
      </c>
      <c r="CD132" s="36">
        <f>COUNTIFS('свод практик'!$J$6:$J$277,'свод субъектов ИБ+смежные'!CD$1,'свод практик'!$E$6:$E$277,"специализированная")</f>
        <v>0</v>
      </c>
      <c r="CE132" s="36">
        <f>COUNTIFS('свод практик'!$J$6:$J$277,'свод субъектов ИБ+смежные'!CE$1,'свод практик'!$E$6:$E$277,"специализированная")</f>
        <v>0</v>
      </c>
      <c r="CF132" s="36">
        <f>COUNTIFS('свод практик'!$J$6:$J$277,'свод субъектов ИБ+смежные'!CF$1,'свод практик'!$E$6:$E$277,"специализированная")</f>
        <v>0</v>
      </c>
      <c r="CG132" s="36">
        <f>COUNTIFS('свод практик'!$J$6:$J$277,'свод субъектов ИБ+смежные'!CG$1,'свод практик'!$E$6:$E$277,"специализированная")</f>
        <v>0</v>
      </c>
      <c r="CH132" s="36">
        <f>COUNTIFS('свод практик'!$J$6:$J$277,'свод субъектов ИБ+смежные'!CH$1,'свод практик'!$E$6:$E$277,"специализированная")</f>
        <v>0</v>
      </c>
      <c r="CI132" s="36">
        <f>COUNTIFS('свод практик'!$J$6:$J$277,'свод субъектов ИБ+смежные'!CI$1,'свод практик'!$E$6:$E$277,"специализированная")</f>
        <v>0</v>
      </c>
      <c r="CJ132" s="36">
        <f>COUNTIFS('свод практик'!$J$6:$J$277,'свод субъектов ИБ+смежные'!CJ$1,'свод практик'!$E$6:$E$277,"специализированная")</f>
        <v>0</v>
      </c>
      <c r="CK132" s="36">
        <f>COUNTIFS('свод практик'!$J$6:$J$277,'свод субъектов ИБ+смежные'!CK$1,'свод практик'!$E$6:$E$277,"специализированная")</f>
        <v>0</v>
      </c>
      <c r="CL132" s="36">
        <f>COUNTIFS('свод практик'!$J$6:$J$277,'свод субъектов ИБ+смежные'!CL$1,'свод практик'!$E$6:$E$277,"специализированная")</f>
        <v>0</v>
      </c>
      <c r="CM132" s="36">
        <f>COUNTIFS('свод практик'!$J$6:$J$277,'свод субъектов ИБ+смежные'!CM$1,'свод практик'!$E$6:$E$277,"специализированная")</f>
        <v>0</v>
      </c>
      <c r="CN132" s="36">
        <f>COUNTIFS('свод практик'!$J$6:$J$277,'свод субъектов ИБ+смежные'!CN$1,'свод практик'!$E$6:$E$277,"специализированная")</f>
        <v>0</v>
      </c>
      <c r="CO132" s="36">
        <f>COUNTIFS('свод практик'!$J$6:$J$277,'свод субъектов ИБ+смежные'!CO$1,'свод практик'!$E$6:$E$277,"специализированная")</f>
        <v>0</v>
      </c>
      <c r="CP132" s="36">
        <f>COUNTIFS('свод практик'!$J$6:$J$277,'свод субъектов ИБ+смежные'!CP$1,'свод практик'!$E$6:$E$277,"специализированная")</f>
        <v>4</v>
      </c>
      <c r="CQ132" s="36">
        <f>COUNTIFS('свод практик'!$J$6:$J$277,'свод субъектов ИБ+смежные'!CQ$1,'свод практик'!$E$6:$E$277,"специализированная")</f>
        <v>0</v>
      </c>
      <c r="CR132" s="36">
        <f>COUNTIFS('свод практик'!$J$6:$J$277,'свод субъектов ИБ+смежные'!CR$1,'свод практик'!$E$6:$E$277,"специализированная")</f>
        <v>0</v>
      </c>
      <c r="CS132" s="36">
        <f>COUNTIFS('свод практик'!$J$6:$J$277,'свод субъектов ИБ+смежные'!CS$1,'свод практик'!$E$6:$E$277,"специализированная")</f>
        <v>0</v>
      </c>
      <c r="CT132" s="36">
        <f>COUNTIFS('свод практик'!$J$6:$J$277,'свод субъектов ИБ+смежные'!CT$1,'свод практик'!$E$6:$E$277,"специализированная")</f>
        <v>0</v>
      </c>
      <c r="CU132" s="36">
        <f>COUNTIFS('свод практик'!$J$6:$J$277,'свод субъектов ИБ+смежные'!CU$1,'свод практик'!$E$6:$E$277,"специализированная")</f>
        <v>0</v>
      </c>
      <c r="CV132" s="36">
        <f>COUNTIFS('свод практик'!$J$6:$J$277,'свод субъектов ИБ+смежные'!CV$1,'свод практик'!$E$6:$E$277,"специализированная")</f>
        <v>0</v>
      </c>
    </row>
    <row r="133" spans="1:100" ht="28">
      <c r="A133" s="775">
        <v>27</v>
      </c>
      <c r="B133" s="775" t="s">
        <v>4947</v>
      </c>
      <c r="C133" s="739" t="s">
        <v>5219</v>
      </c>
      <c r="D133" s="42" t="s">
        <v>4949</v>
      </c>
      <c r="E133" s="42">
        <v>96</v>
      </c>
      <c r="F133" s="48" t="s">
        <v>5220</v>
      </c>
      <c r="G133" s="66" t="s">
        <v>5274</v>
      </c>
      <c r="H133" s="67"/>
      <c r="I133" s="68" t="s">
        <v>4961</v>
      </c>
      <c r="M133" s="36" t="s">
        <v>5497</v>
      </c>
      <c r="N133" s="36">
        <v>79285</v>
      </c>
      <c r="O133" s="224">
        <f t="shared" si="91"/>
        <v>152385</v>
      </c>
      <c r="P133" s="36">
        <f>SUMIFS('свод практик'!$BV$6:$BV$277,'свод практик'!$J$6:$J$277,'свод субъектов ИБ+смежные'!P$1)</f>
        <v>32</v>
      </c>
      <c r="Q133" s="36">
        <f>SUMIFS('свод практик'!$BV$6:$BV$277,'свод практик'!$J$6:$J$277,'свод субъектов ИБ+смежные'!Q$1)</f>
        <v>68</v>
      </c>
      <c r="R133" s="36">
        <f>SUMIFS('свод практик'!$BV$6:$BV$277,'свод практик'!$J$6:$J$277,'свод субъектов ИБ+смежные'!R$1)</f>
        <v>917</v>
      </c>
      <c r="S133" s="36">
        <f>SUMIFS('свод практик'!$BV$6:$BV$277,'свод практик'!$J$6:$J$277,'свод субъектов ИБ+смежные'!S$1)</f>
        <v>84</v>
      </c>
      <c r="T133" s="36">
        <f>SUMIFS('свод практик'!$BV$6:$BV$277,'свод практик'!$J$6:$J$277,'свод субъектов ИБ+смежные'!T$1)</f>
        <v>608</v>
      </c>
      <c r="U133" s="36">
        <f>SUMIFS('свод практик'!$BV$6:$BV$277,'свод практик'!$J$6:$J$277,'свод субъектов ИБ+смежные'!U$1)</f>
        <v>28</v>
      </c>
      <c r="V133" s="36">
        <f>SUMIFS('свод практик'!$BV$6:$BV$277,'свод практик'!$J$6:$J$277,'свод субъектов ИБ+смежные'!V$1)</f>
        <v>1662</v>
      </c>
      <c r="W133" s="36">
        <f>SUMIFS('свод практик'!$BV$6:$BV$277,'свод практик'!$J$6:$J$277,'свод субъектов ИБ+смежные'!W$1)</f>
        <v>989</v>
      </c>
      <c r="X133" s="36">
        <f>SUMIFS('свод практик'!$BV$6:$BV$277,'свод практик'!$J$6:$J$277,'свод субъектов ИБ+смежные'!X$1)</f>
        <v>145</v>
      </c>
      <c r="Y133" s="36">
        <f>SUMIFS('свод практик'!$BV$6:$BV$277,'свод практик'!$J$6:$J$277,'свод субъектов ИБ+смежные'!Y$1)</f>
        <v>1324</v>
      </c>
      <c r="Z133" s="36">
        <f>SUMIFS('свод практик'!$BV$6:$BV$277,'свод практик'!$J$6:$J$277,'свод субъектов ИБ+смежные'!Z$1)</f>
        <v>223</v>
      </c>
      <c r="AA133" s="36">
        <f>SUMIFS('свод практик'!$BV$6:$BV$277,'свод практик'!$J$6:$J$277,'свод субъектов ИБ+смежные'!AA$1)</f>
        <v>209</v>
      </c>
      <c r="AB133" s="36">
        <f>SUMIFS('свод практик'!$BV$6:$BV$277,'свод практик'!$J$6:$J$277,'свод субъектов ИБ+смежные'!AB$1)</f>
        <v>1119</v>
      </c>
      <c r="AC133" s="36">
        <f>SUMIFS('свод практик'!$BV$6:$BV$277,'свод практик'!$J$6:$J$277,'свод субъектов ИБ+смежные'!AC$1)</f>
        <v>1018</v>
      </c>
      <c r="AD133" s="36">
        <f>SUMIFS('свод практик'!$BV$6:$BV$277,'свод практик'!$J$6:$J$277,'свод субъектов ИБ+смежные'!AD$1)</f>
        <v>0</v>
      </c>
      <c r="AE133" s="36">
        <f>SUMIFS('свод практик'!$BV$6:$BV$277,'свод практик'!$J$6:$J$277,'свод субъектов ИБ+смежные'!AE$1)</f>
        <v>0</v>
      </c>
      <c r="AF133" s="36">
        <f>SUMIFS('свод практик'!$BV$6:$BV$277,'свод практик'!$J$6:$J$277,'свод субъектов ИБ+смежные'!AF$1)</f>
        <v>0</v>
      </c>
      <c r="AG133" s="36">
        <f>SUMIFS('свод практик'!$BV$6:$BV$277,'свод практик'!$J$6:$J$277,'свод субъектов ИБ+смежные'!AG$1)</f>
        <v>0</v>
      </c>
      <c r="AH133" s="36">
        <f>SUMIFS('свод практик'!$BV$6:$BV$277,'свод практик'!$J$6:$J$277,'свод субъектов ИБ+смежные'!AH$1)</f>
        <v>0</v>
      </c>
      <c r="AI133" s="36">
        <f>SUMIFS('свод практик'!$BV$6:$BV$277,'свод практик'!$J$6:$J$277,'свод субъектов ИБ+смежные'!AI$1)</f>
        <v>1700</v>
      </c>
      <c r="AJ133" s="36">
        <f>SUMIFS('свод практик'!$BV$6:$BV$277,'свод практик'!$J$6:$J$277,'свод субъектов ИБ+смежные'!AJ$1)</f>
        <v>1</v>
      </c>
      <c r="AK133" s="36">
        <f>SUMIFS('свод практик'!$BV$6:$BV$277,'свод практик'!$J$6:$J$277,'свод субъектов ИБ+смежные'!AK$1)</f>
        <v>1049</v>
      </c>
      <c r="AL133" s="36">
        <f>SUMIFS('свод практик'!$BV$6:$BV$277,'свод практик'!$J$6:$J$277,'свод субъектов ИБ+смежные'!AL$1)</f>
        <v>21</v>
      </c>
      <c r="AM133" s="36">
        <f>SUMIFS('свод практик'!$BV$6:$BV$277,'свод практик'!$J$6:$J$277,'свод субъектов ИБ+смежные'!AM$1)</f>
        <v>30</v>
      </c>
      <c r="AN133" s="36">
        <f>SUMIFS('свод практик'!$BV$6:$BV$277,'свод практик'!$J$6:$J$277,'свод субъектов ИБ+смежные'!AN$1)</f>
        <v>0</v>
      </c>
      <c r="AO133" s="36">
        <f>SUMIFS('свод практик'!$BV$6:$BV$277,'свод практик'!$J$6:$J$277,'свод субъектов ИБ+смежные'!AO$1)</f>
        <v>0</v>
      </c>
      <c r="AP133" s="36">
        <f>SUMIFS('свод практик'!$BV$6:$BV$277,'свод практик'!$J$6:$J$277,'свод субъектов ИБ+смежные'!AP$1)</f>
        <v>0</v>
      </c>
      <c r="AQ133" s="36">
        <f>SUMIFS('свод практик'!$BV$6:$BV$277,'свод практик'!$J$6:$J$277,'свод субъектов ИБ+смежные'!AQ$1)</f>
        <v>255</v>
      </c>
      <c r="AR133" s="36">
        <f>SUMIFS('свод практик'!$BV$6:$BV$277,'свод практик'!$J$6:$J$277,'свод субъектов ИБ+смежные'!AR$1)</f>
        <v>532</v>
      </c>
      <c r="AS133" s="36">
        <f>SUMIFS('свод практик'!$BV$6:$BV$277,'свод практик'!$J$6:$J$277,'свод субъектов ИБ+смежные'!AS$1)</f>
        <v>633</v>
      </c>
      <c r="AT133" s="36">
        <f>SUMIFS('свод практик'!$BV$6:$BV$277,'свод практик'!$J$6:$J$277,'свод субъектов ИБ+смежные'!AT$1)</f>
        <v>562</v>
      </c>
      <c r="AU133" s="36">
        <f>SUMIFS('свод практик'!$BV$6:$BV$277,'свод практик'!$J$6:$J$277,'свод субъектов ИБ+смежные'!AU$1)</f>
        <v>140</v>
      </c>
      <c r="AV133" s="36">
        <f>SUMIFS('свод практик'!$BV$6:$BV$277,'свод практик'!$J$6:$J$277,'свод субъектов ИБ+смежные'!AV$1)</f>
        <v>483</v>
      </c>
      <c r="AW133" s="36">
        <f>SUMIFS('свод практик'!$BV$6:$BV$277,'свод практик'!$J$6:$J$277,'свод субъектов ИБ+смежные'!AW$1)</f>
        <v>158</v>
      </c>
      <c r="AX133" s="36">
        <f>SUMIFS('свод практик'!$BV$6:$BV$277,'свод практик'!$J$6:$J$277,'свод субъектов ИБ+смежные'!AX$1)</f>
        <v>301</v>
      </c>
      <c r="AY133" s="36">
        <f>SUMIFS('свод практик'!$BV$6:$BV$277,'свод практик'!$J$6:$J$277,'свод субъектов ИБ+смежные'!AY$1)</f>
        <v>0</v>
      </c>
      <c r="AZ133" s="36">
        <f>SUMIFS('свод практик'!$BV$6:$BV$277,'свод практик'!$J$6:$J$277,'свод субъектов ИБ+смежные'!AZ$1)</f>
        <v>17</v>
      </c>
      <c r="BA133" s="36">
        <f>SUMIFS('свод практик'!$BV$6:$BV$277,'свод практик'!$J$6:$J$277,'свод субъектов ИБ+смежные'!BA$1)</f>
        <v>315</v>
      </c>
      <c r="BB133" s="36">
        <f>SUMIFS('свод практик'!$BV$6:$BV$277,'свод практик'!$J$6:$J$277,'свод субъектов ИБ+смежные'!BB$1)</f>
        <v>0</v>
      </c>
      <c r="BC133" s="36">
        <f>SUMIFS('свод практик'!$BV$6:$BV$277,'свод практик'!$J$6:$J$277,'свод субъектов ИБ+смежные'!BC$1)</f>
        <v>0</v>
      </c>
      <c r="BD133" s="36">
        <f>SUMIFS('свод практик'!$BV$6:$BV$277,'свод практик'!$J$6:$J$277,'свод субъектов ИБ+смежные'!BD$1)</f>
        <v>0</v>
      </c>
      <c r="BE133" s="36">
        <f>SUMIFS('свод практик'!$BV$6:$BV$277,'свод практик'!$J$6:$J$277,'свод субъектов ИБ+смежные'!BE$1)</f>
        <v>0</v>
      </c>
      <c r="BF133" s="36">
        <f>SUMIFS('свод практик'!$BV$6:$BV$277,'свод практик'!$J$6:$J$277,'свод субъектов ИБ+смежные'!BF$1)</f>
        <v>5</v>
      </c>
      <c r="BG133" s="36">
        <f>SUMIFS('свод практик'!$BV$6:$BV$277,'свод практик'!$J$6:$J$277,'свод субъектов ИБ+смежные'!BG$1)</f>
        <v>42</v>
      </c>
      <c r="BH133" s="36">
        <f>SUMIFS('свод практик'!$BV$6:$BV$277,'свод практик'!$J$6:$J$277,'свод субъектов ИБ+смежные'!BH$1)</f>
        <v>0</v>
      </c>
      <c r="BI133" s="36">
        <f>SUMIFS('свод практик'!$BV$6:$BV$277,'свод практик'!$J$6:$J$277,'свод субъектов ИБ+смежные'!BI$1)</f>
        <v>0</v>
      </c>
      <c r="BJ133" s="36">
        <f>SUMIFS('свод практик'!$BV$6:$BV$277,'свод практик'!$J$6:$J$277,'свод субъектов ИБ+смежные'!BJ$1)</f>
        <v>676</v>
      </c>
      <c r="BK133" s="36">
        <f>SUMIFS('свод практик'!$BV$6:$BV$277,'свод практик'!$J$6:$J$277,'свод субъектов ИБ+смежные'!BK$1)</f>
        <v>452</v>
      </c>
      <c r="BL133" s="36">
        <f>SUMIFS('свод практик'!$BV$6:$BV$277,'свод практик'!$J$6:$J$277,'свод субъектов ИБ+смежные'!BL$1)</f>
        <v>283</v>
      </c>
      <c r="BM133" s="36">
        <f>SUMIFS('свод практик'!$BV$6:$BV$277,'свод практик'!$J$6:$J$277,'свод субъектов ИБ+смежные'!BM$1)</f>
        <v>90</v>
      </c>
      <c r="BN133" s="36">
        <f>SUMIFS('свод практик'!$BV$6:$BV$277,'свод практик'!$J$6:$J$277,'свод субъектов ИБ+смежные'!BN$1)</f>
        <v>11</v>
      </c>
      <c r="BO133" s="36">
        <f>SUMIFS('свод практик'!$BV$6:$BV$277,'свод практик'!$J$6:$J$277,'свод субъектов ИБ+смежные'!BO$1)</f>
        <v>200</v>
      </c>
      <c r="BP133" s="36">
        <f>SUMIFS('свод практик'!$BV$6:$BV$277,'свод практик'!$J$6:$J$277,'свод субъектов ИБ+смежные'!BP$1)</f>
        <v>0</v>
      </c>
      <c r="BQ133" s="36">
        <f>SUMIFS('свод практик'!$BV$6:$BV$277,'свод практик'!$J$6:$J$277,'свод субъектов ИБ+смежные'!BQ$1)</f>
        <v>0</v>
      </c>
      <c r="BR133" s="36">
        <f>SUMIFS('свод практик'!$BV$6:$BV$277,'свод практик'!$J$6:$J$277,'свод субъектов ИБ+смежные'!BR$1)</f>
        <v>32</v>
      </c>
      <c r="BS133" s="36">
        <f>SUMIFS('свод практик'!$BV$6:$BV$277,'свод практик'!$J$6:$J$277,'свод субъектов ИБ+смежные'!BS$1)</f>
        <v>103</v>
      </c>
      <c r="BT133" s="36">
        <f>SUMIFS('свод практик'!$BV$6:$BV$277,'свод практик'!$J$6:$J$277,'свод субъектов ИБ+смежные'!BT$1)</f>
        <v>14</v>
      </c>
      <c r="BU133" s="36">
        <f>SUMIFS('свод практик'!$BV$6:$BV$277,'свод практик'!$J$6:$J$277,'свод субъектов ИБ+смежные'!BU$1)</f>
        <v>3567</v>
      </c>
      <c r="BV133" s="36">
        <f>SUMIFS('свод практик'!$BV$6:$BV$277,'свод практик'!$J$6:$J$277,'свод субъектов ИБ+смежные'!BV$1)</f>
        <v>7646</v>
      </c>
      <c r="BW133" s="36">
        <f>SUMIFS('свод практик'!$BV$6:$BV$277,'свод практик'!$J$6:$J$277,'свод субъектов ИБ+смежные'!BW$1)</f>
        <v>346</v>
      </c>
      <c r="BX133" s="36">
        <f>SUMIFS('свод практик'!$BV$6:$BV$277,'свод практик'!$J$6:$J$277,'свод субъектов ИБ+смежные'!BX$1)</f>
        <v>0</v>
      </c>
      <c r="BY133" s="36">
        <f>SUMIFS('свод практик'!$BV$6:$BV$277,'свод практик'!$J$6:$J$277,'свод субъектов ИБ+смежные'!BY$1)</f>
        <v>506</v>
      </c>
      <c r="BZ133" s="36">
        <f>SUMIFS('свод практик'!$BV$6:$BV$277,'свод практик'!$J$6:$J$277,'свод субъектов ИБ+смежные'!BZ$1)</f>
        <v>116692</v>
      </c>
      <c r="CA133" s="36">
        <f>SUMIFS('свод практик'!$BV$6:$BV$277,'свод практик'!$J$6:$J$277,'свод субъектов ИБ+смежные'!CA$1)</f>
        <v>0</v>
      </c>
      <c r="CB133" s="36">
        <f>SUMIFS('свод практик'!$BV$6:$BV$277,'свод практик'!$J$6:$J$277,'свод субъектов ИБ+смежные'!CB$1)</f>
        <v>0</v>
      </c>
      <c r="CC133" s="36">
        <f>SUMIFS('свод практик'!$BV$6:$BV$277,'свод практик'!$J$6:$J$277,'свод субъектов ИБ+смежные'!CC$1)</f>
        <v>0</v>
      </c>
      <c r="CD133" s="36">
        <f>SUMIFS('свод практик'!$BV$6:$BV$277,'свод практик'!$J$6:$J$277,'свод субъектов ИБ+смежные'!CD$1)</f>
        <v>19</v>
      </c>
      <c r="CE133" s="36">
        <f>SUMIFS('свод практик'!$BV$6:$BV$277,'свод практик'!$J$6:$J$277,'свод субъектов ИБ+смежные'!CE$1)</f>
        <v>1500</v>
      </c>
      <c r="CF133" s="36">
        <f>SUMIFS('свод практик'!$BV$6:$BV$277,'свод практик'!$J$6:$J$277,'свод субъектов ИБ+смежные'!CF$1)</f>
        <v>413</v>
      </c>
      <c r="CG133" s="36">
        <f>SUMIFS('свод практик'!$BV$6:$BV$277,'свод практик'!$J$6:$J$277,'свод субъектов ИБ+смежные'!CG$1)</f>
        <v>321</v>
      </c>
      <c r="CH133" s="36">
        <f>SUMIFS('свод практик'!$BV$6:$BV$277,'свод практик'!$J$6:$J$277,'свод субъектов ИБ+смежные'!CH$1)</f>
        <v>0</v>
      </c>
      <c r="CI133" s="36">
        <f>SUMIFS('свод практик'!$BV$6:$BV$277,'свод практик'!$J$6:$J$277,'свод субъектов ИБ+смежные'!CI$1)</f>
        <v>1278</v>
      </c>
      <c r="CJ133" s="36">
        <f>SUMIFS('свод практик'!$BV$6:$BV$277,'свод практик'!$J$6:$J$277,'свод субъектов ИБ+смежные'!CJ$1)</f>
        <v>0</v>
      </c>
      <c r="CK133" s="36">
        <f>SUMIFS('свод практик'!$BV$6:$BV$277,'свод практик'!$J$6:$J$277,'свод субъектов ИБ+смежные'!CK$1)</f>
        <v>0</v>
      </c>
      <c r="CL133" s="36">
        <f>SUMIFS('свод практик'!$BV$6:$BV$277,'свод практик'!$J$6:$J$277,'свод субъектов ИБ+смежные'!CL$1)</f>
        <v>258</v>
      </c>
      <c r="CM133" s="36">
        <f>SUMIFS('свод практик'!$BV$6:$BV$277,'свод практик'!$J$6:$J$277,'свод субъектов ИБ+смежные'!CM$1)</f>
        <v>636</v>
      </c>
      <c r="CN133" s="36">
        <f>SUMIFS('свод практик'!$BV$6:$BV$277,'свод практик'!$J$6:$J$277,'свод субъектов ИБ+смежные'!CN$1)</f>
        <v>562</v>
      </c>
      <c r="CO133" s="36">
        <f>SUMIFS('свод практик'!$BV$6:$BV$277,'свод практик'!$J$6:$J$277,'свод субъектов ИБ+смежные'!CO$1)</f>
        <v>0</v>
      </c>
      <c r="CP133" s="36">
        <f>SUMIFS('свод практик'!$BV$6:$BV$277,'свод практик'!$J$6:$J$277,'свод субъектов ИБ+смежные'!CP$1)</f>
        <v>453</v>
      </c>
      <c r="CQ133" s="36">
        <f>SUMIFS('свод практик'!$BV$6:$BV$277,'свод практик'!$J$6:$J$277,'свод субъектов ИБ+смежные'!CQ$1)</f>
        <v>199</v>
      </c>
      <c r="CR133" s="36">
        <f>SUMIFS('свод практик'!$BV$6:$BV$277,'свод практик'!$J$6:$J$277,'свод субъектов ИБ+смежные'!CR$1)</f>
        <v>0</v>
      </c>
      <c r="CS133" s="36">
        <f>SUMIFS('свод практик'!$BV$6:$BV$277,'свод практик'!$J$6:$J$277,'свод субъектов ИБ+смежные'!CS$1)</f>
        <v>676</v>
      </c>
      <c r="CT133" s="36">
        <f>SUMIFS('свод практик'!$BV$6:$BV$277,'свод практик'!$J$6:$J$277,'свод субъектов ИБ+смежные'!CT$1)</f>
        <v>19</v>
      </c>
      <c r="CU133" s="36">
        <f>SUMIFS('свод практик'!$BV$6:$BV$277,'свод практик'!$J$6:$J$277,'свод субъектов ИБ+смежные'!CU$1)</f>
        <v>254</v>
      </c>
      <c r="CV133" s="36">
        <f>SUMIFS('свод практик'!$BV$6:$BV$277,'свод практик'!$J$6:$J$277,'свод субъектов ИБ+смежные'!CV$1)</f>
        <v>509</v>
      </c>
    </row>
    <row r="134" spans="1:100" ht="56">
      <c r="A134" s="776"/>
      <c r="B134" s="776"/>
      <c r="C134" s="740"/>
      <c r="D134" s="42" t="s">
        <v>4949</v>
      </c>
      <c r="E134" s="42">
        <v>93</v>
      </c>
      <c r="F134" s="43" t="s">
        <v>5221</v>
      </c>
      <c r="G134" s="58" t="s">
        <v>5222</v>
      </c>
      <c r="H134" s="45" t="s">
        <v>5223</v>
      </c>
      <c r="I134" s="46" t="s">
        <v>4961</v>
      </c>
      <c r="M134" s="36">
        <v>22253</v>
      </c>
      <c r="N134" s="36">
        <v>19154</v>
      </c>
      <c r="O134" s="224">
        <f t="shared" si="91"/>
        <v>24380</v>
      </c>
      <c r="P134" s="36">
        <f>SUMIFS('свод практик'!$BW$6:$BW$277,'свод практик'!$J$6:$J$277,'свод субъектов ИБ+смежные'!P$1)</f>
        <v>9</v>
      </c>
      <c r="Q134" s="36">
        <f>SUMIFS('свод практик'!$BW$6:$BW$277,'свод практик'!$J$6:$J$277,'свод субъектов ИБ+смежные'!Q$1)</f>
        <v>59</v>
      </c>
      <c r="R134" s="36">
        <f>SUMIFS('свод практик'!$BW$6:$BW$277,'свод практик'!$J$6:$J$277,'свод субъектов ИБ+смежные'!R$1)</f>
        <v>285</v>
      </c>
      <c r="S134" s="36">
        <f>SUMIFS('свод практик'!$BW$6:$BW$277,'свод практик'!$J$6:$J$277,'свод субъектов ИБ+смежные'!S$1)</f>
        <v>82</v>
      </c>
      <c r="T134" s="36">
        <f>SUMIFS('свод практик'!$BW$6:$BW$277,'свод практик'!$J$6:$J$277,'свод субъектов ИБ+смежные'!T$1)</f>
        <v>385</v>
      </c>
      <c r="U134" s="36">
        <f>SUMIFS('свод практик'!$BW$6:$BW$277,'свод практик'!$J$6:$J$277,'свод субъектов ИБ+смежные'!U$1)</f>
        <v>15</v>
      </c>
      <c r="V134" s="36">
        <f>SUMIFS('свод практик'!$BW$6:$BW$277,'свод практик'!$J$6:$J$277,'свод субъектов ИБ+смежные'!V$1)</f>
        <v>1573</v>
      </c>
      <c r="W134" s="36">
        <f>SUMIFS('свод практик'!$BW$6:$BW$277,'свод практик'!$J$6:$J$277,'свод субъектов ИБ+смежные'!W$1)</f>
        <v>550</v>
      </c>
      <c r="X134" s="36">
        <f>SUMIFS('свод практик'!$BW$6:$BW$277,'свод практик'!$J$6:$J$277,'свод субъектов ИБ+смежные'!X$1)</f>
        <v>145</v>
      </c>
      <c r="Y134" s="36">
        <f>SUMIFS('свод практик'!$BW$6:$BW$277,'свод практик'!$J$6:$J$277,'свод субъектов ИБ+смежные'!Y$1)</f>
        <v>1324</v>
      </c>
      <c r="Z134" s="36">
        <f>SUMIFS('свод практик'!$BW$6:$BW$277,'свод практик'!$J$6:$J$277,'свод субъектов ИБ+смежные'!Z$1)</f>
        <v>459</v>
      </c>
      <c r="AA134" s="36">
        <f>SUMIFS('свод практик'!$BW$6:$BW$277,'свод практик'!$J$6:$J$277,'свод субъектов ИБ+смежные'!AA$1)</f>
        <v>209</v>
      </c>
      <c r="AB134" s="36">
        <f>SUMIFS('свод практик'!$BW$6:$BW$277,'свод практик'!$J$6:$J$277,'свод субъектов ИБ+смежные'!AB$1)</f>
        <v>1082</v>
      </c>
      <c r="AC134" s="36">
        <f>SUMIFS('свод практик'!$BW$6:$BW$277,'свод практик'!$J$6:$J$277,'свод субъектов ИБ+смежные'!AC$1)</f>
        <v>1140</v>
      </c>
      <c r="AD134" s="36">
        <f>SUMIFS('свод практик'!$BW$6:$BW$277,'свод практик'!$J$6:$J$277,'свод субъектов ИБ+смежные'!AD$1)</f>
        <v>0</v>
      </c>
      <c r="AE134" s="36">
        <f>SUMIFS('свод практик'!$BW$6:$BW$277,'свод практик'!$J$6:$J$277,'свод субъектов ИБ+смежные'!AE$1)</f>
        <v>0</v>
      </c>
      <c r="AF134" s="36">
        <f>SUMIFS('свод практик'!$BW$6:$BW$277,'свод практик'!$J$6:$J$277,'свод субъектов ИБ+смежные'!AF$1)</f>
        <v>0</v>
      </c>
      <c r="AG134" s="36">
        <f>SUMIFS('свод практик'!$BW$6:$BW$277,'свод практик'!$J$6:$J$277,'свод субъектов ИБ+смежные'!AG$1)</f>
        <v>0</v>
      </c>
      <c r="AH134" s="36">
        <f>SUMIFS('свод практик'!$BW$6:$BW$277,'свод практик'!$J$6:$J$277,'свод субъектов ИБ+смежные'!AH$1)</f>
        <v>0</v>
      </c>
      <c r="AI134" s="36">
        <f>SUMIFS('свод практик'!$BW$6:$BW$277,'свод практик'!$J$6:$J$277,'свод субъектов ИБ+смежные'!AI$1)</f>
        <v>455</v>
      </c>
      <c r="AJ134" s="36">
        <f>SUMIFS('свод практик'!$BW$6:$BW$277,'свод практик'!$J$6:$J$277,'свод субъектов ИБ+смежные'!AJ$1)</f>
        <v>1</v>
      </c>
      <c r="AK134" s="36">
        <f>SUMIFS('свод практик'!$BW$6:$BW$277,'свод практик'!$J$6:$J$277,'свод субъектов ИБ+смежные'!AK$1)</f>
        <v>498</v>
      </c>
      <c r="AL134" s="36">
        <f>SUMIFS('свод практик'!$BW$6:$BW$277,'свод практик'!$J$6:$J$277,'свод субъектов ИБ+смежные'!AL$1)</f>
        <v>21</v>
      </c>
      <c r="AM134" s="36">
        <f>SUMIFS('свод практик'!$BW$6:$BW$277,'свод практик'!$J$6:$J$277,'свод субъектов ИБ+смежные'!AM$1)</f>
        <v>180</v>
      </c>
      <c r="AN134" s="36">
        <f>SUMIFS('свод практик'!$BW$6:$BW$277,'свод практик'!$J$6:$J$277,'свод субъектов ИБ+смежные'!AN$1)</f>
        <v>0</v>
      </c>
      <c r="AO134" s="36">
        <f>SUMIFS('свод практик'!$BW$6:$BW$277,'свод практик'!$J$6:$J$277,'свод субъектов ИБ+смежные'!AO$1)</f>
        <v>0</v>
      </c>
      <c r="AP134" s="36">
        <f>SUMIFS('свод практик'!$BW$6:$BW$277,'свод практик'!$J$6:$J$277,'свод субъектов ИБ+смежные'!AP$1)</f>
        <v>167</v>
      </c>
      <c r="AQ134" s="36">
        <f>SUMIFS('свод практик'!$BW$6:$BW$277,'свод практик'!$J$6:$J$277,'свод субъектов ИБ+смежные'!AQ$1)</f>
        <v>111</v>
      </c>
      <c r="AR134" s="36">
        <f>SUMIFS('свод практик'!$BW$6:$BW$277,'свод практик'!$J$6:$J$277,'свод субъектов ИБ+смежные'!AR$1)</f>
        <v>489</v>
      </c>
      <c r="AS134" s="36">
        <f>SUMIFS('свод практик'!$BW$6:$BW$277,'свод практик'!$J$6:$J$277,'свод субъектов ИБ+смежные'!AS$1)</f>
        <v>393</v>
      </c>
      <c r="AT134" s="36">
        <f>SUMIFS('свод практик'!$BW$6:$BW$277,'свод практик'!$J$6:$J$277,'свод субъектов ИБ+смежные'!AT$1)</f>
        <v>528</v>
      </c>
      <c r="AU134" s="36">
        <f>SUMIFS('свод практик'!$BW$6:$BW$277,'свод практик'!$J$6:$J$277,'свод субъектов ИБ+смежные'!AU$1)</f>
        <v>140</v>
      </c>
      <c r="AV134" s="36">
        <f>SUMIFS('свод практик'!$BW$6:$BW$277,'свод практик'!$J$6:$J$277,'свод субъектов ИБ+смежные'!AV$1)</f>
        <v>169</v>
      </c>
      <c r="AW134" s="36">
        <f>SUMIFS('свод практик'!$BW$6:$BW$277,'свод практик'!$J$6:$J$277,'свод субъектов ИБ+смежные'!AW$1)</f>
        <v>154</v>
      </c>
      <c r="AX134" s="36">
        <f>SUMIFS('свод практик'!$BW$6:$BW$277,'свод практик'!$J$6:$J$277,'свод субъектов ИБ+смежные'!AX$1)</f>
        <v>301</v>
      </c>
      <c r="AY134" s="36">
        <f>SUMIFS('свод практик'!$BW$6:$BW$277,'свод практик'!$J$6:$J$277,'свод субъектов ИБ+смежные'!AY$1)</f>
        <v>0</v>
      </c>
      <c r="AZ134" s="36">
        <f>SUMIFS('свод практик'!$BW$6:$BW$277,'свод практик'!$J$6:$J$277,'свод субъектов ИБ+смежные'!AZ$1)</f>
        <v>585</v>
      </c>
      <c r="BA134" s="36">
        <f>SUMIFS('свод практик'!$BW$6:$BW$277,'свод практик'!$J$6:$J$277,'свод субъектов ИБ+смежные'!BA$1)</f>
        <v>158</v>
      </c>
      <c r="BB134" s="36">
        <f>SUMIFS('свод практик'!$BW$6:$BW$277,'свод практик'!$J$6:$J$277,'свод субъектов ИБ+смежные'!BB$1)</f>
        <v>0</v>
      </c>
      <c r="BC134" s="36">
        <f>SUMIFS('свод практик'!$BW$6:$BW$277,'свод практик'!$J$6:$J$277,'свод субъектов ИБ+смежные'!BC$1)</f>
        <v>84</v>
      </c>
      <c r="BD134" s="36">
        <f>SUMIFS('свод практик'!$BW$6:$BW$277,'свод практик'!$J$6:$J$277,'свод субъектов ИБ+смежные'!BD$1)</f>
        <v>0</v>
      </c>
      <c r="BE134" s="36">
        <f>SUMIFS('свод практик'!$BW$6:$BW$277,'свод практик'!$J$6:$J$277,'свод субъектов ИБ+смежные'!BE$1)</f>
        <v>0</v>
      </c>
      <c r="BF134" s="36">
        <f>SUMIFS('свод практик'!$BW$6:$BW$277,'свод практик'!$J$6:$J$277,'свод субъектов ИБ+смежные'!BF$1)</f>
        <v>5</v>
      </c>
      <c r="BG134" s="36">
        <f>SUMIFS('свод практик'!$BW$6:$BW$277,'свод практик'!$J$6:$J$277,'свод субъектов ИБ+смежные'!BG$1)</f>
        <v>42</v>
      </c>
      <c r="BH134" s="36">
        <f>SUMIFS('свод практик'!$BW$6:$BW$277,'свод практик'!$J$6:$J$277,'свод субъектов ИБ+смежные'!BH$1)</f>
        <v>23</v>
      </c>
      <c r="BI134" s="36">
        <f>SUMIFS('свод практик'!$BW$6:$BW$277,'свод практик'!$J$6:$J$277,'свод субъектов ИБ+смежные'!BI$1)</f>
        <v>600</v>
      </c>
      <c r="BJ134" s="36">
        <f>SUMIFS('свод практик'!$BW$6:$BW$277,'свод практик'!$J$6:$J$277,'свод субъектов ИБ+смежные'!BJ$1)</f>
        <v>372</v>
      </c>
      <c r="BK134" s="36">
        <f>SUMIFS('свод практик'!$BW$6:$BW$277,'свод практик'!$J$6:$J$277,'свод субъектов ИБ+смежные'!BK$1)</f>
        <v>207</v>
      </c>
      <c r="BL134" s="36">
        <f>SUMIFS('свод практик'!$BW$6:$BW$277,'свод практик'!$J$6:$J$277,'свод субъектов ИБ+смежные'!BL$1)</f>
        <v>264</v>
      </c>
      <c r="BM134" s="36">
        <f>SUMIFS('свод практик'!$BW$6:$BW$277,'свод практик'!$J$6:$J$277,'свод субъектов ИБ+смежные'!BM$1)</f>
        <v>171</v>
      </c>
      <c r="BN134" s="36">
        <f>SUMIFS('свод практик'!$BW$6:$BW$277,'свод практик'!$J$6:$J$277,'свод субъектов ИБ+смежные'!BN$1)</f>
        <v>11</v>
      </c>
      <c r="BO134" s="36">
        <f>SUMIFS('свод практик'!$BW$6:$BW$277,'свод практик'!$J$6:$J$277,'свод субъектов ИБ+смежные'!BO$1)</f>
        <v>135</v>
      </c>
      <c r="BP134" s="36">
        <f>SUMIFS('свод практик'!$BW$6:$BW$277,'свод практик'!$J$6:$J$277,'свод субъектов ИБ+смежные'!BP$1)</f>
        <v>306</v>
      </c>
      <c r="BQ134" s="36">
        <f>SUMIFS('свод практик'!$BW$6:$BW$277,'свод практик'!$J$6:$J$277,'свод субъектов ИБ+смежные'!BQ$1)</f>
        <v>0</v>
      </c>
      <c r="BR134" s="36">
        <f>SUMIFS('свод практик'!$BW$6:$BW$277,'свод практик'!$J$6:$J$277,'свод субъектов ИБ+смежные'!BR$1)</f>
        <v>32</v>
      </c>
      <c r="BS134" s="36">
        <f>SUMIFS('свод практик'!$BW$6:$BW$277,'свод практик'!$J$6:$J$277,'свод субъектов ИБ+смежные'!BS$1)</f>
        <v>16</v>
      </c>
      <c r="BT134" s="36">
        <f>SUMIFS('свод практик'!$BW$6:$BW$277,'свод практик'!$J$6:$J$277,'свод субъектов ИБ+смежные'!BT$1)</f>
        <v>293</v>
      </c>
      <c r="BU134" s="36">
        <f>SUMIFS('свод практик'!$BW$6:$BW$277,'свод практик'!$J$6:$J$277,'свод субъектов ИБ+смежные'!BU$1)</f>
        <v>3230</v>
      </c>
      <c r="BV134" s="36">
        <f>SUMIFS('свод практик'!$BW$6:$BW$277,'свод практик'!$J$6:$J$277,'свод субъектов ИБ+смежные'!BV$1)</f>
        <v>52</v>
      </c>
      <c r="BW134" s="36">
        <f>SUMIFS('свод практик'!$BW$6:$BW$277,'свод практик'!$J$6:$J$277,'свод субъектов ИБ+смежные'!BW$1)</f>
        <v>160</v>
      </c>
      <c r="BX134" s="36">
        <f>SUMIFS('свод практик'!$BW$6:$BW$277,'свод практик'!$J$6:$J$277,'свод субъектов ИБ+смежные'!BX$1)</f>
        <v>565</v>
      </c>
      <c r="BY134" s="36">
        <f>SUMIFS('свод практик'!$BW$6:$BW$277,'свод практик'!$J$6:$J$277,'свод субъектов ИБ+смежные'!BY$1)</f>
        <v>249</v>
      </c>
      <c r="BZ134" s="36">
        <f>SUMIFS('свод практик'!$BW$6:$BW$277,'свод практик'!$J$6:$J$277,'свод субъектов ИБ+смежные'!BZ$1)</f>
        <v>97</v>
      </c>
      <c r="CA134" s="36">
        <f>SUMIFS('свод практик'!$BW$6:$BW$277,'свод практик'!$J$6:$J$277,'свод субъектов ИБ+смежные'!CA$1)</f>
        <v>0</v>
      </c>
      <c r="CB134" s="36">
        <f>SUMIFS('свод практик'!$BW$6:$BW$277,'свод практик'!$J$6:$J$277,'свод субъектов ИБ+смежные'!CB$1)</f>
        <v>0</v>
      </c>
      <c r="CC134" s="36">
        <f>SUMIFS('свод практик'!$BW$6:$BW$277,'свод практик'!$J$6:$J$277,'свод субъектов ИБ+смежные'!CC$1)</f>
        <v>8</v>
      </c>
      <c r="CD134" s="36">
        <f>SUMIFS('свод практик'!$BW$6:$BW$277,'свод практик'!$J$6:$J$277,'свод субъектов ИБ+смежные'!CD$1)</f>
        <v>292</v>
      </c>
      <c r="CE134" s="36">
        <f>SUMIFS('свод практик'!$BW$6:$BW$277,'свод практик'!$J$6:$J$277,'свод субъектов ИБ+смежные'!CE$1)</f>
        <v>568</v>
      </c>
      <c r="CF134" s="36">
        <f>SUMIFS('свод практик'!$BW$6:$BW$277,'свод практик'!$J$6:$J$277,'свод субъектов ИБ+смежные'!CF$1)</f>
        <v>383</v>
      </c>
      <c r="CG134" s="36">
        <f>SUMIFS('свод практик'!$BW$6:$BW$277,'свод практик'!$J$6:$J$277,'свод субъектов ИБ+смежные'!CG$1)</f>
        <v>321</v>
      </c>
      <c r="CH134" s="36">
        <f>SUMIFS('свод практик'!$BW$6:$BW$277,'свод практик'!$J$6:$J$277,'свод субъектов ИБ+смежные'!CH$1)</f>
        <v>88</v>
      </c>
      <c r="CI134" s="36">
        <f>SUMIFS('свод практик'!$BW$6:$BW$277,'свод практик'!$J$6:$J$277,'свод субъектов ИБ+смежные'!CI$1)</f>
        <v>1278</v>
      </c>
      <c r="CJ134" s="36">
        <f>SUMIFS('свод практик'!$BW$6:$BW$277,'свод практик'!$J$6:$J$277,'свод субъектов ИБ+смежные'!CJ$1)</f>
        <v>0</v>
      </c>
      <c r="CK134" s="36">
        <f>SUMIFS('свод практик'!$BW$6:$BW$277,'свод практик'!$J$6:$J$277,'свод субъектов ИБ+смежные'!CK$1)</f>
        <v>5</v>
      </c>
      <c r="CL134" s="36">
        <f>SUMIFS('свод практик'!$BW$6:$BW$277,'свод практик'!$J$6:$J$277,'свод субъектов ИБ+смежные'!CL$1)</f>
        <v>166</v>
      </c>
      <c r="CM134" s="36">
        <f>SUMIFS('свод практик'!$BW$6:$BW$277,'свод практик'!$J$6:$J$277,'свод субъектов ИБ+смежные'!CM$1)</f>
        <v>284</v>
      </c>
      <c r="CN134" s="36">
        <f>SUMIFS('свод практик'!$BW$6:$BW$277,'свод практик'!$J$6:$J$277,'свод субъектов ИБ+смежные'!CN$1)</f>
        <v>462</v>
      </c>
      <c r="CO134" s="36">
        <f>SUMIFS('свод практик'!$BW$6:$BW$277,'свод практик'!$J$6:$J$277,'свод субъектов ИБ+смежные'!CO$1)</f>
        <v>0</v>
      </c>
      <c r="CP134" s="36">
        <f>SUMIFS('свод практик'!$BW$6:$BW$277,'свод практик'!$J$6:$J$277,'свод субъектов ИБ+смежные'!CP$1)</f>
        <v>431</v>
      </c>
      <c r="CQ134" s="36">
        <f>SUMIFS('свод практик'!$BW$6:$BW$277,'свод практик'!$J$6:$J$277,'свод субъектов ИБ+смежные'!CQ$1)</f>
        <v>167</v>
      </c>
      <c r="CR134" s="36">
        <f>SUMIFS('свод практик'!$BW$6:$BW$277,'свод практик'!$J$6:$J$277,'свод субъектов ИБ+смежные'!CR$1)</f>
        <v>0</v>
      </c>
      <c r="CS134" s="36">
        <f>SUMIFS('свод практик'!$BW$6:$BW$277,'свод практик'!$J$6:$J$277,'свод субъектов ИБ+смежные'!CS$1)</f>
        <v>668</v>
      </c>
      <c r="CT134" s="36">
        <f>SUMIFS('свод практик'!$BW$6:$BW$277,'свод практик'!$J$6:$J$277,'свод субъектов ИБ+смежные'!CT$1)</f>
        <v>19</v>
      </c>
      <c r="CU134" s="36">
        <f>SUMIFS('свод практик'!$BW$6:$BW$277,'свод практик'!$J$6:$J$277,'свод субъектов ИБ+смежные'!CU$1)</f>
        <v>154</v>
      </c>
      <c r="CV134" s="36">
        <f>SUMIFS('свод практик'!$BW$6:$BW$277,'свод практик'!$J$6:$J$277,'свод субъектов ИБ+смежные'!CV$1)</f>
        <v>505</v>
      </c>
    </row>
    <row r="135" spans="1:100" ht="28">
      <c r="A135" s="776"/>
      <c r="B135" s="776"/>
      <c r="C135" s="740"/>
      <c r="D135" s="42" t="s">
        <v>4949</v>
      </c>
      <c r="E135" s="42">
        <v>94</v>
      </c>
      <c r="F135" s="43" t="s">
        <v>5224</v>
      </c>
      <c r="G135" s="58" t="s">
        <v>5225</v>
      </c>
      <c r="H135" s="45" t="s">
        <v>5223</v>
      </c>
      <c r="I135" s="46" t="s">
        <v>4961</v>
      </c>
      <c r="M135" s="36">
        <v>13964</v>
      </c>
      <c r="N135" s="36">
        <v>18725</v>
      </c>
      <c r="O135" s="224">
        <f t="shared" si="91"/>
        <v>20369</v>
      </c>
      <c r="P135" s="36">
        <f>SUMIFS('свод практик'!$BX$6:$BX$277,'свод практик'!$J$6:$J$277,'свод субъектов ИБ+смежные'!P$1)</f>
        <v>6</v>
      </c>
      <c r="Q135" s="36">
        <f>SUMIFS('свод практик'!$BX$6:$BX$277,'свод практик'!$J$6:$J$277,'свод субъектов ИБ+смежные'!Q$1)</f>
        <v>30</v>
      </c>
      <c r="R135" s="36">
        <f>SUMIFS('свод практик'!$BX$6:$BX$277,'свод практик'!$J$6:$J$277,'свод субъектов ИБ+смежные'!R$1)</f>
        <v>213</v>
      </c>
      <c r="S135" s="36">
        <f>SUMIFS('свод практик'!$BX$6:$BX$277,'свод практик'!$J$6:$J$277,'свод субъектов ИБ+смежные'!S$1)</f>
        <v>82</v>
      </c>
      <c r="T135" s="36">
        <f>SUMIFS('свод практик'!$BX$6:$BX$277,'свод практик'!$J$6:$J$277,'свод субъектов ИБ+смежные'!T$1)</f>
        <v>370</v>
      </c>
      <c r="U135" s="36">
        <f>SUMIFS('свод практик'!$BX$6:$BX$277,'свод практик'!$J$6:$J$277,'свод субъектов ИБ+смежные'!U$1)</f>
        <v>15</v>
      </c>
      <c r="V135" s="36">
        <f>SUMIFS('свод практик'!$BX$6:$BX$277,'свод практик'!$J$6:$J$277,'свод субъектов ИБ+смежные'!V$1)</f>
        <v>2561</v>
      </c>
      <c r="W135" s="36">
        <f>SUMIFS('свод практик'!$BX$6:$BX$277,'свод практик'!$J$6:$J$277,'свод субъектов ИБ+смежные'!W$1)</f>
        <v>142</v>
      </c>
      <c r="X135" s="36">
        <f>SUMIFS('свод практик'!$BX$6:$BX$277,'свод практик'!$J$6:$J$277,'свод субъектов ИБ+смежные'!X$1)</f>
        <v>89</v>
      </c>
      <c r="Y135" s="36">
        <f>SUMIFS('свод практик'!$BX$6:$BX$277,'свод практик'!$J$6:$J$277,'свод субъектов ИБ+смежные'!Y$1)</f>
        <v>1054</v>
      </c>
      <c r="Z135" s="36">
        <f>SUMIFS('свод практик'!$BX$6:$BX$277,'свод практик'!$J$6:$J$277,'свод субъектов ИБ+смежные'!Z$1)</f>
        <v>247</v>
      </c>
      <c r="AA135" s="36">
        <f>SUMIFS('свод практик'!$BX$6:$BX$277,'свод практик'!$J$6:$J$277,'свод субъектов ИБ+смежные'!AA$1)</f>
        <v>93</v>
      </c>
      <c r="AB135" s="36">
        <f>SUMIFS('свод практик'!$BX$6:$BX$277,'свод практик'!$J$6:$J$277,'свод субъектов ИБ+смежные'!AB$1)</f>
        <v>893</v>
      </c>
      <c r="AC135" s="36">
        <f>SUMIFS('свод практик'!$BX$6:$BX$277,'свод практик'!$J$6:$J$277,'свод субъектов ИБ+смежные'!AC$1)</f>
        <v>325</v>
      </c>
      <c r="AD135" s="36">
        <f>SUMIFS('свод практик'!$BX$6:$BX$277,'свод практик'!$J$6:$J$277,'свод субъектов ИБ+смежные'!AD$1)</f>
        <v>0</v>
      </c>
      <c r="AE135" s="36">
        <f>SUMIFS('свод практик'!$BX$6:$BX$277,'свод практик'!$J$6:$J$277,'свод субъектов ИБ+смежные'!AE$1)</f>
        <v>0</v>
      </c>
      <c r="AF135" s="36">
        <f>SUMIFS('свод практик'!$BX$6:$BX$277,'свод практик'!$J$6:$J$277,'свод субъектов ИБ+смежные'!AF$1)</f>
        <v>0</v>
      </c>
      <c r="AG135" s="36">
        <f>SUMIFS('свод практик'!$BX$6:$BX$277,'свод практик'!$J$6:$J$277,'свод субъектов ИБ+смежные'!AG$1)</f>
        <v>0</v>
      </c>
      <c r="AH135" s="36">
        <f>SUMIFS('свод практик'!$BX$6:$BX$277,'свод практик'!$J$6:$J$277,'свод субъектов ИБ+смежные'!AH$1)</f>
        <v>0</v>
      </c>
      <c r="AI135" s="36">
        <f>SUMIFS('свод практик'!$BX$6:$BX$277,'свод практик'!$J$6:$J$277,'свод субъектов ИБ+смежные'!AI$1)</f>
        <v>455</v>
      </c>
      <c r="AJ135" s="36">
        <f>SUMIFS('свод практик'!$BX$6:$BX$277,'свод практик'!$J$6:$J$277,'свод субъектов ИБ+смежные'!AJ$1)</f>
        <v>1</v>
      </c>
      <c r="AK135" s="36">
        <f>SUMIFS('свод практик'!$BX$6:$BX$277,'свод практик'!$J$6:$J$277,'свод субъектов ИБ+смежные'!AK$1)</f>
        <v>572</v>
      </c>
      <c r="AL135" s="36">
        <f>SUMIFS('свод практик'!$BX$6:$BX$277,'свод практик'!$J$6:$J$277,'свод субъектов ИБ+смежные'!AL$1)</f>
        <v>19</v>
      </c>
      <c r="AM135" s="36">
        <f>SUMIFS('свод практик'!$BX$6:$BX$277,'свод практик'!$J$6:$J$277,'свод субъектов ИБ+смежные'!AM$1)</f>
        <v>174</v>
      </c>
      <c r="AN135" s="36">
        <f>SUMIFS('свод практик'!$BX$6:$BX$277,'свод практик'!$J$6:$J$277,'свод субъектов ИБ+смежные'!AN$1)</f>
        <v>0</v>
      </c>
      <c r="AO135" s="36">
        <f>SUMIFS('свод практик'!$BX$6:$BX$277,'свод практик'!$J$6:$J$277,'свод субъектов ИБ+смежные'!AO$1)</f>
        <v>0</v>
      </c>
      <c r="AP135" s="36">
        <f>SUMIFS('свод практик'!$BX$6:$BX$277,'свод практик'!$J$6:$J$277,'свод субъектов ИБ+смежные'!AP$1)</f>
        <v>152</v>
      </c>
      <c r="AQ135" s="36">
        <f>SUMIFS('свод практик'!$BX$6:$BX$277,'свод практик'!$J$6:$J$277,'свод субъектов ИБ+смежные'!AQ$1)</f>
        <v>107</v>
      </c>
      <c r="AR135" s="36">
        <f>SUMIFS('свод практик'!$BX$6:$BX$277,'свод практик'!$J$6:$J$277,'свод субъектов ИБ+смежные'!AR$1)</f>
        <v>357</v>
      </c>
      <c r="AS135" s="36">
        <f>SUMIFS('свод практик'!$BX$6:$BX$277,'свод практик'!$J$6:$J$277,'свод субъектов ИБ+смежные'!AS$1)</f>
        <v>276</v>
      </c>
      <c r="AT135" s="36">
        <f>SUMIFS('свод практик'!$BX$6:$BX$277,'свод практик'!$J$6:$J$277,'свод субъектов ИБ+смежные'!AT$1)</f>
        <v>320</v>
      </c>
      <c r="AU135" s="36">
        <f>SUMIFS('свод практик'!$BX$6:$BX$277,'свод практик'!$J$6:$J$277,'свод субъектов ИБ+смежные'!AU$1)</f>
        <v>140</v>
      </c>
      <c r="AV135" s="36">
        <f>SUMIFS('свод практик'!$BX$6:$BX$277,'свод практик'!$J$6:$J$277,'свод субъектов ИБ+смежные'!AV$1)</f>
        <v>123</v>
      </c>
      <c r="AW135" s="36">
        <f>SUMIFS('свод практик'!$BX$6:$BX$277,'свод практик'!$J$6:$J$277,'свод субъектов ИБ+смежные'!AW$1)</f>
        <v>140</v>
      </c>
      <c r="AX135" s="36">
        <f>SUMIFS('свод практик'!$BX$6:$BX$277,'свод практик'!$J$6:$J$277,'свод субъектов ИБ+смежные'!AX$1)</f>
        <v>294</v>
      </c>
      <c r="AY135" s="36">
        <f>SUMIFS('свод практик'!$BX$6:$BX$277,'свод практик'!$J$6:$J$277,'свод субъектов ИБ+смежные'!AY$1)</f>
        <v>0</v>
      </c>
      <c r="AZ135" s="36">
        <f>SUMIFS('свод практик'!$BX$6:$BX$277,'свод практик'!$J$6:$J$277,'свод субъектов ИБ+смежные'!AZ$1)</f>
        <v>585</v>
      </c>
      <c r="BA135" s="36">
        <f>SUMIFS('свод практик'!$BX$6:$BX$277,'свод практик'!$J$6:$J$277,'свод субъектов ИБ+смежные'!BA$1)</f>
        <v>81</v>
      </c>
      <c r="BB135" s="36">
        <f>SUMIFS('свод практик'!$BX$6:$BX$277,'свод практик'!$J$6:$J$277,'свод субъектов ИБ+смежные'!BB$1)</f>
        <v>0</v>
      </c>
      <c r="BC135" s="36">
        <f>SUMIFS('свод практик'!$BX$6:$BX$277,'свод практик'!$J$6:$J$277,'свод субъектов ИБ+смежные'!BC$1)</f>
        <v>43</v>
      </c>
      <c r="BD135" s="36">
        <f>SUMIFS('свод практик'!$BX$6:$BX$277,'свод практик'!$J$6:$J$277,'свод субъектов ИБ+смежные'!BD$1)</f>
        <v>0</v>
      </c>
      <c r="BE135" s="36">
        <f>SUMIFS('свод практик'!$BX$6:$BX$277,'свод практик'!$J$6:$J$277,'свод субъектов ИБ+смежные'!BE$1)</f>
        <v>0</v>
      </c>
      <c r="BF135" s="36">
        <f>SUMIFS('свод практик'!$BX$6:$BX$277,'свод практик'!$J$6:$J$277,'свод субъектов ИБ+смежные'!BF$1)</f>
        <v>3</v>
      </c>
      <c r="BG135" s="36">
        <f>SUMIFS('свод практик'!$BX$6:$BX$277,'свод практик'!$J$6:$J$277,'свод субъектов ИБ+смежные'!BG$1)</f>
        <v>36</v>
      </c>
      <c r="BH135" s="36">
        <f>SUMIFS('свод практик'!$BX$6:$BX$277,'свод практик'!$J$6:$J$277,'свод субъектов ИБ+смежные'!BH$1)</f>
        <v>23</v>
      </c>
      <c r="BI135" s="36">
        <f>SUMIFS('свод практик'!$BX$6:$BX$277,'свод практик'!$J$6:$J$277,'свод субъектов ИБ+смежные'!BI$1)</f>
        <v>599</v>
      </c>
      <c r="BJ135" s="36">
        <f>SUMIFS('свод практик'!$BX$6:$BX$277,'свод практик'!$J$6:$J$277,'свод субъектов ИБ+смежные'!BJ$1)</f>
        <v>472</v>
      </c>
      <c r="BK135" s="36">
        <f>SUMIFS('свод практик'!$BX$6:$BX$277,'свод практик'!$J$6:$J$277,'свод субъектов ИБ+смежные'!BK$1)</f>
        <v>205</v>
      </c>
      <c r="BL135" s="36">
        <f>SUMIFS('свод практик'!$BX$6:$BX$277,'свод практик'!$J$6:$J$277,'свод субъектов ИБ+смежные'!BL$1)</f>
        <v>129</v>
      </c>
      <c r="BM135" s="36">
        <f>SUMIFS('свод практик'!$BX$6:$BX$277,'свод практик'!$J$6:$J$277,'свод субъектов ИБ+смежные'!BM$1)</f>
        <v>147</v>
      </c>
      <c r="BN135" s="36">
        <f>SUMIFS('свод практик'!$BX$6:$BX$277,'свод практик'!$J$6:$J$277,'свод субъектов ИБ+смежные'!BN$1)</f>
        <v>9</v>
      </c>
      <c r="BO135" s="36">
        <f>SUMIFS('свод практик'!$BX$6:$BX$277,'свод практик'!$J$6:$J$277,'свод субъектов ИБ+смежные'!BO$1)</f>
        <v>112</v>
      </c>
      <c r="BP135" s="36">
        <f>SUMIFS('свод практик'!$BX$6:$BX$277,'свод практик'!$J$6:$J$277,'свод субъектов ИБ+смежные'!BP$1)</f>
        <v>130</v>
      </c>
      <c r="BQ135" s="36">
        <f>SUMIFS('свод практик'!$BX$6:$BX$277,'свод практик'!$J$6:$J$277,'свод субъектов ИБ+смежные'!BQ$1)</f>
        <v>0</v>
      </c>
      <c r="BR135" s="36">
        <f>SUMIFS('свод практик'!$BX$6:$BX$277,'свод практик'!$J$6:$J$277,'свод субъектов ИБ+смежные'!BR$1)</f>
        <v>25</v>
      </c>
      <c r="BS135" s="36">
        <f>SUMIFS('свод практик'!$BX$6:$BX$277,'свод практик'!$J$6:$J$277,'свод субъектов ИБ+смежные'!BS$1)</f>
        <v>16</v>
      </c>
      <c r="BT135" s="36">
        <f>SUMIFS('свод практик'!$BX$6:$BX$277,'свод практик'!$J$6:$J$277,'свод субъектов ИБ+смежные'!BT$1)</f>
        <v>191</v>
      </c>
      <c r="BU135" s="36">
        <f>SUMIFS('свод практик'!$BX$6:$BX$277,'свод практик'!$J$6:$J$277,'свод субъектов ИБ+смежные'!BU$1)</f>
        <v>605</v>
      </c>
      <c r="BV135" s="36">
        <f>SUMIFS('свод практик'!$BX$6:$BX$277,'свод практик'!$J$6:$J$277,'свод субъектов ИБ+смежные'!BV$1)</f>
        <v>17</v>
      </c>
      <c r="BW135" s="36">
        <f>SUMIFS('свод практик'!$BX$6:$BX$277,'свод практик'!$J$6:$J$277,'свод субъектов ИБ+смежные'!BW$1)</f>
        <v>110</v>
      </c>
      <c r="BX135" s="36">
        <f>SUMIFS('свод практик'!$BX$6:$BX$277,'свод практик'!$J$6:$J$277,'свод субъектов ИБ+смежные'!BX$1)</f>
        <v>443</v>
      </c>
      <c r="BY135" s="36">
        <f>SUMIFS('свод практик'!$BX$6:$BX$277,'свод практик'!$J$6:$J$277,'свод субъектов ИБ+смежные'!BY$1)</f>
        <v>186</v>
      </c>
      <c r="BZ135" s="36">
        <f>SUMIFS('свод практик'!$BX$6:$BX$277,'свод практик'!$J$6:$J$277,'свод субъектов ИБ+смежные'!BZ$1)</f>
        <v>213</v>
      </c>
      <c r="CA135" s="36">
        <f>SUMIFS('свод практик'!$BX$6:$BX$277,'свод практик'!$J$6:$J$277,'свод субъектов ИБ+смежные'!CA$1)</f>
        <v>0</v>
      </c>
      <c r="CB135" s="36">
        <f>SUMIFS('свод практик'!$BX$6:$BX$277,'свод практик'!$J$6:$J$277,'свод субъектов ИБ+смежные'!CB$1)</f>
        <v>0</v>
      </c>
      <c r="CC135" s="36">
        <f>SUMIFS('свод практик'!$BX$6:$BX$277,'свод практик'!$J$6:$J$277,'свод субъектов ИБ+смежные'!CC$1)</f>
        <v>6</v>
      </c>
      <c r="CD135" s="36">
        <f>SUMIFS('свод практик'!$BX$6:$BX$277,'свод практик'!$J$6:$J$277,'свод субъектов ИБ+смежные'!CD$1)</f>
        <v>252</v>
      </c>
      <c r="CE135" s="36">
        <f>SUMIFS('свод практик'!$BX$6:$BX$277,'свод практик'!$J$6:$J$277,'свод субъектов ИБ+смежные'!CE$1)</f>
        <v>543</v>
      </c>
      <c r="CF135" s="36">
        <f>SUMIFS('свод практик'!$BX$6:$BX$277,'свод практик'!$J$6:$J$277,'свод субъектов ИБ+смежные'!CF$1)</f>
        <v>2858</v>
      </c>
      <c r="CG135" s="36">
        <f>SUMIFS('свод практик'!$BX$6:$BX$277,'свод практик'!$J$6:$J$277,'свод субъектов ИБ+смежные'!CG$1)</f>
        <v>277</v>
      </c>
      <c r="CH135" s="36">
        <f>SUMIFS('свод практик'!$BX$6:$BX$277,'свод практик'!$J$6:$J$277,'свод субъектов ИБ+смежные'!CH$1)</f>
        <v>72</v>
      </c>
      <c r="CI135" s="36">
        <f>SUMIFS('свод практик'!$BX$6:$BX$277,'свод практик'!$J$6:$J$277,'свод субъектов ИБ+смежные'!CI$1)</f>
        <v>506</v>
      </c>
      <c r="CJ135" s="36">
        <f>SUMIFS('свод практик'!$BX$6:$BX$277,'свод практик'!$J$6:$J$277,'свод субъектов ИБ+смежные'!CJ$1)</f>
        <v>0</v>
      </c>
      <c r="CK135" s="36">
        <f>SUMIFS('свод практик'!$BX$6:$BX$277,'свод практик'!$J$6:$J$277,'свод субъектов ИБ+смежные'!CK$1)</f>
        <v>3</v>
      </c>
      <c r="CL135" s="36">
        <f>SUMIFS('свод практик'!$BX$6:$BX$277,'свод практик'!$J$6:$J$277,'свод субъектов ИБ+смежные'!CL$1)</f>
        <v>104</v>
      </c>
      <c r="CM135" s="36">
        <f>SUMIFS('свод практик'!$BX$6:$BX$277,'свод практик'!$J$6:$J$277,'свод субъектов ИБ+смежные'!CM$1)</f>
        <v>147</v>
      </c>
      <c r="CN135" s="36">
        <f>SUMIFS('свод практик'!$BX$6:$BX$277,'свод практик'!$J$6:$J$277,'свод субъектов ИБ+смежные'!CN$1)</f>
        <v>249</v>
      </c>
      <c r="CO135" s="36">
        <f>SUMIFS('свод практик'!$BX$6:$BX$277,'свод практик'!$J$6:$J$277,'свод субъектов ИБ+смежные'!CO$1)</f>
        <v>0</v>
      </c>
      <c r="CP135" s="36">
        <f>SUMIFS('свод практик'!$BX$6:$BX$277,'свод практик'!$J$6:$J$277,'свод субъектов ИБ+смежные'!CP$1)</f>
        <v>283</v>
      </c>
      <c r="CQ135" s="36">
        <f>SUMIFS('свод практик'!$BX$6:$BX$277,'свод практик'!$J$6:$J$277,'свод субъектов ИБ+смежные'!CQ$1)</f>
        <v>162</v>
      </c>
      <c r="CR135" s="36">
        <f>SUMIFS('свод практик'!$BX$6:$BX$277,'свод практик'!$J$6:$J$277,'свод субъектов ИБ+смежные'!CR$1)</f>
        <v>0</v>
      </c>
      <c r="CS135" s="36">
        <f>SUMIFS('свод практик'!$BX$6:$BX$277,'свод практик'!$J$6:$J$277,'свод субъектов ИБ+смежные'!CS$1)</f>
        <v>668</v>
      </c>
      <c r="CT135" s="36">
        <f>SUMIFS('свод практик'!$BX$6:$BX$277,'свод практик'!$J$6:$J$277,'свод субъектов ИБ+смежные'!CT$1)</f>
        <v>18</v>
      </c>
      <c r="CU135" s="36">
        <f>SUMIFS('свод практик'!$BX$6:$BX$277,'свод практик'!$J$6:$J$277,'свод субъектов ИБ+смежные'!CU$1)</f>
        <v>94</v>
      </c>
      <c r="CV135" s="36">
        <f>SUMIFS('свод практик'!$BX$6:$BX$277,'свод практик'!$J$6:$J$277,'свод субъектов ИБ+смежные'!CV$1)</f>
        <v>497</v>
      </c>
    </row>
    <row r="136" spans="1:100" ht="42">
      <c r="A136" s="776"/>
      <c r="B136" s="776"/>
      <c r="C136" s="740"/>
      <c r="D136" s="42" t="s">
        <v>4949</v>
      </c>
      <c r="E136" s="42">
        <v>97</v>
      </c>
      <c r="F136" s="48" t="s">
        <v>5226</v>
      </c>
      <c r="G136" s="58" t="s">
        <v>5227</v>
      </c>
      <c r="H136" s="45" t="s">
        <v>60</v>
      </c>
      <c r="I136" s="46" t="s">
        <v>4956</v>
      </c>
      <c r="M136" s="36" t="s">
        <v>5497</v>
      </c>
      <c r="N136" s="232">
        <v>0.24158415841584158</v>
      </c>
      <c r="O136" s="233">
        <f>O134/O133</f>
        <v>0.15998950027889886</v>
      </c>
      <c r="P136" s="233">
        <f>P134/P133</f>
        <v>0.28125</v>
      </c>
      <c r="Q136" s="233">
        <f t="shared" ref="Q136:CB136" si="92">Q134/Q133</f>
        <v>0.86764705882352944</v>
      </c>
      <c r="R136" s="233">
        <f t="shared" si="92"/>
        <v>0.31079607415485277</v>
      </c>
      <c r="S136" s="233">
        <f t="shared" si="92"/>
        <v>0.97619047619047616</v>
      </c>
      <c r="T136" s="233">
        <f t="shared" si="92"/>
        <v>0.63322368421052633</v>
      </c>
      <c r="U136" s="233">
        <f t="shared" si="92"/>
        <v>0.5357142857142857</v>
      </c>
      <c r="V136" s="233">
        <f t="shared" si="92"/>
        <v>0.94645006016847177</v>
      </c>
      <c r="W136" s="233">
        <f t="shared" si="92"/>
        <v>0.5561172901921132</v>
      </c>
      <c r="X136" s="233">
        <f t="shared" si="92"/>
        <v>1</v>
      </c>
      <c r="Y136" s="233">
        <f t="shared" si="92"/>
        <v>1</v>
      </c>
      <c r="Z136" s="233">
        <f t="shared" si="92"/>
        <v>2.0582959641255605</v>
      </c>
      <c r="AA136" s="233">
        <f t="shared" si="92"/>
        <v>1</v>
      </c>
      <c r="AB136" s="233">
        <f t="shared" si="92"/>
        <v>0.96693476318141203</v>
      </c>
      <c r="AC136" s="233">
        <f t="shared" si="92"/>
        <v>1.1198428290766209</v>
      </c>
      <c r="AD136" s="233" t="e">
        <f t="shared" si="92"/>
        <v>#DIV/0!</v>
      </c>
      <c r="AE136" s="233" t="e">
        <f t="shared" si="92"/>
        <v>#DIV/0!</v>
      </c>
      <c r="AF136" s="233" t="e">
        <f t="shared" si="92"/>
        <v>#DIV/0!</v>
      </c>
      <c r="AG136" s="233" t="e">
        <f t="shared" si="92"/>
        <v>#DIV/0!</v>
      </c>
      <c r="AH136" s="233" t="e">
        <f t="shared" si="92"/>
        <v>#DIV/0!</v>
      </c>
      <c r="AI136" s="233">
        <f t="shared" si="92"/>
        <v>0.2676470588235294</v>
      </c>
      <c r="AJ136" s="233">
        <f t="shared" si="92"/>
        <v>1</v>
      </c>
      <c r="AK136" s="233">
        <f t="shared" si="92"/>
        <v>0.47473784556720688</v>
      </c>
      <c r="AL136" s="233">
        <f t="shared" si="92"/>
        <v>1</v>
      </c>
      <c r="AM136" s="233">
        <f t="shared" si="92"/>
        <v>6</v>
      </c>
      <c r="AN136" s="233" t="e">
        <f t="shared" si="92"/>
        <v>#DIV/0!</v>
      </c>
      <c r="AO136" s="233" t="e">
        <f t="shared" si="92"/>
        <v>#DIV/0!</v>
      </c>
      <c r="AP136" s="233" t="e">
        <f t="shared" si="92"/>
        <v>#DIV/0!</v>
      </c>
      <c r="AQ136" s="233">
        <f t="shared" si="92"/>
        <v>0.43529411764705883</v>
      </c>
      <c r="AR136" s="233">
        <f t="shared" si="92"/>
        <v>0.91917293233082709</v>
      </c>
      <c r="AS136" s="233">
        <f t="shared" si="92"/>
        <v>0.62085308056872035</v>
      </c>
      <c r="AT136" s="233">
        <f t="shared" si="92"/>
        <v>0.93950177935943058</v>
      </c>
      <c r="AU136" s="233">
        <f t="shared" si="92"/>
        <v>1</v>
      </c>
      <c r="AV136" s="233">
        <f t="shared" si="92"/>
        <v>0.34989648033126292</v>
      </c>
      <c r="AW136" s="233">
        <f t="shared" si="92"/>
        <v>0.97468354430379744</v>
      </c>
      <c r="AX136" s="233">
        <f t="shared" si="92"/>
        <v>1</v>
      </c>
      <c r="AY136" s="233" t="e">
        <f t="shared" si="92"/>
        <v>#DIV/0!</v>
      </c>
      <c r="AZ136" s="233">
        <f t="shared" si="92"/>
        <v>34.411764705882355</v>
      </c>
      <c r="BA136" s="233">
        <f t="shared" si="92"/>
        <v>0.50158730158730158</v>
      </c>
      <c r="BB136" s="233" t="e">
        <f t="shared" si="92"/>
        <v>#DIV/0!</v>
      </c>
      <c r="BC136" s="233" t="e">
        <f t="shared" si="92"/>
        <v>#DIV/0!</v>
      </c>
      <c r="BD136" s="233" t="e">
        <f t="shared" si="92"/>
        <v>#DIV/0!</v>
      </c>
      <c r="BE136" s="233" t="e">
        <f t="shared" si="92"/>
        <v>#DIV/0!</v>
      </c>
      <c r="BF136" s="233">
        <f t="shared" si="92"/>
        <v>1</v>
      </c>
      <c r="BG136" s="233">
        <f t="shared" si="92"/>
        <v>1</v>
      </c>
      <c r="BH136" s="233" t="e">
        <f t="shared" si="92"/>
        <v>#DIV/0!</v>
      </c>
      <c r="BI136" s="233" t="e">
        <f t="shared" si="92"/>
        <v>#DIV/0!</v>
      </c>
      <c r="BJ136" s="233">
        <f t="shared" si="92"/>
        <v>0.55029585798816572</v>
      </c>
      <c r="BK136" s="233">
        <f t="shared" si="92"/>
        <v>0.45796460176991149</v>
      </c>
      <c r="BL136" s="233">
        <f t="shared" si="92"/>
        <v>0.93286219081272082</v>
      </c>
      <c r="BM136" s="233">
        <f t="shared" si="92"/>
        <v>1.9</v>
      </c>
      <c r="BN136" s="233">
        <f t="shared" si="92"/>
        <v>1</v>
      </c>
      <c r="BO136" s="233">
        <f t="shared" si="92"/>
        <v>0.67500000000000004</v>
      </c>
      <c r="BP136" s="233" t="e">
        <f t="shared" si="92"/>
        <v>#DIV/0!</v>
      </c>
      <c r="BQ136" s="233" t="e">
        <f t="shared" si="92"/>
        <v>#DIV/0!</v>
      </c>
      <c r="BR136" s="233">
        <f t="shared" si="92"/>
        <v>1</v>
      </c>
      <c r="BS136" s="233">
        <f t="shared" si="92"/>
        <v>0.1553398058252427</v>
      </c>
      <c r="BT136" s="233">
        <f t="shared" si="92"/>
        <v>20.928571428571427</v>
      </c>
      <c r="BU136" s="233">
        <f t="shared" si="92"/>
        <v>0.90552284833193164</v>
      </c>
      <c r="BV136" s="233">
        <f t="shared" si="92"/>
        <v>6.8009416688464552E-3</v>
      </c>
      <c r="BW136" s="233">
        <f t="shared" si="92"/>
        <v>0.46242774566473988</v>
      </c>
      <c r="BX136" s="233" t="e">
        <f t="shared" si="92"/>
        <v>#DIV/0!</v>
      </c>
      <c r="BY136" s="233">
        <f t="shared" si="92"/>
        <v>0.49209486166007904</v>
      </c>
      <c r="BZ136" s="233">
        <f t="shared" si="92"/>
        <v>8.3124807184725604E-4</v>
      </c>
      <c r="CA136" s="233" t="e">
        <f t="shared" si="92"/>
        <v>#DIV/0!</v>
      </c>
      <c r="CB136" s="233" t="e">
        <f t="shared" si="92"/>
        <v>#DIV/0!</v>
      </c>
      <c r="CC136" s="233" t="e">
        <f t="shared" ref="CC136:CV136" si="93">CC134/CC133</f>
        <v>#DIV/0!</v>
      </c>
      <c r="CD136" s="233">
        <f t="shared" si="93"/>
        <v>15.368421052631579</v>
      </c>
      <c r="CE136" s="233">
        <f t="shared" si="93"/>
        <v>0.37866666666666665</v>
      </c>
      <c r="CF136" s="233">
        <f t="shared" si="93"/>
        <v>0.92736077481840196</v>
      </c>
      <c r="CG136" s="233">
        <f t="shared" si="93"/>
        <v>1</v>
      </c>
      <c r="CH136" s="233" t="e">
        <f t="shared" si="93"/>
        <v>#DIV/0!</v>
      </c>
      <c r="CI136" s="233">
        <f t="shared" si="93"/>
        <v>1</v>
      </c>
      <c r="CJ136" s="233" t="e">
        <f t="shared" si="93"/>
        <v>#DIV/0!</v>
      </c>
      <c r="CK136" s="233" t="e">
        <f t="shared" si="93"/>
        <v>#DIV/0!</v>
      </c>
      <c r="CL136" s="233">
        <f t="shared" si="93"/>
        <v>0.64341085271317833</v>
      </c>
      <c r="CM136" s="233">
        <f t="shared" si="93"/>
        <v>0.44654088050314467</v>
      </c>
      <c r="CN136" s="233">
        <f t="shared" si="93"/>
        <v>0.8220640569395018</v>
      </c>
      <c r="CO136" s="233" t="e">
        <f t="shared" si="93"/>
        <v>#DIV/0!</v>
      </c>
      <c r="CP136" s="233">
        <f t="shared" si="93"/>
        <v>0.95143487858719644</v>
      </c>
      <c r="CQ136" s="233">
        <f t="shared" si="93"/>
        <v>0.83919597989949746</v>
      </c>
      <c r="CR136" s="233" t="e">
        <f t="shared" si="93"/>
        <v>#DIV/0!</v>
      </c>
      <c r="CS136" s="233">
        <f t="shared" si="93"/>
        <v>0.98816568047337283</v>
      </c>
      <c r="CT136" s="233">
        <f t="shared" si="93"/>
        <v>1</v>
      </c>
      <c r="CU136" s="233">
        <f t="shared" si="93"/>
        <v>0.60629921259842523</v>
      </c>
      <c r="CV136" s="233">
        <f t="shared" si="93"/>
        <v>0.99214145383104124</v>
      </c>
    </row>
    <row r="137" spans="1:100" ht="28">
      <c r="A137" s="776"/>
      <c r="B137" s="776"/>
      <c r="C137" s="740"/>
      <c r="D137" s="42" t="s">
        <v>4949</v>
      </c>
      <c r="E137" s="42">
        <v>95</v>
      </c>
      <c r="F137" s="43" t="s">
        <v>5228</v>
      </c>
      <c r="G137" s="58" t="s">
        <v>5229</v>
      </c>
      <c r="H137" s="45" t="s">
        <v>60</v>
      </c>
      <c r="I137" s="46" t="s">
        <v>4956</v>
      </c>
      <c r="M137" s="232">
        <v>0.62751089740709121</v>
      </c>
      <c r="N137" s="232">
        <v>0.9776025895374334</v>
      </c>
      <c r="O137" s="233">
        <f>O135/O134</f>
        <v>0.83547990155865459</v>
      </c>
      <c r="P137" s="232">
        <f>P135/P134</f>
        <v>0.66666666666666663</v>
      </c>
      <c r="Q137" s="232">
        <f t="shared" ref="Q137:CB137" si="94">Q135/Q134</f>
        <v>0.50847457627118642</v>
      </c>
      <c r="R137" s="232">
        <f t="shared" si="94"/>
        <v>0.74736842105263157</v>
      </c>
      <c r="S137" s="232">
        <f t="shared" si="94"/>
        <v>1</v>
      </c>
      <c r="T137" s="232">
        <f t="shared" si="94"/>
        <v>0.96103896103896103</v>
      </c>
      <c r="U137" s="232">
        <f t="shared" si="94"/>
        <v>1</v>
      </c>
      <c r="V137" s="232">
        <f t="shared" si="94"/>
        <v>1.6280991735537189</v>
      </c>
      <c r="W137" s="232">
        <f t="shared" si="94"/>
        <v>0.25818181818181818</v>
      </c>
      <c r="X137" s="232">
        <f t="shared" si="94"/>
        <v>0.61379310344827587</v>
      </c>
      <c r="Y137" s="232">
        <f t="shared" si="94"/>
        <v>0.79607250755287007</v>
      </c>
      <c r="Z137" s="232">
        <f t="shared" si="94"/>
        <v>0.53812636165577343</v>
      </c>
      <c r="AA137" s="232">
        <f t="shared" si="94"/>
        <v>0.44497607655502391</v>
      </c>
      <c r="AB137" s="232">
        <f t="shared" si="94"/>
        <v>0.82532347504621073</v>
      </c>
      <c r="AC137" s="232">
        <f t="shared" si="94"/>
        <v>0.28508771929824561</v>
      </c>
      <c r="AD137" s="232" t="e">
        <f t="shared" si="94"/>
        <v>#DIV/0!</v>
      </c>
      <c r="AE137" s="232" t="e">
        <f t="shared" si="94"/>
        <v>#DIV/0!</v>
      </c>
      <c r="AF137" s="232" t="e">
        <f t="shared" si="94"/>
        <v>#DIV/0!</v>
      </c>
      <c r="AG137" s="232" t="e">
        <f t="shared" si="94"/>
        <v>#DIV/0!</v>
      </c>
      <c r="AH137" s="232" t="e">
        <f t="shared" si="94"/>
        <v>#DIV/0!</v>
      </c>
      <c r="AI137" s="232">
        <f t="shared" si="94"/>
        <v>1</v>
      </c>
      <c r="AJ137" s="232">
        <f t="shared" si="94"/>
        <v>1</v>
      </c>
      <c r="AK137" s="232">
        <f t="shared" si="94"/>
        <v>1.1485943775100402</v>
      </c>
      <c r="AL137" s="232">
        <f t="shared" si="94"/>
        <v>0.90476190476190477</v>
      </c>
      <c r="AM137" s="232">
        <f t="shared" si="94"/>
        <v>0.96666666666666667</v>
      </c>
      <c r="AN137" s="232" t="e">
        <f t="shared" si="94"/>
        <v>#DIV/0!</v>
      </c>
      <c r="AO137" s="232" t="e">
        <f t="shared" si="94"/>
        <v>#DIV/0!</v>
      </c>
      <c r="AP137" s="232">
        <f t="shared" si="94"/>
        <v>0.91017964071856283</v>
      </c>
      <c r="AQ137" s="232">
        <f t="shared" si="94"/>
        <v>0.963963963963964</v>
      </c>
      <c r="AR137" s="232">
        <f t="shared" si="94"/>
        <v>0.73006134969325154</v>
      </c>
      <c r="AS137" s="232">
        <f t="shared" si="94"/>
        <v>0.70229007633587781</v>
      </c>
      <c r="AT137" s="232">
        <f t="shared" si="94"/>
        <v>0.60606060606060608</v>
      </c>
      <c r="AU137" s="232">
        <f t="shared" si="94"/>
        <v>1</v>
      </c>
      <c r="AV137" s="232">
        <f t="shared" si="94"/>
        <v>0.72781065088757402</v>
      </c>
      <c r="AW137" s="232">
        <f t="shared" si="94"/>
        <v>0.90909090909090906</v>
      </c>
      <c r="AX137" s="232">
        <f t="shared" si="94"/>
        <v>0.97674418604651159</v>
      </c>
      <c r="AY137" s="232" t="e">
        <f t="shared" si="94"/>
        <v>#DIV/0!</v>
      </c>
      <c r="AZ137" s="232">
        <f t="shared" si="94"/>
        <v>1</v>
      </c>
      <c r="BA137" s="232">
        <f t="shared" si="94"/>
        <v>0.51265822784810122</v>
      </c>
      <c r="BB137" s="232" t="e">
        <f t="shared" si="94"/>
        <v>#DIV/0!</v>
      </c>
      <c r="BC137" s="232">
        <f t="shared" si="94"/>
        <v>0.51190476190476186</v>
      </c>
      <c r="BD137" s="232" t="e">
        <f t="shared" si="94"/>
        <v>#DIV/0!</v>
      </c>
      <c r="BE137" s="232" t="e">
        <f t="shared" si="94"/>
        <v>#DIV/0!</v>
      </c>
      <c r="BF137" s="232">
        <f t="shared" si="94"/>
        <v>0.6</v>
      </c>
      <c r="BG137" s="232">
        <f t="shared" si="94"/>
        <v>0.8571428571428571</v>
      </c>
      <c r="BH137" s="232">
        <f t="shared" si="94"/>
        <v>1</v>
      </c>
      <c r="BI137" s="232">
        <f t="shared" si="94"/>
        <v>0.99833333333333329</v>
      </c>
      <c r="BJ137" s="232">
        <f t="shared" si="94"/>
        <v>1.2688172043010753</v>
      </c>
      <c r="BK137" s="232">
        <f t="shared" si="94"/>
        <v>0.99033816425120769</v>
      </c>
      <c r="BL137" s="232">
        <f t="shared" si="94"/>
        <v>0.48863636363636365</v>
      </c>
      <c r="BM137" s="232">
        <f t="shared" si="94"/>
        <v>0.85964912280701755</v>
      </c>
      <c r="BN137" s="232">
        <f t="shared" si="94"/>
        <v>0.81818181818181823</v>
      </c>
      <c r="BO137" s="232">
        <f t="shared" si="94"/>
        <v>0.82962962962962961</v>
      </c>
      <c r="BP137" s="232">
        <f t="shared" si="94"/>
        <v>0.42483660130718953</v>
      </c>
      <c r="BQ137" s="232" t="e">
        <f t="shared" si="94"/>
        <v>#DIV/0!</v>
      </c>
      <c r="BR137" s="232">
        <f t="shared" si="94"/>
        <v>0.78125</v>
      </c>
      <c r="BS137" s="232">
        <f t="shared" si="94"/>
        <v>1</v>
      </c>
      <c r="BT137" s="232">
        <f t="shared" si="94"/>
        <v>0.65187713310580209</v>
      </c>
      <c r="BU137" s="232">
        <f t="shared" si="94"/>
        <v>0.18730650154798761</v>
      </c>
      <c r="BV137" s="232">
        <f t="shared" si="94"/>
        <v>0.32692307692307693</v>
      </c>
      <c r="BW137" s="232">
        <f t="shared" si="94"/>
        <v>0.6875</v>
      </c>
      <c r="BX137" s="232">
        <f t="shared" si="94"/>
        <v>0.78407079646017697</v>
      </c>
      <c r="BY137" s="232">
        <f t="shared" si="94"/>
        <v>0.74698795180722888</v>
      </c>
      <c r="BZ137" s="232">
        <f t="shared" si="94"/>
        <v>2.195876288659794</v>
      </c>
      <c r="CA137" s="232" t="e">
        <f t="shared" si="94"/>
        <v>#DIV/0!</v>
      </c>
      <c r="CB137" s="232" t="e">
        <f t="shared" si="94"/>
        <v>#DIV/0!</v>
      </c>
      <c r="CC137" s="232">
        <f t="shared" ref="CC137:CV137" si="95">CC135/CC134</f>
        <v>0.75</v>
      </c>
      <c r="CD137" s="232">
        <f t="shared" si="95"/>
        <v>0.86301369863013699</v>
      </c>
      <c r="CE137" s="232">
        <f t="shared" si="95"/>
        <v>0.95598591549295775</v>
      </c>
      <c r="CF137" s="232">
        <f t="shared" si="95"/>
        <v>7.462140992167102</v>
      </c>
      <c r="CG137" s="232">
        <f t="shared" si="95"/>
        <v>0.86292834890965731</v>
      </c>
      <c r="CH137" s="232">
        <f t="shared" si="95"/>
        <v>0.81818181818181823</v>
      </c>
      <c r="CI137" s="232">
        <f t="shared" si="95"/>
        <v>0.39593114241001565</v>
      </c>
      <c r="CJ137" s="232" t="e">
        <f t="shared" si="95"/>
        <v>#DIV/0!</v>
      </c>
      <c r="CK137" s="232">
        <f t="shared" si="95"/>
        <v>0.6</v>
      </c>
      <c r="CL137" s="232">
        <f t="shared" si="95"/>
        <v>0.62650602409638556</v>
      </c>
      <c r="CM137" s="232">
        <f t="shared" si="95"/>
        <v>0.51760563380281688</v>
      </c>
      <c r="CN137" s="232">
        <f t="shared" si="95"/>
        <v>0.53896103896103897</v>
      </c>
      <c r="CO137" s="232" t="e">
        <f t="shared" si="95"/>
        <v>#DIV/0!</v>
      </c>
      <c r="CP137" s="232">
        <f t="shared" si="95"/>
        <v>0.65661252900232014</v>
      </c>
      <c r="CQ137" s="232">
        <f t="shared" si="95"/>
        <v>0.97005988023952094</v>
      </c>
      <c r="CR137" s="232" t="e">
        <f t="shared" si="95"/>
        <v>#DIV/0!</v>
      </c>
      <c r="CS137" s="232">
        <f t="shared" si="95"/>
        <v>1</v>
      </c>
      <c r="CT137" s="232">
        <f t="shared" si="95"/>
        <v>0.94736842105263153</v>
      </c>
      <c r="CU137" s="232">
        <f t="shared" si="95"/>
        <v>0.61038961038961037</v>
      </c>
      <c r="CV137" s="232">
        <f t="shared" si="95"/>
        <v>0.98415841584158414</v>
      </c>
    </row>
    <row r="138" spans="1:100" ht="29" thickBot="1">
      <c r="A138" s="777"/>
      <c r="B138" s="777"/>
      <c r="C138" s="754"/>
      <c r="D138" s="76" t="s">
        <v>4949</v>
      </c>
      <c r="E138" s="76">
        <v>98</v>
      </c>
      <c r="F138" s="77" t="s">
        <v>5230</v>
      </c>
      <c r="G138" s="78" t="s">
        <v>5231</v>
      </c>
      <c r="H138" s="79" t="s">
        <v>60</v>
      </c>
      <c r="I138" s="9" t="s">
        <v>4956</v>
      </c>
      <c r="M138" s="232" t="s">
        <v>5497</v>
      </c>
      <c r="N138" s="232">
        <v>0.23617329885854826</v>
      </c>
      <c r="O138" s="233">
        <f>O135/O133</f>
        <v>0.13366801194343275</v>
      </c>
      <c r="P138" s="233">
        <f>P135/P133</f>
        <v>0.1875</v>
      </c>
      <c r="Q138" s="233">
        <f t="shared" ref="Q138:CB138" si="96">Q135/Q133</f>
        <v>0.44117647058823528</v>
      </c>
      <c r="R138" s="233">
        <f t="shared" si="96"/>
        <v>0.23227917121046893</v>
      </c>
      <c r="S138" s="233">
        <f t="shared" si="96"/>
        <v>0.97619047619047616</v>
      </c>
      <c r="T138" s="233">
        <f t="shared" si="96"/>
        <v>0.60855263157894735</v>
      </c>
      <c r="U138" s="233">
        <f t="shared" si="96"/>
        <v>0.5357142857142857</v>
      </c>
      <c r="V138" s="233">
        <f t="shared" si="96"/>
        <v>1.5409145607701564</v>
      </c>
      <c r="W138" s="233">
        <f t="shared" si="96"/>
        <v>0.14357937310414559</v>
      </c>
      <c r="X138" s="233">
        <f t="shared" si="96"/>
        <v>0.61379310344827587</v>
      </c>
      <c r="Y138" s="233">
        <f t="shared" si="96"/>
        <v>0.79607250755287007</v>
      </c>
      <c r="Z138" s="233">
        <f t="shared" si="96"/>
        <v>1.1076233183856503</v>
      </c>
      <c r="AA138" s="233">
        <f t="shared" si="96"/>
        <v>0.44497607655502391</v>
      </c>
      <c r="AB138" s="233">
        <f t="shared" si="96"/>
        <v>0.79803395889186779</v>
      </c>
      <c r="AC138" s="233">
        <f t="shared" si="96"/>
        <v>0.31925343811394891</v>
      </c>
      <c r="AD138" s="233" t="e">
        <f t="shared" si="96"/>
        <v>#DIV/0!</v>
      </c>
      <c r="AE138" s="233" t="e">
        <f t="shared" si="96"/>
        <v>#DIV/0!</v>
      </c>
      <c r="AF138" s="233" t="e">
        <f t="shared" si="96"/>
        <v>#DIV/0!</v>
      </c>
      <c r="AG138" s="233" t="e">
        <f t="shared" si="96"/>
        <v>#DIV/0!</v>
      </c>
      <c r="AH138" s="233" t="e">
        <f t="shared" si="96"/>
        <v>#DIV/0!</v>
      </c>
      <c r="AI138" s="233">
        <f t="shared" si="96"/>
        <v>0.2676470588235294</v>
      </c>
      <c r="AJ138" s="233">
        <f t="shared" si="96"/>
        <v>1</v>
      </c>
      <c r="AK138" s="233">
        <f t="shared" si="96"/>
        <v>0.54528122020972358</v>
      </c>
      <c r="AL138" s="233">
        <f t="shared" si="96"/>
        <v>0.90476190476190477</v>
      </c>
      <c r="AM138" s="233">
        <f t="shared" si="96"/>
        <v>5.8</v>
      </c>
      <c r="AN138" s="233" t="e">
        <f t="shared" si="96"/>
        <v>#DIV/0!</v>
      </c>
      <c r="AO138" s="233" t="e">
        <f t="shared" si="96"/>
        <v>#DIV/0!</v>
      </c>
      <c r="AP138" s="233" t="e">
        <f t="shared" si="96"/>
        <v>#DIV/0!</v>
      </c>
      <c r="AQ138" s="233">
        <f t="shared" si="96"/>
        <v>0.41960784313725491</v>
      </c>
      <c r="AR138" s="233">
        <f t="shared" si="96"/>
        <v>0.67105263157894735</v>
      </c>
      <c r="AS138" s="233">
        <f t="shared" si="96"/>
        <v>0.43601895734597157</v>
      </c>
      <c r="AT138" s="233">
        <f t="shared" si="96"/>
        <v>0.56939501779359436</v>
      </c>
      <c r="AU138" s="233">
        <f t="shared" si="96"/>
        <v>1</v>
      </c>
      <c r="AV138" s="233">
        <f t="shared" si="96"/>
        <v>0.25465838509316768</v>
      </c>
      <c r="AW138" s="233">
        <f t="shared" si="96"/>
        <v>0.88607594936708856</v>
      </c>
      <c r="AX138" s="233">
        <f t="shared" si="96"/>
        <v>0.97674418604651159</v>
      </c>
      <c r="AY138" s="233" t="e">
        <f t="shared" si="96"/>
        <v>#DIV/0!</v>
      </c>
      <c r="AZ138" s="233">
        <f t="shared" si="96"/>
        <v>34.411764705882355</v>
      </c>
      <c r="BA138" s="233">
        <f t="shared" si="96"/>
        <v>0.25714285714285712</v>
      </c>
      <c r="BB138" s="233" t="e">
        <f t="shared" si="96"/>
        <v>#DIV/0!</v>
      </c>
      <c r="BC138" s="233" t="e">
        <f t="shared" si="96"/>
        <v>#DIV/0!</v>
      </c>
      <c r="BD138" s="233" t="e">
        <f t="shared" si="96"/>
        <v>#DIV/0!</v>
      </c>
      <c r="BE138" s="233" t="e">
        <f t="shared" si="96"/>
        <v>#DIV/0!</v>
      </c>
      <c r="BF138" s="233">
        <f t="shared" si="96"/>
        <v>0.6</v>
      </c>
      <c r="BG138" s="233">
        <f t="shared" si="96"/>
        <v>0.8571428571428571</v>
      </c>
      <c r="BH138" s="233" t="e">
        <f t="shared" si="96"/>
        <v>#DIV/0!</v>
      </c>
      <c r="BI138" s="233" t="e">
        <f t="shared" si="96"/>
        <v>#DIV/0!</v>
      </c>
      <c r="BJ138" s="233">
        <f t="shared" si="96"/>
        <v>0.69822485207100593</v>
      </c>
      <c r="BK138" s="233">
        <f t="shared" si="96"/>
        <v>0.45353982300884954</v>
      </c>
      <c r="BL138" s="233">
        <f t="shared" si="96"/>
        <v>0.45583038869257952</v>
      </c>
      <c r="BM138" s="233">
        <f t="shared" si="96"/>
        <v>1.6333333333333333</v>
      </c>
      <c r="BN138" s="233">
        <f t="shared" si="96"/>
        <v>0.81818181818181823</v>
      </c>
      <c r="BO138" s="233">
        <f t="shared" si="96"/>
        <v>0.56000000000000005</v>
      </c>
      <c r="BP138" s="233" t="e">
        <f t="shared" si="96"/>
        <v>#DIV/0!</v>
      </c>
      <c r="BQ138" s="233" t="e">
        <f t="shared" si="96"/>
        <v>#DIV/0!</v>
      </c>
      <c r="BR138" s="233">
        <f t="shared" si="96"/>
        <v>0.78125</v>
      </c>
      <c r="BS138" s="233">
        <f t="shared" si="96"/>
        <v>0.1553398058252427</v>
      </c>
      <c r="BT138" s="233">
        <f t="shared" si="96"/>
        <v>13.642857142857142</v>
      </c>
      <c r="BU138" s="233">
        <f t="shared" si="96"/>
        <v>0.1696103167928231</v>
      </c>
      <c r="BV138" s="233">
        <f t="shared" si="96"/>
        <v>2.223384776353649E-3</v>
      </c>
      <c r="BW138" s="233">
        <f t="shared" si="96"/>
        <v>0.31791907514450868</v>
      </c>
      <c r="BX138" s="233" t="e">
        <f t="shared" si="96"/>
        <v>#DIV/0!</v>
      </c>
      <c r="BY138" s="233">
        <f t="shared" si="96"/>
        <v>0.3675889328063241</v>
      </c>
      <c r="BZ138" s="233">
        <f t="shared" si="96"/>
        <v>1.8253179309635622E-3</v>
      </c>
      <c r="CA138" s="233" t="e">
        <f t="shared" si="96"/>
        <v>#DIV/0!</v>
      </c>
      <c r="CB138" s="233" t="e">
        <f t="shared" si="96"/>
        <v>#DIV/0!</v>
      </c>
      <c r="CC138" s="233" t="e">
        <f t="shared" ref="CC138:CV138" si="97">CC135/CC133</f>
        <v>#DIV/0!</v>
      </c>
      <c r="CD138" s="233">
        <f t="shared" si="97"/>
        <v>13.263157894736842</v>
      </c>
      <c r="CE138" s="233">
        <f t="shared" si="97"/>
        <v>0.36199999999999999</v>
      </c>
      <c r="CF138" s="233">
        <f t="shared" si="97"/>
        <v>6.920096852300242</v>
      </c>
      <c r="CG138" s="233">
        <f t="shared" si="97"/>
        <v>0.86292834890965731</v>
      </c>
      <c r="CH138" s="233" t="e">
        <f t="shared" si="97"/>
        <v>#DIV/0!</v>
      </c>
      <c r="CI138" s="233">
        <f t="shared" si="97"/>
        <v>0.39593114241001565</v>
      </c>
      <c r="CJ138" s="233" t="e">
        <f t="shared" si="97"/>
        <v>#DIV/0!</v>
      </c>
      <c r="CK138" s="233" t="e">
        <f t="shared" si="97"/>
        <v>#DIV/0!</v>
      </c>
      <c r="CL138" s="233">
        <f t="shared" si="97"/>
        <v>0.40310077519379844</v>
      </c>
      <c r="CM138" s="233">
        <f t="shared" si="97"/>
        <v>0.23113207547169812</v>
      </c>
      <c r="CN138" s="233">
        <f t="shared" si="97"/>
        <v>0.44306049822064059</v>
      </c>
      <c r="CO138" s="233" t="e">
        <f t="shared" si="97"/>
        <v>#DIV/0!</v>
      </c>
      <c r="CP138" s="233">
        <f t="shared" si="97"/>
        <v>0.6247240618101545</v>
      </c>
      <c r="CQ138" s="233">
        <f t="shared" si="97"/>
        <v>0.81407035175879394</v>
      </c>
      <c r="CR138" s="233" t="e">
        <f t="shared" si="97"/>
        <v>#DIV/0!</v>
      </c>
      <c r="CS138" s="233">
        <f t="shared" si="97"/>
        <v>0.98816568047337283</v>
      </c>
      <c r="CT138" s="233">
        <f t="shared" si="97"/>
        <v>0.94736842105263153</v>
      </c>
      <c r="CU138" s="233">
        <f t="shared" si="97"/>
        <v>0.37007874015748032</v>
      </c>
      <c r="CV138" s="233">
        <f t="shared" si="97"/>
        <v>0.97642436149312373</v>
      </c>
    </row>
    <row r="139" spans="1:100" s="178" customFormat="1" ht="14">
      <c r="A139" s="774">
        <v>28</v>
      </c>
      <c r="B139" s="715" t="s">
        <v>4990</v>
      </c>
      <c r="C139" s="717" t="s">
        <v>5232</v>
      </c>
      <c r="D139" s="180" t="s">
        <v>4949</v>
      </c>
      <c r="E139" s="180">
        <v>96</v>
      </c>
      <c r="F139" s="181" t="s">
        <v>5233</v>
      </c>
      <c r="G139" s="182" t="s">
        <v>5275</v>
      </c>
      <c r="H139" s="183" t="s">
        <v>5234</v>
      </c>
      <c r="I139" s="184" t="s">
        <v>4961</v>
      </c>
      <c r="M139" s="178">
        <v>29121.573000000004</v>
      </c>
      <c r="N139" s="178">
        <v>27775.256799999999</v>
      </c>
      <c r="O139" s="185"/>
      <c r="P139" s="178">
        <f>SUMIFS('свод практик'!$CV$6:$CV$277,'свод практик'!$J$6:$J$277,'свод субъектов ИБ+смежные'!P$1)</f>
        <v>15.726000000000001</v>
      </c>
      <c r="Q139" s="178">
        <f>SUMIFS('свод практик'!$CV$6:$CV$277,'свод практик'!$J$6:$J$277,'свод субъектов ИБ+смежные'!Q$1)</f>
        <v>182.39999999999998</v>
      </c>
      <c r="R139" s="178">
        <f>SUMIFS('свод практик'!$CV$6:$CV$277,'свод практик'!$J$6:$J$277,'свод субъектов ИБ+смежные'!R$1)</f>
        <v>176.52199999999999</v>
      </c>
      <c r="S139" s="178">
        <f>SUMIFS('свод практик'!$CV$6:$CV$277,'свод практик'!$J$6:$J$277,'свод субъектов ИБ+смежные'!S$1)</f>
        <v>82.293000000000006</v>
      </c>
      <c r="T139" s="178">
        <f>SUMIFS('свод практик'!$CV$6:$CV$277,'свод практик'!$J$6:$J$277,'свод субъектов ИБ+смежные'!T$1)</f>
        <v>355.5</v>
      </c>
      <c r="U139" s="178">
        <f>SUMIFS('свод практик'!$CV$6:$CV$277,'свод практик'!$J$6:$J$277,'свод субъектов ИБ+смежные'!U$1)</f>
        <v>23.777999999999999</v>
      </c>
      <c r="V139" s="178">
        <f>SUMIFS('свод практик'!$CV$6:$CV$277,'свод практик'!$J$6:$J$277,'свод субъектов ИБ+смежные'!V$1)</f>
        <v>8794.8260000000009</v>
      </c>
      <c r="W139" s="178">
        <f>SUMIFS('свод практик'!$CV$6:$CV$277,'свод практик'!$J$6:$J$277,'свод субъектов ИБ+смежные'!W$1)</f>
        <v>137.47899999999998</v>
      </c>
      <c r="X139" s="178">
        <f>SUMIFS('свод практик'!$CV$6:$CV$277,'свод практик'!$J$6:$J$277,'свод субъектов ИБ+смежные'!X$1)</f>
        <v>215</v>
      </c>
      <c r="Y139" s="178">
        <f>SUMIFS('свод практик'!$CV$6:$CV$277,'свод практик'!$J$6:$J$277,'свод субъектов ИБ+смежные'!Y$1)</f>
        <v>231</v>
      </c>
      <c r="Z139" s="178">
        <f>SUMIFS('свод практик'!$CV$6:$CV$277,'свод практик'!$J$6:$J$277,'свод субъектов ИБ+смежные'!Z$1)</f>
        <v>1148.9239999999998</v>
      </c>
      <c r="AA139" s="178">
        <f>SUMIFS('свод практик'!$CV$6:$CV$277,'свод практик'!$J$6:$J$277,'свод субъектов ИБ+смежные'!AA$1)</f>
        <v>2051.029</v>
      </c>
      <c r="AB139" s="178">
        <f>SUMIFS('свод практик'!$CV$6:$CV$277,'свод практик'!$J$6:$J$277,'свод субъектов ИБ+смежные'!AB$1)</f>
        <v>659.548</v>
      </c>
      <c r="AC139" s="178">
        <f>SUMIFS('свод практик'!$CV$6:$CV$277,'свод практик'!$J$6:$J$277,'свод субъектов ИБ+смежные'!AC$1)</f>
        <v>547.66100000000006</v>
      </c>
      <c r="AD139" s="178">
        <f>SUMIFS('свод практик'!$CV$6:$CV$277,'свод практик'!$J$6:$J$277,'свод субъектов ИБ+смежные'!AD$1)</f>
        <v>0</v>
      </c>
      <c r="AE139" s="178">
        <f>SUMIFS('свод практик'!$CV$6:$CV$277,'свод практик'!$J$6:$J$277,'свод субъектов ИБ+смежные'!AE$1)</f>
        <v>0</v>
      </c>
      <c r="AF139" s="178">
        <f>SUMIFS('свод практик'!$CV$6:$CV$277,'свод практик'!$J$6:$J$277,'свод субъектов ИБ+смежные'!AF$1)</f>
        <v>21.7</v>
      </c>
      <c r="AG139" s="178">
        <f>SUMIFS('свод практик'!$CV$6:$CV$277,'свод практик'!$J$6:$J$277,'свод субъектов ИБ+смежные'!AG$1)</f>
        <v>0</v>
      </c>
      <c r="AH139" s="178">
        <f>SUMIFS('свод практик'!$CV$6:$CV$277,'свод практик'!$J$6:$J$277,'свод субъектов ИБ+смежные'!AH$1)</f>
        <v>0</v>
      </c>
      <c r="AI139" s="178">
        <f>SUMIFS('свод практик'!$CV$6:$CV$277,'свод практик'!$J$6:$J$277,'свод субъектов ИБ+смежные'!AI$1)</f>
        <v>0</v>
      </c>
      <c r="AJ139" s="178">
        <f>SUMIFS('свод практик'!$CV$6:$CV$277,'свод практик'!$J$6:$J$277,'свод субъектов ИБ+смежные'!AJ$1)</f>
        <v>30</v>
      </c>
      <c r="AK139" s="178">
        <f>SUMIFS('свод практик'!$CV$6:$CV$277,'свод практик'!$J$6:$J$277,'свод субъектов ИБ+смежные'!AK$1)</f>
        <v>901.42700000000002</v>
      </c>
      <c r="AL139" s="178">
        <f>SUMIFS('свод практик'!$CV$6:$CV$277,'свод практик'!$J$6:$J$277,'свод субъектов ИБ+смежные'!AL$1)</f>
        <v>5.4989999999999997</v>
      </c>
      <c r="AM139" s="178">
        <f>SUMIFS('свод практик'!$CV$6:$CV$277,'свод практик'!$J$6:$J$277,'свод субъектов ИБ+смежные'!AM$1)</f>
        <v>380.803</v>
      </c>
      <c r="AN139" s="178">
        <f>SUMIFS('свод практик'!$CV$6:$CV$277,'свод практик'!$J$6:$J$277,'свод субъектов ИБ+смежные'!AN$1)</f>
        <v>0</v>
      </c>
      <c r="AO139" s="178">
        <f>SUMIFS('свод практик'!$CV$6:$CV$277,'свод практик'!$J$6:$J$277,'свод субъектов ИБ+смежные'!AO$1)</f>
        <v>0</v>
      </c>
      <c r="AP139" s="178">
        <f>SUMIFS('свод практик'!$CV$6:$CV$277,'свод практик'!$J$6:$J$277,'свод субъектов ИБ+смежные'!AP$1)</f>
        <v>432.38799999999998</v>
      </c>
      <c r="AQ139" s="178">
        <f>SUMIFS('свод практик'!$CV$6:$CV$277,'свод практик'!$J$6:$J$277,'свод субъектов ИБ+смежные'!AQ$1)</f>
        <v>414.04</v>
      </c>
      <c r="AR139" s="178">
        <f>SUMIFS('свод практик'!$CV$6:$CV$277,'свод практик'!$J$6:$J$277,'свод субъектов ИБ+смежные'!AR$1)</f>
        <v>594.85299999999995</v>
      </c>
      <c r="AS139" s="178">
        <f>SUMIFS('свод практик'!$CV$6:$CV$277,'свод практик'!$J$6:$J$277,'свод субъектов ИБ+смежные'!AS$1)</f>
        <v>518.58600000000001</v>
      </c>
      <c r="AT139" s="178">
        <f>SUMIFS('свод практик'!$CV$6:$CV$277,'свод практик'!$J$6:$J$277,'свод субъектов ИБ+смежные'!AT$1)</f>
        <v>358.428</v>
      </c>
      <c r="AU139" s="178">
        <f>SUMIFS('свод практик'!$CV$6:$CV$277,'свод практик'!$J$6:$J$277,'свод субъектов ИБ+смежные'!AU$1)</f>
        <v>141.49600000000001</v>
      </c>
      <c r="AV139" s="178">
        <f>SUMIFS('свод практик'!$CV$6:$CV$277,'свод практик'!$J$6:$J$277,'свод субъектов ИБ+смежные'!AV$1)</f>
        <v>182.38200000000001</v>
      </c>
      <c r="AW139" s="178">
        <f>SUMIFS('свод практик'!$CV$6:$CV$277,'свод практик'!$J$6:$J$277,'свод субъектов ИБ+смежные'!AW$1)</f>
        <v>854.17499999999995</v>
      </c>
      <c r="AX139" s="178">
        <f>SUMIFS('свод практик'!$CV$6:$CV$277,'свод практик'!$J$6:$J$277,'свод субъектов ИБ+смежные'!AX$1)</f>
        <v>172.43100000000001</v>
      </c>
      <c r="AY139" s="160">
        <f>SUMIFS('свод практик'!$CV$6:$CV$277,'свод практик'!$J$6:$J$277,'свод субъектов ИБ+смежные'!AY$1)</f>
        <v>0</v>
      </c>
      <c r="AZ139" s="178">
        <f>SUMIFS('свод практик'!$CV$6:$CV$277,'свод практик'!$J$6:$J$277,'свод субъектов ИБ+смежные'!AZ$1)</f>
        <v>5837.9220000000005</v>
      </c>
      <c r="BA139" s="178">
        <f>SUMIFS('свод практик'!$CV$6:$CV$277,'свод практик'!$J$6:$J$277,'свод субъектов ИБ+смежные'!BA$1)</f>
        <v>732.65199999999993</v>
      </c>
      <c r="BB139" s="178">
        <f>SUMIFS('свод практик'!$CV$6:$CV$277,'свод практик'!$J$6:$J$277,'свод субъектов ИБ+смежные'!BB$1)</f>
        <v>0</v>
      </c>
      <c r="BC139" s="178">
        <f>SUMIFS('свод практик'!$CV$6:$CV$277,'свод практик'!$J$6:$J$277,'свод субъектов ИБ+смежные'!BC$1)</f>
        <v>460.995</v>
      </c>
      <c r="BD139" s="160">
        <f>SUMIFS('свод практик'!$CV$6:$CV$277,'свод практик'!$J$6:$J$277,'свод субъектов ИБ+смежные'!BD$1)</f>
        <v>0</v>
      </c>
      <c r="BE139" s="160">
        <f>SUMIFS('свод практик'!$CV$6:$CV$277,'свод практик'!$J$6:$J$277,'свод субъектов ИБ+смежные'!BE$1)</f>
        <v>0</v>
      </c>
      <c r="BF139" s="178">
        <f>SUMIFS('свод практик'!$CV$6:$CV$277,'свод практик'!$J$6:$J$277,'свод субъектов ИБ+смежные'!BF$1)</f>
        <v>12</v>
      </c>
      <c r="BG139" s="178">
        <f>SUMIFS('свод практик'!$CV$6:$CV$277,'свод практик'!$J$6:$J$277,'свод субъектов ИБ+смежные'!BG$1)</f>
        <v>143.97999999999999</v>
      </c>
      <c r="BH139" s="178">
        <f>SUMIFS('свод практик'!$CV$6:$CV$277,'свод практик'!$J$6:$J$277,'свод субъектов ИБ+смежные'!BH$1)</f>
        <v>19.193999999999999</v>
      </c>
      <c r="BI139" s="178">
        <f>SUMIFS('свод практик'!$CV$6:$CV$277,'свод практик'!$J$6:$J$277,'свод субъектов ИБ+смежные'!BI$1)</f>
        <v>2254.8000000000002</v>
      </c>
      <c r="BJ139" s="178">
        <f>SUMIFS('свод практик'!$CV$6:$CV$277,'свод практик'!$J$6:$J$277,'свод субъектов ИБ+смежные'!BJ$1)</f>
        <v>1188.6399999999999</v>
      </c>
      <c r="BK139" s="178">
        <f>SUMIFS('свод практик'!$CV$6:$CV$277,'свод практик'!$J$6:$J$277,'свод субъектов ИБ+смежные'!BK$1)</f>
        <v>361</v>
      </c>
      <c r="BL139" s="178">
        <f>SUMIFS('свод практик'!$CV$6:$CV$277,'свод практик'!$J$6:$J$277,'свод субъектов ИБ+смежные'!BL$1)</f>
        <v>496.346</v>
      </c>
      <c r="BM139" s="178">
        <f>SUMIFS('свод практик'!$CV$6:$CV$277,'свод практик'!$J$6:$J$277,'свод субъектов ИБ+смежные'!BM$1)</f>
        <v>164.96400000000003</v>
      </c>
      <c r="BN139" s="178">
        <f>SUMIFS('свод практик'!$CV$6:$CV$277,'свод практик'!$J$6:$J$277,'свод субъектов ИБ+смежные'!BN$1)</f>
        <v>111.185</v>
      </c>
      <c r="BO139" s="178">
        <f>SUMIFS('свод практик'!$CV$6:$CV$277,'свод практик'!$J$6:$J$277,'свод субъектов ИБ+смежные'!BO$1)</f>
        <v>874.6</v>
      </c>
      <c r="BP139" s="178">
        <f>SUMIFS('свод практик'!$CV$6:$CV$277,'свод практик'!$J$6:$J$277,'свод субъектов ИБ+смежные'!BP$1)</f>
        <v>0</v>
      </c>
      <c r="BQ139" s="178">
        <f>SUMIFS('свод практик'!$CV$6:$CV$277,'свод практик'!$J$6:$J$277,'свод субъектов ИБ+смежные'!BQ$1)</f>
        <v>0</v>
      </c>
      <c r="BR139" s="178">
        <f>SUMIFS('свод практик'!$CV$6:$CV$277,'свод практик'!$J$6:$J$277,'свод субъектов ИБ+смежные'!BR$1)</f>
        <v>10.6</v>
      </c>
      <c r="BS139" s="178">
        <f>SUMIFS('свод практик'!$CV$6:$CV$277,'свод практик'!$J$6:$J$277,'свод субъектов ИБ+смежные'!BS$1)</f>
        <v>65.431999999999988</v>
      </c>
      <c r="BT139" s="178">
        <f>SUMIFS('свод практик'!$CV$6:$CV$277,'свод практик'!$J$6:$J$277,'свод субъектов ИБ+смежные'!BT$1)</f>
        <v>413.738</v>
      </c>
      <c r="BU139" s="178">
        <f>SUMIFS('свод практик'!$CV$6:$CV$277,'свод практик'!$J$6:$J$277,'свод субъектов ИБ+смежные'!BU$1)</f>
        <v>6037.9189999999999</v>
      </c>
      <c r="BV139" s="178">
        <f>SUMIFS('свод практик'!$CV$6:$CV$277,'свод практик'!$J$6:$J$277,'свод субъектов ИБ+смежные'!BV$1)</f>
        <v>382.63195000000002</v>
      </c>
      <c r="BW139" s="178">
        <f>SUMIFS('свод практик'!$CV$6:$CV$277,'свод практик'!$J$6:$J$277,'свод субъектов ИБ+смежные'!BW$1)</f>
        <v>403.66899999999998</v>
      </c>
      <c r="BX139" s="178">
        <f>SUMIFS('свод практик'!$CV$6:$CV$277,'свод практик'!$J$6:$J$277,'свод субъектов ИБ+смежные'!BX$1)</f>
        <v>926.4</v>
      </c>
      <c r="BY139" s="178">
        <f>SUMIFS('свод практик'!$CV$6:$CV$277,'свод практик'!$J$6:$J$277,'свод субъектов ИБ+смежные'!BY$1)</f>
        <v>167357</v>
      </c>
      <c r="BZ139" s="178">
        <f>SUMIFS('свод практик'!$CV$6:$CV$277,'свод практик'!$J$6:$J$277,'свод субъектов ИБ+смежные'!BZ$1)</f>
        <v>4000.2769999999996</v>
      </c>
      <c r="CA139" s="178">
        <f>SUMIFS('свод практик'!$CV$6:$CV$277,'свод практик'!$J$6:$J$277,'свод субъектов ИБ+смежные'!CA$1)</f>
        <v>0</v>
      </c>
      <c r="CB139" s="178">
        <f>SUMIFS('свод практик'!$CV$6:$CV$277,'свод практик'!$J$6:$J$277,'свод субъектов ИБ+смежные'!CB$1)</f>
        <v>0</v>
      </c>
      <c r="CC139" s="178">
        <f>SUMIFS('свод практик'!$CV$6:$CV$277,'свод практик'!$J$6:$J$277,'свод субъектов ИБ+смежные'!CC$1)</f>
        <v>0</v>
      </c>
      <c r="CD139" s="178">
        <f>SUMIFS('свод практик'!$CV$6:$CV$277,'свод практик'!$J$6:$J$277,'свод субъектов ИБ+смежные'!CD$1)</f>
        <v>2000.8230000000001</v>
      </c>
      <c r="CE139" s="178">
        <f>SUMIFS('свод практик'!$CV$6:$CV$277,'свод практик'!$J$6:$J$277,'свод субъектов ИБ+смежные'!CE$1)</f>
        <v>286.78699999999998</v>
      </c>
      <c r="CF139" s="178">
        <f>SUMIFS('свод практик'!$CV$6:$CV$277,'свод практик'!$J$6:$J$277,'свод субъектов ИБ+смежные'!CF$1)</f>
        <v>7818.8330000000005</v>
      </c>
      <c r="CG139" s="178">
        <f>SUMIFS('свод практик'!$CV$6:$CV$277,'свод практик'!$J$6:$J$277,'свод субъектов ИБ+смежные'!CG$1)</f>
        <v>398</v>
      </c>
      <c r="CH139" s="178">
        <f>SUMIFS('свод практик'!$CV$6:$CV$277,'свод практик'!$J$6:$J$277,'свод субъектов ИБ+смежные'!CH$1)</f>
        <v>98.611000000000004</v>
      </c>
      <c r="CI139" s="178">
        <f>SUMIFS('свод практик'!$CV$6:$CV$277,'свод практик'!$J$6:$J$277,'свод субъектов ИБ+смежные'!CI$1)</f>
        <v>276</v>
      </c>
      <c r="CJ139" s="178">
        <f>SUMIFS('свод практик'!$CV$6:$CV$277,'свод практик'!$J$6:$J$277,'свод субъектов ИБ+смежные'!CJ$1)</f>
        <v>0</v>
      </c>
      <c r="CK139" s="178">
        <f>SUMIFS('свод практик'!$CV$6:$CV$277,'свод практик'!$J$6:$J$277,'свод субъектов ИБ+смежные'!CK$1)</f>
        <v>101.854</v>
      </c>
      <c r="CL139" s="178">
        <f>SUMIFS('свод практик'!$CV$6:$CV$277,'свод практик'!$J$6:$J$277,'свод субъектов ИБ+смежные'!CL$1)</f>
        <v>351.19400000000002</v>
      </c>
      <c r="CM139" s="178">
        <f>SUMIFS('свод практик'!$CV$6:$CV$277,'свод практик'!$J$6:$J$277,'свод субъектов ИБ+смежные'!CM$1)</f>
        <v>991.78399999999999</v>
      </c>
      <c r="CN139" s="178">
        <f>SUMIFS('свод практик'!$CV$6:$CV$277,'свод практик'!$J$6:$J$277,'свод субъектов ИБ+смежные'!CN$1)</f>
        <v>225.2</v>
      </c>
      <c r="CO139" s="178">
        <f>SUMIFS('свод практик'!$CV$6:$CV$277,'свод практик'!$J$6:$J$277,'свод субъектов ИБ+смежные'!CO$1)</f>
        <v>0</v>
      </c>
      <c r="CP139" s="178">
        <f>SUMIFS('свод практик'!$CV$6:$CV$277,'свод практик'!$J$6:$J$277,'свод субъектов ИБ+смежные'!CP$1)</f>
        <v>15174.474999999999</v>
      </c>
      <c r="CQ139" s="178">
        <f>SUMIFS('свод практик'!$CV$6:$CV$277,'свод практик'!$J$6:$J$277,'свод субъектов ИБ+смежные'!CQ$1)</f>
        <v>18.311</v>
      </c>
      <c r="CR139" s="178">
        <f>SUMIFS('свод практик'!$CV$6:$CV$277,'свод практик'!$J$6:$J$277,'свод субъектов ИБ+смежные'!CR$1)</f>
        <v>0</v>
      </c>
      <c r="CS139" s="178">
        <f>SUMIFS('свод практик'!$CV$6:$CV$277,'свод практик'!$J$6:$J$277,'свод субъектов ИБ+смежные'!CS$1)</f>
        <v>564.07400000000007</v>
      </c>
      <c r="CT139" s="178">
        <f>SUMIFS('свод практик'!$CV$6:$CV$277,'свод практик'!$J$6:$J$277,'свод субъектов ИБ+смежные'!CT$1)</f>
        <v>15.824999999999999</v>
      </c>
      <c r="CU139" s="178">
        <f>SUMIFS('свод практик'!$CV$6:$CV$277,'свод практик'!$J$6:$J$277,'свод субъектов ИБ+смежные'!CU$1)</f>
        <v>1248.9759999999999</v>
      </c>
      <c r="CV139" s="178">
        <f>SUMIFS('свод практик'!$CV$6:$CV$277,'свод практик'!$J$6:$J$277,'свод субъектов ИБ+смежные'!CV$1)</f>
        <v>901.5</v>
      </c>
    </row>
    <row r="140" spans="1:100" ht="70">
      <c r="A140" s="761"/>
      <c r="B140" s="760"/>
      <c r="C140" s="760"/>
      <c r="D140" s="42" t="s">
        <v>4949</v>
      </c>
      <c r="E140" s="42">
        <v>97</v>
      </c>
      <c r="F140" s="43" t="s">
        <v>5235</v>
      </c>
      <c r="G140" s="58" t="s">
        <v>5276</v>
      </c>
      <c r="H140" s="45" t="s">
        <v>60</v>
      </c>
      <c r="I140" s="46" t="s">
        <v>4956</v>
      </c>
      <c r="M140" s="189">
        <v>0.30423266850489755</v>
      </c>
      <c r="N140" s="189">
        <v>0.23273051478324078</v>
      </c>
      <c r="O140" s="190">
        <f>AVERAGE(P140:CV140)</f>
        <v>0.34298511101524443</v>
      </c>
      <c r="P140" s="145">
        <f>P139/P142</f>
        <v>3.42677098699481E-2</v>
      </c>
      <c r="Q140" s="166">
        <f t="shared" ref="Q140:BZ140" si="98">Q139/Q142</f>
        <v>0.83088864998815604</v>
      </c>
      <c r="R140" s="145">
        <f t="shared" si="98"/>
        <v>7.5923996003411626E-2</v>
      </c>
      <c r="S140" s="145">
        <f t="shared" si="98"/>
        <v>0.1039553118356179</v>
      </c>
      <c r="T140" s="145">
        <f t="shared" si="98"/>
        <v>0.31175268146768426</v>
      </c>
      <c r="U140" s="166">
        <f t="shared" si="98"/>
        <v>2.3544345911177475E-2</v>
      </c>
      <c r="V140" s="166">
        <v>1</v>
      </c>
      <c r="W140" s="166">
        <f t="shared" si="98"/>
        <v>8.8794433062668071E-2</v>
      </c>
      <c r="X140" s="145">
        <f t="shared" si="98"/>
        <v>0.17971494701752597</v>
      </c>
      <c r="Y140" s="145">
        <f t="shared" si="98"/>
        <v>0.23461185180465111</v>
      </c>
      <c r="Z140" s="145">
        <f t="shared" si="98"/>
        <v>0.84348841136178421</v>
      </c>
      <c r="AA140" s="145">
        <f t="shared" si="98"/>
        <v>0.82065057344698777</v>
      </c>
      <c r="AB140" s="145">
        <f t="shared" si="98"/>
        <v>0.56658353943332029</v>
      </c>
      <c r="AC140" s="145">
        <f t="shared" si="98"/>
        <v>0.23545053273562963</v>
      </c>
      <c r="AD140" s="145">
        <v>0</v>
      </c>
      <c r="AE140" s="145">
        <v>0</v>
      </c>
      <c r="AF140" s="145">
        <f t="shared" si="98"/>
        <v>2.041887871186045E-2</v>
      </c>
      <c r="AG140" s="145">
        <v>0</v>
      </c>
      <c r="AH140" s="145">
        <v>0</v>
      </c>
      <c r="AI140" s="145">
        <f t="shared" si="98"/>
        <v>0</v>
      </c>
      <c r="AJ140" s="145">
        <f t="shared" si="98"/>
        <v>3.4590705876277189E-2</v>
      </c>
      <c r="AK140" s="145">
        <f t="shared" si="98"/>
        <v>0.89485074189779312</v>
      </c>
      <c r="AL140" s="145">
        <f t="shared" si="98"/>
        <v>2.0225016642698726E-2</v>
      </c>
      <c r="AM140" s="166">
        <f t="shared" si="98"/>
        <v>0.37854008735777522</v>
      </c>
      <c r="AN140" s="145">
        <v>0</v>
      </c>
      <c r="AO140" s="145">
        <v>0</v>
      </c>
      <c r="AP140" s="145">
        <f t="shared" si="98"/>
        <v>0.70186021981398272</v>
      </c>
      <c r="AQ140" s="145">
        <f t="shared" si="98"/>
        <v>0.15530062208018966</v>
      </c>
      <c r="AR140" s="145">
        <f t="shared" si="98"/>
        <v>0.46940276424239785</v>
      </c>
      <c r="AS140" s="166">
        <f t="shared" si="98"/>
        <v>0.62831949234291584</v>
      </c>
      <c r="AT140" s="145">
        <f t="shared" si="98"/>
        <v>0.56416391843185887</v>
      </c>
      <c r="AU140" s="145">
        <f t="shared" si="98"/>
        <v>2.4991133636932679E-2</v>
      </c>
      <c r="AV140" s="145">
        <f t="shared" si="98"/>
        <v>6.354463545332284E-2</v>
      </c>
      <c r="AW140" s="166">
        <v>1</v>
      </c>
      <c r="AX140" s="145">
        <f t="shared" si="98"/>
        <v>0.15597219056302716</v>
      </c>
      <c r="AY140" s="162">
        <v>0</v>
      </c>
      <c r="AZ140" s="166">
        <v>1</v>
      </c>
      <c r="BA140" s="145">
        <f t="shared" si="98"/>
        <v>0.641718555526262</v>
      </c>
      <c r="BB140" s="162">
        <f t="shared" si="98"/>
        <v>0</v>
      </c>
      <c r="BC140" s="145">
        <f t="shared" si="98"/>
        <v>0.67755518974690621</v>
      </c>
      <c r="BD140" s="162">
        <v>0</v>
      </c>
      <c r="BE140" s="162">
        <v>0</v>
      </c>
      <c r="BF140" s="145">
        <f t="shared" si="98"/>
        <v>1.5696010139622551E-3</v>
      </c>
      <c r="BG140" s="145">
        <f t="shared" si="98"/>
        <v>0.19333181412500922</v>
      </c>
      <c r="BH140" s="145">
        <f t="shared" si="98"/>
        <v>0.43652490334318855</v>
      </c>
      <c r="BI140" s="145">
        <f t="shared" si="98"/>
        <v>0.70269588021634366</v>
      </c>
      <c r="BJ140" s="166">
        <f>100%</f>
        <v>1</v>
      </c>
      <c r="BK140" s="145">
        <f t="shared" si="98"/>
        <v>0.12912331705998009</v>
      </c>
      <c r="BL140" s="145">
        <f t="shared" si="98"/>
        <v>0.25645257126323351</v>
      </c>
      <c r="BM140" s="145">
        <f t="shared" si="98"/>
        <v>8.4168698636322592E-2</v>
      </c>
      <c r="BN140" s="145">
        <f t="shared" si="98"/>
        <v>0.15096750366267792</v>
      </c>
      <c r="BO140" s="145">
        <f t="shared" si="98"/>
        <v>0.66670071571610101</v>
      </c>
      <c r="BP140" s="145">
        <f t="shared" si="98"/>
        <v>0</v>
      </c>
      <c r="BQ140" s="145">
        <v>0</v>
      </c>
      <c r="BR140" s="145">
        <f t="shared" si="98"/>
        <v>1.6882126397467785E-2</v>
      </c>
      <c r="BS140" s="145">
        <f t="shared" si="98"/>
        <v>1.5578784263408878E-2</v>
      </c>
      <c r="BT140" s="145">
        <f t="shared" si="98"/>
        <v>0.37223659729444747</v>
      </c>
      <c r="BU140" s="166">
        <f t="shared" si="98"/>
        <v>1.8979497278615403</v>
      </c>
      <c r="BV140" s="145">
        <f t="shared" si="98"/>
        <v>7.0976364766534905E-2</v>
      </c>
      <c r="BW140" s="145">
        <f t="shared" si="98"/>
        <v>0.16602635156116649</v>
      </c>
      <c r="BX140" s="166">
        <f t="shared" si="98"/>
        <v>0.95554114794426781</v>
      </c>
      <c r="BY140" s="166">
        <v>1</v>
      </c>
      <c r="BZ140" s="145">
        <f t="shared" si="98"/>
        <v>0.92745207143668607</v>
      </c>
      <c r="CA140" s="145">
        <v>0</v>
      </c>
      <c r="CB140" s="145">
        <v>0</v>
      </c>
      <c r="CC140" s="145">
        <f t="shared" ref="CC140:CV140" si="99">CC139/CC142</f>
        <v>0</v>
      </c>
      <c r="CD140" s="145">
        <f t="shared" si="99"/>
        <v>0.71473075736012759</v>
      </c>
      <c r="CE140" s="145">
        <f t="shared" si="99"/>
        <v>0.2835665348635546</v>
      </c>
      <c r="CF140" s="166">
        <f>100%</f>
        <v>1</v>
      </c>
      <c r="CG140" s="145">
        <f t="shared" si="99"/>
        <v>0.31462276493331653</v>
      </c>
      <c r="CH140" s="145">
        <f t="shared" si="99"/>
        <v>9.1445682978957624E-2</v>
      </c>
      <c r="CI140" s="145">
        <f t="shared" si="99"/>
        <v>0.18743989698955227</v>
      </c>
      <c r="CJ140" s="145">
        <v>0</v>
      </c>
      <c r="CK140" s="145">
        <f t="shared" si="99"/>
        <v>2.7231854965922082E-2</v>
      </c>
      <c r="CL140" s="145">
        <f t="shared" si="99"/>
        <v>0.23347994777193035</v>
      </c>
      <c r="CM140" s="145">
        <f t="shared" si="99"/>
        <v>0.80363659935824727</v>
      </c>
      <c r="CN140" s="145">
        <f t="shared" si="99"/>
        <v>0.1707926399202207</v>
      </c>
      <c r="CO140" s="145">
        <v>0</v>
      </c>
      <c r="CP140" s="145">
        <v>1</v>
      </c>
      <c r="CQ140" s="145">
        <f t="shared" si="99"/>
        <v>5.275332239911658E-3</v>
      </c>
      <c r="CR140" s="145">
        <v>0</v>
      </c>
      <c r="CS140" s="145">
        <f t="shared" si="99"/>
        <v>0.4621261935639035</v>
      </c>
      <c r="CT140" s="145">
        <f t="shared" si="99"/>
        <v>0.31665832916458225</v>
      </c>
      <c r="CU140" s="145">
        <v>1</v>
      </c>
      <c r="CV140" s="145">
        <f t="shared" si="99"/>
        <v>0.71746858936045421</v>
      </c>
    </row>
    <row r="141" spans="1:100" ht="29" thickBot="1">
      <c r="A141" s="31"/>
      <c r="B141" s="32"/>
      <c r="C141" s="32"/>
      <c r="D141" s="94" t="s">
        <v>4949</v>
      </c>
      <c r="E141" s="94">
        <v>97</v>
      </c>
      <c r="F141" s="95" t="s">
        <v>5236</v>
      </c>
      <c r="G141" s="96" t="s">
        <v>5277</v>
      </c>
      <c r="H141" s="100" t="s">
        <v>60</v>
      </c>
      <c r="I141" s="98" t="s">
        <v>4956</v>
      </c>
      <c r="M141" s="36">
        <v>0.19831855515411689</v>
      </c>
      <c r="N141" s="36">
        <v>0.18916534659647455</v>
      </c>
      <c r="O141" s="190"/>
    </row>
    <row r="142" spans="1:100" ht="57" thickBot="1">
      <c r="A142" s="16" t="s">
        <v>5237</v>
      </c>
      <c r="B142" s="16"/>
      <c r="C142" s="92" t="s">
        <v>5238</v>
      </c>
      <c r="D142" s="64" t="s">
        <v>4949</v>
      </c>
      <c r="E142" s="64">
        <v>98</v>
      </c>
      <c r="F142" s="80" t="s">
        <v>5239</v>
      </c>
      <c r="G142" s="101" t="s">
        <v>5281</v>
      </c>
      <c r="H142" s="67" t="s">
        <v>5234</v>
      </c>
      <c r="I142" s="68" t="s">
        <v>5240</v>
      </c>
      <c r="M142" s="36">
        <v>95721.39</v>
      </c>
      <c r="N142" s="36">
        <v>119345.144</v>
      </c>
      <c r="O142" s="231">
        <f>SUM(P142:CV142)</f>
        <v>122757.18281999996</v>
      </c>
      <c r="P142" s="154">
        <v>458.91598999999997</v>
      </c>
      <c r="Q142" s="154">
        <v>219.524</v>
      </c>
      <c r="R142" s="154">
        <v>2324.9830000000002</v>
      </c>
      <c r="S142" s="154">
        <v>791.61900000000003</v>
      </c>
      <c r="T142" s="154">
        <v>1140.327</v>
      </c>
      <c r="U142" s="154">
        <v>1009.924</v>
      </c>
      <c r="V142" s="154">
        <v>4044.578</v>
      </c>
      <c r="W142" s="155">
        <v>1548.2840000000001</v>
      </c>
      <c r="X142" s="155">
        <v>1196.3389999999999</v>
      </c>
      <c r="Y142" s="154">
        <v>984.60499000000004</v>
      </c>
      <c r="Z142" s="154">
        <v>1362.11</v>
      </c>
      <c r="AA142" s="154">
        <v>2499.2719999999999</v>
      </c>
      <c r="AB142" s="154">
        <v>1164.079</v>
      </c>
      <c r="AC142" s="154">
        <v>2326.0129999999999</v>
      </c>
      <c r="AD142" s="163"/>
      <c r="AE142" s="163"/>
      <c r="AF142" s="154">
        <v>1062.742</v>
      </c>
      <c r="AG142" s="163"/>
      <c r="AH142" s="163"/>
      <c r="AI142" s="154">
        <v>2394.4780000000001</v>
      </c>
      <c r="AJ142" s="154">
        <v>867.28498999999999</v>
      </c>
      <c r="AK142" s="154">
        <v>1007.349</v>
      </c>
      <c r="AL142" s="154">
        <v>271.89100000000002</v>
      </c>
      <c r="AM142" s="154">
        <v>1005.978</v>
      </c>
      <c r="AN142" s="163"/>
      <c r="AO142" s="163"/>
      <c r="AP142" s="154">
        <v>616.05998999999997</v>
      </c>
      <c r="AQ142" s="154">
        <v>2666.0549999999998</v>
      </c>
      <c r="AR142" s="154">
        <v>1267.2550000000001</v>
      </c>
      <c r="AS142" s="154">
        <v>825.35398999999995</v>
      </c>
      <c r="AT142" s="154">
        <v>635.32599000000005</v>
      </c>
      <c r="AU142" s="154">
        <v>5661.848</v>
      </c>
      <c r="AV142" s="154">
        <v>2870.14</v>
      </c>
      <c r="AW142" s="154">
        <v>830.93398999999999</v>
      </c>
      <c r="AX142" s="154">
        <v>1105.5239999999999</v>
      </c>
      <c r="AY142" s="163"/>
      <c r="AZ142" s="154">
        <v>1861.8699899999999</v>
      </c>
      <c r="BA142" s="154">
        <v>1141.703</v>
      </c>
      <c r="BB142" s="163">
        <v>140.69199</v>
      </c>
      <c r="BC142" s="154">
        <v>680.38</v>
      </c>
      <c r="BD142" s="163"/>
      <c r="BE142" s="163"/>
      <c r="BF142" s="154">
        <v>7645.2550000000001</v>
      </c>
      <c r="BG142" s="154">
        <v>744.72999000000004</v>
      </c>
      <c r="BH142" s="154">
        <v>43.97</v>
      </c>
      <c r="BI142" s="154">
        <v>3208.7849999999999</v>
      </c>
      <c r="BJ142" s="154">
        <v>598.40198999999996</v>
      </c>
      <c r="BK142" s="154">
        <v>2795.777</v>
      </c>
      <c r="BL142" s="154">
        <v>1935.43</v>
      </c>
      <c r="BM142" s="154">
        <v>1959.921</v>
      </c>
      <c r="BN142" s="154">
        <v>736.48299999999995</v>
      </c>
      <c r="BO142" s="154">
        <v>1311.8330000000001</v>
      </c>
      <c r="BP142" s="154">
        <v>2605.0300000000002</v>
      </c>
      <c r="BQ142" s="163"/>
      <c r="BR142" s="154">
        <v>627.88298999999995</v>
      </c>
      <c r="BS142" s="154">
        <v>4200.0709999999999</v>
      </c>
      <c r="BT142" s="154">
        <v>1111.492</v>
      </c>
      <c r="BU142" s="154">
        <v>3181.2849999999999</v>
      </c>
      <c r="BV142" s="154">
        <v>5390.9769999999999</v>
      </c>
      <c r="BW142" s="154">
        <v>2431.355</v>
      </c>
      <c r="BX142" s="154">
        <v>969.50298999999995</v>
      </c>
      <c r="BY142" s="154">
        <v>488.94799</v>
      </c>
      <c r="BZ142" s="154">
        <v>4313.1899999999996</v>
      </c>
      <c r="CA142" s="163"/>
      <c r="CB142" s="163"/>
      <c r="CC142" s="154">
        <v>938.62599</v>
      </c>
      <c r="CD142" s="154">
        <v>2799.4079999999999</v>
      </c>
      <c r="CE142" s="154">
        <v>1011.357</v>
      </c>
      <c r="CF142" s="154">
        <v>3900.7579999999998</v>
      </c>
      <c r="CG142" s="154">
        <v>1265.0070000000001</v>
      </c>
      <c r="CH142" s="154">
        <v>1078.35599</v>
      </c>
      <c r="CI142" s="154">
        <v>1472.472</v>
      </c>
      <c r="CJ142" s="163"/>
      <c r="CK142" s="154">
        <v>3740.252</v>
      </c>
      <c r="CL142" s="154">
        <v>1504.172</v>
      </c>
      <c r="CM142" s="154">
        <v>1234.1199999999999</v>
      </c>
      <c r="CN142" s="154">
        <v>1318.55799</v>
      </c>
      <c r="CO142" s="163"/>
      <c r="CP142" s="154">
        <v>1669.2360000000001</v>
      </c>
      <c r="CQ142" s="154">
        <v>3471.0610000000001</v>
      </c>
      <c r="CR142" s="163"/>
      <c r="CS142" s="154">
        <v>1220.60599</v>
      </c>
      <c r="CT142" s="156">
        <v>49.975000000000001</v>
      </c>
      <c r="CU142" s="154">
        <v>542.96100000000001</v>
      </c>
      <c r="CV142" s="157">
        <v>1256.501</v>
      </c>
    </row>
    <row r="143" spans="1:100" ht="52.5" customHeight="1">
      <c r="A143" s="17"/>
      <c r="B143" s="17"/>
      <c r="C143" s="99"/>
      <c r="D143" s="42"/>
      <c r="E143" s="42"/>
      <c r="F143" s="48" t="s">
        <v>5241</v>
      </c>
      <c r="G143" s="56" t="s">
        <v>5282</v>
      </c>
      <c r="H143" s="45" t="s">
        <v>5234</v>
      </c>
      <c r="I143" s="46" t="s">
        <v>5240</v>
      </c>
      <c r="M143" s="36">
        <v>146842.402</v>
      </c>
      <c r="N143" s="36">
        <v>146830.576</v>
      </c>
      <c r="O143" s="224">
        <v>146764.655</v>
      </c>
    </row>
    <row r="147" spans="1:100" ht="15">
      <c r="P147" s="194"/>
      <c r="Q147" s="195"/>
      <c r="R147" s="195"/>
      <c r="S147" s="192"/>
      <c r="T147" s="194"/>
      <c r="U147" s="194"/>
    </row>
    <row r="148" spans="1:100" ht="15">
      <c r="A148" s="208"/>
      <c r="B148" s="208"/>
      <c r="C148" s="208"/>
      <c r="D148" s="208"/>
      <c r="E148" s="208"/>
      <c r="F148" s="208"/>
      <c r="G148" s="208" t="s">
        <v>5528</v>
      </c>
      <c r="H148" s="208"/>
      <c r="I148" s="208"/>
      <c r="J148" s="189"/>
      <c r="K148" s="189"/>
      <c r="L148" s="189"/>
      <c r="P148" s="194"/>
      <c r="Q148" s="191"/>
      <c r="R148" s="191"/>
      <c r="S148" s="192"/>
      <c r="T148" s="194"/>
      <c r="U148" s="194"/>
    </row>
    <row r="149" spans="1:100" s="178" customFormat="1" ht="70">
      <c r="A149" s="178" t="s">
        <v>5529</v>
      </c>
      <c r="B149" s="178" t="s">
        <v>4990</v>
      </c>
      <c r="C149" s="178" t="s">
        <v>5086</v>
      </c>
      <c r="D149" s="178" t="s">
        <v>4949</v>
      </c>
      <c r="E149" s="178">
        <v>26</v>
      </c>
      <c r="F149" s="178" t="s">
        <v>5530</v>
      </c>
      <c r="G149" s="225" t="s">
        <v>5531</v>
      </c>
      <c r="H149" s="178" t="s">
        <v>5082</v>
      </c>
      <c r="I149" s="178" t="s">
        <v>4961</v>
      </c>
      <c r="L149" s="178" t="s">
        <v>278</v>
      </c>
      <c r="M149" s="178" t="s">
        <v>5497</v>
      </c>
      <c r="N149" s="178">
        <v>10499.313935439999</v>
      </c>
      <c r="O149" s="225">
        <f>SUM(P149:CV149)</f>
        <v>13110.686485000002</v>
      </c>
      <c r="P149" s="276">
        <f>SUMIFS('свод практик'!$AK$6:$AK$277,'свод практик'!$J$6:$J$277,'свод субъектов ИБ+смежные'!P$1,'свод практик'!$G$6:$G$277,"суб")</f>
        <v>4.9550000000000001</v>
      </c>
      <c r="Q149" s="276">
        <f>SUMIFS('свод практик'!$AK$6:$AK$277,'свод практик'!$J$6:$J$277,'свод субъектов ИБ+смежные'!Q$1,'свод практик'!$G$6:$G$277,"суб")</f>
        <v>2.5810926800000003</v>
      </c>
      <c r="R149" s="276">
        <f>SUMIFS('свод практик'!$AK$6:$AK$277,'свод практик'!$J$6:$J$277,'свод субъектов ИБ+смежные'!R$1,'свод практик'!$G$6:$G$277,"суб")</f>
        <v>117.9</v>
      </c>
      <c r="S149" s="276">
        <f>SUMIFS('свод практик'!$AK$6:$AK$277,'свод практик'!$J$6:$J$277,'свод субъектов ИБ+смежные'!S$1,'свод практик'!$G$6:$G$277,"суб")</f>
        <v>71.326999999999998</v>
      </c>
      <c r="T149" s="276">
        <f>SUMIFS('свод практик'!$AK$6:$AK$277,'свод практик'!$J$6:$J$277,'свод субъектов ИБ+смежные'!T$1,'свод практик'!$G$6:$G$277,"суб")</f>
        <v>20.82</v>
      </c>
      <c r="U149" s="276">
        <f>SUMIFS('свод практик'!$AK$6:$AK$277,'свод практик'!$J$6:$J$277,'свод субъектов ИБ+смежные'!U$1,'свод практик'!$G$6:$G$277,"суб")</f>
        <v>1.2</v>
      </c>
      <c r="V149" s="276">
        <f>SUMIFS('свод практик'!$AK$6:$AK$277,'свод практик'!$J$6:$J$277,'свод субъектов ИБ+смежные'!V$1,'свод практик'!$G$6:$G$277,"суб")</f>
        <v>2699.2629999999999</v>
      </c>
      <c r="W149" s="276">
        <f>SUMIFS('свод практик'!$AK$6:$AK$277,'свод практик'!$J$6:$J$277,'свод субъектов ИБ+смежные'!W$1,'свод практик'!$G$6:$G$277,"суб")</f>
        <v>8.9989999999999988</v>
      </c>
      <c r="X149" s="276">
        <f>SUMIFS('свод практик'!$AK$6:$AK$277,'свод практик'!$J$6:$J$277,'свод субъектов ИБ+смежные'!X$1,'свод практик'!$G$6:$G$277,"суб")</f>
        <v>96</v>
      </c>
      <c r="Y149" s="276">
        <f>SUMIFS('свод практик'!$AK$6:$AK$277,'свод практик'!$J$6:$J$277,'свод субъектов ИБ+смежные'!Y$1,'свод практик'!$G$6:$G$277,"суб")</f>
        <v>60</v>
      </c>
      <c r="Z149" s="276">
        <f>SUMIFS('свод практик'!$AK$6:$AK$277,'свод практик'!$J$6:$J$277,'свод субъектов ИБ+смежные'!Z$1,'свод практик'!$G$6:$G$277,"суб")</f>
        <v>61.939</v>
      </c>
      <c r="AA149" s="276">
        <f>SUMIFS('свод практик'!$AK$6:$AK$277,'свод практик'!$J$6:$J$277,'свод субъектов ИБ+смежные'!AA$1,'свод практик'!$G$6:$G$277,"суб")</f>
        <v>52.185000000000002</v>
      </c>
      <c r="AB149" s="276">
        <f>SUMIFS('свод практик'!$AK$6:$AK$277,'свод практик'!$J$6:$J$277,'свод субъектов ИБ+смежные'!AB$1,'свод практик'!$G$6:$G$277,"суб")</f>
        <v>82.058000000000007</v>
      </c>
      <c r="AC149" s="276">
        <f>SUMIFS('свод практик'!$AK$6:$AK$277,'свод практик'!$J$6:$J$277,'свод субъектов ИБ+смежные'!AC$1,'свод практик'!$G$6:$G$277,"суб")</f>
        <v>203.74299999999999</v>
      </c>
      <c r="AD149" s="276">
        <f>SUMIFS('свод практик'!$AK$6:$AK$277,'свод практик'!$J$6:$J$277,'свод субъектов ИБ+смежные'!AD$1,'свод практик'!$G$6:$G$277,"суб")</f>
        <v>0</v>
      </c>
      <c r="AE149" s="276">
        <f>SUMIFS('свод практик'!$AK$6:$AK$277,'свод практик'!$J$6:$J$277,'свод субъектов ИБ+смежные'!AE$1,'свод практик'!$G$6:$G$277,"суб")</f>
        <v>0</v>
      </c>
      <c r="AF149" s="276">
        <f>SUMIFS('свод практик'!$AK$6:$AK$277,'свод практик'!$J$6:$J$277,'свод субъектов ИБ+смежные'!AF$1,'свод практик'!$G$6:$G$277,"суб")</f>
        <v>25.139099999999999</v>
      </c>
      <c r="AG149" s="276">
        <f>SUMIFS('свод практик'!$AK$6:$AK$277,'свод практик'!$J$6:$J$277,'свод субъектов ИБ+смежные'!AG$1,'свод практик'!$G$6:$G$277,"суб")</f>
        <v>0</v>
      </c>
      <c r="AH149" s="276">
        <f>SUMIFS('свод практик'!$AK$6:$AK$277,'свод практик'!$J$6:$J$277,'свод субъектов ИБ+смежные'!AH$1,'свод практик'!$G$6:$G$277,"суб")</f>
        <v>0</v>
      </c>
      <c r="AI149" s="276">
        <f>SUMIFS('свод практик'!$AK$6:$AK$277,'свод практик'!$J$6:$J$277,'свод субъектов ИБ+смежные'!AI$1,'свод практик'!$G$6:$G$277,"суб")</f>
        <v>650</v>
      </c>
      <c r="AJ149" s="276">
        <f>SUMIFS('свод практик'!$AK$6:$AK$277,'свод практик'!$J$6:$J$277,'свод субъектов ИБ+смежные'!AJ$1,'свод практик'!$G$6:$G$277,"суб")</f>
        <v>0</v>
      </c>
      <c r="AK149" s="276">
        <f>SUMIFS('свод практик'!$AK$6:$AK$277,'свод практик'!$J$6:$J$277,'свод субъектов ИБ+смежные'!AK$1,'свод практик'!$G$6:$G$277,"суб")</f>
        <v>903.7577060399999</v>
      </c>
      <c r="AL149" s="276">
        <f>SUMIFS('свод практик'!$AK$6:$AK$277,'свод практик'!$J$6:$J$277,'свод субъектов ИБ+смежные'!AL$1,'свод практик'!$G$6:$G$277,"суб")</f>
        <v>5.3776929999999998</v>
      </c>
      <c r="AM149" s="276">
        <f>SUMIFS('свод практик'!$AK$6:$AK$277,'свод практик'!$J$6:$J$277,'свод субъектов ИБ+смежные'!AM$1,'свод практик'!$G$6:$G$277,"суб")</f>
        <v>92.531999999999996</v>
      </c>
      <c r="AN149" s="276">
        <f>SUMIFS('свод практик'!$AK$6:$AK$277,'свод практик'!$J$6:$J$277,'свод субъектов ИБ+смежные'!AN$1,'свод практик'!$G$6:$G$277,"суб")</f>
        <v>0</v>
      </c>
      <c r="AO149" s="276">
        <f>SUMIFS('свод практик'!$AK$6:$AK$277,'свод практик'!$J$6:$J$277,'свод субъектов ИБ+смежные'!AO$1,'свод практик'!$G$6:$G$277,"суб")</f>
        <v>0</v>
      </c>
      <c r="AP149" s="276">
        <f>SUMIFS('свод практик'!$AK$6:$AK$277,'свод практик'!$J$6:$J$277,'свод субъектов ИБ+смежные'!AP$1,'свод практик'!$G$6:$G$277,"суб")</f>
        <v>75.8</v>
      </c>
      <c r="AQ149" s="276">
        <f>SUMIFS('свод практик'!$AK$6:$AK$277,'свод практик'!$J$6:$J$277,'свод субъектов ИБ+смежные'!AQ$1,'свод практик'!$G$6:$G$277,"суб")</f>
        <v>87.6</v>
      </c>
      <c r="AR149" s="276">
        <f>SUMIFS('свод практик'!$AK$6:$AK$277,'свод практик'!$J$6:$J$277,'свод субъектов ИБ+смежные'!AR$1,'свод практик'!$G$6:$G$277,"суб")</f>
        <v>259.58</v>
      </c>
      <c r="AS149" s="276">
        <f>SUMIFS('свод практик'!$AK$6:$AK$277,'свод практик'!$J$6:$J$277,'свод субъектов ИБ+смежные'!AS$1,'свод практик'!$G$6:$G$277,"суб")</f>
        <v>90.042000000000002</v>
      </c>
      <c r="AT149" s="276">
        <f>SUMIFS('свод практик'!$AK$6:$AK$277,'свод практик'!$J$6:$J$277,'свод субъектов ИБ+смежные'!AT$1,'свод практик'!$G$6:$G$277,"суб")</f>
        <v>92.712999999999994</v>
      </c>
      <c r="AU149" s="276">
        <f>SUMIFS('свод практик'!$AK$6:$AK$277,'свод практик'!$J$6:$J$277,'свод субъектов ИБ+смежные'!AU$1,'свод практик'!$G$6:$G$277,"суб")</f>
        <v>0</v>
      </c>
      <c r="AV149" s="276">
        <f>SUMIFS('свод практик'!$AK$6:$AK$277,'свод практик'!$J$6:$J$277,'свод субъектов ИБ+смежные'!AV$1,'свод практик'!$G$6:$G$277,"суб")</f>
        <v>98.6</v>
      </c>
      <c r="AW149" s="276">
        <f>SUMIFS('свод практик'!$AK$6:$AK$277,'свод практик'!$J$6:$J$277,'свод субъектов ИБ+смежные'!AW$1,'свод практик'!$G$6:$G$277,"суб")</f>
        <v>11.396095000000001</v>
      </c>
      <c r="AX149" s="276">
        <f>SUMIFS('свод практик'!$AK$6:$AK$277,'свод практик'!$J$6:$J$277,'свод субъектов ИБ+смежные'!AX$1,'свод практик'!$G$6:$G$277,"суб")</f>
        <v>112.43950000000001</v>
      </c>
      <c r="AY149" s="276">
        <f>SUMIFS('свод практик'!$AK$6:$AK$277,'свод практик'!$J$6:$J$277,'свод субъектов ИБ+смежные'!AY$1,'свод практик'!$G$6:$G$277,"суб")</f>
        <v>0</v>
      </c>
      <c r="AZ149" s="276">
        <f>SUMIFS('свод практик'!$AK$6:$AK$277,'свод практик'!$J$6:$J$277,'свод субъектов ИБ+смежные'!AZ$1,'свод практик'!$G$6:$G$277,"суб")</f>
        <v>441.39699999999999</v>
      </c>
      <c r="BA149" s="276">
        <f>SUMIFS('свод практик'!$AK$6:$AK$277,'свод практик'!$J$6:$J$277,'свод субъектов ИБ+смежные'!BA$1,'свод практик'!$G$6:$G$277,"суб")</f>
        <v>70.656755559999993</v>
      </c>
      <c r="BB149" s="276">
        <f>SUMIFS('свод практик'!$AK$6:$AK$277,'свод практик'!$J$6:$J$277,'свод субъектов ИБ+смежные'!BB$1,'свод практик'!$G$6:$G$277,"суб")</f>
        <v>0</v>
      </c>
      <c r="BC149" s="276">
        <f>SUMIFS('свод практик'!$AK$6:$AK$277,'свод практик'!$J$6:$J$277,'свод субъектов ИБ+смежные'!BC$1,'свод практик'!$G$6:$G$277,"суб")</f>
        <v>21.801919999999999</v>
      </c>
      <c r="BD149" s="276">
        <f>SUMIFS('свод практик'!$AK$6:$AK$277,'свод практик'!$J$6:$J$277,'свод субъектов ИБ+смежные'!BD$1,'свод практик'!$G$6:$G$277,"суб")</f>
        <v>0</v>
      </c>
      <c r="BE149" s="276">
        <f>SUMIFS('свод практик'!$AK$6:$AK$277,'свод практик'!$J$6:$J$277,'свод субъектов ИБ+смежные'!BE$1,'свод практик'!$G$6:$G$277,"суб")</f>
        <v>0</v>
      </c>
      <c r="BF149" s="276">
        <f>SUMIFS('свод практик'!$AK$6:$AK$277,'свод практик'!$J$6:$J$277,'свод субъектов ИБ+смежные'!BF$1,'свод практик'!$G$6:$G$277,"суб")</f>
        <v>0</v>
      </c>
      <c r="BG149" s="276">
        <f>SUMIFS('свод практик'!$AK$6:$AK$277,'свод практик'!$J$6:$J$277,'свод субъектов ИБ+смежные'!BG$1,'свод практик'!$G$6:$G$277,"суб")</f>
        <v>22.6</v>
      </c>
      <c r="BH149" s="276">
        <f>SUMIFS('свод практик'!$AK$6:$AK$277,'свод практик'!$J$6:$J$277,'свод субъектов ИБ+смежные'!BH$1,'свод практик'!$G$6:$G$277,"суб")</f>
        <v>19.481000000000002</v>
      </c>
      <c r="BI149" s="276">
        <f>SUMIFS('свод практик'!$AK$6:$AK$277,'свод практик'!$J$6:$J$277,'свод субъектов ИБ+смежные'!BI$1,'свод практик'!$G$6:$G$277,"суб")</f>
        <v>364.10899999999998</v>
      </c>
      <c r="BJ149" s="276">
        <f>SUMIFS('свод практик'!$AK$6:$AK$277,'свод практик'!$J$6:$J$277,'свод субъектов ИБ+смежные'!BJ$1,'свод практик'!$G$6:$G$277,"суб")</f>
        <v>280.56630000000001</v>
      </c>
      <c r="BK149" s="276">
        <f>SUMIFS('свод практик'!$AK$6:$AK$277,'свод практик'!$J$6:$J$277,'свод субъектов ИБ+смежные'!BK$1,'свод практик'!$G$6:$G$277,"суб")</f>
        <v>112.8</v>
      </c>
      <c r="BL149" s="276">
        <f>SUMIFS('свод практик'!$AK$6:$AK$277,'свод практик'!$J$6:$J$277,'свод субъектов ИБ+смежные'!BL$1,'свод практик'!$G$6:$G$277,"суб")</f>
        <v>0</v>
      </c>
      <c r="BM149" s="276">
        <f>SUMIFS('свод практик'!$AK$6:$AK$277,'свод практик'!$J$6:$J$277,'свод субъектов ИБ+смежные'!BM$1,'свод практик'!$G$6:$G$277,"суб")</f>
        <v>70</v>
      </c>
      <c r="BN149" s="276">
        <f>SUMIFS('свод практик'!$AK$6:$AK$277,'свод практик'!$J$6:$J$277,'свод субъектов ИБ+смежные'!BN$1,'свод практик'!$G$6:$G$277,"суб")</f>
        <v>17.013999999999999</v>
      </c>
      <c r="BO149" s="276">
        <f>SUMIFS('свод практик'!$AK$6:$AK$277,'свод практик'!$J$6:$J$277,'свод субъектов ИБ+смежные'!BO$1,'свод практик'!$G$6:$G$277,"суб")</f>
        <v>4.0999999999999996</v>
      </c>
      <c r="BP149" s="276">
        <f>SUMIFS('свод практик'!$AK$6:$AK$277,'свод практик'!$J$6:$J$277,'свод субъектов ИБ+смежные'!BP$1,'свод практик'!$G$6:$G$277,"суб")</f>
        <v>115.74010325</v>
      </c>
      <c r="BQ149" s="276">
        <f>SUMIFS('свод практик'!$AK$6:$AK$277,'свод практик'!$J$6:$J$277,'свод субъектов ИБ+смежные'!BQ$1,'свод практик'!$G$6:$G$277,"суб")</f>
        <v>0</v>
      </c>
      <c r="BR149" s="276">
        <f>SUMIFS('свод практик'!$AK$6:$AK$277,'свод практик'!$J$6:$J$277,'свод субъектов ИБ+смежные'!BR$1,'свод практик'!$G$6:$G$277,"суб")</f>
        <v>3.5</v>
      </c>
      <c r="BS149" s="276">
        <f>SUMIFS('свод практик'!$AK$6:$AK$277,'свод практик'!$J$6:$J$277,'свод субъектов ИБ+смежные'!BS$1,'свод практик'!$G$6:$G$277,"суб")</f>
        <v>0</v>
      </c>
      <c r="BT149" s="276">
        <f>SUMIFS('свод практик'!$AK$6:$AK$277,'свод практик'!$J$6:$J$277,'свод субъектов ИБ+смежные'!BT$1,'свод практик'!$G$6:$G$277,"суб")</f>
        <v>144.55699999999999</v>
      </c>
      <c r="BU149" s="276">
        <f>SUMIFS('свод практик'!$AK$6:$AK$277,'свод практик'!$J$6:$J$277,'свод субъектов ИБ+смежные'!BU$1,'свод практик'!$G$6:$G$277,"суб")</f>
        <v>165.10599999999999</v>
      </c>
      <c r="BV149" s="276">
        <f>SUMIFS('свод практик'!$AK$6:$AK$277,'свод практик'!$J$6:$J$277,'свод субъектов ИБ+смежные'!BV$1,'свод практик'!$G$6:$G$277,"суб")</f>
        <v>181.49923999999999</v>
      </c>
      <c r="BW149" s="276">
        <f>SUMIFS('свод практик'!$AK$6:$AK$277,'свод практик'!$J$6:$J$277,'свод субъектов ИБ+смежные'!BW$1,'свод практик'!$G$6:$G$277,"суб")</f>
        <v>75.990099999999998</v>
      </c>
      <c r="BX149" s="276">
        <f>SUMIFS('свод практик'!$AK$6:$AK$277,'свод практик'!$J$6:$J$277,'свод субъектов ИБ+смежные'!BX$1,'свод практик'!$G$6:$G$277,"суб")</f>
        <v>499.45</v>
      </c>
      <c r="BY149" s="276">
        <f>SUMIFS('свод практик'!$AK$6:$AK$277,'свод практик'!$J$6:$J$277,'свод субъектов ИБ+смежные'!BY$1,'свод практик'!$G$6:$G$277,"суб")</f>
        <v>814.69999999999993</v>
      </c>
      <c r="BZ149" s="276">
        <f>SUMIFS('свод практик'!$AK$6:$AK$277,'свод практик'!$J$6:$J$277,'свод субъектов ИБ+смежные'!BZ$1,'свод практик'!$G$6:$G$277,"суб")</f>
        <v>139.46710000000002</v>
      </c>
      <c r="CA149" s="276">
        <f>SUMIFS('свод практик'!$AK$6:$AK$277,'свод практик'!$J$6:$J$277,'свод субъектов ИБ+смежные'!CA$1,'свод практик'!$G$6:$G$277,"суб")</f>
        <v>0</v>
      </c>
      <c r="CB149" s="276">
        <f>SUMIFS('свод практик'!$AK$6:$AK$277,'свод практик'!$J$6:$J$277,'свод субъектов ИБ+смежные'!CB$1,'свод практик'!$G$6:$G$277,"суб")</f>
        <v>0</v>
      </c>
      <c r="CC149" s="276">
        <f>SUMIFS('свод практик'!$AK$6:$AK$277,'свод практик'!$J$6:$J$277,'свод субъектов ИБ+смежные'!CC$1,'свод практик'!$G$6:$G$277,"суб")</f>
        <v>0.5</v>
      </c>
      <c r="CD149" s="276">
        <f>SUMIFS('свод практик'!$AK$6:$AK$277,'свод практик'!$J$6:$J$277,'свод субъектов ИБ+смежные'!CD$1,'свод практик'!$G$6:$G$277,"суб")</f>
        <v>396.16</v>
      </c>
      <c r="CE149" s="276">
        <f>SUMIFS('свод практик'!$AK$6:$AK$277,'свод практик'!$J$6:$J$277,'свод субъектов ИБ+смежные'!CE$1,'свод практик'!$G$6:$G$277,"суб")</f>
        <v>125.453</v>
      </c>
      <c r="CF149" s="276">
        <f>SUMIFS('свод практик'!$AK$6:$AK$277,'свод практик'!$J$6:$J$277,'свод субъектов ИБ+смежные'!CF$1,'свод практик'!$G$6:$G$277,"суб")</f>
        <v>1061.53</v>
      </c>
      <c r="CG149" s="276">
        <f>SUMIFS('свод практик'!$AK$6:$AK$277,'свод практик'!$J$6:$J$277,'свод субъектов ИБ+смежные'!CG$1,'свод практик'!$G$6:$G$277,"суб")</f>
        <v>117.6</v>
      </c>
      <c r="CH149" s="276">
        <f>SUMIFS('свод практик'!$AK$6:$AK$277,'свод практик'!$J$6:$J$277,'свод субъектов ИБ+смежные'!CH$1,'свод практик'!$G$6:$G$277,"суб")</f>
        <v>39.420593400000001</v>
      </c>
      <c r="CI149" s="276">
        <f>SUMIFS('свод практик'!$AK$6:$AK$277,'свод практик'!$J$6:$J$277,'свод субъектов ИБ+смежные'!CI$1,'свод практик'!$G$6:$G$277,"суб")</f>
        <v>448</v>
      </c>
      <c r="CJ149" s="276">
        <f>SUMIFS('свод практик'!$AK$6:$AK$277,'свод практик'!$J$6:$J$277,'свод субъектов ИБ+смежные'!CJ$1,'свод практик'!$G$6:$G$277,"суб")</f>
        <v>0</v>
      </c>
      <c r="CK149" s="276">
        <f>SUMIFS('свод практик'!$AK$6:$AK$277,'свод практик'!$J$6:$J$277,'свод субъектов ИБ+смежные'!CK$1,'свод практик'!$G$6:$G$277,"суб")</f>
        <v>316.51500000000004</v>
      </c>
      <c r="CL149" s="276">
        <f>SUMIFS('свод практик'!$AK$6:$AK$277,'свод практик'!$J$6:$J$277,'свод субъектов ИБ+смежные'!CL$1,'свод практик'!$G$6:$G$277,"суб")</f>
        <v>48.65</v>
      </c>
      <c r="CM149" s="276">
        <f>SUMIFS('свод практик'!$AK$6:$AK$277,'свод практик'!$J$6:$J$277,'свод субъектов ИБ+смежные'!CM$1,'свод практик'!$G$6:$G$277,"суб")</f>
        <v>113</v>
      </c>
      <c r="CN149" s="276">
        <f>SUMIFS('свод практик'!$AK$6:$AK$277,'свод практик'!$J$6:$J$277,'свод субъектов ИБ+смежные'!CN$1,'свод практик'!$G$6:$G$277,"суб")</f>
        <v>120.1</v>
      </c>
      <c r="CO149" s="276">
        <f>SUMIFS('свод практик'!$AK$6:$AK$277,'свод практик'!$J$6:$J$277,'свод субъектов ИБ+смежные'!CO$1,'свод практик'!$G$6:$G$277,"суб")</f>
        <v>0</v>
      </c>
      <c r="CP149" s="276">
        <f>SUMIFS('свод практик'!$AK$6:$AK$277,'свод практик'!$J$6:$J$277,'свод субъектов ИБ+смежные'!CP$1,'свод практик'!$G$6:$G$277,"суб")</f>
        <v>316.52499999999998</v>
      </c>
      <c r="CQ149" s="276">
        <f>SUMIFS('свод практик'!$AK$6:$AK$277,'свод практик'!$J$6:$J$277,'свод субъектов ИБ+смежные'!CQ$1,'свод практик'!$G$6:$G$277,"суб")</f>
        <v>0</v>
      </c>
      <c r="CR149" s="276">
        <f>SUMIFS('свод практик'!$AK$6:$AK$277,'свод практик'!$J$6:$J$277,'свод субъектов ИБ+смежные'!CR$1,'свод практик'!$G$6:$G$277,"суб")</f>
        <v>0</v>
      </c>
      <c r="CS149" s="276">
        <f>SUMIFS('свод практик'!$AK$6:$AK$277,'свод практик'!$J$6:$J$277,'свод субъектов ИБ+смежные'!CS$1,'свод практик'!$G$6:$G$277,"суб")</f>
        <v>263.51900000000001</v>
      </c>
      <c r="CT149" s="276">
        <f>SUMIFS('свод практик'!$AK$6:$AK$277,'свод практик'!$J$6:$J$277,'свод субъектов ИБ+смежные'!CT$1,'свод практик'!$G$6:$G$277,"суб")</f>
        <v>21.331186070000001</v>
      </c>
      <c r="CU149" s="276">
        <f>SUMIFS('свод практик'!$AK$6:$AK$277,'свод практик'!$J$6:$J$277,'свод субъектов ИБ+смежные'!CU$1,'свод практик'!$G$6:$G$277,"суб")</f>
        <v>0</v>
      </c>
      <c r="CV149" s="276">
        <f>SUMIFS('свод практик'!$AK$6:$AK$277,'свод практик'!$J$6:$J$277,'свод субъектов ИБ+смежные'!CV$1,'свод практик'!$G$6:$G$277,"суб")</f>
        <v>169.9</v>
      </c>
    </row>
    <row r="150" spans="1:100" ht="28">
      <c r="D150" s="36" t="s">
        <v>4949</v>
      </c>
      <c r="E150" s="36">
        <v>27</v>
      </c>
      <c r="F150" s="36" t="s">
        <v>5532</v>
      </c>
      <c r="G150" s="36" t="s">
        <v>5533</v>
      </c>
      <c r="H150" s="36" t="s">
        <v>60</v>
      </c>
      <c r="I150" s="36" t="s">
        <v>5090</v>
      </c>
      <c r="M150" s="36" t="s">
        <v>5497</v>
      </c>
      <c r="N150" s="232">
        <v>0.56544079908331812</v>
      </c>
      <c r="O150" s="233">
        <f>O149/O61</f>
        <v>0.56682466475607107</v>
      </c>
      <c r="P150" s="233">
        <f>P149/P61</f>
        <v>0.69145967066703873</v>
      </c>
      <c r="Q150" s="233">
        <f t="shared" ref="Q150:CB150" si="100">Q149/Q61</f>
        <v>3.3974144295811873E-2</v>
      </c>
      <c r="R150" s="233">
        <f t="shared" si="100"/>
        <v>0.67680826636050528</v>
      </c>
      <c r="S150" s="233">
        <f t="shared" si="100"/>
        <v>0.79586485461159084</v>
      </c>
      <c r="T150" s="233">
        <f t="shared" si="100"/>
        <v>0.41334127456819536</v>
      </c>
      <c r="U150" s="233">
        <f t="shared" si="100"/>
        <v>1</v>
      </c>
      <c r="V150" s="233">
        <f t="shared" si="100"/>
        <v>0.85883649969932518</v>
      </c>
      <c r="W150" s="233">
        <f t="shared" si="100"/>
        <v>0.77145306472353181</v>
      </c>
      <c r="X150" s="233">
        <f t="shared" si="100"/>
        <v>0.88073394495412849</v>
      </c>
      <c r="Y150" s="233">
        <f t="shared" si="100"/>
        <v>1</v>
      </c>
      <c r="Z150" s="233">
        <f t="shared" si="100"/>
        <v>8.6825789105528531E-2</v>
      </c>
      <c r="AA150" s="233">
        <f t="shared" si="100"/>
        <v>0.45607886664161301</v>
      </c>
      <c r="AB150" s="233">
        <f t="shared" si="100"/>
        <v>0.47880732874314397</v>
      </c>
      <c r="AC150" s="233">
        <f t="shared" si="100"/>
        <v>0.69751829015703681</v>
      </c>
      <c r="AD150" s="233" t="e">
        <f t="shared" si="100"/>
        <v>#DIV/0!</v>
      </c>
      <c r="AE150" s="233" t="e">
        <f t="shared" si="100"/>
        <v>#DIV/0!</v>
      </c>
      <c r="AF150" s="233">
        <f t="shared" si="100"/>
        <v>1</v>
      </c>
      <c r="AG150" s="233" t="e">
        <f t="shared" si="100"/>
        <v>#DIV/0!</v>
      </c>
      <c r="AH150" s="233" t="e">
        <f t="shared" si="100"/>
        <v>#DIV/0!</v>
      </c>
      <c r="AI150" s="233">
        <f t="shared" si="100"/>
        <v>0.86747631122380897</v>
      </c>
      <c r="AJ150" s="233" t="e">
        <f t="shared" si="100"/>
        <v>#DIV/0!</v>
      </c>
      <c r="AK150" s="233">
        <f t="shared" si="100"/>
        <v>0.50617080831707473</v>
      </c>
      <c r="AL150" s="233">
        <f t="shared" si="100"/>
        <v>0.71672060148259553</v>
      </c>
      <c r="AM150" s="233">
        <f t="shared" si="100"/>
        <v>0.66977915789016529</v>
      </c>
      <c r="AN150" s="233" t="e">
        <f t="shared" si="100"/>
        <v>#DIV/0!</v>
      </c>
      <c r="AO150" s="233" t="e">
        <f t="shared" si="100"/>
        <v>#DIV/0!</v>
      </c>
      <c r="AP150" s="233">
        <f t="shared" si="100"/>
        <v>0.62852404643449422</v>
      </c>
      <c r="AQ150" s="233">
        <f t="shared" si="100"/>
        <v>0.71510204081632645</v>
      </c>
      <c r="AR150" s="233">
        <f t="shared" si="100"/>
        <v>0.61643315127048204</v>
      </c>
      <c r="AS150" s="233">
        <f t="shared" si="100"/>
        <v>0.76150606383518549</v>
      </c>
      <c r="AT150" s="233">
        <f t="shared" si="100"/>
        <v>0.18357810281704362</v>
      </c>
      <c r="AU150" s="233" t="e">
        <f t="shared" si="100"/>
        <v>#DIV/0!</v>
      </c>
      <c r="AV150" s="233">
        <f t="shared" si="100"/>
        <v>0.81961762261014126</v>
      </c>
      <c r="AW150" s="233">
        <f t="shared" si="100"/>
        <v>3.8411715111420601E-2</v>
      </c>
      <c r="AX150" s="233">
        <f t="shared" si="100"/>
        <v>0.19832733152660756</v>
      </c>
      <c r="AY150" s="233" t="e">
        <f t="shared" si="100"/>
        <v>#DIV/0!</v>
      </c>
      <c r="AZ150" s="233">
        <f t="shared" si="100"/>
        <v>0.80761032445517034</v>
      </c>
      <c r="BA150" s="233">
        <f t="shared" si="100"/>
        <v>0.85581273918678291</v>
      </c>
      <c r="BB150" s="233" t="e">
        <f t="shared" si="100"/>
        <v>#DIV/0!</v>
      </c>
      <c r="BC150" s="233">
        <f t="shared" si="100"/>
        <v>0.67394264851282759</v>
      </c>
      <c r="BD150" s="233" t="e">
        <f t="shared" si="100"/>
        <v>#DIV/0!</v>
      </c>
      <c r="BE150" s="233" t="e">
        <f t="shared" si="100"/>
        <v>#DIV/0!</v>
      </c>
      <c r="BF150" s="233" t="e">
        <f t="shared" si="100"/>
        <v>#DIV/0!</v>
      </c>
      <c r="BG150" s="233">
        <f t="shared" si="100"/>
        <v>0.60648346930012875</v>
      </c>
      <c r="BH150" s="233">
        <f t="shared" si="100"/>
        <v>0.83674082982561637</v>
      </c>
      <c r="BI150" s="233">
        <f t="shared" si="100"/>
        <v>0.52357089242113553</v>
      </c>
      <c r="BJ150" s="233">
        <f t="shared" si="100"/>
        <v>0.493064373015138</v>
      </c>
      <c r="BK150" s="233">
        <f t="shared" si="100"/>
        <v>0.71573604060913709</v>
      </c>
      <c r="BL150" s="233" t="e">
        <f t="shared" si="100"/>
        <v>#DIV/0!</v>
      </c>
      <c r="BM150" s="233">
        <f t="shared" si="100"/>
        <v>0.6889763779527559</v>
      </c>
      <c r="BN150" s="233">
        <f t="shared" si="100"/>
        <v>0.6780376997569042</v>
      </c>
      <c r="BO150" s="233">
        <f t="shared" si="100"/>
        <v>8.4206202505647965E-3</v>
      </c>
      <c r="BP150" s="233">
        <f t="shared" si="100"/>
        <v>0.88863584706707044</v>
      </c>
      <c r="BQ150" s="233" t="e">
        <f t="shared" si="100"/>
        <v>#DIV/0!</v>
      </c>
      <c r="BR150" s="233">
        <f t="shared" si="100"/>
        <v>0.76153176675369882</v>
      </c>
      <c r="BS150" s="233" t="e">
        <f t="shared" si="100"/>
        <v>#DIV/0!</v>
      </c>
      <c r="BT150" s="233">
        <f t="shared" si="100"/>
        <v>0.68848469261397183</v>
      </c>
      <c r="BU150" s="233">
        <f t="shared" si="100"/>
        <v>0.71872088872637352</v>
      </c>
      <c r="BV150" s="233">
        <f t="shared" si="100"/>
        <v>1</v>
      </c>
      <c r="BW150" s="233">
        <f t="shared" si="100"/>
        <v>0.7021407920255982</v>
      </c>
      <c r="BX150" s="233">
        <f t="shared" si="100"/>
        <v>0.6188434708265701</v>
      </c>
      <c r="BY150" s="233">
        <f t="shared" si="100"/>
        <v>0.94534694824785326</v>
      </c>
      <c r="BZ150" s="233">
        <f t="shared" si="100"/>
        <v>6.7427064971541342E-2</v>
      </c>
      <c r="CA150" s="233" t="e">
        <f t="shared" si="100"/>
        <v>#DIV/0!</v>
      </c>
      <c r="CB150" s="233" t="e">
        <f t="shared" si="100"/>
        <v>#DIV/0!</v>
      </c>
      <c r="CC150" s="233">
        <f t="shared" ref="CC150:CV150" si="101">CC149/CC61</f>
        <v>0.6097560975609756</v>
      </c>
      <c r="CD150" s="233">
        <f t="shared" si="101"/>
        <v>0.61423964276854381</v>
      </c>
      <c r="CE150" s="233">
        <f t="shared" si="101"/>
        <v>0.90741611393604493</v>
      </c>
      <c r="CF150" s="233">
        <f t="shared" si="101"/>
        <v>0.7882728512838868</v>
      </c>
      <c r="CG150" s="233">
        <f t="shared" si="101"/>
        <v>0.52453166815343444</v>
      </c>
      <c r="CH150" s="233">
        <f t="shared" si="101"/>
        <v>0.73047356858092849</v>
      </c>
      <c r="CI150" s="233">
        <f t="shared" si="101"/>
        <v>0.6418338108882522</v>
      </c>
      <c r="CJ150" s="233" t="e">
        <f t="shared" si="101"/>
        <v>#DIV/0!</v>
      </c>
      <c r="CK150" s="233">
        <f t="shared" si="101"/>
        <v>0.72802403170492169</v>
      </c>
      <c r="CL150" s="233">
        <f t="shared" si="101"/>
        <v>0.63945846477392221</v>
      </c>
      <c r="CM150" s="233">
        <f t="shared" si="101"/>
        <v>0.76923076923076916</v>
      </c>
      <c r="CN150" s="233">
        <f t="shared" si="101"/>
        <v>0.5994060838968881</v>
      </c>
      <c r="CO150" s="233" t="e">
        <f t="shared" si="101"/>
        <v>#DIV/0!</v>
      </c>
      <c r="CP150" s="233">
        <f t="shared" si="101"/>
        <v>0.51621117550511308</v>
      </c>
      <c r="CQ150" s="233" t="e">
        <f t="shared" si="101"/>
        <v>#DIV/0!</v>
      </c>
      <c r="CR150" s="233" t="e">
        <f t="shared" si="101"/>
        <v>#DIV/0!</v>
      </c>
      <c r="CS150" s="233">
        <f t="shared" si="101"/>
        <v>0.60410763573675186</v>
      </c>
      <c r="CT150" s="233">
        <f t="shared" si="101"/>
        <v>0.80011950750187555</v>
      </c>
      <c r="CU150" s="233" t="e">
        <f t="shared" si="101"/>
        <v>#DIV/0!</v>
      </c>
      <c r="CV150" s="233">
        <f t="shared" si="101"/>
        <v>0.22974983096686952</v>
      </c>
    </row>
    <row r="151" spans="1:100" s="178" customFormat="1" ht="70">
      <c r="A151" s="178" t="s">
        <v>5534</v>
      </c>
      <c r="B151" s="178" t="s">
        <v>4990</v>
      </c>
      <c r="C151" s="178" t="s">
        <v>5092</v>
      </c>
      <c r="D151" s="178" t="s">
        <v>4949</v>
      </c>
      <c r="E151" s="178">
        <v>28</v>
      </c>
      <c r="F151" s="178" t="s">
        <v>5535</v>
      </c>
      <c r="G151" s="225" t="s">
        <v>5536</v>
      </c>
      <c r="H151" s="178" t="s">
        <v>5082</v>
      </c>
      <c r="I151" s="178" t="s">
        <v>4961</v>
      </c>
      <c r="L151" s="178" t="s">
        <v>278</v>
      </c>
      <c r="M151" s="178" t="s">
        <v>5497</v>
      </c>
      <c r="N151" s="178">
        <v>2486.0245494100004</v>
      </c>
      <c r="O151" s="225">
        <f>SUM(P151:CV151)</f>
        <v>3201.1381581299984</v>
      </c>
      <c r="P151" s="276">
        <f>SUMIFS('свод практик'!$AU$6:$AU$277,'свод практик'!$J$6:$J$277,'свод субъектов ИБ+смежные'!P$1,'свод практик'!$G$6:$G$277,"суб")</f>
        <v>0.97799999999999998</v>
      </c>
      <c r="Q151" s="276">
        <f>SUMIFS('свод практик'!$AU$6:$AU$277,'свод практик'!$J$6:$J$277,'свод субъектов ИБ+смежные'!Q$1,'свод практик'!$G$6:$G$277,"суб")</f>
        <v>1.5866</v>
      </c>
      <c r="R151" s="276">
        <f>SUMIFS('свод практик'!$AU$6:$AU$277,'свод практик'!$J$6:$J$277,'свод субъектов ИБ+смежные'!R$1,'свод практик'!$G$6:$G$277,"суб")</f>
        <v>33.4</v>
      </c>
      <c r="S151" s="276">
        <f>SUMIFS('свод практик'!$AU$6:$AU$277,'свод практик'!$J$6:$J$277,'свод субъектов ИБ+смежные'!S$1,'свод практик'!$G$6:$G$277,"суб")</f>
        <v>12.093</v>
      </c>
      <c r="T151" s="276">
        <f>SUMIFS('свод практик'!$AU$6:$AU$277,'свод практик'!$J$6:$J$277,'свод субъектов ИБ+смежные'!T$1,'свод практик'!$G$6:$G$277,"суб")</f>
        <v>14.4</v>
      </c>
      <c r="U151" s="276">
        <f>SUMIFS('свод практик'!$AU$6:$AU$277,'свод практик'!$J$6:$J$277,'свод субъектов ИБ+смежные'!U$1,'свод практик'!$G$6:$G$277,"суб")</f>
        <v>3.7999999999999999E-2</v>
      </c>
      <c r="V151" s="276">
        <f>SUMIFS('свод практик'!$AU$6:$AU$277,'свод практик'!$J$6:$J$277,'свод субъектов ИБ+смежные'!V$1,'свод практик'!$G$6:$G$277,"суб")</f>
        <v>231.983</v>
      </c>
      <c r="W151" s="276">
        <f>SUMIFS('свод практик'!$AU$6:$AU$277,'свод практик'!$J$6:$J$277,'свод субъектов ИБ+смежные'!W$1,'свод практик'!$G$6:$G$277,"суб")</f>
        <v>2.6660000000000004</v>
      </c>
      <c r="X151" s="276">
        <f>SUMIFS('свод практик'!$AU$6:$AU$277,'свод практик'!$J$6:$J$277,'свод субъектов ИБ+смежные'!X$1,'свод практик'!$G$6:$G$277,"суб")</f>
        <v>8</v>
      </c>
      <c r="Y151" s="276">
        <f>SUMIFS('свод практик'!$AU$6:$AU$277,'свод практик'!$J$6:$J$277,'свод субъектов ИБ+смежные'!Y$1,'свод практик'!$G$6:$G$277,"суб")</f>
        <v>0</v>
      </c>
      <c r="Z151" s="276">
        <f>SUMIFS('свод практик'!$AU$6:$AU$277,'свод практик'!$J$6:$J$277,'свод субъектов ИБ+смежные'!Z$1,'свод практик'!$G$6:$G$277,"суб")</f>
        <v>65.938000000000002</v>
      </c>
      <c r="AA151" s="276">
        <f>SUMIFS('свод практик'!$AU$6:$AU$277,'свод практик'!$J$6:$J$277,'свод субъектов ИБ+смежные'!AA$1,'свод практик'!$G$6:$G$277,"суб")</f>
        <v>60.6676</v>
      </c>
      <c r="AB151" s="276">
        <f>SUMIFS('свод практик'!$AU$6:$AU$277,'свод практик'!$J$6:$J$277,'свод субъектов ИБ+смежные'!AB$1,'свод практик'!$G$6:$G$277,"суб")</f>
        <v>61.469000000000001</v>
      </c>
      <c r="AC151" s="276">
        <f>SUMIFS('свод практик'!$AU$6:$AU$277,'свод практик'!$J$6:$J$277,'свод субъектов ИБ+смежные'!AC$1,'свод практик'!$G$6:$G$277,"суб")</f>
        <v>38.521000000000001</v>
      </c>
      <c r="AD151" s="276">
        <f>SUMIFS('свод практик'!$AU$6:$AU$277,'свод практик'!$J$6:$J$277,'свод субъектов ИБ+смежные'!AD$1,'свод практик'!$G$6:$G$277,"суб")</f>
        <v>0</v>
      </c>
      <c r="AE151" s="276">
        <f>SUMIFS('свод практик'!$AU$6:$AU$277,'свод практик'!$J$6:$J$277,'свод субъектов ИБ+смежные'!AE$1,'свод практик'!$G$6:$G$277,"суб")</f>
        <v>0</v>
      </c>
      <c r="AF151" s="276">
        <f>SUMIFS('свод практик'!$AU$6:$AU$277,'свод практик'!$J$6:$J$277,'свод субъектов ИБ+смежные'!AF$1,'свод практик'!$G$6:$G$277,"суб")</f>
        <v>0</v>
      </c>
      <c r="AG151" s="276">
        <f>SUMIFS('свод практик'!$AU$6:$AU$277,'свод практик'!$J$6:$J$277,'свод субъектов ИБ+смежные'!AG$1,'свод практик'!$G$6:$G$277,"суб")</f>
        <v>0</v>
      </c>
      <c r="AH151" s="276">
        <f>SUMIFS('свод практик'!$AU$6:$AU$277,'свод практик'!$J$6:$J$277,'свод субъектов ИБ+смежные'!AH$1,'свод практик'!$G$6:$G$277,"суб")</f>
        <v>0</v>
      </c>
      <c r="AI151" s="276">
        <f>SUMIFS('свод практик'!$AU$6:$AU$277,'свод практик'!$J$6:$J$277,'свод субъектов ИБ+смежные'!AI$1,'свод практик'!$G$6:$G$277,"суб")</f>
        <v>99.3</v>
      </c>
      <c r="AJ151" s="276">
        <f>SUMIFS('свод практик'!$AU$6:$AU$277,'свод практик'!$J$6:$J$277,'свод субъектов ИБ+смежные'!AJ$1,'свод практик'!$G$6:$G$277,"суб")</f>
        <v>0</v>
      </c>
      <c r="AK151" s="276">
        <f>SUMIFS('свод практик'!$AU$6:$AU$277,'свод практик'!$J$6:$J$277,'свод субъектов ИБ+смежные'!AK$1,'свод практик'!$G$6:$G$277,"суб")</f>
        <v>415.03599999999994</v>
      </c>
      <c r="AL151" s="276">
        <f>SUMIFS('свод практик'!$AU$6:$AU$277,'свод практик'!$J$6:$J$277,'свод субъектов ИБ+смежные'!AL$1,'свод практик'!$G$6:$G$277,"суб")</f>
        <v>1.0269999999999999</v>
      </c>
      <c r="AM151" s="276">
        <f>SUMIFS('свод практик'!$AU$6:$AU$277,'свод практик'!$J$6:$J$277,'свод субъектов ИБ+смежные'!AM$1,'свод практик'!$G$6:$G$277,"суб")</f>
        <v>33.896999999999998</v>
      </c>
      <c r="AN151" s="276">
        <f>SUMIFS('свод практик'!$AU$6:$AU$277,'свод практик'!$J$6:$J$277,'свод субъектов ИБ+смежные'!AN$1,'свод практик'!$G$6:$G$277,"суб")</f>
        <v>0</v>
      </c>
      <c r="AO151" s="276">
        <f>SUMIFS('свод практик'!$AU$6:$AU$277,'свод практик'!$J$6:$J$277,'свод субъектов ИБ+смежные'!AO$1,'свод практик'!$G$6:$G$277,"суб")</f>
        <v>0</v>
      </c>
      <c r="AP151" s="276">
        <f>SUMIFS('свод практик'!$AU$6:$AU$277,'свод практик'!$J$6:$J$277,'свод субъектов ИБ+смежные'!AP$1,'свод практик'!$G$6:$G$277,"суб")</f>
        <v>29.7</v>
      </c>
      <c r="AQ151" s="276">
        <f>SUMIFS('свод практик'!$AU$6:$AU$277,'свод практик'!$J$6:$J$277,'свод субъектов ИБ+смежные'!AQ$1,'свод практик'!$G$6:$G$277,"суб")</f>
        <v>25.3</v>
      </c>
      <c r="AR151" s="276">
        <f>SUMIFS('свод практик'!$AU$6:$AU$277,'свод практик'!$J$6:$J$277,'свод субъектов ИБ+смежные'!AR$1,'свод практик'!$G$6:$G$277,"суб")</f>
        <v>75.100000000000009</v>
      </c>
      <c r="AS151" s="276">
        <f>SUMIFS('свод практик'!$AU$6:$AU$277,'свод практик'!$J$6:$J$277,'свод субъектов ИБ+смежные'!AS$1,'свод практик'!$G$6:$G$277,"суб")</f>
        <v>19.797999999999998</v>
      </c>
      <c r="AT151" s="276">
        <f>SUMIFS('свод практик'!$AU$6:$AU$277,'свод практик'!$J$6:$J$277,'свод субъектов ИБ+смежные'!AT$1,'свод практик'!$G$6:$G$277,"суб")</f>
        <v>163.102</v>
      </c>
      <c r="AU151" s="276">
        <f>SUMIFS('свод практик'!$AU$6:$AU$277,'свод практик'!$J$6:$J$277,'свод субъектов ИБ+смежные'!AU$1,'свод практик'!$G$6:$G$277,"суб")</f>
        <v>0</v>
      </c>
      <c r="AV151" s="276">
        <f>SUMIFS('свод практик'!$AU$6:$AU$277,'свод практик'!$J$6:$J$277,'свод субъектов ИБ+смежные'!AV$1,'свод практик'!$G$6:$G$277,"суб")</f>
        <v>8.8000000000000007</v>
      </c>
      <c r="AW151" s="276">
        <f>SUMIFS('свод практик'!$AU$6:$AU$277,'свод практик'!$J$6:$J$277,'свод субъектов ИБ+смежные'!AW$1,'свод практик'!$G$6:$G$277,"суб")</f>
        <v>28.754290000000001</v>
      </c>
      <c r="AX151" s="276">
        <f>SUMIFS('свод практик'!$AU$6:$AU$277,'свод практик'!$J$6:$J$277,'свод субъектов ИБ+смежные'!AX$1,'свод практик'!$G$6:$G$277,"суб")</f>
        <v>102.20200000000001</v>
      </c>
      <c r="AY151" s="276">
        <f>SUMIFS('свод практик'!$AU$6:$AU$277,'свод практик'!$J$6:$J$277,'свод субъектов ИБ+смежные'!AY$1,'свод практик'!$G$6:$G$277,"суб")</f>
        <v>0</v>
      </c>
      <c r="AZ151" s="276">
        <f>SUMIFS('свод практик'!$AU$6:$AU$277,'свод практик'!$J$6:$J$277,'свод субъектов ИБ+смежные'!AZ$1,'свод практик'!$G$6:$G$277,"суб")</f>
        <v>104.071</v>
      </c>
      <c r="BA151" s="276">
        <f>SUMIFS('свод практик'!$AU$6:$AU$277,'свод практик'!$J$6:$J$277,'свод субъектов ИБ+смежные'!BA$1,'свод практик'!$G$6:$G$277,"суб")</f>
        <v>4.5254814699999999</v>
      </c>
      <c r="BB151" s="276">
        <f>SUMIFS('свод практик'!$AU$6:$AU$277,'свод практик'!$J$6:$J$277,'свод субъектов ИБ+смежные'!BB$1,'свод практик'!$G$6:$G$277,"суб")</f>
        <v>0</v>
      </c>
      <c r="BC151" s="276">
        <f>SUMIFS('свод практик'!$AU$6:$AU$277,'свод практик'!$J$6:$J$277,'свод субъектов ИБ+смежные'!BC$1,'свод практик'!$G$6:$G$277,"суб")</f>
        <v>5.4236829999999996</v>
      </c>
      <c r="BD151" s="276">
        <f>SUMIFS('свод практик'!$AU$6:$AU$277,'свод практик'!$J$6:$J$277,'свод субъектов ИБ+смежные'!BD$1,'свод практик'!$G$6:$G$277,"суб")</f>
        <v>0</v>
      </c>
      <c r="BE151" s="276">
        <f>SUMIFS('свод практик'!$AU$6:$AU$277,'свод практик'!$J$6:$J$277,'свод субъектов ИБ+смежные'!BE$1,'свод практик'!$G$6:$G$277,"суб")</f>
        <v>0</v>
      </c>
      <c r="BF151" s="276">
        <f>SUMIFS('свод практик'!$AU$6:$AU$277,'свод практик'!$J$6:$J$277,'свод субъектов ИБ+смежные'!BF$1,'свод практик'!$G$6:$G$277,"суб")</f>
        <v>0</v>
      </c>
      <c r="BG151" s="276">
        <f>SUMIFS('свод практик'!$AU$6:$AU$277,'свод практик'!$J$6:$J$277,'свод субъектов ИБ+смежные'!BG$1,'свод практик'!$G$6:$G$277,"суб")</f>
        <v>5.0949999999999998</v>
      </c>
      <c r="BH151" s="276">
        <f>SUMIFS('свод практик'!$AU$6:$AU$277,'свод практик'!$J$6:$J$277,'свод субъектов ИБ+смежные'!BH$1,'свод практик'!$G$6:$G$277,"суб")</f>
        <v>3.484</v>
      </c>
      <c r="BI151" s="276">
        <f>SUMIFS('свод практик'!$AU$6:$AU$277,'свод практик'!$J$6:$J$277,'свод субъектов ИБ+смежные'!BI$1,'свод практик'!$G$6:$G$277,"суб")</f>
        <v>228.06299999999999</v>
      </c>
      <c r="BJ151" s="276">
        <f>SUMIFS('свод практик'!$AU$6:$AU$277,'свод практик'!$J$6:$J$277,'свод субъектов ИБ+смежные'!BJ$1,'свод практик'!$G$6:$G$277,"суб")</f>
        <v>86.090299999999999</v>
      </c>
      <c r="BK151" s="276">
        <f>SUMIFS('свод практик'!$AU$6:$AU$277,'свод практик'!$J$6:$J$277,'свод субъектов ИБ+смежные'!BK$1,'свод практик'!$G$6:$G$277,"суб")</f>
        <v>30.8</v>
      </c>
      <c r="BL151" s="276">
        <f>SUMIFS('свод практик'!$AU$6:$AU$277,'свод практик'!$J$6:$J$277,'свод субъектов ИБ+смежные'!BL$1,'свод практик'!$G$6:$G$277,"суб")</f>
        <v>0</v>
      </c>
      <c r="BM151" s="276">
        <f>SUMIFS('свод практик'!$AU$6:$AU$277,'свод практик'!$J$6:$J$277,'свод субъектов ИБ+смежные'!BM$1,'свод практик'!$G$6:$G$277,"суб")</f>
        <v>16.600000000000001</v>
      </c>
      <c r="BN151" s="276">
        <f>SUMIFS('свод практик'!$AU$6:$AU$277,'свод практик'!$J$6:$J$277,'свод субъектов ИБ+смежные'!BN$1,'свод практик'!$G$6:$G$277,"суб")</f>
        <v>4.3579999999999997</v>
      </c>
      <c r="BO151" s="276">
        <f>SUMIFS('свод практик'!$AU$6:$AU$277,'свод практик'!$J$6:$J$277,'свод субъектов ИБ+смежные'!BO$1,'свод практик'!$G$6:$G$277,"суб")</f>
        <v>76.2</v>
      </c>
      <c r="BP151" s="276">
        <f>SUMIFS('свод практик'!$AU$6:$AU$277,'свод практик'!$J$6:$J$277,'свод субъектов ИБ+смежные'!BP$1,'свод практик'!$G$6:$G$277,"суб")</f>
        <v>0.69513455999999996</v>
      </c>
      <c r="BQ151" s="276">
        <f>SUMIFS('свод практик'!$AU$6:$AU$277,'свод практик'!$J$6:$J$277,'свод субъектов ИБ+смежные'!BQ$1,'свод практик'!$G$6:$G$277,"суб")</f>
        <v>0</v>
      </c>
      <c r="BR151" s="276">
        <f>SUMIFS('свод практик'!$AU$6:$AU$277,'свод практик'!$J$6:$J$277,'свод субъектов ИБ+смежные'!BR$1,'свод практик'!$G$6:$G$277,"суб")</f>
        <v>0.99</v>
      </c>
      <c r="BS151" s="276">
        <f>SUMIFS('свод практик'!$AU$6:$AU$277,'свод практик'!$J$6:$J$277,'свод субъектов ИБ+смежные'!BS$1,'свод практик'!$G$6:$G$277,"суб")</f>
        <v>0</v>
      </c>
      <c r="BT151" s="276">
        <f>SUMIFS('свод практик'!$AU$6:$AU$277,'свод практик'!$J$6:$J$277,'свод субъектов ИБ+смежные'!BT$1,'свод практик'!$G$6:$G$277,"суб")</f>
        <v>44.431000000000004</v>
      </c>
      <c r="BU151" s="276">
        <f>SUMIFS('свод практик'!$AU$6:$AU$277,'свод практик'!$J$6:$J$277,'свод субъектов ИБ+смежные'!BU$1,'свод практик'!$G$6:$G$277,"суб")</f>
        <v>35.718000000000004</v>
      </c>
      <c r="BV151" s="276">
        <f>SUMIFS('свод практик'!$AU$6:$AU$277,'свод практик'!$J$6:$J$277,'свод субъектов ИБ+смежные'!BV$1,'свод практик'!$G$6:$G$277,"суб")</f>
        <v>0</v>
      </c>
      <c r="BW151" s="276">
        <f>SUMIFS('свод практик'!$AU$6:$AU$277,'свод практик'!$J$6:$J$277,'свод субъектов ИБ+смежные'!BW$1,'свод практик'!$G$6:$G$277,"суб")</f>
        <v>17.645600000000002</v>
      </c>
      <c r="BX151" s="276">
        <f>SUMIFS('свод практик'!$AU$6:$AU$277,'свод практик'!$J$6:$J$277,'свод субъектов ИБ+смежные'!BX$1,'свод практик'!$G$6:$G$277,"суб")</f>
        <v>137.1</v>
      </c>
      <c r="BY151" s="276">
        <f>SUMIFS('свод практик'!$AU$6:$AU$277,'свод практик'!$J$6:$J$277,'свод субъектов ИБ+смежные'!BY$1,'свод практик'!$G$6:$G$277,"суб")</f>
        <v>43.5</v>
      </c>
      <c r="BZ151" s="276">
        <f>SUMIFS('свод практик'!$AU$6:$AU$277,'свод практик'!$J$6:$J$277,'свод субъектов ИБ+смежные'!BZ$1,'свод практик'!$G$6:$G$277,"суб")</f>
        <v>115.96036599999999</v>
      </c>
      <c r="CA151" s="276">
        <f>SUMIFS('свод практик'!$AU$6:$AU$277,'свод практик'!$J$6:$J$277,'свод субъектов ИБ+смежные'!CA$1,'свод практик'!$G$6:$G$277,"суб")</f>
        <v>0</v>
      </c>
      <c r="CB151" s="276">
        <f>SUMIFS('свод практик'!$AU$6:$AU$277,'свод практик'!$J$6:$J$277,'свод субъектов ИБ+смежные'!CB$1,'свод практик'!$G$6:$G$277,"суб")</f>
        <v>0</v>
      </c>
      <c r="CC151" s="276">
        <f>SUMIFS('свод практик'!$AU$6:$AU$277,'свод практик'!$J$6:$J$277,'свод субъектов ИБ+смежные'!CC$1,'свод практик'!$G$6:$G$277,"суб")</f>
        <v>0.318</v>
      </c>
      <c r="CD151" s="276">
        <f>SUMIFS('свод практик'!$AU$6:$AU$277,'свод практик'!$J$6:$J$277,'свод субъектов ИБ+смежные'!CD$1,'свод практик'!$G$6:$G$277,"суб")</f>
        <v>159.62</v>
      </c>
      <c r="CE151" s="276">
        <f>SUMIFS('свод практик'!$AU$6:$AU$277,'свод практик'!$J$6:$J$277,'свод субъектов ИБ+смежные'!CE$1,'свод практик'!$G$6:$G$277,"суб")</f>
        <v>7.6</v>
      </c>
      <c r="CF151" s="276">
        <f>SUMIFS('свод практик'!$AU$6:$AU$277,'свод практик'!$J$6:$J$277,'свод субъектов ИБ+смежные'!CF$1,'свод практик'!$G$6:$G$277,"суб")</f>
        <v>0</v>
      </c>
      <c r="CG151" s="276">
        <f>SUMIFS('свод практик'!$AU$6:$AU$277,'свод практик'!$J$6:$J$277,'свод субъектов ИБ+смежные'!CG$1,'свод практик'!$G$6:$G$277,"суб")</f>
        <v>71.099999999999994</v>
      </c>
      <c r="CH151" s="276">
        <f>SUMIFS('свод практик'!$AU$6:$AU$277,'свод практик'!$J$6:$J$277,'свод субъектов ИБ+смежные'!CH$1,'свод практик'!$G$6:$G$277,"суб")</f>
        <v>8.4418261000000001</v>
      </c>
      <c r="CI151" s="276">
        <f>SUMIFS('свод практик'!$AU$6:$AU$277,'свод практик'!$J$6:$J$277,'свод субъектов ИБ+смежные'!CI$1,'свод практик'!$G$6:$G$277,"суб")</f>
        <v>130</v>
      </c>
      <c r="CJ151" s="276">
        <f>SUMIFS('свод практик'!$AU$6:$AU$277,'свод практик'!$J$6:$J$277,'свод субъектов ИБ+смежные'!CJ$1,'свод практик'!$G$6:$G$277,"суб")</f>
        <v>0</v>
      </c>
      <c r="CK151" s="276">
        <f>SUMIFS('свод практик'!$AU$6:$AU$277,'свод практик'!$J$6:$J$277,'свод субъектов ИБ+смежные'!CK$1,'свод практик'!$G$6:$G$277,"суб")</f>
        <v>9.0999999999999998E-2</v>
      </c>
      <c r="CL151" s="276">
        <f>SUMIFS('свод практик'!$AU$6:$AU$277,'свод практик'!$J$6:$J$277,'свод субъектов ИБ+смежные'!CL$1,'свод практик'!$G$6:$G$277,"суб")</f>
        <v>13.68</v>
      </c>
      <c r="CM151" s="276">
        <f>SUMIFS('свод практик'!$AU$6:$AU$277,'свод практик'!$J$6:$J$277,'свод субъектов ИБ+смежные'!CM$1,'свод практик'!$G$6:$G$277,"суб")</f>
        <v>18.100000000000001</v>
      </c>
      <c r="CN151" s="276">
        <f>SUMIFS('свод практик'!$AU$6:$AU$277,'свод практик'!$J$6:$J$277,'свод субъектов ИБ+смежные'!CN$1,'свод практик'!$G$6:$G$277,"суб")</f>
        <v>12.488999999999999</v>
      </c>
      <c r="CO151" s="276">
        <f>SUMIFS('свод практик'!$AU$6:$AU$277,'свод практик'!$J$6:$J$277,'свод субъектов ИБ+смежные'!CO$1,'свод практик'!$G$6:$G$277,"суб")</f>
        <v>0</v>
      </c>
      <c r="CP151" s="276">
        <f>SUMIFS('свод практик'!$AU$6:$AU$277,'свод практик'!$J$6:$J$277,'свод субъектов ИБ+смежные'!CP$1,'свод практик'!$G$6:$G$277,"суб")</f>
        <v>100.55609999999999</v>
      </c>
      <c r="CQ151" s="276">
        <f>SUMIFS('свод практик'!$AU$6:$AU$277,'свод практик'!$J$6:$J$277,'свод субъектов ИБ+смежные'!CQ$1,'свод практик'!$G$6:$G$277,"суб")</f>
        <v>0</v>
      </c>
      <c r="CR151" s="276">
        <f>SUMIFS('свод практик'!$AU$6:$AU$277,'свод практик'!$J$6:$J$277,'свод субъектов ИБ+смежные'!CR$1,'свод практик'!$G$6:$G$277,"суб")</f>
        <v>0</v>
      </c>
      <c r="CS151" s="276">
        <f>SUMIFS('свод практик'!$AU$6:$AU$277,'свод практик'!$J$6:$J$277,'свод субъектов ИБ+смежные'!CS$1,'свод практик'!$G$6:$G$277,"суб")</f>
        <v>111.95</v>
      </c>
      <c r="CT151" s="276">
        <f>SUMIFS('свод практик'!$AU$6:$AU$277,'свод практик'!$J$6:$J$277,'свод субъектов ИБ+смежные'!CT$1,'свод практик'!$G$6:$G$277,"суб")</f>
        <v>5.285177</v>
      </c>
      <c r="CU151" s="276">
        <f>SUMIFS('свод практик'!$AU$6:$AU$277,'свод практик'!$J$6:$J$277,'свод субъектов ИБ+смежные'!CU$1,'свод практик'!$G$6:$G$277,"суб")</f>
        <v>0</v>
      </c>
      <c r="CV151" s="276">
        <f>SUMIFS('свод практик'!$AU$6:$AU$277,'свод практик'!$J$6:$J$277,'свод субъектов ИБ+смежные'!CV$1,'свод практик'!$G$6:$G$277,"суб")</f>
        <v>67.400000000000006</v>
      </c>
    </row>
    <row r="152" spans="1:100" ht="28">
      <c r="D152" s="36" t="s">
        <v>4949</v>
      </c>
      <c r="E152" s="36">
        <v>29</v>
      </c>
      <c r="F152" s="36" t="s">
        <v>5537</v>
      </c>
      <c r="G152" s="36" t="s">
        <v>5533</v>
      </c>
      <c r="H152" s="36" t="s">
        <v>60</v>
      </c>
      <c r="I152" s="36" t="s">
        <v>5090</v>
      </c>
      <c r="M152" s="36" t="s">
        <v>5497</v>
      </c>
      <c r="N152" s="232">
        <v>0.1338849106144217</v>
      </c>
      <c r="O152" s="233">
        <f>O151/O61</f>
        <v>0.13839733452522587</v>
      </c>
      <c r="P152" s="233">
        <f t="shared" ref="P152:CA152" si="102">P151/P61</f>
        <v>0.13647781188947808</v>
      </c>
      <c r="Q152" s="233">
        <f t="shared" si="102"/>
        <v>2.0883937162510226E-2</v>
      </c>
      <c r="R152" s="233">
        <f t="shared" si="102"/>
        <v>0.19173363949483352</v>
      </c>
      <c r="S152" s="233">
        <f t="shared" si="102"/>
        <v>0.13493338689161144</v>
      </c>
      <c r="T152" s="233">
        <f t="shared" si="102"/>
        <v>0.28588445503275761</v>
      </c>
      <c r="U152" s="233">
        <f t="shared" si="102"/>
        <v>3.1666666666666669E-2</v>
      </c>
      <c r="V152" s="233">
        <f t="shared" si="102"/>
        <v>7.38110616526617E-2</v>
      </c>
      <c r="W152" s="233">
        <f t="shared" si="102"/>
        <v>0.22854693527646808</v>
      </c>
      <c r="X152" s="233">
        <f t="shared" si="102"/>
        <v>7.3394495412844041E-2</v>
      </c>
      <c r="Y152" s="233">
        <f t="shared" si="102"/>
        <v>0</v>
      </c>
      <c r="Z152" s="233">
        <f t="shared" si="102"/>
        <v>9.2431567865808945E-2</v>
      </c>
      <c r="AA152" s="233">
        <f t="shared" si="102"/>
        <v>0.53021385934400156</v>
      </c>
      <c r="AB152" s="233">
        <f t="shared" si="102"/>
        <v>0.35867079005718289</v>
      </c>
      <c r="AC152" s="233">
        <f t="shared" si="102"/>
        <v>0.13187742428029045</v>
      </c>
      <c r="AD152" s="233" t="e">
        <f t="shared" si="102"/>
        <v>#DIV/0!</v>
      </c>
      <c r="AE152" s="233" t="e">
        <f t="shared" si="102"/>
        <v>#DIV/0!</v>
      </c>
      <c r="AF152" s="233">
        <f t="shared" si="102"/>
        <v>0</v>
      </c>
      <c r="AG152" s="233" t="e">
        <f t="shared" si="102"/>
        <v>#DIV/0!</v>
      </c>
      <c r="AH152" s="233" t="e">
        <f t="shared" si="102"/>
        <v>#DIV/0!</v>
      </c>
      <c r="AI152" s="233">
        <f t="shared" si="102"/>
        <v>0.13252368877619111</v>
      </c>
      <c r="AJ152" s="233" t="e">
        <f t="shared" si="102"/>
        <v>#DIV/0!</v>
      </c>
      <c r="AK152" s="233">
        <f t="shared" si="102"/>
        <v>0.23245069579676414</v>
      </c>
      <c r="AL152" s="233">
        <f t="shared" si="102"/>
        <v>0.13687506105733918</v>
      </c>
      <c r="AM152" s="233">
        <f t="shared" si="102"/>
        <v>0.24535840698356171</v>
      </c>
      <c r="AN152" s="233" t="e">
        <f t="shared" si="102"/>
        <v>#DIV/0!</v>
      </c>
      <c r="AO152" s="233" t="e">
        <f t="shared" si="102"/>
        <v>#DIV/0!</v>
      </c>
      <c r="AP152" s="233">
        <f t="shared" si="102"/>
        <v>0.24626865671641793</v>
      </c>
      <c r="AQ152" s="233">
        <f t="shared" si="102"/>
        <v>0.20653061224489797</v>
      </c>
      <c r="AR152" s="233">
        <f t="shared" si="102"/>
        <v>0.17834243647589648</v>
      </c>
      <c r="AS152" s="233">
        <f t="shared" si="102"/>
        <v>0.167436274758546</v>
      </c>
      <c r="AT152" s="233">
        <f t="shared" si="102"/>
        <v>0.32295315355630227</v>
      </c>
      <c r="AU152" s="233" t="e">
        <f t="shared" si="102"/>
        <v>#DIV/0!</v>
      </c>
      <c r="AV152" s="233">
        <f t="shared" si="102"/>
        <v>7.3150457190357454E-2</v>
      </c>
      <c r="AW152" s="233">
        <f t="shared" si="102"/>
        <v>9.6919303999411233E-2</v>
      </c>
      <c r="AX152" s="233">
        <f t="shared" si="102"/>
        <v>0.18026983343649114</v>
      </c>
      <c r="AY152" s="233" t="e">
        <f t="shared" si="102"/>
        <v>#DIV/0!</v>
      </c>
      <c r="AZ152" s="233">
        <f t="shared" si="102"/>
        <v>0.19041546289706099</v>
      </c>
      <c r="BA152" s="233">
        <f t="shared" si="102"/>
        <v>5.4813791862986148E-2</v>
      </c>
      <c r="BB152" s="233" t="e">
        <f t="shared" si="102"/>
        <v>#DIV/0!</v>
      </c>
      <c r="BC152" s="233">
        <f t="shared" si="102"/>
        <v>0.16765731117782279</v>
      </c>
      <c r="BD152" s="233" t="e">
        <f t="shared" si="102"/>
        <v>#DIV/0!</v>
      </c>
      <c r="BE152" s="233" t="e">
        <f t="shared" si="102"/>
        <v>#DIV/0!</v>
      </c>
      <c r="BF152" s="233" t="e">
        <f t="shared" si="102"/>
        <v>#DIV/0!</v>
      </c>
      <c r="BG152" s="233">
        <f t="shared" si="102"/>
        <v>0.13672713610991841</v>
      </c>
      <c r="BH152" s="233">
        <f t="shared" si="102"/>
        <v>0.14964350141740401</v>
      </c>
      <c r="BI152" s="233">
        <f t="shared" si="102"/>
        <v>0.32794341375313835</v>
      </c>
      <c r="BJ152" s="233">
        <f t="shared" si="102"/>
        <v>0.15129422098158307</v>
      </c>
      <c r="BK152" s="233">
        <f t="shared" si="102"/>
        <v>0.19543147208121828</v>
      </c>
      <c r="BL152" s="233" t="e">
        <f t="shared" si="102"/>
        <v>#DIV/0!</v>
      </c>
      <c r="BM152" s="233">
        <f t="shared" si="102"/>
        <v>0.16338582677165356</v>
      </c>
      <c r="BN152" s="233">
        <f t="shared" si="102"/>
        <v>0.17367393296935396</v>
      </c>
      <c r="BO152" s="233">
        <f t="shared" si="102"/>
        <v>0.15650030807147258</v>
      </c>
      <c r="BP152" s="233">
        <f t="shared" si="102"/>
        <v>5.3371430576393169E-3</v>
      </c>
      <c r="BQ152" s="233" t="e">
        <f t="shared" si="102"/>
        <v>#DIV/0!</v>
      </c>
      <c r="BR152" s="233">
        <f t="shared" si="102"/>
        <v>0.21540469973890339</v>
      </c>
      <c r="BS152" s="233" t="e">
        <f t="shared" si="102"/>
        <v>#DIV/0!</v>
      </c>
      <c r="BT152" s="233">
        <f t="shared" si="102"/>
        <v>0.2116124668990875</v>
      </c>
      <c r="BU152" s="233">
        <f t="shared" si="102"/>
        <v>0.15548358450649047</v>
      </c>
      <c r="BV152" s="233">
        <f t="shared" si="102"/>
        <v>0</v>
      </c>
      <c r="BW152" s="233">
        <f t="shared" si="102"/>
        <v>0.16304354856444322</v>
      </c>
      <c r="BX152" s="233">
        <f t="shared" si="102"/>
        <v>0.16987374081554263</v>
      </c>
      <c r="BY152" s="233">
        <f t="shared" si="102"/>
        <v>5.0475748433511256E-2</v>
      </c>
      <c r="BZ152" s="233">
        <f t="shared" si="102"/>
        <v>5.6062448652088648E-2</v>
      </c>
      <c r="CA152" s="233" t="e">
        <f t="shared" si="102"/>
        <v>#DIV/0!</v>
      </c>
      <c r="CB152" s="233" t="e">
        <f t="shared" ref="CB152:CV152" si="103">CB151/CB61</f>
        <v>#DIV/0!</v>
      </c>
      <c r="CC152" s="233">
        <f t="shared" si="103"/>
        <v>0.3878048780487805</v>
      </c>
      <c r="CD152" s="233">
        <f t="shared" si="103"/>
        <v>0.24748821632349291</v>
      </c>
      <c r="CE152" s="233">
        <f t="shared" si="103"/>
        <v>5.4971682350473408E-2</v>
      </c>
      <c r="CF152" s="233">
        <f t="shared" si="103"/>
        <v>0</v>
      </c>
      <c r="CG152" s="233">
        <f t="shared" si="103"/>
        <v>0.31712756467439784</v>
      </c>
      <c r="CH152" s="233">
        <f t="shared" si="103"/>
        <v>0.1564291733012477</v>
      </c>
      <c r="CI152" s="233">
        <f t="shared" si="103"/>
        <v>0.18624641833810887</v>
      </c>
      <c r="CJ152" s="233" t="e">
        <f t="shared" si="103"/>
        <v>#DIV/0!</v>
      </c>
      <c r="CK152" s="233">
        <f t="shared" si="103"/>
        <v>2.0931136560715249E-4</v>
      </c>
      <c r="CL152" s="233">
        <f t="shared" si="103"/>
        <v>0.17981072555205047</v>
      </c>
      <c r="CM152" s="233">
        <f t="shared" si="103"/>
        <v>0.12321307011572499</v>
      </c>
      <c r="CN152" s="233">
        <f t="shared" si="103"/>
        <v>6.2331245477004457E-2</v>
      </c>
      <c r="CO152" s="233" t="e">
        <f t="shared" si="103"/>
        <v>#DIV/0!</v>
      </c>
      <c r="CP152" s="233">
        <f t="shared" si="103"/>
        <v>0.16399394229589986</v>
      </c>
      <c r="CQ152" s="233" t="e">
        <f t="shared" si="103"/>
        <v>#DIV/0!</v>
      </c>
      <c r="CR152" s="233" t="e">
        <f t="shared" si="103"/>
        <v>#DIV/0!</v>
      </c>
      <c r="CS152" s="233">
        <f t="shared" si="103"/>
        <v>0.25664126617332855</v>
      </c>
      <c r="CT152" s="233">
        <f t="shared" si="103"/>
        <v>0.19824369842460615</v>
      </c>
      <c r="CU152" s="233" t="e">
        <f t="shared" si="103"/>
        <v>#DIV/0!</v>
      </c>
      <c r="CV152" s="233">
        <f t="shared" si="103"/>
        <v>9.1142663962136591E-2</v>
      </c>
    </row>
    <row r="153" spans="1:100" s="178" customFormat="1" ht="42">
      <c r="A153" s="178" t="s">
        <v>5538</v>
      </c>
      <c r="B153" s="178" t="s">
        <v>4990</v>
      </c>
      <c r="C153" s="178" t="s">
        <v>5096</v>
      </c>
      <c r="D153" s="178" t="s">
        <v>4949</v>
      </c>
      <c r="E153" s="178">
        <v>30</v>
      </c>
      <c r="F153" s="178" t="s">
        <v>5539</v>
      </c>
      <c r="G153" s="225" t="s">
        <v>5540</v>
      </c>
      <c r="H153" s="178" t="s">
        <v>5082</v>
      </c>
      <c r="I153" s="178" t="s">
        <v>4961</v>
      </c>
      <c r="L153" s="178" t="s">
        <v>278</v>
      </c>
      <c r="M153" s="178" t="s">
        <v>5497</v>
      </c>
      <c r="N153" s="178">
        <v>1019.8676691000003</v>
      </c>
      <c r="O153" s="225">
        <f>SUM(P153:CV153)</f>
        <v>1154.97429216</v>
      </c>
      <c r="P153" s="276">
        <f>SUMIFS('свод практик'!$AY$6:$AY$277,'свод практик'!$J$6:$J$277,'свод субъектов ИБ+смежные'!P$1,'свод практик'!$G$6:$G$277,"суб")</f>
        <v>0.68100000000000005</v>
      </c>
      <c r="Q153" s="276">
        <f>SUMIFS('свод практик'!$AY$6:$AY$277,'свод практик'!$J$6:$J$277,'свод субъектов ИБ+смежные'!Q$1,'свод практик'!$G$6:$G$277,"суб")</f>
        <v>3.9630000000000001</v>
      </c>
      <c r="R153" s="276">
        <f>SUMIFS('свод практик'!$AY$6:$AY$277,'свод практик'!$J$6:$J$277,'свод субъектов ИБ+смежные'!R$1,'свод практик'!$G$6:$G$277,"суб")</f>
        <v>14</v>
      </c>
      <c r="S153" s="276">
        <f>SUMIFS('свод практик'!$AY$6:$AY$277,'свод практик'!$J$6:$J$277,'свод субъектов ИБ+смежные'!S$1,'свод практик'!$G$6:$G$277,"суб")</f>
        <v>3.3490000000000002</v>
      </c>
      <c r="T153" s="276">
        <f>SUMIFS('свод практик'!$AY$6:$AY$277,'свод практик'!$J$6:$J$277,'свод субъектов ИБ+смежные'!T$1,'свод практик'!$G$6:$G$277,"суб")</f>
        <v>15.15</v>
      </c>
      <c r="U153" s="276">
        <f>SUMIFS('свод практик'!$AY$6:$AY$277,'свод практик'!$J$6:$J$277,'свод субъектов ИБ+смежные'!U$1,'свод практик'!$G$6:$G$277,"суб")</f>
        <v>2.5000000000000001E-2</v>
      </c>
      <c r="V153" s="276">
        <f>SUMIFS('свод практик'!$AY$6:$AY$277,'свод практик'!$J$6:$J$277,'свод субъектов ИБ+смежные'!V$1,'свод практик'!$G$6:$G$277,"суб")</f>
        <v>103.446</v>
      </c>
      <c r="W153" s="276">
        <f>SUMIFS('свод практик'!$AY$6:$AY$277,'свод практик'!$J$6:$J$277,'свод субъектов ИБ+смежные'!W$1,'свод практик'!$G$6:$G$277,"суб")</f>
        <v>0</v>
      </c>
      <c r="X153" s="276">
        <f>SUMIFS('свод практик'!$AY$6:$AY$277,'свод практик'!$J$6:$J$277,'свод субъектов ИБ+смежные'!X$1,'свод практик'!$G$6:$G$277,"суб")</f>
        <v>5</v>
      </c>
      <c r="Y153" s="276">
        <f>SUMIFS('свод практик'!$AY$6:$AY$277,'свод практик'!$J$6:$J$277,'свод субъектов ИБ+смежные'!Y$1,'свод практик'!$G$6:$G$277,"суб")</f>
        <v>0</v>
      </c>
      <c r="Z153" s="276">
        <f>SUMIFS('свод практик'!$AY$6:$AY$277,'свод практик'!$J$6:$J$277,'свод субъектов ИБ+смежные'!Z$1,'свод практик'!$G$6:$G$277,"суб")</f>
        <v>60.765999999999998</v>
      </c>
      <c r="AA153" s="276">
        <f>SUMIFS('свод практик'!$AY$6:$AY$277,'свод практик'!$J$6:$J$277,'свод субъектов ИБ+смежные'!AA$1,'свод практик'!$G$6:$G$277,"суб")</f>
        <v>1.5086999999999999</v>
      </c>
      <c r="AB153" s="276">
        <f>SUMIFS('свод практик'!$AY$6:$AY$277,'свод практик'!$J$6:$J$277,'свод субъектов ИБ+смежные'!AB$1,'свод практик'!$G$6:$G$277,"суб")</f>
        <v>15.617000000000001</v>
      </c>
      <c r="AC153" s="276">
        <f>SUMIFS('свод практик'!$AY$6:$AY$277,'свод практик'!$J$6:$J$277,'свод субъектов ИБ+смежные'!AC$1,'свод практик'!$G$6:$G$277,"суб")</f>
        <v>22.771999999999998</v>
      </c>
      <c r="AD153" s="276">
        <f>SUMIFS('свод практик'!$AY$6:$AY$277,'свод практик'!$J$6:$J$277,'свод субъектов ИБ+смежные'!AD$1,'свод практик'!$G$6:$G$277,"суб")</f>
        <v>0</v>
      </c>
      <c r="AE153" s="276">
        <f>SUMIFS('свод практик'!$AY$6:$AY$277,'свод практик'!$J$6:$J$277,'свод субъектов ИБ+смежные'!AE$1,'свод практик'!$G$6:$G$277,"суб")</f>
        <v>0</v>
      </c>
      <c r="AF153" s="276">
        <f>SUMIFS('свод практик'!$AY$6:$AY$277,'свод практик'!$J$6:$J$277,'свод субъектов ИБ+смежные'!AF$1,'свод практик'!$G$6:$G$277,"суб")</f>
        <v>0</v>
      </c>
      <c r="AG153" s="276">
        <f>SUMIFS('свод практик'!$AY$6:$AY$277,'свод практик'!$J$6:$J$277,'свод субъектов ИБ+смежные'!AG$1,'свод практик'!$G$6:$G$277,"суб")</f>
        <v>0</v>
      </c>
      <c r="AH153" s="276">
        <f>SUMIFS('свод практик'!$AY$6:$AY$277,'свод практик'!$J$6:$J$277,'свод субъектов ИБ+смежные'!AH$1,'свод практик'!$G$6:$G$277,"суб")</f>
        <v>0</v>
      </c>
      <c r="AI153" s="276">
        <f>SUMIFS('свод практик'!$AY$6:$AY$277,'свод практик'!$J$6:$J$277,'свод субъектов ИБ+смежные'!AI$1,'свод практик'!$G$6:$G$277,"суб")</f>
        <v>0</v>
      </c>
      <c r="AJ153" s="276">
        <f>SUMIFS('свод практик'!$AY$6:$AY$277,'свод практик'!$J$6:$J$277,'свод субъектов ИБ+смежные'!AJ$1,'свод практик'!$G$6:$G$277,"суб")</f>
        <v>0</v>
      </c>
      <c r="AK153" s="276">
        <f>SUMIFS('свод практик'!$AY$6:$AY$277,'свод практик'!$J$6:$J$277,'свод субъектов ИБ+смежные'!AK$1,'свод практик'!$G$6:$G$277,"суб")</f>
        <v>16.882999999999999</v>
      </c>
      <c r="AL153" s="276">
        <f>SUMIFS('свод практик'!$AY$6:$AY$277,'свод практик'!$J$6:$J$277,'свод субъектов ИБ+смежные'!AL$1,'свод практик'!$G$6:$G$277,"суб")</f>
        <v>0.68300000000000005</v>
      </c>
      <c r="AM153" s="276">
        <f>SUMIFS('свод практик'!$AY$6:$AY$277,'свод практик'!$J$6:$J$277,'свод субъектов ИБ+смежные'!AM$1,'свод практик'!$G$6:$G$277,"суб")</f>
        <v>7.3929999999999998</v>
      </c>
      <c r="AN153" s="276">
        <f>SUMIFS('свод практик'!$AY$6:$AY$277,'свод практик'!$J$6:$J$277,'свод субъектов ИБ+смежные'!AN$1,'свод практик'!$G$6:$G$277,"суб")</f>
        <v>0</v>
      </c>
      <c r="AO153" s="276">
        <f>SUMIFS('свод практик'!$AY$6:$AY$277,'свод практик'!$J$6:$J$277,'свод субъектов ИБ+смежные'!AO$1,'свод практик'!$G$6:$G$277,"суб")</f>
        <v>0</v>
      </c>
      <c r="AP153" s="276">
        <f>SUMIFS('свод практик'!$AY$6:$AY$277,'свод практик'!$J$6:$J$277,'свод субъектов ИБ+смежные'!AP$1,'свод практик'!$G$6:$G$277,"суб")</f>
        <v>14.8</v>
      </c>
      <c r="AQ153" s="276">
        <f>SUMIFS('свод практик'!$AY$6:$AY$277,'свод практик'!$J$6:$J$277,'свод субъектов ИБ+смежные'!AQ$1,'свод практик'!$G$6:$G$277,"суб")</f>
        <v>4</v>
      </c>
      <c r="AR153" s="276">
        <f>SUMIFS('свод практик'!$AY$6:$AY$277,'свод практик'!$J$6:$J$277,'свод субъектов ИБ+смежные'!AR$1,'свод практик'!$G$6:$G$277,"суб")</f>
        <v>58.42</v>
      </c>
      <c r="AS153" s="276">
        <f>SUMIFS('свод практик'!$AY$6:$AY$277,'свод практик'!$J$6:$J$277,'свод субъектов ИБ+смежные'!AS$1,'свод практик'!$G$6:$G$277,"суб")</f>
        <v>1.466</v>
      </c>
      <c r="AT153" s="276">
        <f>SUMIFS('свод практик'!$AY$6:$AY$277,'свод практик'!$J$6:$J$277,'свод субъектов ИБ+смежные'!AT$1,'свод практик'!$G$6:$G$277,"суб")</f>
        <v>12.190999999999999</v>
      </c>
      <c r="AU153" s="276">
        <f>SUMIFS('свод практик'!$AY$6:$AY$277,'свод практик'!$J$6:$J$277,'свод субъектов ИБ+смежные'!AU$1,'свод практик'!$G$6:$G$277,"суб")</f>
        <v>0</v>
      </c>
      <c r="AV153" s="276">
        <f>SUMIFS('свод практик'!$AY$6:$AY$277,'свод практик'!$J$6:$J$277,'свод субъектов ИБ+смежные'!AV$1,'свод практик'!$G$6:$G$277,"суб")</f>
        <v>5.5</v>
      </c>
      <c r="AW153" s="276">
        <f>SUMIFS('свод практик'!$AY$6:$AY$277,'свод практик'!$J$6:$J$277,'свод субъектов ИБ+смежные'!AW$1,'свод практик'!$G$6:$G$277,"суб")</f>
        <v>3.5070000000000001</v>
      </c>
      <c r="AX153" s="276">
        <f>SUMIFS('свод практик'!$AY$6:$AY$277,'свод практик'!$J$6:$J$277,'свод субъектов ИБ+смежные'!AX$1,'свод практик'!$G$6:$G$277,"суб")</f>
        <v>11.9445</v>
      </c>
      <c r="AY153" s="276">
        <f>SUMIFS('свод практик'!$AY$6:$AY$277,'свод практик'!$J$6:$J$277,'свод субъектов ИБ+смежные'!AY$1,'свод практик'!$G$6:$G$277,"суб")</f>
        <v>0</v>
      </c>
      <c r="AZ153" s="276">
        <f>SUMIFS('свод практик'!$AY$6:$AY$277,'свод практик'!$J$6:$J$277,'свод субъектов ИБ+смежные'!AZ$1,'свод практик'!$G$6:$G$277,"суб")</f>
        <v>0.20899999999999999</v>
      </c>
      <c r="BA153" s="276">
        <f>SUMIFS('свод практик'!$AY$6:$AY$277,'свод практик'!$J$6:$J$277,'свод субъектов ИБ+смежные'!BA$1,'свод практик'!$G$6:$G$277,"суб")</f>
        <v>4.72</v>
      </c>
      <c r="BB153" s="276">
        <f>SUMIFS('свод практик'!$AY$6:$AY$277,'свод практик'!$J$6:$J$277,'свод субъектов ИБ+смежные'!BB$1,'свод практик'!$G$6:$G$277,"суб")</f>
        <v>0</v>
      </c>
      <c r="BC153" s="276">
        <f>SUMIFS('свод практик'!$AY$6:$AY$277,'свод практик'!$J$6:$J$277,'свод субъектов ИБ+смежные'!BC$1,'свод практик'!$G$6:$G$277,"суб")</f>
        <v>5.1242109999999998</v>
      </c>
      <c r="BD153" s="276">
        <f>SUMIFS('свод практик'!$AY$6:$AY$277,'свод практик'!$J$6:$J$277,'свод субъектов ИБ+смежные'!BD$1,'свод практик'!$G$6:$G$277,"суб")</f>
        <v>0</v>
      </c>
      <c r="BE153" s="276">
        <f>SUMIFS('свод практик'!$AY$6:$AY$277,'свод практик'!$J$6:$J$277,'свод субъектов ИБ+смежные'!BE$1,'свод практик'!$G$6:$G$277,"суб")</f>
        <v>0</v>
      </c>
      <c r="BF153" s="276">
        <f>SUMIFS('свод практик'!$AY$6:$AY$277,'свод практик'!$J$6:$J$277,'свод субъектов ИБ+смежные'!BF$1,'свод практик'!$G$6:$G$277,"суб")</f>
        <v>0</v>
      </c>
      <c r="BG153" s="276">
        <f>SUMIFS('свод практик'!$AY$6:$AY$277,'свод практик'!$J$6:$J$277,'свод субъектов ИБ+смежные'!BG$1,'свод практик'!$G$6:$G$277,"суб")</f>
        <v>4.3170000000000002</v>
      </c>
      <c r="BH153" s="276">
        <f>SUMIFS('свод практик'!$AY$6:$AY$277,'свод практик'!$J$6:$J$277,'свод субъектов ИБ+смежные'!BH$1,'свод практик'!$G$6:$G$277,"суб")</f>
        <v>0.20799999999999999</v>
      </c>
      <c r="BI153" s="276">
        <f>SUMIFS('свод практик'!$AY$6:$AY$277,'свод практик'!$J$6:$J$277,'свод субъектов ИБ+смежные'!BI$1,'свод практик'!$G$6:$G$277,"суб")</f>
        <v>37.768000000000001</v>
      </c>
      <c r="BJ153" s="276">
        <f>SUMIFS('свод практик'!$AY$6:$AY$277,'свод практик'!$J$6:$J$277,'свод субъектов ИБ+смежные'!BJ$1,'свод практик'!$G$6:$G$277,"суб")</f>
        <v>14.983499999999999</v>
      </c>
      <c r="BK153" s="276">
        <f>SUMIFS('свод практик'!$AY$6:$AY$277,'свод практик'!$J$6:$J$277,'свод субъектов ИБ+смежные'!BK$1,'свод практик'!$G$6:$G$277,"суб")</f>
        <v>13.4</v>
      </c>
      <c r="BL153" s="276">
        <f>SUMIFS('свод практик'!$AY$6:$AY$277,'свод практик'!$J$6:$J$277,'свод субъектов ИБ+смежные'!BL$1,'свод практик'!$G$6:$G$277,"суб")</f>
        <v>0</v>
      </c>
      <c r="BM153" s="276">
        <f>SUMIFS('свод практик'!$AY$6:$AY$277,'свод практик'!$J$6:$J$277,'свод субъектов ИБ+смежные'!BM$1,'свод практик'!$G$6:$G$277,"суб")</f>
        <v>8.1999999999999993</v>
      </c>
      <c r="BN153" s="276">
        <f>SUMIFS('свод практик'!$AY$6:$AY$277,'свод практик'!$J$6:$J$277,'свод субъектов ИБ+смежные'!BN$1,'свод практик'!$G$6:$G$277,"суб")</f>
        <v>1.5931</v>
      </c>
      <c r="BO153" s="276">
        <f>SUMIFS('свод практик'!$AY$6:$AY$277,'свод практик'!$J$6:$J$277,'свод субъектов ИБ+смежные'!BO$1,'свод практик'!$G$6:$G$277,"суб")</f>
        <v>0.2</v>
      </c>
      <c r="BP153" s="276">
        <f>SUMIFS('свод практик'!$AY$6:$AY$277,'свод практик'!$J$6:$J$277,'свод субъектов ИБ+смежные'!BP$1,'свод практик'!$G$6:$G$277,"суб")</f>
        <v>10.79590851</v>
      </c>
      <c r="BQ153" s="276">
        <f>SUMIFS('свод практик'!$AY$6:$AY$277,'свод практик'!$J$6:$J$277,'свод субъектов ИБ+смежные'!BQ$1,'свод практик'!$G$6:$G$277,"суб")</f>
        <v>0</v>
      </c>
      <c r="BR153" s="276">
        <f>SUMIFS('свод практик'!$AY$6:$AY$277,'свод практик'!$J$6:$J$277,'свод субъектов ИБ+смежные'!BR$1,'свод практик'!$G$6:$G$277,"суб")</f>
        <v>0.106</v>
      </c>
      <c r="BS153" s="276">
        <f>SUMIFS('свод практик'!$AY$6:$AY$277,'свод практик'!$J$6:$J$277,'свод субъектов ИБ+смежные'!BS$1,'свод практик'!$G$6:$G$277,"суб")</f>
        <v>0</v>
      </c>
      <c r="BT153" s="276">
        <f>SUMIFS('свод практик'!$AY$6:$AY$277,'свод практик'!$J$6:$J$277,'свод субъектов ИБ+смежные'!BT$1,'свод практик'!$G$6:$G$277,"суб")</f>
        <v>13.515000000000001</v>
      </c>
      <c r="BU153" s="276">
        <f>SUMIFS('свод практик'!$AY$6:$AY$277,'свод практик'!$J$6:$J$277,'свод субъектов ИБ+смежные'!BU$1,'свод практик'!$G$6:$G$277,"суб")</f>
        <v>14.516999999999999</v>
      </c>
      <c r="BV153" s="276">
        <f>SUMIFS('свод практик'!$AY$6:$AY$277,'свод практик'!$J$6:$J$277,'свод субъектов ИБ+смежные'!BV$1,'свод практик'!$G$6:$G$277,"суб")</f>
        <v>0</v>
      </c>
      <c r="BW153" s="276">
        <f>SUMIFS('свод практик'!$AY$6:$AY$277,'свод практик'!$J$6:$J$277,'свод субъектов ИБ+смежные'!BW$1,'свод практик'!$G$6:$G$277,"суб")</f>
        <v>6.1233000000000004</v>
      </c>
      <c r="BX153" s="276">
        <f>SUMIFS('свод практик'!$AY$6:$AY$277,'свод практик'!$J$6:$J$277,'свод субъектов ИБ+смежные'!BX$1,'свод практик'!$G$6:$G$277,"суб")</f>
        <v>49.4</v>
      </c>
      <c r="BY153" s="276">
        <f>SUMIFS('свод практик'!$AY$6:$AY$277,'свод практик'!$J$6:$J$277,'свод субъектов ИБ+смежные'!BY$1,'свод практик'!$G$6:$G$277,"суб")</f>
        <v>1.5</v>
      </c>
      <c r="BZ153" s="276">
        <f>SUMIFS('свод практик'!$AY$6:$AY$277,'свод практик'!$J$6:$J$277,'свод субъектов ИБ+смежные'!BZ$1,'свод практик'!$G$6:$G$277,"суб")</f>
        <v>37.844524</v>
      </c>
      <c r="CA153" s="276">
        <f>SUMIFS('свод практик'!$AY$6:$AY$277,'свод практик'!$J$6:$J$277,'свод субъектов ИБ+смежные'!CA$1,'свод практик'!$G$6:$G$277,"суб")</f>
        <v>0</v>
      </c>
      <c r="CB153" s="276">
        <f>SUMIFS('свод практик'!$AY$6:$AY$277,'свод практик'!$J$6:$J$277,'свод субъектов ИБ+смежные'!CB$1,'свод практик'!$G$6:$G$277,"суб")</f>
        <v>0</v>
      </c>
      <c r="CC153" s="276">
        <f>SUMIFS('свод практик'!$AY$6:$AY$277,'свод практик'!$J$6:$J$277,'свод субъектов ИБ+смежные'!CC$1,'свод практик'!$G$6:$G$277,"суб")</f>
        <v>2E-3</v>
      </c>
      <c r="CD153" s="276">
        <f>SUMIFS('свод практик'!$AY$6:$AY$277,'свод практик'!$J$6:$J$277,'свод субъектов ИБ+смежные'!CD$1,'свод практик'!$G$6:$G$277,"суб")</f>
        <v>21.93</v>
      </c>
      <c r="CE153" s="276">
        <f>SUMIFS('свод практик'!$AY$6:$AY$277,'свод практик'!$J$6:$J$277,'свод субъектов ИБ+смежные'!CE$1,'свод практик'!$G$6:$G$277,"суб")</f>
        <v>2.2000000000000002</v>
      </c>
      <c r="CF153" s="276">
        <f>SUMIFS('свод практик'!$AY$6:$AY$277,'свод практик'!$J$6:$J$277,'свод субъектов ИБ+смежные'!CF$1,'свод практик'!$G$6:$G$277,"суб")</f>
        <v>251.65700000000001</v>
      </c>
      <c r="CG153" s="276">
        <f>SUMIFS('свод практик'!$AY$6:$AY$277,'свод практик'!$J$6:$J$277,'свод субъектов ИБ+смежные'!CG$1,'свод практик'!$G$6:$G$277,"суб")</f>
        <v>24.7</v>
      </c>
      <c r="CH153" s="276">
        <f>SUMIFS('свод практик'!$AY$6:$AY$277,'свод практик'!$J$6:$J$277,'свод субъектов ИБ+смежные'!CH$1,'свод практик'!$G$6:$G$277,"суб")</f>
        <v>3.81820665</v>
      </c>
      <c r="CI153" s="276">
        <f>SUMIFS('свод практик'!$AY$6:$AY$277,'свод практик'!$J$6:$J$277,'свод субъектов ИБ+смежные'!CI$1,'свод практик'!$G$6:$G$277,"суб")</f>
        <v>120</v>
      </c>
      <c r="CJ153" s="276">
        <f>SUMIFS('свод практик'!$AY$6:$AY$277,'свод практик'!$J$6:$J$277,'свод субъектов ИБ+смежные'!CJ$1,'свод практик'!$G$6:$G$277,"суб")</f>
        <v>0</v>
      </c>
      <c r="CK153" s="276">
        <f>SUMIFS('свод практик'!$AY$6:$AY$277,'свод практик'!$J$6:$J$277,'свод субъектов ИБ+смежные'!CK$1,'свод практик'!$G$6:$G$277,"суб")</f>
        <v>0.51100000000000001</v>
      </c>
      <c r="CL153" s="276">
        <f>SUMIFS('свод практик'!$AY$6:$AY$277,'свод практик'!$J$6:$J$277,'свод субъектов ИБ+смежные'!CL$1,'свод практик'!$G$6:$G$277,"суб")</f>
        <v>7.44</v>
      </c>
      <c r="CM153" s="276">
        <f>SUMIFS('свод практик'!$AY$6:$AY$277,'свод практик'!$J$6:$J$277,'свод субъектов ИБ+смежные'!CM$1,'свод практик'!$G$6:$G$277,"суб")</f>
        <v>9.4</v>
      </c>
      <c r="CN153" s="276">
        <f>SUMIFS('свод практик'!$AY$6:$AY$277,'свод практик'!$J$6:$J$277,'свод субъектов ИБ+смежные'!CN$1,'свод практик'!$G$6:$G$277,"суб")</f>
        <v>54.674999999999997</v>
      </c>
      <c r="CO153" s="276">
        <f>SUMIFS('свод практик'!$AY$6:$AY$277,'свод практик'!$J$6:$J$277,'свод субъектов ИБ+смежные'!CO$1,'свод практик'!$G$6:$G$277,"суб")</f>
        <v>0</v>
      </c>
      <c r="CP153" s="276">
        <f>SUMIFS('свод практик'!$AY$6:$AY$277,'свод практик'!$J$6:$J$277,'свод субъектов ИБ+смежные'!CP$1,'свод практик'!$G$6:$G$277,"суб")</f>
        <v>0.33800000000000002</v>
      </c>
      <c r="CQ153" s="276">
        <f>SUMIFS('свод практик'!$AY$6:$AY$277,'свод практик'!$J$6:$J$277,'свод субъектов ИБ+смежные'!CQ$1,'свод практик'!$G$6:$G$277,"суб")</f>
        <v>0</v>
      </c>
      <c r="CR153" s="276">
        <f>SUMIFS('свод практик'!$AY$6:$AY$277,'свод практик'!$J$6:$J$277,'свод субъектов ИБ+смежные'!CR$1,'свод практик'!$G$6:$G$277,"суб")</f>
        <v>0</v>
      </c>
      <c r="CS153" s="276">
        <f>SUMIFS('свод практик'!$AY$6:$AY$277,'свод практик'!$J$6:$J$277,'свод субъектов ИБ+смежные'!CS$1,'свод практик'!$G$6:$G$277,"суб")</f>
        <v>46.77</v>
      </c>
      <c r="CT153" s="276">
        <f>SUMIFS('свод практик'!$AY$6:$AY$277,'свод практик'!$J$6:$J$277,'свод субъектов ИБ+смежные'!CT$1,'свод практик'!$G$6:$G$277,"суб")</f>
        <v>4.3341999999999999E-2</v>
      </c>
      <c r="CU153" s="276">
        <f>SUMIFS('свод практик'!$AY$6:$AY$277,'свод практик'!$J$6:$J$277,'свод субъектов ИБ+смежные'!CU$1,'свод практик'!$G$6:$G$277,"суб")</f>
        <v>0</v>
      </c>
      <c r="CV153" s="276">
        <f>SUMIFS('свод практик'!$AY$6:$AY$277,'свод практик'!$J$6:$J$277,'свод субъектов ИБ+смежные'!CV$1,'свод практик'!$G$6:$G$277,"суб")</f>
        <v>3.9</v>
      </c>
    </row>
    <row r="154" spans="1:100" ht="28">
      <c r="D154" s="36" t="s">
        <v>4949</v>
      </c>
      <c r="E154" s="36">
        <v>31</v>
      </c>
      <c r="F154" s="36" t="s">
        <v>5541</v>
      </c>
      <c r="G154" s="36" t="s">
        <v>5533</v>
      </c>
      <c r="H154" s="36" t="s">
        <v>60</v>
      </c>
      <c r="I154" s="36" t="s">
        <v>5090</v>
      </c>
      <c r="M154" s="36" t="s">
        <v>5497</v>
      </c>
      <c r="N154" s="36">
        <v>5.49249973208824E-2</v>
      </c>
      <c r="O154" s="233">
        <f>O153/O61</f>
        <v>4.9933915871185015E-2</v>
      </c>
      <c r="P154" s="233">
        <f t="shared" ref="P154:CA154" si="104">P153/P61</f>
        <v>9.5032096008931061E-2</v>
      </c>
      <c r="Q154" s="233">
        <f t="shared" si="104"/>
        <v>5.2163773462137915E-2</v>
      </c>
      <c r="R154" s="233">
        <f t="shared" si="104"/>
        <v>8.0367393800229628E-2</v>
      </c>
      <c r="S154" s="233">
        <f t="shared" si="104"/>
        <v>3.7368056950302382E-2</v>
      </c>
      <c r="T154" s="233">
        <f t="shared" si="104"/>
        <v>0.30077427039904708</v>
      </c>
      <c r="U154" s="233">
        <f t="shared" si="104"/>
        <v>2.0833333333333336E-2</v>
      </c>
      <c r="V154" s="233">
        <f t="shared" si="104"/>
        <v>3.291387336020847E-2</v>
      </c>
      <c r="W154" s="233">
        <f t="shared" si="104"/>
        <v>0</v>
      </c>
      <c r="X154" s="233">
        <f t="shared" si="104"/>
        <v>4.5871559633027525E-2</v>
      </c>
      <c r="Y154" s="233">
        <f t="shared" si="104"/>
        <v>0</v>
      </c>
      <c r="Z154" s="233">
        <f t="shared" si="104"/>
        <v>8.5181483407651831E-2</v>
      </c>
      <c r="AA154" s="233">
        <f t="shared" si="104"/>
        <v>1.3185516644671868E-2</v>
      </c>
      <c r="AB154" s="233">
        <f t="shared" si="104"/>
        <v>9.1124985412533555E-2</v>
      </c>
      <c r="AC154" s="233">
        <f t="shared" si="104"/>
        <v>7.7960403564569292E-2</v>
      </c>
      <c r="AD154" s="233" t="e">
        <f t="shared" si="104"/>
        <v>#DIV/0!</v>
      </c>
      <c r="AE154" s="233" t="e">
        <f t="shared" si="104"/>
        <v>#DIV/0!</v>
      </c>
      <c r="AF154" s="233">
        <f t="shared" si="104"/>
        <v>0</v>
      </c>
      <c r="AG154" s="233" t="e">
        <f t="shared" si="104"/>
        <v>#DIV/0!</v>
      </c>
      <c r="AH154" s="233" t="e">
        <f t="shared" si="104"/>
        <v>#DIV/0!</v>
      </c>
      <c r="AI154" s="233">
        <f t="shared" si="104"/>
        <v>0</v>
      </c>
      <c r="AJ154" s="233" t="e">
        <f t="shared" si="104"/>
        <v>#DIV/0!</v>
      </c>
      <c r="AK154" s="233">
        <f t="shared" si="104"/>
        <v>9.4557221473240138E-3</v>
      </c>
      <c r="AL154" s="233">
        <f t="shared" si="104"/>
        <v>9.1027913049817596E-2</v>
      </c>
      <c r="AM154" s="233">
        <f t="shared" si="104"/>
        <v>5.3513133989127999E-2</v>
      </c>
      <c r="AN154" s="233" t="e">
        <f t="shared" si="104"/>
        <v>#DIV/0!</v>
      </c>
      <c r="AO154" s="233" t="e">
        <f t="shared" si="104"/>
        <v>#DIV/0!</v>
      </c>
      <c r="AP154" s="233">
        <f t="shared" si="104"/>
        <v>0.12271973466003318</v>
      </c>
      <c r="AQ154" s="233">
        <f t="shared" si="104"/>
        <v>3.2653061224489799E-2</v>
      </c>
      <c r="AR154" s="233">
        <f t="shared" si="104"/>
        <v>0.1387318926620755</v>
      </c>
      <c r="AS154" s="233">
        <f t="shared" si="104"/>
        <v>1.2398301787858798E-2</v>
      </c>
      <c r="AT154" s="233">
        <f t="shared" si="104"/>
        <v>2.4139016658317376E-2</v>
      </c>
      <c r="AU154" s="233" t="e">
        <f t="shared" si="104"/>
        <v>#DIV/0!</v>
      </c>
      <c r="AV154" s="233">
        <f t="shared" si="104"/>
        <v>4.5719035743973402E-2</v>
      </c>
      <c r="AW154" s="233">
        <f t="shared" si="104"/>
        <v>1.1820705679950198E-2</v>
      </c>
      <c r="AX154" s="233">
        <f t="shared" si="104"/>
        <v>2.1068403998768793E-2</v>
      </c>
      <c r="AY154" s="233" t="e">
        <f t="shared" si="104"/>
        <v>#DIV/0!</v>
      </c>
      <c r="AZ154" s="233">
        <f t="shared" si="104"/>
        <v>3.8240078163451631E-4</v>
      </c>
      <c r="BA154" s="233">
        <f t="shared" si="104"/>
        <v>5.7169850171388419E-2</v>
      </c>
      <c r="BB154" s="233" t="e">
        <f t="shared" si="104"/>
        <v>#DIV/0!</v>
      </c>
      <c r="BC154" s="233">
        <f t="shared" si="104"/>
        <v>0.15840000939727167</v>
      </c>
      <c r="BD154" s="233" t="e">
        <f t="shared" si="104"/>
        <v>#DIV/0!</v>
      </c>
      <c r="BE154" s="233" t="e">
        <f t="shared" si="104"/>
        <v>#DIV/0!</v>
      </c>
      <c r="BF154" s="233" t="e">
        <f t="shared" si="104"/>
        <v>#DIV/0!</v>
      </c>
      <c r="BG154" s="233">
        <f t="shared" si="104"/>
        <v>0.11584907685702017</v>
      </c>
      <c r="BH154" s="233">
        <f t="shared" si="104"/>
        <v>8.9339403831285961E-3</v>
      </c>
      <c r="BI154" s="233">
        <f t="shared" si="104"/>
        <v>5.4308532513509554E-2</v>
      </c>
      <c r="BJ154" s="233">
        <f t="shared" si="104"/>
        <v>2.6331851092138717E-2</v>
      </c>
      <c r="BK154" s="233">
        <f t="shared" si="104"/>
        <v>8.5025380710659904E-2</v>
      </c>
      <c r="BL154" s="233" t="e">
        <f t="shared" si="104"/>
        <v>#DIV/0!</v>
      </c>
      <c r="BM154" s="233">
        <f t="shared" si="104"/>
        <v>8.070866141732283E-2</v>
      </c>
      <c r="BN154" s="233">
        <f t="shared" si="104"/>
        <v>6.3487825289921487E-2</v>
      </c>
      <c r="BO154" s="233">
        <f t="shared" si="104"/>
        <v>4.1076196344218529E-4</v>
      </c>
      <c r="BP154" s="233">
        <f t="shared" si="104"/>
        <v>8.2889431011825582E-2</v>
      </c>
      <c r="BQ154" s="233" t="e">
        <f t="shared" si="104"/>
        <v>#DIV/0!</v>
      </c>
      <c r="BR154" s="233">
        <f t="shared" si="104"/>
        <v>2.3063533507397736E-2</v>
      </c>
      <c r="BS154" s="233" t="e">
        <f t="shared" si="104"/>
        <v>#DIV/0!</v>
      </c>
      <c r="BT154" s="233">
        <f t="shared" si="104"/>
        <v>6.4368177401840324E-2</v>
      </c>
      <c r="BU154" s="233">
        <f t="shared" si="104"/>
        <v>6.3193773343432486E-2</v>
      </c>
      <c r="BV154" s="233">
        <f t="shared" si="104"/>
        <v>0</v>
      </c>
      <c r="BW154" s="233">
        <f t="shared" si="104"/>
        <v>5.6578668955697464E-2</v>
      </c>
      <c r="BX154" s="233">
        <f t="shared" si="104"/>
        <v>6.1209064889043076E-2</v>
      </c>
      <c r="BY154" s="233">
        <f t="shared" si="104"/>
        <v>1.7405430494314227E-3</v>
      </c>
      <c r="BZ154" s="233">
        <f t="shared" si="104"/>
        <v>1.8296395196896294E-2</v>
      </c>
      <c r="CA154" s="233" t="e">
        <f t="shared" si="104"/>
        <v>#DIV/0!</v>
      </c>
      <c r="CB154" s="233" t="e">
        <f t="shared" ref="CB154:CV154" si="105">CB153/CB61</f>
        <v>#DIV/0!</v>
      </c>
      <c r="CC154" s="233">
        <f t="shared" si="105"/>
        <v>2.4390243902439024E-3</v>
      </c>
      <c r="CD154" s="233">
        <f t="shared" si="105"/>
        <v>3.4002108657901264E-2</v>
      </c>
      <c r="CE154" s="233">
        <f t="shared" si="105"/>
        <v>1.5912855417242307E-2</v>
      </c>
      <c r="CF154" s="233">
        <f t="shared" si="105"/>
        <v>0.18687590641390173</v>
      </c>
      <c r="CG154" s="233">
        <f t="shared" si="105"/>
        <v>0.11016949152542373</v>
      </c>
      <c r="CH154" s="233">
        <f t="shared" si="105"/>
        <v>7.0752335179331216E-2</v>
      </c>
      <c r="CI154" s="233">
        <f t="shared" si="105"/>
        <v>0.17191977077363896</v>
      </c>
      <c r="CJ154" s="233" t="e">
        <f t="shared" si="105"/>
        <v>#DIV/0!</v>
      </c>
      <c r="CK154" s="233">
        <f t="shared" si="105"/>
        <v>1.1753638222555486E-3</v>
      </c>
      <c r="CL154" s="233">
        <f t="shared" si="105"/>
        <v>9.7791798107255523E-2</v>
      </c>
      <c r="CM154" s="233">
        <f t="shared" si="105"/>
        <v>6.3989108236895853E-2</v>
      </c>
      <c r="CN154" s="233">
        <f t="shared" si="105"/>
        <v>0.27287699947595634</v>
      </c>
      <c r="CO154" s="233" t="e">
        <f t="shared" si="105"/>
        <v>#DIV/0!</v>
      </c>
      <c r="CP154" s="233">
        <f t="shared" si="105"/>
        <v>5.5123411206295955E-4</v>
      </c>
      <c r="CQ154" s="233" t="e">
        <f t="shared" si="105"/>
        <v>#DIV/0!</v>
      </c>
      <c r="CR154" s="233" t="e">
        <f t="shared" si="105"/>
        <v>#DIV/0!</v>
      </c>
      <c r="CS154" s="233">
        <f t="shared" si="105"/>
        <v>0.10721850843168002</v>
      </c>
      <c r="CT154" s="233">
        <f t="shared" si="105"/>
        <v>1.6257314328582144E-3</v>
      </c>
      <c r="CU154" s="233" t="e">
        <f t="shared" si="105"/>
        <v>#DIV/0!</v>
      </c>
      <c r="CV154" s="233">
        <f t="shared" si="105"/>
        <v>5.2738336713995942E-3</v>
      </c>
    </row>
    <row r="155" spans="1:100" s="178" customFormat="1" ht="70">
      <c r="A155" s="178" t="s">
        <v>5542</v>
      </c>
      <c r="B155" s="178" t="s">
        <v>4990</v>
      </c>
      <c r="C155" s="178" t="s">
        <v>5100</v>
      </c>
      <c r="D155" s="178" t="s">
        <v>4949</v>
      </c>
      <c r="E155" s="178">
        <v>32</v>
      </c>
      <c r="F155" s="178" t="s">
        <v>5543</v>
      </c>
      <c r="G155" s="225" t="s">
        <v>5544</v>
      </c>
      <c r="H155" s="178" t="s">
        <v>5082</v>
      </c>
      <c r="I155" s="178" t="s">
        <v>4961</v>
      </c>
      <c r="L155" s="178" t="s">
        <v>278</v>
      </c>
      <c r="M155" s="178" t="s">
        <v>5497</v>
      </c>
      <c r="N155" s="178">
        <v>577.59344827000018</v>
      </c>
      <c r="O155" s="225">
        <f>SUM(P155:CV155)</f>
        <v>743.74485430000004</v>
      </c>
      <c r="P155" s="276">
        <f>SUMIFS('свод практик'!$BC$6:$BC$277,'свод практик'!$J$6:$J$277,'свод субъектов ИБ+смежные'!P$1,'свод практик'!$G$6:$G$277,"суб")</f>
        <v>0.55200000000000005</v>
      </c>
      <c r="Q155" s="276">
        <f>SUMIFS('свод практик'!$BC$6:$BC$277,'свод практик'!$J$6:$J$277,'свод субъектов ИБ+смежные'!Q$1,'свод практик'!$G$6:$G$277,"суб")</f>
        <v>0.63700000000000001</v>
      </c>
      <c r="R155" s="276">
        <f>SUMIFS('свод практик'!$BC$6:$BC$277,'свод практик'!$J$6:$J$277,'свод субъектов ИБ+смежные'!R$1,'свод практик'!$G$6:$G$277,"суб")</f>
        <v>8.9</v>
      </c>
      <c r="S155" s="276">
        <f>SUMIFS('свод практик'!$BC$6:$BC$277,'свод практик'!$J$6:$J$277,'свод субъектов ИБ+смежные'!S$1,'свод практик'!$G$6:$G$277,"суб")</f>
        <v>2.8530000000000002</v>
      </c>
      <c r="T155" s="276">
        <f>SUMIFS('свод практик'!$BC$6:$BC$277,'свод практик'!$J$6:$J$277,'свод субъектов ИБ+смежные'!T$1,'свод практик'!$G$6:$G$277,"суб")</f>
        <v>0</v>
      </c>
      <c r="U155" s="276">
        <f>SUMIFS('свод практик'!$BC$6:$BC$277,'свод практик'!$J$6:$J$277,'свод субъектов ИБ+смежные'!U$1,'свод практик'!$G$6:$G$277,"суб")</f>
        <v>0</v>
      </c>
      <c r="V155" s="276">
        <f>SUMIFS('свод практик'!$BC$6:$BC$277,'свод практик'!$J$6:$J$277,'свод субъектов ИБ+смежные'!V$1,'свод практик'!$G$6:$G$277,"суб")</f>
        <v>108.238</v>
      </c>
      <c r="W155" s="276">
        <f>SUMIFS('свод практик'!$BC$6:$BC$277,'свод практик'!$J$6:$J$277,'свод субъектов ИБ+смежные'!W$1,'свод практик'!$G$6:$G$277,"суб")</f>
        <v>0</v>
      </c>
      <c r="X155" s="276">
        <f>SUMIFS('свод практик'!$BC$6:$BC$277,'свод практик'!$J$6:$J$277,'свод субъектов ИБ+смежные'!X$1,'свод практик'!$G$6:$G$277,"суб")</f>
        <v>0</v>
      </c>
      <c r="Y155" s="276">
        <f>SUMIFS('свод практик'!$BC$6:$BC$277,'свод практик'!$J$6:$J$277,'свод субъектов ИБ+смежные'!Y$1,'свод практик'!$G$6:$G$277,"суб")</f>
        <v>0</v>
      </c>
      <c r="Z155" s="276">
        <f>SUMIFS('свод практик'!$BC$6:$BC$277,'свод практик'!$J$6:$J$277,'свод субъектов ИБ+смежные'!Z$1,'свод практик'!$G$6:$G$277,"суб")</f>
        <v>6.9889999999999999</v>
      </c>
      <c r="AA155" s="276">
        <f>SUMIFS('свод практик'!$BC$6:$BC$277,'свод практик'!$J$6:$J$277,'свод субъектов ИБ+смежные'!AA$1,'свод практик'!$G$6:$G$277,"суб")</f>
        <v>5.9607E-2</v>
      </c>
      <c r="AB155" s="276">
        <f>SUMIFS('свод практик'!$BC$6:$BC$277,'свод практик'!$J$6:$J$277,'свод субъектов ИБ+смежные'!AB$1,'свод практик'!$G$6:$G$277,"суб")</f>
        <v>12.236000000000001</v>
      </c>
      <c r="AC155" s="276">
        <f>SUMIFS('свод практик'!$BC$6:$BC$277,'свод практик'!$J$6:$J$277,'свод субъектов ИБ+смежные'!AC$1,'свод практик'!$G$6:$G$277,"суб")</f>
        <v>26.154</v>
      </c>
      <c r="AD155" s="276">
        <f>SUMIFS('свод практик'!$BC$6:$BC$277,'свод практик'!$J$6:$J$277,'свод субъектов ИБ+смежные'!AD$1,'свод практик'!$G$6:$G$277,"суб")</f>
        <v>0</v>
      </c>
      <c r="AE155" s="276">
        <f>SUMIFS('свод практик'!$BC$6:$BC$277,'свод практик'!$J$6:$J$277,'свод субъектов ИБ+смежные'!AE$1,'свод практик'!$G$6:$G$277,"суб")</f>
        <v>0</v>
      </c>
      <c r="AF155" s="276">
        <f>SUMIFS('свод практик'!$BC$6:$BC$277,'свод практик'!$J$6:$J$277,'свод субъектов ИБ+смежные'!AF$1,'свод практик'!$G$6:$G$277,"суб")</f>
        <v>0</v>
      </c>
      <c r="AG155" s="276">
        <f>SUMIFS('свод практик'!$BC$6:$BC$277,'свод практик'!$J$6:$J$277,'свод субъектов ИБ+смежные'!AG$1,'свод практик'!$G$6:$G$277,"суб")</f>
        <v>0</v>
      </c>
      <c r="AH155" s="276">
        <f>SUMIFS('свод практик'!$BC$6:$BC$277,'свод практик'!$J$6:$J$277,'свод субъектов ИБ+смежные'!AH$1,'свод практик'!$G$6:$G$277,"суб")</f>
        <v>0</v>
      </c>
      <c r="AI155" s="276">
        <f>SUMIFS('свод практик'!$BC$6:$BC$277,'свод практик'!$J$6:$J$277,'свод субъектов ИБ+смежные'!AI$1,'свод практик'!$G$6:$G$277,"суб")</f>
        <v>0</v>
      </c>
      <c r="AJ155" s="276">
        <f>SUMIFS('свод практик'!$BC$6:$BC$277,'свод практик'!$J$6:$J$277,'свод субъектов ИБ+смежные'!AJ$1,'свод практик'!$G$6:$G$277,"суб")</f>
        <v>0</v>
      </c>
      <c r="AK155" s="276">
        <f>SUMIFS('свод практик'!$BC$6:$BC$277,'свод практик'!$J$6:$J$277,'свод субъектов ИБ+смежные'!AK$1,'свод практик'!$G$6:$G$277,"суб")</f>
        <v>145.364</v>
      </c>
      <c r="AL155" s="276">
        <f>SUMIFS('свод практик'!$BC$6:$BC$277,'свод практик'!$J$6:$J$277,'свод субъектов ИБ+смежные'!AL$1,'свод практик'!$G$6:$G$277,"суб")</f>
        <v>0.41499999999999998</v>
      </c>
      <c r="AM155" s="276">
        <f>SUMIFS('свод практик'!$BC$6:$BC$277,'свод практик'!$J$6:$J$277,'свод субъектов ИБ+смежные'!AM$1,'свод практик'!$G$6:$G$277,"суб")</f>
        <v>4.3310000000000004</v>
      </c>
      <c r="AN155" s="276">
        <f>SUMIFS('свод практик'!$BC$6:$BC$277,'свод практик'!$J$6:$J$277,'свод субъектов ИБ+смежные'!AN$1,'свод практик'!$G$6:$G$277,"суб")</f>
        <v>0</v>
      </c>
      <c r="AO155" s="276">
        <f>SUMIFS('свод практик'!$BC$6:$BC$277,'свод практик'!$J$6:$J$277,'свод субъектов ИБ+смежные'!AO$1,'свод практик'!$G$6:$G$277,"суб")</f>
        <v>0</v>
      </c>
      <c r="AP155" s="276">
        <f>SUMIFS('свод практик'!$BC$6:$BC$277,'свод практик'!$J$6:$J$277,'свод субъектов ИБ+смежные'!AP$1,'свод практик'!$G$6:$G$277,"суб")</f>
        <v>0.3</v>
      </c>
      <c r="AQ155" s="276">
        <f>SUMIFS('свод практик'!$BC$6:$BC$277,'свод практик'!$J$6:$J$277,'свод субъектов ИБ+смежные'!AQ$1,'свод практик'!$G$6:$G$277,"суб")</f>
        <v>5.6</v>
      </c>
      <c r="AR155" s="276">
        <f>SUMIFS('свод практик'!$BC$6:$BC$277,'свод практик'!$J$6:$J$277,'свод субъектов ИБ+смежные'!AR$1,'свод практик'!$G$6:$G$277,"суб")</f>
        <v>28</v>
      </c>
      <c r="AS155" s="276">
        <f>SUMIFS('свод практик'!$BC$6:$BC$277,'свод практик'!$J$6:$J$277,'свод субъектов ИБ+смежные'!AS$1,'свод практик'!$G$6:$G$277,"суб")</f>
        <v>6.9359999999999999</v>
      </c>
      <c r="AT155" s="276">
        <f>SUMIFS('свод практик'!$BC$6:$BC$277,'свод практик'!$J$6:$J$277,'свод субъектов ИБ+смежные'!AT$1,'свод практик'!$G$6:$G$277,"суб")</f>
        <v>17.899999999999999</v>
      </c>
      <c r="AU155" s="276">
        <f>SUMIFS('свод практик'!$BC$6:$BC$277,'свод практик'!$J$6:$J$277,'свод субъектов ИБ+смежные'!AU$1,'свод практик'!$G$6:$G$277,"суб")</f>
        <v>0</v>
      </c>
      <c r="AV155" s="276">
        <f>SUMIFS('свод практик'!$BC$6:$BC$277,'свод практик'!$J$6:$J$277,'свод субъектов ИБ+смежные'!AV$1,'свод практик'!$G$6:$G$277,"суб")</f>
        <v>7.4</v>
      </c>
      <c r="AW155" s="276">
        <f>SUMIFS('свод практик'!$BC$6:$BC$277,'свод практик'!$J$6:$J$277,'свод субъектов ИБ+смежные'!AW$1,'свод практик'!$G$6:$G$277,"суб")</f>
        <v>1.8520000000000001</v>
      </c>
      <c r="AX155" s="276">
        <f>SUMIFS('свод практик'!$BC$6:$BC$277,'свод практик'!$J$6:$J$277,'свод субъектов ИБ+смежные'!AX$1,'свод практик'!$G$6:$G$277,"суб")</f>
        <v>2.9958999999999998</v>
      </c>
      <c r="AY155" s="276">
        <f>SUMIFS('свод практик'!$BC$6:$BC$277,'свод практик'!$J$6:$J$277,'свод субъектов ИБ+смежные'!AY$1,'свод практик'!$G$6:$G$277,"суб")</f>
        <v>0</v>
      </c>
      <c r="AZ155" s="276">
        <f>SUMIFS('свод практик'!$BC$6:$BC$277,'свод практик'!$J$6:$J$277,'свод субъектов ИБ+смежные'!AZ$1,'свод практик'!$G$6:$G$277,"суб")</f>
        <v>0.87</v>
      </c>
      <c r="BA155" s="276">
        <f>SUMIFS('свод практик'!$BC$6:$BC$277,'свод практик'!$J$6:$J$277,'свод субъектов ИБ+смежные'!BA$1,'свод практик'!$G$6:$G$277,"суб")</f>
        <v>0.51282262999999995</v>
      </c>
      <c r="BB155" s="276">
        <f>SUMIFS('свод практик'!$BC$6:$BC$277,'свод практик'!$J$6:$J$277,'свод субъектов ИБ+смежные'!BB$1,'свод практик'!$G$6:$G$277,"суб")</f>
        <v>0</v>
      </c>
      <c r="BC155" s="276">
        <f>SUMIFS('свод практик'!$BC$6:$BC$277,'свод практик'!$J$6:$J$277,'свод субъектов ИБ+смежные'!BC$1,'свод практик'!$G$6:$G$277,"суб")</f>
        <v>0</v>
      </c>
      <c r="BD155" s="276">
        <f>SUMIFS('свод практик'!$BC$6:$BC$277,'свод практик'!$J$6:$J$277,'свод субъектов ИБ+смежные'!BD$1,'свод практик'!$G$6:$G$277,"суб")</f>
        <v>0</v>
      </c>
      <c r="BE155" s="276">
        <f>SUMIFS('свод практик'!$BC$6:$BC$277,'свод практик'!$J$6:$J$277,'свод субъектов ИБ+смежные'!BE$1,'свод практик'!$G$6:$G$277,"суб")</f>
        <v>0</v>
      </c>
      <c r="BF155" s="276">
        <f>SUMIFS('свод практик'!$BC$6:$BC$277,'свод практик'!$J$6:$J$277,'свод субъектов ИБ+смежные'!BF$1,'свод практик'!$G$6:$G$277,"суб")</f>
        <v>0</v>
      </c>
      <c r="BG155" s="276">
        <f>SUMIFS('свод практик'!$BC$6:$BC$277,'свод практик'!$J$6:$J$277,'свод субъектов ИБ+смежные'!BG$1,'свод практик'!$G$6:$G$277,"суб")</f>
        <v>5.2519999999999998</v>
      </c>
      <c r="BH155" s="276">
        <f>SUMIFS('свод практик'!$BC$6:$BC$277,'свод практик'!$J$6:$J$277,'свод субъектов ИБ+смежные'!BH$1,'свод практик'!$G$6:$G$277,"суб")</f>
        <v>0.108</v>
      </c>
      <c r="BI155" s="276">
        <f>SUMIFS('свод практик'!$BC$6:$BC$277,'свод практик'!$J$6:$J$277,'свод субъектов ИБ+смежные'!BI$1,'свод практик'!$G$6:$G$277,"суб")</f>
        <v>65.494</v>
      </c>
      <c r="BJ155" s="276">
        <f>SUMIFS('свод практик'!$BC$6:$BC$277,'свод практик'!$J$6:$J$277,'свод субъектов ИБ+смежные'!BJ$1,'свод практик'!$G$6:$G$277,"суб")</f>
        <v>4.7106000000000003</v>
      </c>
      <c r="BK155" s="276">
        <f>SUMIFS('свод практик'!$BC$6:$BC$277,'свод практик'!$J$6:$J$277,'свод субъектов ИБ+смежные'!BK$1,'свод практик'!$G$6:$G$277,"суб")</f>
        <v>0.6</v>
      </c>
      <c r="BL155" s="276">
        <f>SUMIFS('свод практик'!$BC$6:$BC$277,'свод практик'!$J$6:$J$277,'свод субъектов ИБ+смежные'!BL$1,'свод практик'!$G$6:$G$277,"суб")</f>
        <v>0</v>
      </c>
      <c r="BM155" s="276">
        <f>SUMIFS('свод практик'!$BC$6:$BC$277,'свод практик'!$J$6:$J$277,'свод субъектов ИБ+смежные'!BM$1,'свод практик'!$G$6:$G$277,"суб")</f>
        <v>6.8</v>
      </c>
      <c r="BN155" s="276">
        <f>SUMIFS('свод практик'!$BC$6:$BC$277,'свод практик'!$J$6:$J$277,'свод субъектов ИБ+смежные'!BN$1,'свод практик'!$G$6:$G$277,"суб")</f>
        <v>1.46</v>
      </c>
      <c r="BO155" s="276">
        <f>SUMIFS('свод практик'!$BC$6:$BC$277,'свод практик'!$J$6:$J$277,'свод субъектов ИБ+смежные'!BO$1,'свод практик'!$G$6:$G$277,"суб")</f>
        <v>0</v>
      </c>
      <c r="BP155" s="276">
        <f>SUMIFS('свод практик'!$BC$6:$BC$277,'свод практик'!$J$6:$J$277,'свод субъектов ИБ+смежные'!BP$1,'свод практик'!$G$6:$G$277,"суб")</f>
        <v>3.0135468599999999</v>
      </c>
      <c r="BQ155" s="276">
        <f>SUMIFS('свод практик'!$BC$6:$BC$277,'свод практик'!$J$6:$J$277,'свод субъектов ИБ+смежные'!BQ$1,'свод практик'!$G$6:$G$277,"суб")</f>
        <v>0</v>
      </c>
      <c r="BR155" s="276">
        <f>SUMIFS('свод практик'!$BC$6:$BC$277,'свод практик'!$J$6:$J$277,'свод субъектов ИБ+смежные'!BR$1,'свод практик'!$G$6:$G$277,"суб")</f>
        <v>0</v>
      </c>
      <c r="BS155" s="276">
        <f>SUMIFS('свод практик'!$BC$6:$BC$277,'свод практик'!$J$6:$J$277,'свод субъектов ИБ+смежные'!BS$1,'свод практик'!$G$6:$G$277,"суб")</f>
        <v>0</v>
      </c>
      <c r="BT155" s="276">
        <f>SUMIFS('свод практик'!$BC$6:$BC$277,'свод практик'!$J$6:$J$277,'свод субъектов ИБ+смежные'!BT$1,'свод практик'!$G$6:$G$277,"суб")</f>
        <v>6.8079999999999998</v>
      </c>
      <c r="BU155" s="276">
        <f>SUMIFS('свод практик'!$BC$6:$BC$277,'свод практик'!$J$6:$J$277,'свод субъектов ИБ+смежные'!BU$1,'свод практик'!$G$6:$G$277,"суб")</f>
        <v>14.381</v>
      </c>
      <c r="BV155" s="276">
        <f>SUMIFS('свод практик'!$BC$6:$BC$277,'свод практик'!$J$6:$J$277,'свод субъектов ИБ+смежные'!BV$1,'свод практик'!$G$6:$G$277,"суб")</f>
        <v>0</v>
      </c>
      <c r="BW155" s="276">
        <f>SUMIFS('свод практик'!$BC$6:$BC$277,'свод практик'!$J$6:$J$277,'свод субъектов ИБ+смежные'!BW$1,'свод практик'!$G$6:$G$277,"суб")</f>
        <v>8.4672999999999998</v>
      </c>
      <c r="BX155" s="276">
        <f>SUMIFS('свод практик'!$BC$6:$BC$277,'свод практик'!$J$6:$J$277,'свод субъектов ИБ+смежные'!BX$1,'свод практик'!$G$6:$G$277,"суб")</f>
        <v>40.4</v>
      </c>
      <c r="BY155" s="276">
        <f>SUMIFS('свод практик'!$BC$6:$BC$277,'свод практик'!$J$6:$J$277,'свод субъектов ИБ+смежные'!BY$1,'свод практик'!$G$6:$G$277,"суб")</f>
        <v>2</v>
      </c>
      <c r="BZ155" s="276">
        <f>SUMIFS('свод практик'!$BC$6:$BC$277,'свод практик'!$J$6:$J$277,'свод субъектов ИБ+смежные'!BZ$1,'свод практик'!$G$6:$G$277,"суб")</f>
        <v>43.805000000000007</v>
      </c>
      <c r="CA155" s="276">
        <f>SUMIFS('свод практик'!$BC$6:$BC$277,'свод практик'!$J$6:$J$277,'свод субъектов ИБ+смежные'!CA$1,'свод практик'!$G$6:$G$277,"суб")</f>
        <v>0</v>
      </c>
      <c r="CB155" s="276">
        <f>SUMIFS('свод практик'!$BC$6:$BC$277,'свод практик'!$J$6:$J$277,'свод субъектов ИБ+смежные'!CB$1,'свод практик'!$G$6:$G$277,"суб")</f>
        <v>0</v>
      </c>
      <c r="CC155" s="276">
        <f>SUMIFS('свод практик'!$BC$6:$BC$277,'свод практик'!$J$6:$J$277,'свод субъектов ИБ+смежные'!CC$1,'свод практик'!$G$6:$G$277,"суб")</f>
        <v>0</v>
      </c>
      <c r="CD155" s="276">
        <f>SUMIFS('свод практик'!$BC$6:$BC$277,'свод практик'!$J$6:$J$277,'свод субъектов ИБ+смежные'!CD$1,'свод практик'!$G$6:$G$277,"суб")</f>
        <v>67.25</v>
      </c>
      <c r="CE155" s="276">
        <f>SUMIFS('свод практик'!$BC$6:$BC$277,'свод практик'!$J$6:$J$277,'свод субъектов ИБ+смежные'!CE$1,'свод практик'!$G$6:$G$277,"суб")</f>
        <v>0</v>
      </c>
      <c r="CF155" s="276">
        <f>SUMIFS('свод практик'!$BC$6:$BC$277,'свод практик'!$J$6:$J$277,'свод субъектов ИБ+смежные'!CF$1,'свод практик'!$G$6:$G$277,"суб")</f>
        <v>33.466000000000001</v>
      </c>
      <c r="CG155" s="276">
        <f>SUMIFS('свод практик'!$BC$6:$BC$277,'свод практик'!$J$6:$J$277,'свод субъектов ИБ+смежные'!CG$1,'свод практик'!$G$6:$G$277,"суб")</f>
        <v>10.8</v>
      </c>
      <c r="CH155" s="276">
        <f>SUMIFS('свод практик'!$BC$6:$BC$277,'свод практик'!$J$6:$J$277,'свод субъектов ИБ+смежные'!CH$1,'свод практик'!$G$6:$G$277,"суб")</f>
        <v>2.28517781</v>
      </c>
      <c r="CI155" s="276">
        <f>SUMIFS('свод практик'!$BC$6:$BC$277,'свод практик'!$J$6:$J$277,'свод субъектов ИБ+смежные'!CI$1,'свод практик'!$G$6:$G$277,"суб")</f>
        <v>0</v>
      </c>
      <c r="CJ155" s="276">
        <f>SUMIFS('свод практик'!$BC$6:$BC$277,'свод практик'!$J$6:$J$277,'свод субъектов ИБ+смежные'!CJ$1,'свод практик'!$G$6:$G$277,"суб")</f>
        <v>0</v>
      </c>
      <c r="CK155" s="276">
        <f>SUMIFS('свод практик'!$BC$6:$BC$277,'свод практик'!$J$6:$J$277,'свод субъектов ИБ+смежные'!CK$1,'свод практик'!$G$6:$G$277,"суб")</f>
        <v>0.68600000000000005</v>
      </c>
      <c r="CL155" s="276">
        <f>SUMIFS('свод практик'!$BC$6:$BC$277,'свод практик'!$J$6:$J$277,'свод субъектов ИБ+смежные'!CL$1,'свод практик'!$G$6:$G$277,"суб")</f>
        <v>6.3</v>
      </c>
      <c r="CM155" s="276">
        <f>SUMIFS('свод практик'!$BC$6:$BC$277,'свод практик'!$J$6:$J$277,'свод субъектов ИБ+смежные'!CM$1,'свод практик'!$G$6:$G$277,"суб")</f>
        <v>6.4</v>
      </c>
      <c r="CN155" s="276">
        <f>SUMIFS('свод практик'!$BC$6:$BC$277,'свод практик'!$J$6:$J$277,'свод субъектов ИБ+смежные'!CN$1,'свод практик'!$G$6:$G$277,"суб")</f>
        <v>9.4</v>
      </c>
      <c r="CO155" s="276">
        <f>SUMIFS('свод практик'!$BC$6:$BC$277,'свод практик'!$J$6:$J$277,'свод субъектов ИБ+смежные'!CO$1,'свод практик'!$G$6:$G$277,"суб")</f>
        <v>0</v>
      </c>
      <c r="CP155" s="276">
        <f>SUMIFS('свод практик'!$BC$6:$BC$277,'свод практик'!$J$6:$J$277,'свод субъектов ИБ+смежные'!CP$1,'свод практик'!$G$6:$G$277,"суб")</f>
        <v>0.18990000000000001</v>
      </c>
      <c r="CQ155" s="276">
        <f>SUMIFS('свод практик'!$BC$6:$BC$277,'свод практик'!$J$6:$J$277,'свод субъектов ИБ+смежные'!CQ$1,'свод практик'!$G$6:$G$277,"суб")</f>
        <v>0</v>
      </c>
      <c r="CR155" s="276">
        <f>SUMIFS('свод практик'!$BC$6:$BC$277,'свод практик'!$J$6:$J$277,'свод субъектов ИБ+смежные'!CR$1,'свод практик'!$G$6:$G$277,"суб")</f>
        <v>0</v>
      </c>
      <c r="CS155" s="276">
        <f>SUMIFS('свод практик'!$BC$6:$BC$277,'свод практик'!$J$6:$J$277,'свод субъектов ИБ+смежные'!CS$1,'свод практик'!$G$6:$G$277,"суб")</f>
        <v>13.973000000000001</v>
      </c>
      <c r="CT155" s="276">
        <f>SUMIFS('свод практик'!$BC$6:$BC$277,'свод практик'!$J$6:$J$277,'свод субъектов ИБ+смежные'!CT$1,'свод практик'!$G$6:$G$277,"суб")</f>
        <v>0</v>
      </c>
      <c r="CU155" s="276">
        <f>SUMIFS('свод практик'!$BC$6:$BC$277,'свод практик'!$J$6:$J$277,'свод субъектов ИБ+смежные'!CU$1,'свод практик'!$G$6:$G$277,"суб")</f>
        <v>0</v>
      </c>
      <c r="CV155" s="276">
        <f>SUMIFS('свод практик'!$BC$6:$BC$277,'свод практик'!$J$6:$J$277,'свод субъектов ИБ+смежные'!CV$1,'свод практик'!$G$6:$G$277,"суб")</f>
        <v>0.6</v>
      </c>
    </row>
    <row r="156" spans="1:100" ht="28">
      <c r="D156" s="36" t="s">
        <v>4949</v>
      </c>
      <c r="E156" s="36">
        <v>33</v>
      </c>
      <c r="F156" s="36" t="s">
        <v>5545</v>
      </c>
      <c r="G156" s="36" t="s">
        <v>5533</v>
      </c>
      <c r="H156" s="36" t="s">
        <v>60</v>
      </c>
      <c r="I156" s="36" t="s">
        <v>5090</v>
      </c>
      <c r="M156" s="36" t="s">
        <v>5497</v>
      </c>
      <c r="N156" s="36">
        <v>3.1106308749628917E-2</v>
      </c>
      <c r="O156" s="233">
        <f>O155/O61</f>
        <v>3.2154908759733827E-2</v>
      </c>
      <c r="P156" s="233">
        <f t="shared" ref="P156:CA156" si="106">P155/P61</f>
        <v>7.7030421434552049E-2</v>
      </c>
      <c r="Q156" s="233">
        <f t="shared" si="106"/>
        <v>8.3846388330511869E-3</v>
      </c>
      <c r="R156" s="233">
        <f t="shared" si="106"/>
        <v>5.1090700344431694E-2</v>
      </c>
      <c r="S156" s="233">
        <f t="shared" si="106"/>
        <v>3.1833701546495285E-2</v>
      </c>
      <c r="T156" s="233">
        <f t="shared" si="106"/>
        <v>0</v>
      </c>
      <c r="U156" s="233">
        <f t="shared" si="106"/>
        <v>0</v>
      </c>
      <c r="V156" s="233">
        <f t="shared" si="106"/>
        <v>3.4438565287804694E-2</v>
      </c>
      <c r="W156" s="233">
        <f t="shared" si="106"/>
        <v>0</v>
      </c>
      <c r="X156" s="233">
        <f t="shared" si="106"/>
        <v>0</v>
      </c>
      <c r="Y156" s="233">
        <f t="shared" si="106"/>
        <v>0</v>
      </c>
      <c r="Z156" s="233">
        <f t="shared" si="106"/>
        <v>9.7971462254563182E-3</v>
      </c>
      <c r="AA156" s="233">
        <f t="shared" si="106"/>
        <v>5.2094458185123361E-4</v>
      </c>
      <c r="AB156" s="233">
        <f t="shared" si="106"/>
        <v>7.1396895787139689E-2</v>
      </c>
      <c r="AC156" s="233">
        <f t="shared" si="106"/>
        <v>8.9538749114164123E-2</v>
      </c>
      <c r="AD156" s="233" t="e">
        <f t="shared" si="106"/>
        <v>#DIV/0!</v>
      </c>
      <c r="AE156" s="233" t="e">
        <f t="shared" si="106"/>
        <v>#DIV/0!</v>
      </c>
      <c r="AF156" s="233">
        <f t="shared" si="106"/>
        <v>0</v>
      </c>
      <c r="AG156" s="233" t="e">
        <f t="shared" si="106"/>
        <v>#DIV/0!</v>
      </c>
      <c r="AH156" s="233" t="e">
        <f t="shared" si="106"/>
        <v>#DIV/0!</v>
      </c>
      <c r="AI156" s="233">
        <f t="shared" si="106"/>
        <v>0</v>
      </c>
      <c r="AJ156" s="233" t="e">
        <f t="shared" si="106"/>
        <v>#DIV/0!</v>
      </c>
      <c r="AK156" s="233">
        <f t="shared" si="106"/>
        <v>8.1414534989255938E-2</v>
      </c>
      <c r="AL156" s="233">
        <f t="shared" si="106"/>
        <v>5.5309786113725182E-2</v>
      </c>
      <c r="AM156" s="233">
        <f t="shared" si="106"/>
        <v>3.1349301137145055E-2</v>
      </c>
      <c r="AN156" s="233" t="e">
        <f t="shared" si="106"/>
        <v>#DIV/0!</v>
      </c>
      <c r="AO156" s="233" t="e">
        <f t="shared" si="106"/>
        <v>#DIV/0!</v>
      </c>
      <c r="AP156" s="233">
        <f t="shared" si="106"/>
        <v>2.4875621890547263E-3</v>
      </c>
      <c r="AQ156" s="233">
        <f t="shared" si="106"/>
        <v>4.5714285714285714E-2</v>
      </c>
      <c r="AR156" s="233">
        <f t="shared" si="106"/>
        <v>6.6492519591545951E-2</v>
      </c>
      <c r="AS156" s="233">
        <f t="shared" si="106"/>
        <v>5.86593596184097E-2</v>
      </c>
      <c r="AT156" s="233">
        <f t="shared" si="106"/>
        <v>3.5443228462298498E-2</v>
      </c>
      <c r="AU156" s="233" t="e">
        <f t="shared" si="106"/>
        <v>#DIV/0!</v>
      </c>
      <c r="AV156" s="233">
        <f t="shared" si="106"/>
        <v>6.1512884455527848E-2</v>
      </c>
      <c r="AW156" s="233">
        <f t="shared" si="106"/>
        <v>6.2423572624088304E-3</v>
      </c>
      <c r="AX156" s="233">
        <f t="shared" si="106"/>
        <v>5.2843427133753128E-3</v>
      </c>
      <c r="AY156" s="233" t="e">
        <f t="shared" si="106"/>
        <v>#DIV/0!</v>
      </c>
      <c r="AZ156" s="233">
        <f t="shared" si="106"/>
        <v>1.5918118661341109E-3</v>
      </c>
      <c r="BA156" s="233">
        <f t="shared" si="106"/>
        <v>6.2114391783045248E-3</v>
      </c>
      <c r="BB156" s="233" t="e">
        <f t="shared" si="106"/>
        <v>#DIV/0!</v>
      </c>
      <c r="BC156" s="233">
        <f t="shared" si="106"/>
        <v>0</v>
      </c>
      <c r="BD156" s="233" t="e">
        <f t="shared" si="106"/>
        <v>#DIV/0!</v>
      </c>
      <c r="BE156" s="233" t="e">
        <f t="shared" si="106"/>
        <v>#DIV/0!</v>
      </c>
      <c r="BF156" s="233" t="e">
        <f t="shared" si="106"/>
        <v>#DIV/0!</v>
      </c>
      <c r="BG156" s="233">
        <f t="shared" si="106"/>
        <v>0.14094031773293259</v>
      </c>
      <c r="BH156" s="233">
        <f t="shared" si="106"/>
        <v>4.6387767373936946E-3</v>
      </c>
      <c r="BI156" s="233">
        <f t="shared" si="106"/>
        <v>9.4177161312216554E-2</v>
      </c>
      <c r="BJ156" s="233">
        <f t="shared" si="106"/>
        <v>8.2783607137603809E-3</v>
      </c>
      <c r="BK156" s="233">
        <f t="shared" si="106"/>
        <v>3.8071065989847717E-3</v>
      </c>
      <c r="BL156" s="233" t="e">
        <f t="shared" si="106"/>
        <v>#DIV/0!</v>
      </c>
      <c r="BM156" s="233">
        <f t="shared" si="106"/>
        <v>6.6929133858267723E-2</v>
      </c>
      <c r="BN156" s="233">
        <f t="shared" si="106"/>
        <v>5.8183557167337495E-2</v>
      </c>
      <c r="BO156" s="233">
        <f t="shared" si="106"/>
        <v>0</v>
      </c>
      <c r="BP156" s="233">
        <f t="shared" si="106"/>
        <v>2.3137578863464597E-2</v>
      </c>
      <c r="BQ156" s="233" t="e">
        <f t="shared" si="106"/>
        <v>#DIV/0!</v>
      </c>
      <c r="BR156" s="233">
        <f t="shared" si="106"/>
        <v>0</v>
      </c>
      <c r="BS156" s="233" t="e">
        <f t="shared" si="106"/>
        <v>#DIV/0!</v>
      </c>
      <c r="BT156" s="233">
        <f t="shared" si="106"/>
        <v>3.2424606122954412E-2</v>
      </c>
      <c r="BU156" s="233">
        <f t="shared" si="106"/>
        <v>6.260175342370343E-2</v>
      </c>
      <c r="BV156" s="233">
        <f t="shared" si="106"/>
        <v>0</v>
      </c>
      <c r="BW156" s="233">
        <f t="shared" si="106"/>
        <v>7.8236990454261121E-2</v>
      </c>
      <c r="BX156" s="233">
        <f t="shared" si="106"/>
        <v>5.0057615820189076E-2</v>
      </c>
      <c r="BY156" s="233">
        <f t="shared" si="106"/>
        <v>2.3207240659085635E-3</v>
      </c>
      <c r="BZ156" s="233">
        <f t="shared" si="106"/>
        <v>2.1178059779534877E-2</v>
      </c>
      <c r="CA156" s="233" t="e">
        <f t="shared" si="106"/>
        <v>#DIV/0!</v>
      </c>
      <c r="CB156" s="233" t="e">
        <f t="shared" ref="CB156:CV156" si="107">CB155/CB61</f>
        <v>#DIV/0!</v>
      </c>
      <c r="CC156" s="233">
        <f t="shared" si="107"/>
        <v>0</v>
      </c>
      <c r="CD156" s="233">
        <f t="shared" si="107"/>
        <v>0.10427003225006201</v>
      </c>
      <c r="CE156" s="233">
        <f t="shared" si="107"/>
        <v>0</v>
      </c>
      <c r="CF156" s="233">
        <f t="shared" si="107"/>
        <v>2.4851242302211484E-2</v>
      </c>
      <c r="CG156" s="233">
        <f t="shared" si="107"/>
        <v>4.8171275646743984E-2</v>
      </c>
      <c r="CH156" s="233">
        <f t="shared" si="107"/>
        <v>4.2344922938492617E-2</v>
      </c>
      <c r="CI156" s="233">
        <f t="shared" si="107"/>
        <v>0</v>
      </c>
      <c r="CJ156" s="233" t="e">
        <f t="shared" si="107"/>
        <v>#DIV/0!</v>
      </c>
      <c r="CK156" s="233">
        <f t="shared" si="107"/>
        <v>1.5778856791923805E-3</v>
      </c>
      <c r="CL156" s="233">
        <f t="shared" si="107"/>
        <v>8.280757097791798E-2</v>
      </c>
      <c r="CM156" s="233">
        <f t="shared" si="107"/>
        <v>4.3567052416609943E-2</v>
      </c>
      <c r="CN156" s="233">
        <f t="shared" si="107"/>
        <v>4.6914381254211067E-2</v>
      </c>
      <c r="CO156" s="233" t="e">
        <f t="shared" si="107"/>
        <v>#DIV/0!</v>
      </c>
      <c r="CP156" s="233">
        <f t="shared" si="107"/>
        <v>3.097022422507574E-4</v>
      </c>
      <c r="CQ156" s="233" t="e">
        <f t="shared" si="107"/>
        <v>#DIV/0!</v>
      </c>
      <c r="CR156" s="233" t="e">
        <f t="shared" si="107"/>
        <v>#DIV/0!</v>
      </c>
      <c r="CS156" s="233">
        <f t="shared" si="107"/>
        <v>3.2032589658239574E-2</v>
      </c>
      <c r="CT156" s="233">
        <f t="shared" si="107"/>
        <v>0</v>
      </c>
      <c r="CU156" s="233" t="e">
        <f t="shared" si="107"/>
        <v>#DIV/0!</v>
      </c>
      <c r="CV156" s="233">
        <f t="shared" si="107"/>
        <v>8.1135902636916835E-4</v>
      </c>
    </row>
    <row r="157" spans="1:100" s="178" customFormat="1" ht="70">
      <c r="A157" s="178" t="s">
        <v>5546</v>
      </c>
      <c r="B157" s="178" t="s">
        <v>4990</v>
      </c>
      <c r="C157" s="178" t="s">
        <v>5104</v>
      </c>
      <c r="D157" s="178" t="s">
        <v>4949</v>
      </c>
      <c r="E157" s="178">
        <v>34</v>
      </c>
      <c r="F157" s="178" t="s">
        <v>5547</v>
      </c>
      <c r="G157" s="225" t="s">
        <v>5548</v>
      </c>
      <c r="H157" s="178" t="s">
        <v>5082</v>
      </c>
      <c r="I157" s="178" t="s">
        <v>4961</v>
      </c>
      <c r="L157" s="178" t="s">
        <v>278</v>
      </c>
      <c r="M157" s="178" t="s">
        <v>5497</v>
      </c>
      <c r="N157" s="178">
        <v>78.344172690000022</v>
      </c>
      <c r="O157" s="225">
        <f>SUM(P157:CV157)</f>
        <v>81.4093996</v>
      </c>
      <c r="P157" s="276">
        <f>SUMIFS('свод практик'!$BN$6:$BN$277,'свод практик'!$J$6:$J$277,'свод субъектов ИБ+смежные'!P$1,'свод практик'!$G$6:$G$277,"суб")</f>
        <v>0</v>
      </c>
      <c r="Q157" s="276">
        <f>SUMIFS('свод практик'!$BN$6:$BN$277,'свод практик'!$J$6:$J$277,'свод субъектов ИБ+смежные'!Q$1,'свод практик'!$G$6:$G$277,"суб")</f>
        <v>0</v>
      </c>
      <c r="R157" s="276">
        <f>SUMIFS('свод практик'!$BN$6:$BN$277,'свод практик'!$J$6:$J$277,'свод субъектов ИБ+смежные'!R$1,'свод практик'!$G$6:$G$277,"суб")</f>
        <v>0</v>
      </c>
      <c r="S157" s="276">
        <f>SUMIFS('свод практик'!$BN$6:$BN$277,'свод практик'!$J$6:$J$277,'свод субъектов ИБ+смежные'!S$1,'свод практик'!$G$6:$G$277,"суб")</f>
        <v>0</v>
      </c>
      <c r="T157" s="276">
        <f>SUMIFS('свод практик'!$BN$6:$BN$277,'свод практик'!$J$6:$J$277,'свод субъектов ИБ+смежные'!T$1,'свод практик'!$G$6:$G$277,"суб")</f>
        <v>0</v>
      </c>
      <c r="U157" s="276">
        <f>SUMIFS('свод практик'!$BN$6:$BN$277,'свод практик'!$J$6:$J$277,'свод субъектов ИБ+смежные'!U$1,'свод практик'!$G$6:$G$277,"суб")</f>
        <v>0</v>
      </c>
      <c r="V157" s="276">
        <f>SUMIFS('свод практик'!$BN$6:$BN$277,'свод практик'!$J$6:$J$277,'свод субъектов ИБ+смежные'!V$1,'свод практик'!$G$6:$G$277,"суб")</f>
        <v>0</v>
      </c>
      <c r="W157" s="276">
        <f>SUMIFS('свод практик'!$BN$6:$BN$277,'свод практик'!$J$6:$J$277,'свод субъектов ИБ+смежные'!W$1,'свод практик'!$G$6:$G$277,"суб")</f>
        <v>0</v>
      </c>
      <c r="X157" s="276">
        <f>SUMIFS('свод практик'!$BN$6:$BN$277,'свод практик'!$J$6:$J$277,'свод субъектов ИБ+смежные'!X$1,'свод практик'!$G$6:$G$277,"суб")</f>
        <v>0</v>
      </c>
      <c r="Y157" s="276">
        <f>SUMIFS('свод практик'!$BN$6:$BN$277,'свод практик'!$J$6:$J$277,'свод субъектов ИБ+смежные'!Y$1,'свод практик'!$G$6:$G$277,"суб")</f>
        <v>0</v>
      </c>
      <c r="Z157" s="276">
        <f>SUMIFS('свод практик'!$BN$6:$BN$277,'свод практик'!$J$6:$J$277,'свод субъектов ИБ+смежные'!Z$1,'свод практик'!$G$6:$G$277,"суб")</f>
        <v>0</v>
      </c>
      <c r="AA157" s="276">
        <f>SUMIFS('свод практик'!$BN$6:$BN$277,'свод практик'!$J$6:$J$277,'свод субъектов ИБ+смежные'!AA$1,'свод практик'!$G$6:$G$277,"суб")</f>
        <v>0</v>
      </c>
      <c r="AB157" s="276">
        <f>SUMIFS('свод практик'!$BN$6:$BN$277,'свод практик'!$J$6:$J$277,'свод субъектов ИБ+смежные'!AB$1,'свод практик'!$G$6:$G$277,"суб")</f>
        <v>0</v>
      </c>
      <c r="AC157" s="276">
        <f>SUMIFS('свод практик'!$BN$6:$BN$277,'свод практик'!$J$6:$J$277,'свод субъектов ИБ+смежные'!AC$1,'свод практик'!$G$6:$G$277,"суб")</f>
        <v>0.26400000000000023</v>
      </c>
      <c r="AD157" s="276">
        <f>SUMIFS('свод практик'!$BN$6:$BN$277,'свод практик'!$J$6:$J$277,'свод субъектов ИБ+смежные'!AD$1,'свод практик'!$G$6:$G$277,"суб")</f>
        <v>0</v>
      </c>
      <c r="AE157" s="276">
        <f>SUMIFS('свод практик'!$BN$6:$BN$277,'свод практик'!$J$6:$J$277,'свод субъектов ИБ+смежные'!AE$1,'свод практик'!$G$6:$G$277,"суб")</f>
        <v>0</v>
      </c>
      <c r="AF157" s="276">
        <f>SUMIFS('свод практик'!$BN$6:$BN$277,'свод практик'!$J$6:$J$277,'свод субъектов ИБ+смежные'!AF$1,'свод практик'!$G$6:$G$277,"суб")</f>
        <v>0</v>
      </c>
      <c r="AG157" s="276">
        <f>SUMIFS('свод практик'!$BN$6:$BN$277,'свод практик'!$J$6:$J$277,'свод субъектов ИБ+смежные'!AG$1,'свод практик'!$G$6:$G$277,"суб")</f>
        <v>0</v>
      </c>
      <c r="AH157" s="276">
        <f>SUMIFS('свод практик'!$BN$6:$BN$277,'свод практик'!$J$6:$J$277,'свод субъектов ИБ+смежные'!AH$1,'свод практик'!$G$6:$G$277,"суб")</f>
        <v>0</v>
      </c>
      <c r="AI157" s="276">
        <f>SUMIFS('свод практик'!$BN$6:$BN$277,'свод практик'!$J$6:$J$277,'свод субъектов ИБ+смежные'!AI$1,'свод практик'!$G$6:$G$277,"суб")</f>
        <v>0</v>
      </c>
      <c r="AJ157" s="276">
        <f>SUMIFS('свод практик'!$BN$6:$BN$277,'свод практик'!$J$6:$J$277,'свод субъектов ИБ+смежные'!AJ$1,'свод практик'!$G$6:$G$277,"суб")</f>
        <v>0</v>
      </c>
      <c r="AK157" s="276">
        <f>SUMIFS('свод практик'!$BN$6:$BN$277,'свод практик'!$J$6:$J$277,'свод субъектов ИБ+смежные'!AK$1,'свод практик'!$G$6:$G$277,"суб")</f>
        <v>0</v>
      </c>
      <c r="AL157" s="276">
        <f>SUMIFS('свод практик'!$BN$6:$BN$277,'свод практик'!$J$6:$J$277,'свод субъектов ИБ+смежные'!AL$1,'свод практик'!$G$6:$G$277,"суб")</f>
        <v>0</v>
      </c>
      <c r="AM157" s="276">
        <f>SUMIFS('свод практик'!$BN$6:$BN$277,'свод практик'!$J$6:$J$277,'свод субъектов ИБ+смежные'!AM$1,'свод практик'!$G$6:$G$277,"суб")</f>
        <v>0</v>
      </c>
      <c r="AN157" s="276">
        <f>SUMIFS('свод практик'!$BN$6:$BN$277,'свод практик'!$J$6:$J$277,'свод субъектов ИБ+смежные'!AN$1,'свод практик'!$G$6:$G$277,"суб")</f>
        <v>0</v>
      </c>
      <c r="AO157" s="276">
        <f>SUMIFS('свод практик'!$BN$6:$BN$277,'свод практик'!$J$6:$J$277,'свод субъектов ИБ+смежные'!AO$1,'свод практик'!$G$6:$G$277,"суб")</f>
        <v>0</v>
      </c>
      <c r="AP157" s="276">
        <f>SUMIFS('свод практик'!$BN$6:$BN$277,'свод практик'!$J$6:$J$277,'свод субъектов ИБ+смежные'!AP$1,'свод практик'!$G$6:$G$277,"суб")</f>
        <v>0</v>
      </c>
      <c r="AQ157" s="276">
        <f>SUMIFS('свод практик'!$BN$6:$BN$277,'свод практик'!$J$6:$J$277,'свод субъектов ИБ+смежные'!AQ$1,'свод практик'!$G$6:$G$277,"суб")</f>
        <v>0</v>
      </c>
      <c r="AR157" s="276">
        <f>SUMIFS('свод практик'!$BN$6:$BN$277,'свод практик'!$J$6:$J$277,'свод субъектов ИБ+смежные'!AR$1,'свод практик'!$G$6:$G$277,"суб")</f>
        <v>0</v>
      </c>
      <c r="AS157" s="276">
        <f>SUMIFS('свод практик'!$BN$6:$BN$277,'свод практик'!$J$6:$J$277,'свод субъектов ИБ+смежные'!AS$1,'свод практик'!$G$6:$G$277,"суб")</f>
        <v>0</v>
      </c>
      <c r="AT157" s="276">
        <f>SUMIFS('свод практик'!$BN$6:$BN$277,'свод практик'!$J$6:$J$277,'свод субъектов ИБ+смежные'!AT$1,'свод практик'!$G$6:$G$277,"суб")</f>
        <v>0</v>
      </c>
      <c r="AU157" s="276">
        <f>SUMIFS('свод практик'!$BN$6:$BN$277,'свод практик'!$J$6:$J$277,'свод субъектов ИБ+смежные'!AU$1,'свод практик'!$G$6:$G$277,"суб")</f>
        <v>0</v>
      </c>
      <c r="AV157" s="276">
        <f>SUMIFS('свод практик'!$BN$6:$BN$277,'свод практик'!$J$6:$J$277,'свод субъектов ИБ+смежные'!AV$1,'свод практик'!$G$6:$G$277,"суб")</f>
        <v>0</v>
      </c>
      <c r="AW157" s="276">
        <f>SUMIFS('свод практик'!$BN$6:$BN$277,'свод практик'!$J$6:$J$277,'свод субъектов ИБ+смежные'!AW$1,'свод практик'!$G$6:$G$277,"суб")</f>
        <v>0</v>
      </c>
      <c r="AX157" s="276">
        <f>SUMIFS('свод практик'!$BN$6:$BN$277,'свод практик'!$J$6:$J$277,'свод субъектов ИБ+смежные'!AX$1,'свод практик'!$G$6:$G$277,"суб")</f>
        <v>0</v>
      </c>
      <c r="AY157" s="276">
        <f>SUMIFS('свод практик'!$BN$6:$BN$277,'свод практик'!$J$6:$J$277,'свод субъектов ИБ+смежные'!AY$1,'свод практик'!$G$6:$G$277,"суб")</f>
        <v>0</v>
      </c>
      <c r="AZ157" s="276">
        <f>SUMIFS('свод практик'!$BN$6:$BN$277,'свод практик'!$J$6:$J$277,'свод субъектов ИБ+смежные'!AZ$1,'свод практик'!$G$6:$G$277,"суб")</f>
        <v>0</v>
      </c>
      <c r="BA157" s="276">
        <f>SUMIFS('свод практик'!$BN$6:$BN$277,'свод практик'!$J$6:$J$277,'свод субъектов ИБ+смежные'!BA$1,'свод практик'!$G$6:$G$277,"суб")</f>
        <v>0.42539959999999999</v>
      </c>
      <c r="BB157" s="276">
        <f>SUMIFS('свод практик'!$BN$6:$BN$277,'свод практик'!$J$6:$J$277,'свод субъектов ИБ+смежные'!BB$1,'свод практик'!$G$6:$G$277,"суб")</f>
        <v>0</v>
      </c>
      <c r="BC157" s="276">
        <f>SUMIFS('свод практик'!$BN$6:$BN$277,'свод практик'!$J$6:$J$277,'свод субъектов ИБ+смежные'!BC$1,'свод практик'!$G$6:$G$277,"суб")</f>
        <v>0</v>
      </c>
      <c r="BD157" s="276">
        <f>SUMIFS('свод практик'!$BN$6:$BN$277,'свод практик'!$J$6:$J$277,'свод субъектов ИБ+смежные'!BD$1,'свод практик'!$G$6:$G$277,"суб")</f>
        <v>0</v>
      </c>
      <c r="BE157" s="276">
        <f>SUMIFS('свод практик'!$BN$6:$BN$277,'свод практик'!$J$6:$J$277,'свод субъектов ИБ+смежные'!BE$1,'свод практик'!$G$6:$G$277,"суб")</f>
        <v>0</v>
      </c>
      <c r="BF157" s="276">
        <f>SUMIFS('свод практик'!$BN$6:$BN$277,'свод практик'!$J$6:$J$277,'свод субъектов ИБ+смежные'!BF$1,'свод практик'!$G$6:$G$277,"суб")</f>
        <v>0</v>
      </c>
      <c r="BG157" s="276">
        <f>SUMIFS('свод практик'!$BN$6:$BN$277,'свод практик'!$J$6:$J$277,'свод субъектов ИБ+смежные'!BG$1,'свод практик'!$G$6:$G$277,"суб")</f>
        <v>0</v>
      </c>
      <c r="BH157" s="276">
        <f>SUMIFS('свод практик'!$BN$6:$BN$277,'свод практик'!$J$6:$J$277,'свод субъектов ИБ+смежные'!BH$1,'свод практик'!$G$6:$G$277,"суб")</f>
        <v>0</v>
      </c>
      <c r="BI157" s="276">
        <f>SUMIFS('свод практик'!$BN$6:$BN$277,'свод практик'!$J$6:$J$277,'свод субъектов ИБ+смежные'!BI$1,'свод практик'!$G$6:$G$277,"суб")</f>
        <v>0</v>
      </c>
      <c r="BJ157" s="276">
        <f>SUMIFS('свод практик'!$BN$6:$BN$277,'свод практик'!$J$6:$J$277,'свод субъектов ИБ+смежные'!BJ$1,'свод практик'!$G$6:$G$277,"суб")</f>
        <v>0</v>
      </c>
      <c r="BK157" s="276">
        <f>SUMIFS('свод практик'!$BN$6:$BN$277,'свод практик'!$J$6:$J$277,'свод субъектов ИБ+смежные'!BK$1,'свод практик'!$G$6:$G$277,"суб")</f>
        <v>0</v>
      </c>
      <c r="BL157" s="276">
        <f>SUMIFS('свод практик'!$BN$6:$BN$277,'свод практик'!$J$6:$J$277,'свод субъектов ИБ+смежные'!BL$1,'свод практик'!$G$6:$G$277,"суб")</f>
        <v>0</v>
      </c>
      <c r="BM157" s="276">
        <f>SUMIFS('свод практик'!$BN$6:$BN$277,'свод практик'!$J$6:$J$277,'свод субъектов ИБ+смежные'!BM$1,'свод практик'!$G$6:$G$277,"суб")</f>
        <v>0</v>
      </c>
      <c r="BN157" s="276">
        <f>SUMIFS('свод практик'!$BN$6:$BN$277,'свод практик'!$J$6:$J$277,'свод субъектов ИБ+смежные'!BN$1,'свод практик'!$G$6:$G$277,"суб")</f>
        <v>0</v>
      </c>
      <c r="BO157" s="276">
        <f>SUMIFS('свод практик'!$BN$6:$BN$277,'свод практик'!$J$6:$J$277,'свод субъектов ИБ+смежные'!BO$1,'свод практик'!$G$6:$G$277,"суб")</f>
        <v>0</v>
      </c>
      <c r="BP157" s="276">
        <f>SUMIFS('свод практик'!$BN$6:$BN$277,'свод практик'!$J$6:$J$277,'свод субъектов ИБ+смежные'!BP$1,'свод практик'!$G$6:$G$277,"суб")</f>
        <v>0</v>
      </c>
      <c r="BQ157" s="276">
        <f>SUMIFS('свод практик'!$BN$6:$BN$277,'свод практик'!$J$6:$J$277,'свод субъектов ИБ+смежные'!BQ$1,'свод практик'!$G$6:$G$277,"суб")</f>
        <v>0</v>
      </c>
      <c r="BR157" s="276">
        <f>SUMIFS('свод практик'!$BN$6:$BN$277,'свод практик'!$J$6:$J$277,'свод субъектов ИБ+смежные'!BR$1,'свод практик'!$G$6:$G$277,"суб")</f>
        <v>0</v>
      </c>
      <c r="BS157" s="276">
        <f>SUMIFS('свод практик'!$BN$6:$BN$277,'свод практик'!$J$6:$J$277,'свод субъектов ИБ+смежные'!BS$1,'свод практик'!$G$6:$G$277,"суб")</f>
        <v>0</v>
      </c>
      <c r="BT157" s="276">
        <f>SUMIFS('свод практик'!$BN$6:$BN$277,'свод практик'!$J$6:$J$277,'свод субъектов ИБ+смежные'!BT$1,'свод практик'!$G$6:$G$277,"суб")</f>
        <v>0</v>
      </c>
      <c r="BU157" s="276">
        <f>SUMIFS('свод практик'!$BN$6:$BN$277,'свод практик'!$J$6:$J$277,'свод субъектов ИБ+смежные'!BU$1,'свод практик'!$G$6:$G$277,"суб")</f>
        <v>0</v>
      </c>
      <c r="BV157" s="276">
        <f>SUMIFS('свод практик'!$BN$6:$BN$277,'свод практик'!$J$6:$J$277,'свод субъектов ИБ+смежные'!BV$1,'свод практик'!$G$6:$G$277,"суб")</f>
        <v>0</v>
      </c>
      <c r="BW157" s="276">
        <f>SUMIFS('свод практик'!$BN$6:$BN$277,'свод практик'!$J$6:$J$277,'свод субъектов ИБ+смежные'!BW$1,'свод практик'!$G$6:$G$277,"суб")</f>
        <v>0</v>
      </c>
      <c r="BX157" s="276">
        <f>SUMIFS('свод практик'!$BN$6:$BN$277,'свод практик'!$J$6:$J$277,'свод субъектов ИБ+смежные'!BX$1,'свод практик'!$G$6:$G$277,"суб")</f>
        <v>80.72</v>
      </c>
      <c r="BY157" s="276">
        <f>SUMIFS('свод практик'!$BN$6:$BN$277,'свод практик'!$J$6:$J$277,'свод субъектов ИБ+смежные'!BY$1,'свод практик'!$G$6:$G$277,"суб")</f>
        <v>0</v>
      </c>
      <c r="BZ157" s="276">
        <f>SUMIFS('свод практик'!$BN$6:$BN$277,'свод практик'!$J$6:$J$277,'свод субъектов ИБ+смежные'!BZ$1,'свод практик'!$G$6:$G$277,"суб")</f>
        <v>0</v>
      </c>
      <c r="CA157" s="276">
        <f>SUMIFS('свод практик'!$BN$6:$BN$277,'свод практик'!$J$6:$J$277,'свод субъектов ИБ+смежные'!CA$1,'свод практик'!$G$6:$G$277,"суб")</f>
        <v>0</v>
      </c>
      <c r="CB157" s="276">
        <f>SUMIFS('свод практик'!$BN$6:$BN$277,'свод практик'!$J$6:$J$277,'свод субъектов ИБ+смежные'!CB$1,'свод практик'!$G$6:$G$277,"суб")</f>
        <v>0</v>
      </c>
      <c r="CC157" s="276">
        <f>SUMIFS('свод практик'!$BN$6:$BN$277,'свод практик'!$J$6:$J$277,'свод субъектов ИБ+смежные'!CC$1,'свод практик'!$G$6:$G$277,"суб")</f>
        <v>0</v>
      </c>
      <c r="CD157" s="276">
        <f>SUMIFS('свод практик'!$BN$6:$BN$277,'свод практик'!$J$6:$J$277,'свод субъектов ИБ+смежные'!CD$1,'свод практик'!$G$6:$G$277,"суб")</f>
        <v>0</v>
      </c>
      <c r="CE157" s="276">
        <f>SUMIFS('свод практик'!$BN$6:$BN$277,'свод практик'!$J$6:$J$277,'свод субъектов ИБ+смежные'!CE$1,'свод практик'!$G$6:$G$277,"суб")</f>
        <v>0</v>
      </c>
      <c r="CF157" s="276">
        <f>SUMIFS('свод практик'!$BN$6:$BN$277,'свод практик'!$J$6:$J$277,'свод субъектов ИБ+смежные'!CF$1,'свод практик'!$G$6:$G$277,"суб")</f>
        <v>0</v>
      </c>
      <c r="CG157" s="276">
        <f>SUMIFS('свод практик'!$BN$6:$BN$277,'свод практик'!$J$6:$J$277,'свод субъектов ИБ+смежные'!CG$1,'свод практик'!$G$6:$G$277,"суб")</f>
        <v>0</v>
      </c>
      <c r="CH157" s="276">
        <f>SUMIFS('свод практик'!$BN$6:$BN$277,'свод практик'!$J$6:$J$277,'свод субъектов ИБ+смежные'!CH$1,'свод практик'!$G$6:$G$277,"суб")</f>
        <v>0</v>
      </c>
      <c r="CI157" s="276">
        <f>SUMIFS('свод практик'!$BN$6:$BN$277,'свод практик'!$J$6:$J$277,'свод субъектов ИБ+смежные'!CI$1,'свод практик'!$G$6:$G$277,"суб")</f>
        <v>0</v>
      </c>
      <c r="CJ157" s="276">
        <f>SUMIFS('свод практик'!$BN$6:$BN$277,'свод практик'!$J$6:$J$277,'свод субъектов ИБ+смежные'!CJ$1,'свод практик'!$G$6:$G$277,"суб")</f>
        <v>0</v>
      </c>
      <c r="CK157" s="276">
        <f>SUMIFS('свод практик'!$BN$6:$BN$277,'свод практик'!$J$6:$J$277,'свод субъектов ИБ+смежные'!CK$1,'свод практик'!$G$6:$G$277,"суб")</f>
        <v>0</v>
      </c>
      <c r="CL157" s="276">
        <f>SUMIFS('свод практик'!$BN$6:$BN$277,'свод практик'!$J$6:$J$277,'свод субъектов ИБ+смежные'!CL$1,'свод практик'!$G$6:$G$277,"суб")</f>
        <v>0</v>
      </c>
      <c r="CM157" s="276">
        <f>SUMIFS('свод практик'!$BN$6:$BN$277,'свод практик'!$J$6:$J$277,'свод субъектов ИБ+смежные'!CM$1,'свод практик'!$G$6:$G$277,"суб")</f>
        <v>0</v>
      </c>
      <c r="CN157" s="276">
        <f>SUMIFS('свод практик'!$BN$6:$BN$277,'свод практик'!$J$6:$J$277,'свод субъектов ИБ+смежные'!CN$1,'свод практик'!$G$6:$G$277,"суб")</f>
        <v>0</v>
      </c>
      <c r="CO157" s="276">
        <f>SUMIFS('свод практик'!$BN$6:$BN$277,'свод практик'!$J$6:$J$277,'свод субъектов ИБ+смежные'!CO$1,'свод практик'!$G$6:$G$277,"суб")</f>
        <v>0</v>
      </c>
      <c r="CP157" s="276">
        <f>SUMIFS('свод практик'!$BN$6:$BN$277,'свод практик'!$J$6:$J$277,'свод субъектов ИБ+смежные'!CP$1,'свод практик'!$G$6:$G$277,"суб")</f>
        <v>0</v>
      </c>
      <c r="CQ157" s="276">
        <f>SUMIFS('свод практик'!$BN$6:$BN$277,'свод практик'!$J$6:$J$277,'свод субъектов ИБ+смежные'!CQ$1,'свод практик'!$G$6:$G$277,"суб")</f>
        <v>0</v>
      </c>
      <c r="CR157" s="276">
        <f>SUMIFS('свод практик'!$BN$6:$BN$277,'свод практик'!$J$6:$J$277,'свод субъектов ИБ+смежные'!CR$1,'свод практик'!$G$6:$G$277,"суб")</f>
        <v>0</v>
      </c>
      <c r="CS157" s="276">
        <f>SUMIFS('свод практик'!$BN$6:$BN$277,'свод практик'!$J$6:$J$277,'свод субъектов ИБ+смежные'!CS$1,'свод практик'!$G$6:$G$277,"суб")</f>
        <v>0</v>
      </c>
      <c r="CT157" s="276">
        <f>SUMIFS('свод практик'!$BN$6:$BN$277,'свод практик'!$J$6:$J$277,'свод субъектов ИБ+смежные'!CT$1,'свод практик'!$G$6:$G$277,"суб")</f>
        <v>0</v>
      </c>
      <c r="CU157" s="276">
        <f>SUMIFS('свод практик'!$BN$6:$BN$277,'свод практик'!$J$6:$J$277,'свод субъектов ИБ+смежные'!CU$1,'свод практик'!$G$6:$G$277,"суб")</f>
        <v>0</v>
      </c>
      <c r="CV157" s="276">
        <f>SUMIFS('свод практик'!$BN$6:$BN$277,'свод практик'!$J$6:$J$277,'свод субъектов ИБ+смежные'!CV$1,'свод практик'!$G$6:$G$277,"суб")</f>
        <v>0</v>
      </c>
    </row>
    <row r="158" spans="1:100" ht="28">
      <c r="D158" s="36" t="s">
        <v>4949</v>
      </c>
      <c r="E158" s="36">
        <v>35</v>
      </c>
      <c r="F158" s="36" t="s">
        <v>5549</v>
      </c>
      <c r="G158" s="36" t="s">
        <v>5533</v>
      </c>
      <c r="H158" s="36" t="s">
        <v>60</v>
      </c>
      <c r="I158" s="36" t="s">
        <v>5090</v>
      </c>
      <c r="M158" s="36" t="s">
        <v>5497</v>
      </c>
      <c r="N158" s="36">
        <v>4.2192272639668075E-3</v>
      </c>
      <c r="O158" s="328">
        <f>O157/O61</f>
        <v>3.5196368770664733E-3</v>
      </c>
      <c r="P158" s="328">
        <f t="shared" ref="P158:CA158" si="108">P157/P61</f>
        <v>0</v>
      </c>
      <c r="Q158" s="328">
        <f t="shared" si="108"/>
        <v>0</v>
      </c>
      <c r="R158" s="328">
        <f t="shared" si="108"/>
        <v>0</v>
      </c>
      <c r="S158" s="328">
        <f t="shared" si="108"/>
        <v>0</v>
      </c>
      <c r="T158" s="328">
        <f t="shared" si="108"/>
        <v>0</v>
      </c>
      <c r="U158" s="328">
        <f t="shared" si="108"/>
        <v>0</v>
      </c>
      <c r="V158" s="328">
        <f t="shared" si="108"/>
        <v>0</v>
      </c>
      <c r="W158" s="328">
        <f t="shared" si="108"/>
        <v>0</v>
      </c>
      <c r="X158" s="328">
        <f t="shared" si="108"/>
        <v>0</v>
      </c>
      <c r="Y158" s="328">
        <f t="shared" si="108"/>
        <v>0</v>
      </c>
      <c r="Z158" s="328">
        <f t="shared" si="108"/>
        <v>0</v>
      </c>
      <c r="AA158" s="328">
        <f t="shared" si="108"/>
        <v>0</v>
      </c>
      <c r="AB158" s="328">
        <f t="shared" si="108"/>
        <v>0</v>
      </c>
      <c r="AC158" s="328">
        <f t="shared" si="108"/>
        <v>9.0380935100326334E-4</v>
      </c>
      <c r="AD158" s="328" t="e">
        <f t="shared" si="108"/>
        <v>#DIV/0!</v>
      </c>
      <c r="AE158" s="328" t="e">
        <f t="shared" si="108"/>
        <v>#DIV/0!</v>
      </c>
      <c r="AF158" s="328">
        <f t="shared" si="108"/>
        <v>0</v>
      </c>
      <c r="AG158" s="328" t="e">
        <f t="shared" si="108"/>
        <v>#DIV/0!</v>
      </c>
      <c r="AH158" s="328" t="e">
        <f t="shared" si="108"/>
        <v>#DIV/0!</v>
      </c>
      <c r="AI158" s="328">
        <f t="shared" si="108"/>
        <v>0</v>
      </c>
      <c r="AJ158" s="328" t="e">
        <f t="shared" si="108"/>
        <v>#DIV/0!</v>
      </c>
      <c r="AK158" s="328">
        <f t="shared" si="108"/>
        <v>0</v>
      </c>
      <c r="AL158" s="328">
        <f t="shared" si="108"/>
        <v>0</v>
      </c>
      <c r="AM158" s="328">
        <f t="shared" si="108"/>
        <v>0</v>
      </c>
      <c r="AN158" s="328" t="e">
        <f t="shared" si="108"/>
        <v>#DIV/0!</v>
      </c>
      <c r="AO158" s="328" t="e">
        <f t="shared" si="108"/>
        <v>#DIV/0!</v>
      </c>
      <c r="AP158" s="328">
        <f t="shared" si="108"/>
        <v>0</v>
      </c>
      <c r="AQ158" s="328">
        <f t="shared" si="108"/>
        <v>0</v>
      </c>
      <c r="AR158" s="328">
        <f t="shared" si="108"/>
        <v>0</v>
      </c>
      <c r="AS158" s="328">
        <f t="shared" si="108"/>
        <v>0</v>
      </c>
      <c r="AT158" s="328">
        <f t="shared" si="108"/>
        <v>0</v>
      </c>
      <c r="AU158" s="328" t="e">
        <f t="shared" si="108"/>
        <v>#DIV/0!</v>
      </c>
      <c r="AV158" s="328">
        <f t="shared" si="108"/>
        <v>0</v>
      </c>
      <c r="AW158" s="328">
        <f t="shared" si="108"/>
        <v>0</v>
      </c>
      <c r="AX158" s="328">
        <f t="shared" si="108"/>
        <v>0</v>
      </c>
      <c r="AY158" s="328" t="e">
        <f t="shared" si="108"/>
        <v>#DIV/0!</v>
      </c>
      <c r="AZ158" s="328">
        <f t="shared" si="108"/>
        <v>0</v>
      </c>
      <c r="BA158" s="328">
        <f t="shared" si="108"/>
        <v>5.1525490243577469E-3</v>
      </c>
      <c r="BB158" s="328" t="e">
        <f t="shared" si="108"/>
        <v>#DIV/0!</v>
      </c>
      <c r="BC158" s="328">
        <f t="shared" si="108"/>
        <v>0</v>
      </c>
      <c r="BD158" s="328" t="e">
        <f t="shared" si="108"/>
        <v>#DIV/0!</v>
      </c>
      <c r="BE158" s="328" t="e">
        <f t="shared" si="108"/>
        <v>#DIV/0!</v>
      </c>
      <c r="BF158" s="328" t="e">
        <f t="shared" si="108"/>
        <v>#DIV/0!</v>
      </c>
      <c r="BG158" s="328">
        <f t="shared" si="108"/>
        <v>0</v>
      </c>
      <c r="BH158" s="328">
        <f t="shared" si="108"/>
        <v>0</v>
      </c>
      <c r="BI158" s="328">
        <f t="shared" si="108"/>
        <v>0</v>
      </c>
      <c r="BJ158" s="328">
        <f t="shared" si="108"/>
        <v>0</v>
      </c>
      <c r="BK158" s="328">
        <f t="shared" si="108"/>
        <v>0</v>
      </c>
      <c r="BL158" s="328" t="e">
        <f t="shared" si="108"/>
        <v>#DIV/0!</v>
      </c>
      <c r="BM158" s="328">
        <f t="shared" si="108"/>
        <v>0</v>
      </c>
      <c r="BN158" s="328">
        <f t="shared" si="108"/>
        <v>0</v>
      </c>
      <c r="BO158" s="328">
        <f t="shared" si="108"/>
        <v>0</v>
      </c>
      <c r="BP158" s="328">
        <f t="shared" si="108"/>
        <v>0</v>
      </c>
      <c r="BQ158" s="328" t="e">
        <f t="shared" si="108"/>
        <v>#DIV/0!</v>
      </c>
      <c r="BR158" s="328">
        <f t="shared" si="108"/>
        <v>0</v>
      </c>
      <c r="BS158" s="328" t="e">
        <f t="shared" si="108"/>
        <v>#DIV/0!</v>
      </c>
      <c r="BT158" s="328">
        <f t="shared" si="108"/>
        <v>0</v>
      </c>
      <c r="BU158" s="328">
        <f t="shared" si="108"/>
        <v>0</v>
      </c>
      <c r="BV158" s="328">
        <f t="shared" si="108"/>
        <v>0</v>
      </c>
      <c r="BW158" s="328">
        <f t="shared" si="108"/>
        <v>0</v>
      </c>
      <c r="BX158" s="328">
        <f t="shared" si="108"/>
        <v>0.100016107648655</v>
      </c>
      <c r="BY158" s="328">
        <f t="shared" si="108"/>
        <v>0</v>
      </c>
      <c r="BZ158" s="328">
        <f t="shared" si="108"/>
        <v>0</v>
      </c>
      <c r="CA158" s="328" t="e">
        <f t="shared" si="108"/>
        <v>#DIV/0!</v>
      </c>
      <c r="CB158" s="328" t="e">
        <f t="shared" ref="CB158:CV158" si="109">CB157/CB61</f>
        <v>#DIV/0!</v>
      </c>
      <c r="CC158" s="328">
        <f t="shared" si="109"/>
        <v>0</v>
      </c>
      <c r="CD158" s="328">
        <f t="shared" si="109"/>
        <v>0</v>
      </c>
      <c r="CE158" s="328">
        <f t="shared" si="109"/>
        <v>0</v>
      </c>
      <c r="CF158" s="328">
        <f t="shared" si="109"/>
        <v>0</v>
      </c>
      <c r="CG158" s="328">
        <f t="shared" si="109"/>
        <v>0</v>
      </c>
      <c r="CH158" s="328">
        <f t="shared" si="109"/>
        <v>0</v>
      </c>
      <c r="CI158" s="328">
        <f t="shared" si="109"/>
        <v>0</v>
      </c>
      <c r="CJ158" s="328" t="e">
        <f t="shared" si="109"/>
        <v>#DIV/0!</v>
      </c>
      <c r="CK158" s="328">
        <f t="shared" si="109"/>
        <v>0</v>
      </c>
      <c r="CL158" s="328">
        <f t="shared" si="109"/>
        <v>0</v>
      </c>
      <c r="CM158" s="328">
        <f t="shared" si="109"/>
        <v>0</v>
      </c>
      <c r="CN158" s="328">
        <f t="shared" si="109"/>
        <v>0</v>
      </c>
      <c r="CO158" s="328" t="e">
        <f t="shared" si="109"/>
        <v>#DIV/0!</v>
      </c>
      <c r="CP158" s="328">
        <f t="shared" si="109"/>
        <v>0</v>
      </c>
      <c r="CQ158" s="328" t="e">
        <f t="shared" si="109"/>
        <v>#DIV/0!</v>
      </c>
      <c r="CR158" s="328" t="e">
        <f t="shared" si="109"/>
        <v>#DIV/0!</v>
      </c>
      <c r="CS158" s="328">
        <f t="shared" si="109"/>
        <v>0</v>
      </c>
      <c r="CT158" s="328">
        <f t="shared" si="109"/>
        <v>0</v>
      </c>
      <c r="CU158" s="328" t="e">
        <f t="shared" si="109"/>
        <v>#DIV/0!</v>
      </c>
      <c r="CV158" s="328">
        <f t="shared" si="109"/>
        <v>0</v>
      </c>
    </row>
    <row r="159" spans="1:100" ht="56">
      <c r="A159" s="36" t="s">
        <v>5550</v>
      </c>
      <c r="B159" s="36" t="s">
        <v>4947</v>
      </c>
      <c r="C159" s="36" t="s">
        <v>5108</v>
      </c>
      <c r="D159" s="36" t="s">
        <v>4949</v>
      </c>
      <c r="E159" s="36">
        <v>36</v>
      </c>
      <c r="F159" s="36" t="s">
        <v>5551</v>
      </c>
      <c r="G159" s="36" t="s">
        <v>5552</v>
      </c>
      <c r="H159" s="36" t="s">
        <v>5082</v>
      </c>
      <c r="I159" s="36" t="s">
        <v>4961</v>
      </c>
      <c r="L159" s="36" t="s">
        <v>278</v>
      </c>
      <c r="M159" s="36" t="s">
        <v>5497</v>
      </c>
      <c r="N159" s="36">
        <v>1675.8052900599998</v>
      </c>
      <c r="O159" s="224">
        <f>O153+O155+O157</f>
        <v>1980.12854606</v>
      </c>
      <c r="P159" s="224">
        <f>P153+P155+P157</f>
        <v>1.2330000000000001</v>
      </c>
      <c r="Q159" s="224">
        <f t="shared" ref="Q159:CB159" si="110">Q153+Q155+Q157</f>
        <v>4.5999999999999996</v>
      </c>
      <c r="R159" s="224">
        <f t="shared" si="110"/>
        <v>22.9</v>
      </c>
      <c r="S159" s="224">
        <f t="shared" si="110"/>
        <v>6.202</v>
      </c>
      <c r="T159" s="224">
        <f t="shared" si="110"/>
        <v>15.15</v>
      </c>
      <c r="U159" s="224">
        <f t="shared" si="110"/>
        <v>2.5000000000000001E-2</v>
      </c>
      <c r="V159" s="224">
        <f t="shared" si="110"/>
        <v>211.684</v>
      </c>
      <c r="W159" s="224">
        <f t="shared" si="110"/>
        <v>0</v>
      </c>
      <c r="X159" s="224">
        <f t="shared" si="110"/>
        <v>5</v>
      </c>
      <c r="Y159" s="224">
        <f t="shared" si="110"/>
        <v>0</v>
      </c>
      <c r="Z159" s="224">
        <f t="shared" si="110"/>
        <v>67.754999999999995</v>
      </c>
      <c r="AA159" s="224">
        <f t="shared" si="110"/>
        <v>1.5683069999999999</v>
      </c>
      <c r="AB159" s="224">
        <f t="shared" si="110"/>
        <v>27.853000000000002</v>
      </c>
      <c r="AC159" s="224">
        <f t="shared" si="110"/>
        <v>49.190000000000005</v>
      </c>
      <c r="AD159" s="224">
        <f t="shared" si="110"/>
        <v>0</v>
      </c>
      <c r="AE159" s="224">
        <f t="shared" si="110"/>
        <v>0</v>
      </c>
      <c r="AF159" s="224">
        <f t="shared" si="110"/>
        <v>0</v>
      </c>
      <c r="AG159" s="224">
        <f t="shared" si="110"/>
        <v>0</v>
      </c>
      <c r="AH159" s="224">
        <f t="shared" si="110"/>
        <v>0</v>
      </c>
      <c r="AI159" s="224">
        <f t="shared" si="110"/>
        <v>0</v>
      </c>
      <c r="AJ159" s="224">
        <f t="shared" si="110"/>
        <v>0</v>
      </c>
      <c r="AK159" s="224">
        <f t="shared" si="110"/>
        <v>162.24700000000001</v>
      </c>
      <c r="AL159" s="224">
        <f t="shared" si="110"/>
        <v>1.0980000000000001</v>
      </c>
      <c r="AM159" s="224">
        <f t="shared" si="110"/>
        <v>11.724</v>
      </c>
      <c r="AN159" s="224">
        <f t="shared" si="110"/>
        <v>0</v>
      </c>
      <c r="AO159" s="224">
        <f t="shared" si="110"/>
        <v>0</v>
      </c>
      <c r="AP159" s="224">
        <f t="shared" si="110"/>
        <v>15.100000000000001</v>
      </c>
      <c r="AQ159" s="224">
        <f t="shared" si="110"/>
        <v>9.6</v>
      </c>
      <c r="AR159" s="224">
        <f t="shared" si="110"/>
        <v>86.42</v>
      </c>
      <c r="AS159" s="224">
        <f t="shared" si="110"/>
        <v>8.4019999999999992</v>
      </c>
      <c r="AT159" s="224">
        <f t="shared" si="110"/>
        <v>30.090999999999998</v>
      </c>
      <c r="AU159" s="224">
        <f t="shared" si="110"/>
        <v>0</v>
      </c>
      <c r="AV159" s="224">
        <f t="shared" si="110"/>
        <v>12.9</v>
      </c>
      <c r="AW159" s="224">
        <f t="shared" si="110"/>
        <v>5.359</v>
      </c>
      <c r="AX159" s="224">
        <f t="shared" si="110"/>
        <v>14.9404</v>
      </c>
      <c r="AY159" s="224">
        <f t="shared" si="110"/>
        <v>0</v>
      </c>
      <c r="AZ159" s="224">
        <f t="shared" si="110"/>
        <v>1.079</v>
      </c>
      <c r="BA159" s="224">
        <f t="shared" si="110"/>
        <v>5.6582222299999998</v>
      </c>
      <c r="BB159" s="224">
        <f t="shared" si="110"/>
        <v>0</v>
      </c>
      <c r="BC159" s="224">
        <f t="shared" si="110"/>
        <v>5.1242109999999998</v>
      </c>
      <c r="BD159" s="224">
        <f t="shared" si="110"/>
        <v>0</v>
      </c>
      <c r="BE159" s="224">
        <f t="shared" si="110"/>
        <v>0</v>
      </c>
      <c r="BF159" s="224">
        <f t="shared" si="110"/>
        <v>0</v>
      </c>
      <c r="BG159" s="224">
        <f t="shared" si="110"/>
        <v>9.5689999999999991</v>
      </c>
      <c r="BH159" s="224">
        <f t="shared" si="110"/>
        <v>0.316</v>
      </c>
      <c r="BI159" s="224">
        <f t="shared" si="110"/>
        <v>103.262</v>
      </c>
      <c r="BJ159" s="224">
        <f t="shared" si="110"/>
        <v>19.694099999999999</v>
      </c>
      <c r="BK159" s="224">
        <f t="shared" si="110"/>
        <v>14</v>
      </c>
      <c r="BL159" s="224">
        <f t="shared" si="110"/>
        <v>0</v>
      </c>
      <c r="BM159" s="224">
        <f t="shared" si="110"/>
        <v>15</v>
      </c>
      <c r="BN159" s="224">
        <f t="shared" si="110"/>
        <v>3.0530999999999997</v>
      </c>
      <c r="BO159" s="224">
        <f t="shared" si="110"/>
        <v>0.2</v>
      </c>
      <c r="BP159" s="224">
        <f t="shared" si="110"/>
        <v>13.80945537</v>
      </c>
      <c r="BQ159" s="224">
        <f t="shared" si="110"/>
        <v>0</v>
      </c>
      <c r="BR159" s="224">
        <f t="shared" si="110"/>
        <v>0.106</v>
      </c>
      <c r="BS159" s="224">
        <f t="shared" si="110"/>
        <v>0</v>
      </c>
      <c r="BT159" s="224">
        <f t="shared" si="110"/>
        <v>20.323</v>
      </c>
      <c r="BU159" s="224">
        <f t="shared" si="110"/>
        <v>28.898</v>
      </c>
      <c r="BV159" s="224">
        <f t="shared" si="110"/>
        <v>0</v>
      </c>
      <c r="BW159" s="224">
        <f t="shared" si="110"/>
        <v>14.5906</v>
      </c>
      <c r="BX159" s="224">
        <f t="shared" si="110"/>
        <v>170.51999999999998</v>
      </c>
      <c r="BY159" s="224">
        <f t="shared" si="110"/>
        <v>3.5</v>
      </c>
      <c r="BZ159" s="224">
        <f t="shared" si="110"/>
        <v>81.649524000000014</v>
      </c>
      <c r="CA159" s="224">
        <f t="shared" si="110"/>
        <v>0</v>
      </c>
      <c r="CB159" s="224">
        <f t="shared" si="110"/>
        <v>0</v>
      </c>
      <c r="CC159" s="224">
        <f t="shared" ref="CC159:CV159" si="111">CC153+CC155+CC157</f>
        <v>2E-3</v>
      </c>
      <c r="CD159" s="224">
        <f t="shared" si="111"/>
        <v>89.18</v>
      </c>
      <c r="CE159" s="224">
        <f t="shared" si="111"/>
        <v>2.2000000000000002</v>
      </c>
      <c r="CF159" s="224">
        <f t="shared" si="111"/>
        <v>285.12299999999999</v>
      </c>
      <c r="CG159" s="224">
        <f t="shared" si="111"/>
        <v>35.5</v>
      </c>
      <c r="CH159" s="224">
        <f t="shared" si="111"/>
        <v>6.10338446</v>
      </c>
      <c r="CI159" s="224">
        <f t="shared" si="111"/>
        <v>120</v>
      </c>
      <c r="CJ159" s="224">
        <f t="shared" si="111"/>
        <v>0</v>
      </c>
      <c r="CK159" s="224">
        <f t="shared" si="111"/>
        <v>1.1970000000000001</v>
      </c>
      <c r="CL159" s="224">
        <f t="shared" si="111"/>
        <v>13.74</v>
      </c>
      <c r="CM159" s="224">
        <f t="shared" si="111"/>
        <v>15.8</v>
      </c>
      <c r="CN159" s="224">
        <f t="shared" si="111"/>
        <v>64.075000000000003</v>
      </c>
      <c r="CO159" s="224">
        <f t="shared" si="111"/>
        <v>0</v>
      </c>
      <c r="CP159" s="224">
        <f t="shared" si="111"/>
        <v>0.52790000000000004</v>
      </c>
      <c r="CQ159" s="224">
        <f t="shared" si="111"/>
        <v>0</v>
      </c>
      <c r="CR159" s="224">
        <f t="shared" si="111"/>
        <v>0</v>
      </c>
      <c r="CS159" s="224">
        <f t="shared" si="111"/>
        <v>60.743000000000002</v>
      </c>
      <c r="CT159" s="224">
        <f t="shared" si="111"/>
        <v>4.3341999999999999E-2</v>
      </c>
      <c r="CU159" s="224">
        <f t="shared" si="111"/>
        <v>0</v>
      </c>
      <c r="CV159" s="224">
        <f t="shared" si="111"/>
        <v>4.5</v>
      </c>
    </row>
    <row r="160" spans="1:100" ht="28">
      <c r="D160" s="36" t="s">
        <v>4949</v>
      </c>
      <c r="E160" s="36">
        <v>37</v>
      </c>
      <c r="F160" s="36" t="s">
        <v>5553</v>
      </c>
      <c r="G160" s="36" t="s">
        <v>5533</v>
      </c>
      <c r="H160" s="36" t="s">
        <v>60</v>
      </c>
      <c r="I160" s="36" t="s">
        <v>5090</v>
      </c>
      <c r="M160" s="36" t="s">
        <v>5497</v>
      </c>
      <c r="N160" s="327">
        <v>9.0250533334478092E-2</v>
      </c>
      <c r="O160" s="328">
        <f>O159/O61</f>
        <v>8.5608461507985303E-2</v>
      </c>
      <c r="P160" s="328">
        <f>P159/P61</f>
        <v>0.17206251744348311</v>
      </c>
      <c r="Q160" s="328">
        <f t="shared" ref="Q160:CB160" si="112">Q159/Q61</f>
        <v>6.0548412295189098E-2</v>
      </c>
      <c r="R160" s="328">
        <f t="shared" si="112"/>
        <v>0.13145809414466131</v>
      </c>
      <c r="S160" s="328">
        <f t="shared" si="112"/>
        <v>6.9201758496797661E-2</v>
      </c>
      <c r="T160" s="328">
        <f t="shared" si="112"/>
        <v>0.30077427039904708</v>
      </c>
      <c r="U160" s="328">
        <f t="shared" si="112"/>
        <v>2.0833333333333336E-2</v>
      </c>
      <c r="V160" s="328">
        <f t="shared" si="112"/>
        <v>6.7352438648013158E-2</v>
      </c>
      <c r="W160" s="328">
        <f t="shared" si="112"/>
        <v>0</v>
      </c>
      <c r="X160" s="328">
        <f t="shared" si="112"/>
        <v>4.5871559633027525E-2</v>
      </c>
      <c r="Y160" s="328">
        <f t="shared" si="112"/>
        <v>0</v>
      </c>
      <c r="Z160" s="328">
        <f t="shared" si="112"/>
        <v>9.4978629633108144E-2</v>
      </c>
      <c r="AA160" s="328">
        <f t="shared" si="112"/>
        <v>1.3706461226523102E-2</v>
      </c>
      <c r="AB160" s="328">
        <f t="shared" si="112"/>
        <v>0.16252188119967326</v>
      </c>
      <c r="AC160" s="328">
        <f t="shared" si="112"/>
        <v>0.1684029620297367</v>
      </c>
      <c r="AD160" s="328" t="e">
        <f t="shared" si="112"/>
        <v>#DIV/0!</v>
      </c>
      <c r="AE160" s="328" t="e">
        <f t="shared" si="112"/>
        <v>#DIV/0!</v>
      </c>
      <c r="AF160" s="328">
        <f t="shared" si="112"/>
        <v>0</v>
      </c>
      <c r="AG160" s="328" t="e">
        <f t="shared" si="112"/>
        <v>#DIV/0!</v>
      </c>
      <c r="AH160" s="328" t="e">
        <f t="shared" si="112"/>
        <v>#DIV/0!</v>
      </c>
      <c r="AI160" s="328">
        <f t="shared" si="112"/>
        <v>0</v>
      </c>
      <c r="AJ160" s="328" t="e">
        <f t="shared" si="112"/>
        <v>#DIV/0!</v>
      </c>
      <c r="AK160" s="328">
        <f t="shared" si="112"/>
        <v>9.0870257136579966E-2</v>
      </c>
      <c r="AL160" s="328">
        <f t="shared" si="112"/>
        <v>0.14633769916354281</v>
      </c>
      <c r="AM160" s="328">
        <f t="shared" si="112"/>
        <v>8.4862435126273048E-2</v>
      </c>
      <c r="AN160" s="328" t="e">
        <f t="shared" si="112"/>
        <v>#DIV/0!</v>
      </c>
      <c r="AO160" s="328" t="e">
        <f t="shared" si="112"/>
        <v>#DIV/0!</v>
      </c>
      <c r="AP160" s="328">
        <f t="shared" si="112"/>
        <v>0.12520729684908791</v>
      </c>
      <c r="AQ160" s="328">
        <f t="shared" si="112"/>
        <v>7.8367346938775506E-2</v>
      </c>
      <c r="AR160" s="328">
        <f t="shared" si="112"/>
        <v>0.20522441225362145</v>
      </c>
      <c r="AS160" s="328">
        <f t="shared" si="112"/>
        <v>7.1057661406268485E-2</v>
      </c>
      <c r="AT160" s="328">
        <f t="shared" si="112"/>
        <v>5.958224512061587E-2</v>
      </c>
      <c r="AU160" s="328" t="e">
        <f t="shared" si="112"/>
        <v>#DIV/0!</v>
      </c>
      <c r="AV160" s="328">
        <f t="shared" si="112"/>
        <v>0.10723192019950126</v>
      </c>
      <c r="AW160" s="328">
        <f t="shared" si="112"/>
        <v>1.8063062942359025E-2</v>
      </c>
      <c r="AX160" s="328">
        <f t="shared" si="112"/>
        <v>2.6352746712144107E-2</v>
      </c>
      <c r="AY160" s="328" t="e">
        <f t="shared" si="112"/>
        <v>#DIV/0!</v>
      </c>
      <c r="AZ160" s="328">
        <f t="shared" si="112"/>
        <v>1.9742126477686273E-3</v>
      </c>
      <c r="BA160" s="328">
        <f t="shared" si="112"/>
        <v>6.8533838374050693E-2</v>
      </c>
      <c r="BB160" s="328" t="e">
        <f t="shared" si="112"/>
        <v>#DIV/0!</v>
      </c>
      <c r="BC160" s="328">
        <f t="shared" si="112"/>
        <v>0.15840000939727167</v>
      </c>
      <c r="BD160" s="328" t="e">
        <f t="shared" si="112"/>
        <v>#DIV/0!</v>
      </c>
      <c r="BE160" s="328" t="e">
        <f t="shared" si="112"/>
        <v>#DIV/0!</v>
      </c>
      <c r="BF160" s="328" t="e">
        <f t="shared" si="112"/>
        <v>#DIV/0!</v>
      </c>
      <c r="BG160" s="328">
        <f t="shared" si="112"/>
        <v>0.2567893945899527</v>
      </c>
      <c r="BH160" s="328">
        <f t="shared" si="112"/>
        <v>1.3572717120522292E-2</v>
      </c>
      <c r="BI160" s="328">
        <f t="shared" si="112"/>
        <v>0.1484856938257261</v>
      </c>
      <c r="BJ160" s="328">
        <f t="shared" si="112"/>
        <v>3.4610211805899099E-2</v>
      </c>
      <c r="BK160" s="328">
        <f t="shared" si="112"/>
        <v>8.8832487309644673E-2</v>
      </c>
      <c r="BL160" s="328" t="e">
        <f t="shared" si="112"/>
        <v>#DIV/0!</v>
      </c>
      <c r="BM160" s="328">
        <f t="shared" si="112"/>
        <v>0.14763779527559057</v>
      </c>
      <c r="BN160" s="328">
        <f t="shared" si="112"/>
        <v>0.12167138245725896</v>
      </c>
      <c r="BO160" s="328">
        <f t="shared" si="112"/>
        <v>4.1076196344218529E-4</v>
      </c>
      <c r="BP160" s="328">
        <f t="shared" si="112"/>
        <v>0.10602700987529018</v>
      </c>
      <c r="BQ160" s="328" t="e">
        <f t="shared" si="112"/>
        <v>#DIV/0!</v>
      </c>
      <c r="BR160" s="328">
        <f t="shared" si="112"/>
        <v>2.3063533507397736E-2</v>
      </c>
      <c r="BS160" s="328" t="e">
        <f t="shared" si="112"/>
        <v>#DIV/0!</v>
      </c>
      <c r="BT160" s="328">
        <f t="shared" si="112"/>
        <v>9.6792783524794729E-2</v>
      </c>
      <c r="BU160" s="328">
        <f t="shared" si="112"/>
        <v>0.12579552676713593</v>
      </c>
      <c r="BV160" s="328">
        <f t="shared" si="112"/>
        <v>0</v>
      </c>
      <c r="BW160" s="328">
        <f t="shared" si="112"/>
        <v>0.1348156594099586</v>
      </c>
      <c r="BX160" s="328">
        <f t="shared" si="112"/>
        <v>0.21128278835788714</v>
      </c>
      <c r="BY160" s="328">
        <f t="shared" si="112"/>
        <v>4.0612671153399862E-3</v>
      </c>
      <c r="BZ160" s="328">
        <f t="shared" si="112"/>
        <v>3.9474454976431178E-2</v>
      </c>
      <c r="CA160" s="328" t="e">
        <f t="shared" si="112"/>
        <v>#DIV/0!</v>
      </c>
      <c r="CB160" s="328" t="e">
        <f t="shared" si="112"/>
        <v>#DIV/0!</v>
      </c>
      <c r="CC160" s="328">
        <f t="shared" ref="CC160:CV160" si="113">CC159/CC61</f>
        <v>2.4390243902439024E-3</v>
      </c>
      <c r="CD160" s="328">
        <f t="shared" si="113"/>
        <v>0.13827214090796328</v>
      </c>
      <c r="CE160" s="328">
        <f t="shared" si="113"/>
        <v>1.5912855417242307E-2</v>
      </c>
      <c r="CF160" s="328">
        <f t="shared" si="113"/>
        <v>0.2117271487161132</v>
      </c>
      <c r="CG160" s="328">
        <f t="shared" si="113"/>
        <v>0.15834076717216772</v>
      </c>
      <c r="CH160" s="328">
        <f t="shared" si="113"/>
        <v>0.11309725811782384</v>
      </c>
      <c r="CI160" s="328">
        <f t="shared" si="113"/>
        <v>0.17191977077363896</v>
      </c>
      <c r="CJ160" s="328" t="e">
        <f t="shared" si="113"/>
        <v>#DIV/0!</v>
      </c>
      <c r="CK160" s="328">
        <f t="shared" si="113"/>
        <v>2.7532495014479289E-3</v>
      </c>
      <c r="CL160" s="328">
        <f t="shared" si="113"/>
        <v>0.18059936908517352</v>
      </c>
      <c r="CM160" s="328">
        <f t="shared" si="113"/>
        <v>0.10755616065350579</v>
      </c>
      <c r="CN160" s="328">
        <f t="shared" si="113"/>
        <v>0.31979138073016744</v>
      </c>
      <c r="CO160" s="328" t="e">
        <f t="shared" si="113"/>
        <v>#DIV/0!</v>
      </c>
      <c r="CP160" s="328">
        <f t="shared" si="113"/>
        <v>8.609363543137169E-4</v>
      </c>
      <c r="CQ160" s="328" t="e">
        <f t="shared" si="113"/>
        <v>#DIV/0!</v>
      </c>
      <c r="CR160" s="328" t="e">
        <f t="shared" si="113"/>
        <v>#DIV/0!</v>
      </c>
      <c r="CS160" s="328">
        <f t="shared" si="113"/>
        <v>0.13925109808991959</v>
      </c>
      <c r="CT160" s="328">
        <f t="shared" si="113"/>
        <v>1.6257314328582144E-3</v>
      </c>
      <c r="CU160" s="328" t="e">
        <f t="shared" si="113"/>
        <v>#DIV/0!</v>
      </c>
      <c r="CV160" s="328">
        <f t="shared" si="113"/>
        <v>6.0851926977687626E-3</v>
      </c>
    </row>
    <row r="161" spans="1:100" ht="56">
      <c r="A161" s="36" t="s">
        <v>5554</v>
      </c>
      <c r="B161" s="36" t="s">
        <v>4947</v>
      </c>
      <c r="C161" s="36" t="s">
        <v>5112</v>
      </c>
      <c r="D161" s="36" t="s">
        <v>4949</v>
      </c>
      <c r="E161" s="36">
        <v>38</v>
      </c>
      <c r="F161" s="36" t="s">
        <v>5555</v>
      </c>
      <c r="G161" s="36" t="s">
        <v>5556</v>
      </c>
      <c r="H161" s="36" t="s">
        <v>5115</v>
      </c>
      <c r="I161" s="36" t="s">
        <v>4956</v>
      </c>
      <c r="M161" s="36" t="s">
        <v>5497</v>
      </c>
      <c r="N161" s="36">
        <v>0.15961093271088775</v>
      </c>
      <c r="O161" s="224">
        <f>O159/O149</f>
        <v>0.15103164493525753</v>
      </c>
      <c r="P161" s="328">
        <f>P159/P149</f>
        <v>0.24883955600403634</v>
      </c>
      <c r="Q161" s="328">
        <f t="shared" ref="Q161:CB161" si="114">Q159/Q149</f>
        <v>1.7821909440307271</v>
      </c>
      <c r="R161" s="328">
        <f t="shared" si="114"/>
        <v>0.19423240033927056</v>
      </c>
      <c r="S161" s="328">
        <f t="shared" si="114"/>
        <v>8.6951645239530612E-2</v>
      </c>
      <c r="T161" s="328">
        <f t="shared" si="114"/>
        <v>0.7276657060518732</v>
      </c>
      <c r="U161" s="328">
        <f t="shared" si="114"/>
        <v>2.0833333333333336E-2</v>
      </c>
      <c r="V161" s="328">
        <f t="shared" si="114"/>
        <v>7.8422888025361001E-2</v>
      </c>
      <c r="W161" s="328">
        <f t="shared" si="114"/>
        <v>0</v>
      </c>
      <c r="X161" s="328">
        <f t="shared" si="114"/>
        <v>5.2083333333333336E-2</v>
      </c>
      <c r="Y161" s="328">
        <f t="shared" si="114"/>
        <v>0</v>
      </c>
      <c r="Z161" s="328">
        <f t="shared" si="114"/>
        <v>1.0938988359515005</v>
      </c>
      <c r="AA161" s="328">
        <f t="shared" si="114"/>
        <v>3.0052831273354407E-2</v>
      </c>
      <c r="AB161" s="328">
        <f t="shared" si="114"/>
        <v>0.3394306466158083</v>
      </c>
      <c r="AC161" s="328">
        <f t="shared" si="114"/>
        <v>0.24143160746626882</v>
      </c>
      <c r="AD161" s="328" t="e">
        <f t="shared" si="114"/>
        <v>#DIV/0!</v>
      </c>
      <c r="AE161" s="328" t="e">
        <f t="shared" si="114"/>
        <v>#DIV/0!</v>
      </c>
      <c r="AF161" s="328">
        <f t="shared" si="114"/>
        <v>0</v>
      </c>
      <c r="AG161" s="328" t="e">
        <f t="shared" si="114"/>
        <v>#DIV/0!</v>
      </c>
      <c r="AH161" s="328" t="e">
        <f t="shared" si="114"/>
        <v>#DIV/0!</v>
      </c>
      <c r="AI161" s="328">
        <f t="shared" si="114"/>
        <v>0</v>
      </c>
      <c r="AJ161" s="328" t="e">
        <f t="shared" si="114"/>
        <v>#DIV/0!</v>
      </c>
      <c r="AK161" s="328">
        <f t="shared" si="114"/>
        <v>0.17952488694222987</v>
      </c>
      <c r="AL161" s="328">
        <f t="shared" si="114"/>
        <v>0.20417677245614432</v>
      </c>
      <c r="AM161" s="328">
        <f t="shared" si="114"/>
        <v>0.12670211386331215</v>
      </c>
      <c r="AN161" s="328" t="e">
        <f t="shared" si="114"/>
        <v>#DIV/0!</v>
      </c>
      <c r="AO161" s="328" t="e">
        <f t="shared" si="114"/>
        <v>#DIV/0!</v>
      </c>
      <c r="AP161" s="328">
        <f t="shared" si="114"/>
        <v>0.19920844327176784</v>
      </c>
      <c r="AQ161" s="328">
        <f t="shared" si="114"/>
        <v>0.10958904109589042</v>
      </c>
      <c r="AR161" s="328">
        <f t="shared" si="114"/>
        <v>0.33292241312890059</v>
      </c>
      <c r="AS161" s="328">
        <f t="shared" si="114"/>
        <v>9.3312009950911781E-2</v>
      </c>
      <c r="AT161" s="328">
        <f t="shared" si="114"/>
        <v>0.32456074121212775</v>
      </c>
      <c r="AU161" s="328" t="e">
        <f t="shared" si="114"/>
        <v>#DIV/0!</v>
      </c>
      <c r="AV161" s="328">
        <f t="shared" si="114"/>
        <v>0.1308316430020284</v>
      </c>
      <c r="AW161" s="328">
        <f t="shared" si="114"/>
        <v>0.47024880013723996</v>
      </c>
      <c r="AX161" s="328">
        <f t="shared" si="114"/>
        <v>0.13287501278465308</v>
      </c>
      <c r="AY161" s="328" t="e">
        <f t="shared" si="114"/>
        <v>#DIV/0!</v>
      </c>
      <c r="AZ161" s="328">
        <f t="shared" si="114"/>
        <v>2.4445114035664037E-3</v>
      </c>
      <c r="BA161" s="328">
        <f t="shared" si="114"/>
        <v>8.0080413898925423E-2</v>
      </c>
      <c r="BB161" s="328" t="e">
        <f t="shared" si="114"/>
        <v>#DIV/0!</v>
      </c>
      <c r="BC161" s="328">
        <f t="shared" si="114"/>
        <v>0.23503485014163891</v>
      </c>
      <c r="BD161" s="328" t="e">
        <f t="shared" si="114"/>
        <v>#DIV/0!</v>
      </c>
      <c r="BE161" s="328" t="e">
        <f t="shared" si="114"/>
        <v>#DIV/0!</v>
      </c>
      <c r="BF161" s="328" t="e">
        <f t="shared" si="114"/>
        <v>#DIV/0!</v>
      </c>
      <c r="BG161" s="328">
        <f t="shared" si="114"/>
        <v>0.42340707964601765</v>
      </c>
      <c r="BH161" s="328">
        <f t="shared" si="114"/>
        <v>1.6220933216980645E-2</v>
      </c>
      <c r="BI161" s="328">
        <f t="shared" si="114"/>
        <v>0.283601888445493</v>
      </c>
      <c r="BJ161" s="328">
        <f t="shared" si="114"/>
        <v>7.0194103853527659E-2</v>
      </c>
      <c r="BK161" s="328">
        <f t="shared" si="114"/>
        <v>0.12411347517730496</v>
      </c>
      <c r="BL161" s="328" t="e">
        <f t="shared" si="114"/>
        <v>#DIV/0!</v>
      </c>
      <c r="BM161" s="328">
        <f t="shared" si="114"/>
        <v>0.21428571428571427</v>
      </c>
      <c r="BN161" s="328">
        <f t="shared" si="114"/>
        <v>0.17944633830962736</v>
      </c>
      <c r="BO161" s="328">
        <f t="shared" si="114"/>
        <v>4.8780487804878057E-2</v>
      </c>
      <c r="BP161" s="328">
        <f t="shared" si="114"/>
        <v>0.1193143515707033</v>
      </c>
      <c r="BQ161" s="328" t="e">
        <f t="shared" si="114"/>
        <v>#DIV/0!</v>
      </c>
      <c r="BR161" s="328">
        <f t="shared" si="114"/>
        <v>3.0285714285714284E-2</v>
      </c>
      <c r="BS161" s="328" t="e">
        <f t="shared" si="114"/>
        <v>#DIV/0!</v>
      </c>
      <c r="BT161" s="328">
        <f t="shared" si="114"/>
        <v>0.14058814170188924</v>
      </c>
      <c r="BU161" s="328">
        <f t="shared" si="114"/>
        <v>0.17502695238210605</v>
      </c>
      <c r="BV161" s="328">
        <f t="shared" si="114"/>
        <v>0</v>
      </c>
      <c r="BW161" s="328">
        <f t="shared" si="114"/>
        <v>0.19200659033216169</v>
      </c>
      <c r="BX161" s="328">
        <f t="shared" si="114"/>
        <v>0.34141555711282406</v>
      </c>
      <c r="BY161" s="328">
        <f t="shared" si="114"/>
        <v>4.2960598993494539E-3</v>
      </c>
      <c r="BZ161" s="328">
        <f t="shared" si="114"/>
        <v>0.58543931866368482</v>
      </c>
      <c r="CA161" s="328" t="e">
        <f t="shared" si="114"/>
        <v>#DIV/0!</v>
      </c>
      <c r="CB161" s="328" t="e">
        <f t="shared" si="114"/>
        <v>#DIV/0!</v>
      </c>
      <c r="CC161" s="328">
        <f t="shared" ref="CC161:CV161" si="115">CC159/CC149</f>
        <v>4.0000000000000001E-3</v>
      </c>
      <c r="CD161" s="328">
        <f t="shared" si="115"/>
        <v>0.2251110662358643</v>
      </c>
      <c r="CE161" s="328">
        <f t="shared" si="115"/>
        <v>1.7536447912764142E-2</v>
      </c>
      <c r="CF161" s="328">
        <f t="shared" si="115"/>
        <v>0.26859627141955478</v>
      </c>
      <c r="CG161" s="328">
        <f t="shared" si="115"/>
        <v>0.30187074829931976</v>
      </c>
      <c r="CH161" s="328">
        <f t="shared" si="115"/>
        <v>0.15482731064114322</v>
      </c>
      <c r="CI161" s="328">
        <f t="shared" si="115"/>
        <v>0.26785714285714285</v>
      </c>
      <c r="CJ161" s="328" t="e">
        <f t="shared" si="115"/>
        <v>#DIV/0!</v>
      </c>
      <c r="CK161" s="328">
        <f t="shared" si="115"/>
        <v>3.7818112885645225E-3</v>
      </c>
      <c r="CL161" s="328">
        <f t="shared" si="115"/>
        <v>0.28242548818088387</v>
      </c>
      <c r="CM161" s="328">
        <f t="shared" si="115"/>
        <v>0.13982300884955753</v>
      </c>
      <c r="CN161" s="328">
        <f t="shared" si="115"/>
        <v>0.53351373855120743</v>
      </c>
      <c r="CO161" s="328" t="e">
        <f t="shared" si="115"/>
        <v>#DIV/0!</v>
      </c>
      <c r="CP161" s="328">
        <f t="shared" si="115"/>
        <v>1.6677987520732963E-3</v>
      </c>
      <c r="CQ161" s="328" t="e">
        <f t="shared" si="115"/>
        <v>#DIV/0!</v>
      </c>
      <c r="CR161" s="328" t="e">
        <f t="shared" si="115"/>
        <v>#DIV/0!</v>
      </c>
      <c r="CS161" s="328">
        <f t="shared" si="115"/>
        <v>0.23050709815990497</v>
      </c>
      <c r="CT161" s="328">
        <f t="shared" si="115"/>
        <v>2.0318607628178639E-3</v>
      </c>
      <c r="CU161" s="328" t="e">
        <f t="shared" si="115"/>
        <v>#DIV/0!</v>
      </c>
      <c r="CV161" s="328">
        <f t="shared" si="115"/>
        <v>2.6486168334314303E-2</v>
      </c>
    </row>
    <row r="162" spans="1:100" ht="42">
      <c r="A162" s="36" t="s">
        <v>5557</v>
      </c>
      <c r="B162" s="36" t="s">
        <v>4990</v>
      </c>
      <c r="C162" s="36" t="s">
        <v>5117</v>
      </c>
      <c r="D162" s="36" t="s">
        <v>4949</v>
      </c>
      <c r="E162" s="36">
        <v>39</v>
      </c>
      <c r="F162" s="36" t="s">
        <v>5558</v>
      </c>
      <c r="G162" s="208" t="s">
        <v>5559</v>
      </c>
      <c r="H162" s="36" t="s">
        <v>5082</v>
      </c>
      <c r="I162" s="36" t="s">
        <v>4961</v>
      </c>
      <c r="L162" s="36" t="s">
        <v>278</v>
      </c>
      <c r="M162" s="36" t="s">
        <v>5497</v>
      </c>
      <c r="N162" s="36">
        <v>3907.3331850799996</v>
      </c>
      <c r="O162" s="224">
        <f>SUM(P162:CV162)</f>
        <v>4835.6631719199995</v>
      </c>
      <c r="P162" s="194">
        <f>SUMIFS('свод практик'!$BG$6:$BG$277,'свод практик'!$J$6:$J$277,'свод субъектов ИБ+смежные'!P$1,'свод практик'!$G$6:$G$277,"суб")</f>
        <v>0</v>
      </c>
      <c r="Q162" s="194">
        <f>SUMIFS('свод практик'!$BG$6:$BG$277,'свод практик'!$J$6:$J$277,'свод субъектов ИБ+смежные'!Q$1,'свод практик'!$G$6:$G$277,"суб")</f>
        <v>67.204571919999992</v>
      </c>
      <c r="R162" s="194">
        <f>SUMIFS('свод практик'!$BG$6:$BG$277,'свод практик'!$J$6:$J$277,'свод субъектов ИБ+смежные'!R$1,'свод практик'!$G$6:$G$277,"суб")</f>
        <v>0</v>
      </c>
      <c r="S162" s="194">
        <f>SUMIFS('свод практик'!$BG$6:$BG$277,'свод практик'!$J$6:$J$277,'свод субъектов ИБ+смежные'!S$1,'свод практик'!$G$6:$G$277,"суб")</f>
        <v>0</v>
      </c>
      <c r="T162" s="194">
        <f>SUMIFS('свод практик'!$BG$6:$BG$277,'свод практик'!$J$6:$J$277,'свод субъектов ИБ+смежные'!T$1,'свод практик'!$G$6:$G$277,"суб")</f>
        <v>0</v>
      </c>
      <c r="U162" s="194">
        <f>SUMIFS('свод практик'!$BG$6:$BG$277,'свод практик'!$J$6:$J$277,'свод субъектов ИБ+смежные'!U$1,'свод практик'!$G$6:$G$277,"суб")</f>
        <v>0</v>
      </c>
      <c r="V162" s="194">
        <f>SUMIFS('свод практик'!$BG$6:$BG$277,'свод практик'!$J$6:$J$277,'свод субъектов ИБ+смежные'!V$1,'свод практик'!$G$6:$G$277,"суб")</f>
        <v>0</v>
      </c>
      <c r="W162" s="194">
        <f>SUMIFS('свод практик'!$BG$6:$BG$277,'свод практик'!$J$6:$J$277,'свод субъектов ИБ+смежные'!W$1,'свод практик'!$G$6:$G$277,"суб")</f>
        <v>0</v>
      </c>
      <c r="X162" s="194">
        <f>SUMIFS('свод практик'!$BG$6:$BG$277,'свод практик'!$J$6:$J$277,'свод субъектов ИБ+смежные'!X$1,'свод практик'!$G$6:$G$277,"суб")</f>
        <v>0</v>
      </c>
      <c r="Y162" s="194">
        <f>SUMIFS('свод практик'!$BG$6:$BG$277,'свод практик'!$J$6:$J$277,'свод субъектов ИБ+смежные'!Y$1,'свод практик'!$G$6:$G$277,"суб")</f>
        <v>0</v>
      </c>
      <c r="Z162" s="194">
        <f>SUMIFS('свод практик'!$BG$6:$BG$277,'свод практик'!$J$6:$J$277,'свод субъектов ИБ+смежные'!Z$1,'свод практик'!$G$6:$G$277,"суб")</f>
        <v>517.74</v>
      </c>
      <c r="AA162" s="194">
        <f>SUMIFS('свод практик'!$BG$6:$BG$277,'свод практик'!$J$6:$J$277,'свод субъектов ИБ+смежные'!AA$1,'свод практик'!$G$6:$G$277,"суб")</f>
        <v>0</v>
      </c>
      <c r="AB162" s="194">
        <f>SUMIFS('свод практик'!$BG$6:$BG$277,'свод практик'!$J$6:$J$277,'свод субъектов ИБ+смежные'!AB$1,'свод практик'!$G$6:$G$277,"суб")</f>
        <v>0</v>
      </c>
      <c r="AC162" s="194">
        <f>SUMIFS('свод практик'!$BG$6:$BG$277,'свод практик'!$J$6:$J$277,'свод субъектов ИБ+смежные'!AC$1,'свод практик'!$G$6:$G$277,"суб")</f>
        <v>0.64</v>
      </c>
      <c r="AD162" s="194">
        <f>SUMIFS('свод практик'!$BG$6:$BG$277,'свод практик'!$J$6:$J$277,'свод субъектов ИБ+смежные'!AD$1,'свод практик'!$G$6:$G$277,"суб")</f>
        <v>0</v>
      </c>
      <c r="AE162" s="194">
        <f>SUMIFS('свод практик'!$BG$6:$BG$277,'свод практик'!$J$6:$J$277,'свод субъектов ИБ+смежные'!AE$1,'свод практик'!$G$6:$G$277,"суб")</f>
        <v>0</v>
      </c>
      <c r="AF162" s="194">
        <f>SUMIFS('свод практик'!$BG$6:$BG$277,'свод практик'!$J$6:$J$277,'свод субъектов ИБ+смежные'!AF$1,'свод практик'!$G$6:$G$277,"суб")</f>
        <v>0</v>
      </c>
      <c r="AG162" s="194">
        <f>SUMIFS('свод практик'!$BG$6:$BG$277,'свод практик'!$J$6:$J$277,'свод субъектов ИБ+смежные'!AG$1,'свод практик'!$G$6:$G$277,"суб")</f>
        <v>0</v>
      </c>
      <c r="AH162" s="194">
        <f>SUMIFS('свод практик'!$BG$6:$BG$277,'свод практик'!$J$6:$J$277,'свод субъектов ИБ+смежные'!AH$1,'свод практик'!$G$6:$G$277,"суб")</f>
        <v>0</v>
      </c>
      <c r="AI162" s="194">
        <f>SUMIFS('свод практик'!$BG$6:$BG$277,'свод практик'!$J$6:$J$277,'свод субъектов ИБ+смежные'!AI$1,'свод практик'!$G$6:$G$277,"суб")</f>
        <v>0</v>
      </c>
      <c r="AJ162" s="194">
        <f>SUMIFS('свод практик'!$BG$6:$BG$277,'свод практик'!$J$6:$J$277,'свод субъектов ИБ+смежные'!AJ$1,'свод практик'!$G$6:$G$277,"суб")</f>
        <v>0</v>
      </c>
      <c r="AK162" s="194">
        <f>SUMIFS('свод практик'!$BG$6:$BG$277,'свод практик'!$J$6:$J$277,'свод субъектов ИБ+смежные'!AK$1,'свод практик'!$G$6:$G$277,"суб")</f>
        <v>304.43900000000002</v>
      </c>
      <c r="AL162" s="194">
        <f>SUMIFS('свод практик'!$BG$6:$BG$277,'свод практик'!$J$6:$J$277,'свод субъектов ИБ+смежные'!AL$1,'свод практик'!$G$6:$G$277,"суб")</f>
        <v>0</v>
      </c>
      <c r="AM162" s="194">
        <f>SUMIFS('свод практик'!$BG$6:$BG$277,'свод практик'!$J$6:$J$277,'свод субъектов ИБ+смежные'!AM$1,'свод практик'!$G$6:$G$277,"суб")</f>
        <v>0</v>
      </c>
      <c r="AN162" s="194">
        <f>SUMIFS('свод практик'!$BG$6:$BG$277,'свод практик'!$J$6:$J$277,'свод субъектов ИБ+смежные'!AN$1,'свод практик'!$G$6:$G$277,"суб")</f>
        <v>0</v>
      </c>
      <c r="AO162" s="194">
        <f>SUMIFS('свод практик'!$BG$6:$BG$277,'свод практик'!$J$6:$J$277,'свод субъектов ИБ+смежные'!AO$1,'свод практик'!$G$6:$G$277,"суб")</f>
        <v>0</v>
      </c>
      <c r="AP162" s="194">
        <f>SUMIFS('свод практик'!$BG$6:$BG$277,'свод практик'!$J$6:$J$277,'свод субъектов ИБ+смежные'!AP$1,'свод практик'!$G$6:$G$277,"суб")</f>
        <v>0</v>
      </c>
      <c r="AQ162" s="194">
        <f>SUMIFS('свод практик'!$BG$6:$BG$277,'свод практик'!$J$6:$J$277,'свод субъектов ИБ+смежные'!AQ$1,'свод практик'!$G$6:$G$277,"суб")</f>
        <v>0</v>
      </c>
      <c r="AR162" s="194">
        <f>SUMIFS('свод практик'!$BG$6:$BG$277,'свод практик'!$J$6:$J$277,'свод субъектов ИБ+смежные'!AR$1,'свод практик'!$G$6:$G$277,"суб")</f>
        <v>0</v>
      </c>
      <c r="AS162" s="194">
        <f>SUMIFS('свод практик'!$BG$6:$BG$277,'свод практик'!$J$6:$J$277,'свод субъектов ИБ+смежные'!AS$1,'свод практик'!$G$6:$G$277,"суб")</f>
        <v>0</v>
      </c>
      <c r="AT162" s="194">
        <f>SUMIFS('свод практик'!$BG$6:$BG$277,'свод практик'!$J$6:$J$277,'свод субъектов ИБ+смежные'!AT$1,'свод практик'!$G$6:$G$277,"суб")</f>
        <v>219.12700000000001</v>
      </c>
      <c r="AU162" s="194">
        <f>SUMIFS('свод практик'!$BG$6:$BG$277,'свод практик'!$J$6:$J$277,'свод субъектов ИБ+смежные'!AU$1,'свод практик'!$G$6:$G$277,"суб")</f>
        <v>0</v>
      </c>
      <c r="AV162" s="194">
        <f>SUMIFS('свод практик'!$BG$6:$BG$277,'свод практик'!$J$6:$J$277,'свод субъектов ИБ+смежные'!AV$1,'свод практик'!$G$6:$G$277,"суб")</f>
        <v>0</v>
      </c>
      <c r="AW162" s="194">
        <f>SUMIFS('свод практик'!$BG$6:$BG$277,'свод практик'!$J$6:$J$277,'свод субъектов ИБ+смежные'!AW$1,'свод практик'!$G$6:$G$277,"суб")</f>
        <v>251.17340000000002</v>
      </c>
      <c r="AX162" s="194">
        <f>SUMIFS('свод практик'!$BG$6:$BG$277,'свод практик'!$J$6:$J$277,'свод субъектов ИБ+смежные'!AX$1,'свод практик'!$G$6:$G$277,"суб")</f>
        <v>337.35599999999999</v>
      </c>
      <c r="AY162" s="194">
        <f>SUMIFS('свод практик'!$BG$6:$BG$277,'свод практик'!$J$6:$J$277,'свод субъектов ИБ+смежные'!AY$1,'свод практик'!$G$6:$G$277,"суб")</f>
        <v>0</v>
      </c>
      <c r="AZ162" s="194">
        <f>SUMIFS('свод практик'!$BG$6:$BG$277,'свод практик'!$J$6:$J$277,'свод субъектов ИБ+смежные'!AZ$1,'свод практик'!$G$6:$G$277,"суб")</f>
        <v>0</v>
      </c>
      <c r="BA162" s="194">
        <f>SUMIFS('свод практик'!$BG$6:$BG$277,'свод практик'!$J$6:$J$277,'свод субъектов ИБ+смежные'!BA$1,'свод практик'!$G$6:$G$277,"суб")</f>
        <v>1.6888000000000001</v>
      </c>
      <c r="BB162" s="194">
        <f>SUMIFS('свод практик'!$BG$6:$BG$277,'свод практик'!$J$6:$J$277,'свод субъектов ИБ+смежные'!BB$1,'свод практик'!$G$6:$G$277,"суб")</f>
        <v>0</v>
      </c>
      <c r="BC162" s="194">
        <f>SUMIFS('свод практик'!$BG$6:$BG$277,'свод практик'!$J$6:$J$277,'свод субъектов ИБ+смежные'!BC$1,'свод практик'!$G$6:$G$277,"суб")</f>
        <v>0</v>
      </c>
      <c r="BD162" s="194">
        <f>SUMIFS('свод практик'!$BG$6:$BG$277,'свод практик'!$J$6:$J$277,'свод субъектов ИБ+смежные'!BD$1,'свод практик'!$G$6:$G$277,"суб")</f>
        <v>0</v>
      </c>
      <c r="BE162" s="194">
        <f>SUMIFS('свод практик'!$BG$6:$BG$277,'свод практик'!$J$6:$J$277,'свод субъектов ИБ+смежные'!BE$1,'свод практик'!$G$6:$G$277,"суб")</f>
        <v>0</v>
      </c>
      <c r="BF162" s="194">
        <f>SUMIFS('свод практик'!$BG$6:$BG$277,'свод практик'!$J$6:$J$277,'свод субъектов ИБ+смежные'!BF$1,'свод практик'!$G$6:$G$277,"суб")</f>
        <v>0</v>
      </c>
      <c r="BG162" s="194">
        <f>SUMIFS('свод практик'!$BG$6:$BG$277,'свод практик'!$J$6:$J$277,'свод субъектов ИБ+смежные'!BG$1,'свод практик'!$G$6:$G$277,"суб")</f>
        <v>0</v>
      </c>
      <c r="BH162" s="194">
        <f>SUMIFS('свод практик'!$BG$6:$BG$277,'свод практик'!$J$6:$J$277,'свод субъектов ИБ+смежные'!BH$1,'свод практик'!$G$6:$G$277,"суб")</f>
        <v>0</v>
      </c>
      <c r="BI162" s="194">
        <f>SUMIFS('свод практик'!$BG$6:$BG$277,'свод практик'!$J$6:$J$277,'свод субъектов ИБ+смежные'!BI$1,'свод практик'!$G$6:$G$277,"суб")</f>
        <v>0</v>
      </c>
      <c r="BJ162" s="194">
        <f>SUMIFS('свод практик'!$BG$6:$BG$277,'свод практик'!$J$6:$J$277,'свод субъектов ИБ+смежные'!BJ$1,'свод практик'!$G$6:$G$277,"суб")</f>
        <v>182.67100000000002</v>
      </c>
      <c r="BK162" s="194">
        <f>SUMIFS('свод практик'!$BG$6:$BG$277,'свод практик'!$J$6:$J$277,'свод субъектов ИБ+смежные'!BK$1,'свод практик'!$G$6:$G$277,"суб")</f>
        <v>0</v>
      </c>
      <c r="BL162" s="194">
        <f>SUMIFS('свод практик'!$BG$6:$BG$277,'свод практик'!$J$6:$J$277,'свод субъектов ИБ+смежные'!BL$1,'свод практик'!$G$6:$G$277,"суб")</f>
        <v>0</v>
      </c>
      <c r="BM162" s="194">
        <f>SUMIFS('свод практик'!$BG$6:$BG$277,'свод практик'!$J$6:$J$277,'свод субъектов ИБ+смежные'!BM$1,'свод практик'!$G$6:$G$277,"суб")</f>
        <v>0</v>
      </c>
      <c r="BN162" s="194">
        <f>SUMIFS('свод практик'!$BG$6:$BG$277,'свод практик'!$J$6:$J$277,'свод субъектов ИБ+смежные'!BN$1,'свод практик'!$G$6:$G$277,"суб")</f>
        <v>0.61699999999999999</v>
      </c>
      <c r="BO162" s="194">
        <f>SUMIFS('свод практик'!$BG$6:$BG$277,'свод практик'!$J$6:$J$277,'свод субъектов ИБ+смежные'!BO$1,'свод практик'!$G$6:$G$277,"суб")</f>
        <v>406.4</v>
      </c>
      <c r="BP162" s="194">
        <f>SUMIFS('свод практик'!$BG$6:$BG$277,'свод практик'!$J$6:$J$277,'свод субъектов ИБ+смежные'!BP$1,'свод практик'!$G$6:$G$277,"суб")</f>
        <v>0</v>
      </c>
      <c r="BQ162" s="194">
        <f>SUMIFS('свод практик'!$BG$6:$BG$277,'свод практик'!$J$6:$J$277,'свод субъектов ИБ+смежные'!BQ$1,'свод практик'!$G$6:$G$277,"суб")</f>
        <v>0</v>
      </c>
      <c r="BR162" s="194">
        <f>SUMIFS('свод практик'!$BG$6:$BG$277,'свод практик'!$J$6:$J$277,'свод субъектов ИБ+смежные'!BR$1,'свод практик'!$G$6:$G$277,"суб")</f>
        <v>0</v>
      </c>
      <c r="BS162" s="194">
        <f>SUMIFS('свод практик'!$BG$6:$BG$277,'свод практик'!$J$6:$J$277,'свод субъектов ИБ+смежные'!BS$1,'свод практик'!$G$6:$G$277,"суб")</f>
        <v>0</v>
      </c>
      <c r="BT162" s="194">
        <f>SUMIFS('свод практик'!$BG$6:$BG$277,'свод практик'!$J$6:$J$277,'свод субъектов ИБ+смежные'!BT$1,'свод практик'!$G$6:$G$277,"суб")</f>
        <v>0.65200000000000002</v>
      </c>
      <c r="BU162" s="194">
        <f>SUMIFS('свод практик'!$BG$6:$BG$277,'свод практик'!$J$6:$J$277,'свод субъектов ИБ+смежные'!BU$1,'свод практик'!$G$6:$G$277,"суб")</f>
        <v>0</v>
      </c>
      <c r="BV162" s="194">
        <f>SUMIFS('свод практик'!$BG$6:$BG$277,'свод практик'!$J$6:$J$277,'свод субъектов ИБ+смежные'!BV$1,'свод практик'!$G$6:$G$277,"суб")</f>
        <v>0</v>
      </c>
      <c r="BW162" s="194">
        <f>SUMIFS('свод практик'!$BG$6:$BG$277,'свод практик'!$J$6:$J$277,'свод субъектов ИБ+смежные'!BW$1,'свод практик'!$G$6:$G$277,"суб")</f>
        <v>0</v>
      </c>
      <c r="BX162" s="194">
        <f>SUMIFS('свод практик'!$BG$6:$BG$277,'свод практик'!$J$6:$J$277,'свод субъектов ИБ+смежные'!BX$1,'свод практик'!$G$6:$G$277,"суб")</f>
        <v>0</v>
      </c>
      <c r="BY162" s="194">
        <f>SUMIFS('свод практик'!$BG$6:$BG$277,'свод практик'!$J$6:$J$277,'свод субъектов ИБ+смежные'!BY$1,'свод практик'!$G$6:$G$277,"суб")</f>
        <v>0</v>
      </c>
      <c r="BZ162" s="194">
        <f>SUMIFS('свод практик'!$BG$6:$BG$277,'свод практик'!$J$6:$J$277,'свод субъектов ИБ+смежные'!BZ$1,'свод практик'!$G$6:$G$277,"суб")</f>
        <v>1731.3376000000001</v>
      </c>
      <c r="CA162" s="194">
        <f>SUMIFS('свод практик'!$BG$6:$BG$277,'свод практик'!$J$6:$J$277,'свод субъектов ИБ+смежные'!CA$1,'свод практик'!$G$6:$G$277,"суб")</f>
        <v>0</v>
      </c>
      <c r="CB162" s="194">
        <f>SUMIFS('свод практик'!$BG$6:$BG$277,'свод практик'!$J$6:$J$277,'свод субъектов ИБ+смежные'!CB$1,'свод практик'!$G$6:$G$277,"суб")</f>
        <v>0</v>
      </c>
      <c r="CC162" s="194">
        <f>SUMIFS('свод практик'!$BG$6:$BG$277,'свод практик'!$J$6:$J$277,'свод субъектов ИБ+смежные'!CC$1,'свод практик'!$G$6:$G$277,"суб")</f>
        <v>0</v>
      </c>
      <c r="CD162" s="194">
        <f>SUMIFS('свод практик'!$BG$6:$BG$277,'свод практик'!$J$6:$J$277,'свод субъектов ИБ+смежные'!CD$1,'свод практик'!$G$6:$G$277,"суб")</f>
        <v>0</v>
      </c>
      <c r="CE162" s="194">
        <f>SUMIFS('свод практик'!$BG$6:$BG$277,'свод практик'!$J$6:$J$277,'свод субъектов ИБ+смежные'!CE$1,'свод практик'!$G$6:$G$277,"суб")</f>
        <v>3</v>
      </c>
      <c r="CF162" s="194">
        <f>SUMIFS('свод практик'!$BG$6:$BG$277,'свод практик'!$J$6:$J$277,'свод субъектов ИБ+смежные'!CF$1,'свод практик'!$G$6:$G$277,"суб")</f>
        <v>0</v>
      </c>
      <c r="CG162" s="194">
        <f>SUMIFS('свод практик'!$BG$6:$BG$277,'свод практик'!$J$6:$J$277,'свод субъектов ИБ+смежные'!CG$1,'свод практик'!$G$6:$G$277,"суб")</f>
        <v>0</v>
      </c>
      <c r="CH162" s="194">
        <f>SUMIFS('свод практик'!$BG$6:$BG$277,'свод практик'!$J$6:$J$277,'свод субъектов ИБ+смежные'!CH$1,'свод практик'!$G$6:$G$277,"суб")</f>
        <v>0</v>
      </c>
      <c r="CI162" s="194">
        <f>SUMIFS('свод практик'!$BG$6:$BG$277,'свод практик'!$J$6:$J$277,'свод субъектов ИБ+смежные'!CI$1,'свод практик'!$G$6:$G$277,"суб")</f>
        <v>0</v>
      </c>
      <c r="CJ162" s="194">
        <f>SUMIFS('свод практик'!$BG$6:$BG$277,'свод практик'!$J$6:$J$277,'свод субъектов ИБ+смежные'!CJ$1,'свод практик'!$G$6:$G$277,"суб")</f>
        <v>0</v>
      </c>
      <c r="CK162" s="194">
        <f>SUMIFS('свод практик'!$BG$6:$BG$277,'свод практик'!$J$6:$J$277,'свод субъектов ИБ+смежные'!CK$1,'свод практик'!$G$6:$G$277,"суб")</f>
        <v>116.956</v>
      </c>
      <c r="CL162" s="194">
        <f>SUMIFS('свод практик'!$BG$6:$BG$277,'свод практик'!$J$6:$J$277,'свод субъектов ИБ+смежные'!CL$1,'свод практик'!$G$6:$G$277,"суб")</f>
        <v>0</v>
      </c>
      <c r="CM162" s="194">
        <f>SUMIFS('свод практик'!$BG$6:$BG$277,'свод практик'!$J$6:$J$277,'свод субъектов ИБ+смежные'!CM$1,'свод практик'!$G$6:$G$277,"суб")</f>
        <v>0</v>
      </c>
      <c r="CN162" s="194">
        <f>SUMIFS('свод практик'!$BG$6:$BG$277,'свод практик'!$J$6:$J$277,'свод субъектов ИБ+смежные'!CN$1,'свод практик'!$G$6:$G$277,"суб")</f>
        <v>1.4</v>
      </c>
      <c r="CO162" s="194">
        <f>SUMIFS('свод практик'!$BG$6:$BG$277,'свод практик'!$J$6:$J$277,'свод субъектов ИБ+смежные'!CO$1,'свод практик'!$G$6:$G$277,"суб")</f>
        <v>0</v>
      </c>
      <c r="CP162" s="194">
        <f>SUMIFS('свод практик'!$BG$6:$BG$277,'свод практик'!$J$6:$J$277,'свод субъектов ИБ+смежные'!CP$1,'свод практик'!$G$6:$G$277,"суб")</f>
        <v>195.5608</v>
      </c>
      <c r="CQ162" s="194">
        <f>SUMIFS('свод практик'!$BG$6:$BG$277,'свод практик'!$J$6:$J$277,'свод субъектов ИБ+смежные'!CQ$1,'свод практик'!$G$6:$G$277,"суб")</f>
        <v>0</v>
      </c>
      <c r="CR162" s="194">
        <f>SUMIFS('свод практик'!$BG$6:$BG$277,'свод практик'!$J$6:$J$277,'свод субъектов ИБ+смежные'!CR$1,'свод практик'!$G$6:$G$277,"суб")</f>
        <v>0</v>
      </c>
      <c r="CS162" s="194">
        <f>SUMIFS('свод практик'!$BG$6:$BG$277,'свод практик'!$J$6:$J$277,'свод субъектов ИБ+смежные'!CS$1,'свод практик'!$G$6:$G$277,"суб")</f>
        <v>0</v>
      </c>
      <c r="CT162" s="194">
        <f>SUMIFS('свод практик'!$BG$6:$BG$277,'свод практик'!$J$6:$J$277,'свод субъектов ИБ+смежные'!CT$1,'свод практик'!$G$6:$G$277,"суб")</f>
        <v>0</v>
      </c>
      <c r="CU162" s="194">
        <f>SUMIFS('свод практик'!$BG$6:$BG$277,'свод практик'!$J$6:$J$277,'свод субъектов ИБ+смежные'!CU$1,'свод практик'!$G$6:$G$277,"суб")</f>
        <v>0</v>
      </c>
      <c r="CV162" s="194">
        <f>SUMIFS('свод практик'!$BG$6:$BG$277,'свод практик'!$J$6:$J$277,'свод субъектов ИБ+смежные'!CV$1,'свод практик'!$G$6:$G$277,"суб")</f>
        <v>497.7</v>
      </c>
    </row>
    <row r="163" spans="1:100" ht="28">
      <c r="D163" s="36" t="s">
        <v>4949</v>
      </c>
      <c r="E163" s="36">
        <v>40</v>
      </c>
      <c r="F163" s="36" t="s">
        <v>5560</v>
      </c>
      <c r="G163" s="36" t="s">
        <v>5533</v>
      </c>
      <c r="H163" s="36" t="s">
        <v>60</v>
      </c>
      <c r="I163" s="36" t="s">
        <v>5090</v>
      </c>
      <c r="M163" s="36" t="s">
        <v>5497</v>
      </c>
      <c r="N163" s="327">
        <v>0.21042952063741796</v>
      </c>
      <c r="O163" s="328">
        <f>O162/O61</f>
        <v>0.20906404553512839</v>
      </c>
      <c r="P163" s="328">
        <f t="shared" ref="P163:CA163" si="116">P162/P61</f>
        <v>0</v>
      </c>
      <c r="Q163" s="328">
        <f t="shared" si="116"/>
        <v>0.88459350624648869</v>
      </c>
      <c r="R163" s="328">
        <f t="shared" si="116"/>
        <v>0</v>
      </c>
      <c r="S163" s="328">
        <f t="shared" si="116"/>
        <v>0</v>
      </c>
      <c r="T163" s="328">
        <f t="shared" si="116"/>
        <v>0</v>
      </c>
      <c r="U163" s="328">
        <f t="shared" si="116"/>
        <v>0</v>
      </c>
      <c r="V163" s="328">
        <f t="shared" si="116"/>
        <v>0</v>
      </c>
      <c r="W163" s="328">
        <f t="shared" si="116"/>
        <v>0</v>
      </c>
      <c r="X163" s="328">
        <f t="shared" si="116"/>
        <v>0</v>
      </c>
      <c r="Y163" s="328">
        <f t="shared" si="116"/>
        <v>0</v>
      </c>
      <c r="Z163" s="328">
        <f t="shared" si="116"/>
        <v>0.72576541519069315</v>
      </c>
      <c r="AA163" s="328">
        <f t="shared" si="116"/>
        <v>0</v>
      </c>
      <c r="AB163" s="328">
        <f t="shared" si="116"/>
        <v>0</v>
      </c>
      <c r="AC163" s="328">
        <f t="shared" si="116"/>
        <v>2.1910529721291213E-3</v>
      </c>
      <c r="AD163" s="328" t="e">
        <f t="shared" si="116"/>
        <v>#DIV/0!</v>
      </c>
      <c r="AE163" s="328" t="e">
        <f t="shared" si="116"/>
        <v>#DIV/0!</v>
      </c>
      <c r="AF163" s="328">
        <f t="shared" si="116"/>
        <v>0</v>
      </c>
      <c r="AG163" s="328" t="e">
        <f t="shared" si="116"/>
        <v>#DIV/0!</v>
      </c>
      <c r="AH163" s="328" t="e">
        <f t="shared" si="116"/>
        <v>#DIV/0!</v>
      </c>
      <c r="AI163" s="328">
        <f t="shared" si="116"/>
        <v>0</v>
      </c>
      <c r="AJ163" s="328" t="e">
        <f t="shared" si="116"/>
        <v>#DIV/0!</v>
      </c>
      <c r="AK163" s="328">
        <f t="shared" si="116"/>
        <v>0.17050823874958099</v>
      </c>
      <c r="AL163" s="328">
        <f t="shared" si="116"/>
        <v>0</v>
      </c>
      <c r="AM163" s="328">
        <f t="shared" si="116"/>
        <v>0</v>
      </c>
      <c r="AN163" s="328" t="e">
        <f t="shared" si="116"/>
        <v>#DIV/0!</v>
      </c>
      <c r="AO163" s="328" t="e">
        <f t="shared" si="116"/>
        <v>#DIV/0!</v>
      </c>
      <c r="AP163" s="328">
        <f t="shared" si="116"/>
        <v>0</v>
      </c>
      <c r="AQ163" s="328">
        <f t="shared" si="116"/>
        <v>0</v>
      </c>
      <c r="AR163" s="328">
        <f t="shared" si="116"/>
        <v>0</v>
      </c>
      <c r="AS163" s="328">
        <f t="shared" si="116"/>
        <v>0</v>
      </c>
      <c r="AT163" s="328">
        <f t="shared" si="116"/>
        <v>0.43388649850603822</v>
      </c>
      <c r="AU163" s="328" t="e">
        <f t="shared" si="116"/>
        <v>#DIV/0!</v>
      </c>
      <c r="AV163" s="328">
        <f t="shared" si="116"/>
        <v>0</v>
      </c>
      <c r="AW163" s="328">
        <f t="shared" si="116"/>
        <v>0.84660588424077643</v>
      </c>
      <c r="AX163" s="328">
        <f t="shared" si="116"/>
        <v>0.59504813926147138</v>
      </c>
      <c r="AY163" s="328" t="e">
        <f t="shared" si="116"/>
        <v>#DIV/0!</v>
      </c>
      <c r="AZ163" s="328">
        <f t="shared" si="116"/>
        <v>0</v>
      </c>
      <c r="BA163" s="328">
        <f t="shared" si="116"/>
        <v>2.0455178595220502E-2</v>
      </c>
      <c r="BB163" s="328" t="e">
        <f t="shared" si="116"/>
        <v>#DIV/0!</v>
      </c>
      <c r="BC163" s="328">
        <f t="shared" si="116"/>
        <v>0</v>
      </c>
      <c r="BD163" s="328" t="e">
        <f t="shared" si="116"/>
        <v>#DIV/0!</v>
      </c>
      <c r="BE163" s="328" t="e">
        <f t="shared" si="116"/>
        <v>#DIV/0!</v>
      </c>
      <c r="BF163" s="328" t="e">
        <f t="shared" si="116"/>
        <v>#DIV/0!</v>
      </c>
      <c r="BG163" s="328">
        <f t="shared" si="116"/>
        <v>0</v>
      </c>
      <c r="BH163" s="328">
        <f t="shared" si="116"/>
        <v>0</v>
      </c>
      <c r="BI163" s="328">
        <f t="shared" si="116"/>
        <v>0</v>
      </c>
      <c r="BJ163" s="328">
        <f t="shared" si="116"/>
        <v>0.32102416463790651</v>
      </c>
      <c r="BK163" s="328">
        <f t="shared" si="116"/>
        <v>0</v>
      </c>
      <c r="BL163" s="328" t="e">
        <f t="shared" si="116"/>
        <v>#DIV/0!</v>
      </c>
      <c r="BM163" s="328">
        <f t="shared" si="116"/>
        <v>0</v>
      </c>
      <c r="BN163" s="328">
        <f t="shared" si="116"/>
        <v>2.4588530665922762E-2</v>
      </c>
      <c r="BO163" s="328">
        <f t="shared" si="116"/>
        <v>0.83466830971452044</v>
      </c>
      <c r="BP163" s="328">
        <f t="shared" si="116"/>
        <v>0</v>
      </c>
      <c r="BQ163" s="328" t="e">
        <f t="shared" si="116"/>
        <v>#DIV/0!</v>
      </c>
      <c r="BR163" s="328">
        <f t="shared" si="116"/>
        <v>0</v>
      </c>
      <c r="BS163" s="328" t="e">
        <f t="shared" si="116"/>
        <v>#DIV/0!</v>
      </c>
      <c r="BT163" s="328">
        <f t="shared" si="116"/>
        <v>3.1052942409174906E-3</v>
      </c>
      <c r="BU163" s="328">
        <f t="shared" si="116"/>
        <v>0</v>
      </c>
      <c r="BV163" s="328">
        <f t="shared" si="116"/>
        <v>0</v>
      </c>
      <c r="BW163" s="328">
        <f t="shared" si="116"/>
        <v>0</v>
      </c>
      <c r="BX163" s="328">
        <f t="shared" si="116"/>
        <v>0</v>
      </c>
      <c r="BY163" s="328">
        <f t="shared" si="116"/>
        <v>0</v>
      </c>
      <c r="BZ163" s="328">
        <f t="shared" si="116"/>
        <v>0.83703621028093689</v>
      </c>
      <c r="CA163" s="328" t="e">
        <f t="shared" si="116"/>
        <v>#DIV/0!</v>
      </c>
      <c r="CB163" s="328" t="e">
        <f t="shared" ref="CB163:CV163" si="117">CB162/CB61</f>
        <v>#DIV/0!</v>
      </c>
      <c r="CC163" s="328">
        <f t="shared" si="117"/>
        <v>0</v>
      </c>
      <c r="CD163" s="328">
        <f t="shared" si="117"/>
        <v>0</v>
      </c>
      <c r="CE163" s="328">
        <f t="shared" si="117"/>
        <v>2.1699348296239505E-2</v>
      </c>
      <c r="CF163" s="328">
        <f t="shared" si="117"/>
        <v>0</v>
      </c>
      <c r="CG163" s="328">
        <f t="shared" si="117"/>
        <v>0</v>
      </c>
      <c r="CH163" s="328">
        <f t="shared" si="117"/>
        <v>0</v>
      </c>
      <c r="CI163" s="328">
        <f t="shared" si="117"/>
        <v>0</v>
      </c>
      <c r="CJ163" s="328" t="e">
        <f t="shared" si="117"/>
        <v>#DIV/0!</v>
      </c>
      <c r="CK163" s="328">
        <f t="shared" si="117"/>
        <v>0.26901340742802338</v>
      </c>
      <c r="CL163" s="328">
        <f t="shared" si="117"/>
        <v>0</v>
      </c>
      <c r="CM163" s="328">
        <f t="shared" si="117"/>
        <v>0</v>
      </c>
      <c r="CN163" s="328">
        <f t="shared" si="117"/>
        <v>6.9872482719037753E-3</v>
      </c>
      <c r="CO163" s="328" t="e">
        <f t="shared" si="117"/>
        <v>#DIV/0!</v>
      </c>
      <c r="CP163" s="328">
        <f t="shared" si="117"/>
        <v>0.31893427201870417</v>
      </c>
      <c r="CQ163" s="328" t="e">
        <f t="shared" si="117"/>
        <v>#DIV/0!</v>
      </c>
      <c r="CR163" s="328" t="e">
        <f t="shared" si="117"/>
        <v>#DIV/0!</v>
      </c>
      <c r="CS163" s="328">
        <f t="shared" si="117"/>
        <v>0</v>
      </c>
      <c r="CT163" s="328">
        <f t="shared" si="117"/>
        <v>0</v>
      </c>
      <c r="CU163" s="328" t="e">
        <f t="shared" si="117"/>
        <v>#DIV/0!</v>
      </c>
      <c r="CV163" s="328">
        <f t="shared" si="117"/>
        <v>0.67302231237322518</v>
      </c>
    </row>
    <row r="164" spans="1:100" ht="70">
      <c r="A164" s="36" t="s">
        <v>5561</v>
      </c>
      <c r="B164" s="36" t="s">
        <v>4990</v>
      </c>
      <c r="C164" s="36" t="s">
        <v>5121</v>
      </c>
      <c r="D164" s="36" t="s">
        <v>4949</v>
      </c>
      <c r="E164" s="36">
        <v>41</v>
      </c>
      <c r="F164" s="36" t="s">
        <v>5562</v>
      </c>
      <c r="G164" s="36" t="s">
        <v>5563</v>
      </c>
      <c r="H164" s="36" t="s">
        <v>60</v>
      </c>
      <c r="I164" s="36" t="s">
        <v>4961</v>
      </c>
      <c r="M164" s="36" t="s">
        <v>5497</v>
      </c>
      <c r="N164" s="36" t="s">
        <v>5476</v>
      </c>
      <c r="O164" s="36" t="s">
        <v>5497</v>
      </c>
      <c r="P164" s="194">
        <f>SUMIFS('свод практик'!$AM$6:$AM$277,'свод практик'!$J$6:$J$277,'свод субъектов ИБ+смежные'!P$1,'свод практик'!$G$6:$G$277,"суб")</f>
        <v>2.0000000000000001E-4</v>
      </c>
      <c r="Q164" s="194">
        <f>SUMIFS('свод практик'!$AM$6:$AM$277,'свод практик'!$J$6:$J$277,'свод субъектов ИБ+смежные'!Q$1,'свод практик'!$G$6:$G$277,"суб")</f>
        <v>6.0787034043341447E-4</v>
      </c>
      <c r="R164" s="194">
        <f>SUMIFS('свод практик'!$AM$6:$AM$277,'свод практик'!$J$6:$J$277,'свод субъектов ИБ+смежные'!R$1,'свод практик'!$G$6:$G$277,"суб")</f>
        <v>4.3E-3</v>
      </c>
      <c r="S164" s="194">
        <f>SUMIFS('свод практик'!$AM$6:$AM$277,'свод практик'!$J$6:$J$277,'свод субъектов ИБ+смежные'!S$1,'свод практик'!$G$6:$G$277,"суб")</f>
        <v>1.1000000000000001E-3</v>
      </c>
      <c r="T164" s="194">
        <f>SUMIFS('свод практик'!$AM$6:$AM$277,'свод практик'!$J$6:$J$277,'свод субъектов ИБ+смежные'!T$1,'свод практик'!$G$6:$G$277,"суб")</f>
        <v>0</v>
      </c>
      <c r="U164" s="194">
        <f>SUMIFS('свод практик'!$AM$6:$AM$277,'свод практик'!$J$6:$J$277,'свод субъектов ИБ+смежные'!U$1,'свод практик'!$G$6:$G$277,"суб")</f>
        <v>3.0000000000000001E-5</v>
      </c>
      <c r="V164" s="194">
        <f>SUMIFS('свод практик'!$AM$6:$AM$277,'свод практик'!$J$6:$J$277,'свод субъектов ИБ+смежные'!V$1,'свод практик'!$G$6:$G$277,"суб")</f>
        <v>1.2500000000000001E-2</v>
      </c>
      <c r="W164" s="194">
        <f>SUMIFS('свод практик'!$AM$6:$AM$277,'свод практик'!$J$6:$J$277,'свод субъектов ИБ+смежные'!W$1,'свод практик'!$G$6:$G$277,"суб")</f>
        <v>8.8000000000000004E-7</v>
      </c>
      <c r="X164" s="194">
        <f>SUMIFS('свод практик'!$AM$6:$AM$277,'свод практик'!$J$6:$J$277,'свод субъектов ИБ+смежные'!X$1,'свод практик'!$G$6:$G$277,"суб")</f>
        <v>1.5E-3</v>
      </c>
      <c r="Y164" s="194">
        <f>SUMIFS('свод практик'!$AM$6:$AM$277,'свод практик'!$J$6:$J$277,'свод субъектов ИБ+смежные'!Y$1,'свод практик'!$G$6:$G$277,"суб")</f>
        <v>8.9999999999999998E-4</v>
      </c>
      <c r="Z164" s="194">
        <f>SUMIFS('свод практик'!$AM$6:$AM$277,'свод практик'!$J$6:$J$277,'свод субъектов ИБ+смежные'!Z$1,'свод практик'!$G$6:$G$277,"суб")</f>
        <v>8.0000000000000004E-4</v>
      </c>
      <c r="AA164" s="194">
        <f>SUMIFS('свод практик'!$AM$6:$AM$277,'свод практик'!$J$6:$J$277,'свод субъектов ИБ+смежные'!AA$1,'свод практик'!$G$6:$G$277,"суб")</f>
        <v>4.8326478184357221E-4</v>
      </c>
      <c r="AB164" s="194">
        <f>SUMIFS('свод практик'!$AM$6:$AM$277,'свод практик'!$J$6:$J$277,'свод субъектов ИБ+смежные'!AB$1,'свод практик'!$G$6:$G$277,"суб")</f>
        <v>9.9711397367051899E-4</v>
      </c>
      <c r="AC164" s="194">
        <f>SUMIFS('свод практик'!$AM$6:$AM$277,'свод практик'!$J$6:$J$277,'свод субъектов ИБ+смежные'!AC$1,'свод практик'!$G$6:$G$277,"суб")</f>
        <v>1.7643982004685015E-3</v>
      </c>
      <c r="AD164" s="194">
        <f>SUMIFS('свод практик'!$AM$6:$AM$277,'свод практик'!$J$6:$J$277,'свод субъектов ИБ+смежные'!AD$1,'свод практик'!$G$6:$G$277,"суб")</f>
        <v>0</v>
      </c>
      <c r="AE164" s="194">
        <f>SUMIFS('свод практик'!$AM$6:$AM$277,'свод практик'!$J$6:$J$277,'свод субъектов ИБ+смежные'!AE$1,'свод практик'!$G$6:$G$277,"суб")</f>
        <v>0</v>
      </c>
      <c r="AF164" s="194">
        <f>SUMIFS('свод практик'!$AM$6:$AM$277,'свод практик'!$J$6:$J$277,'свод субъектов ИБ+смежные'!AF$1,'свод практик'!$G$6:$G$277,"суб")</f>
        <v>2.9999999999999997E-4</v>
      </c>
      <c r="AG164" s="194">
        <f>SUMIFS('свод практик'!$AM$6:$AM$277,'свод практик'!$J$6:$J$277,'свод субъектов ИБ+смежные'!AG$1,'свод практик'!$G$6:$G$277,"суб")</f>
        <v>0</v>
      </c>
      <c r="AH164" s="194">
        <f>SUMIFS('свод практик'!$AM$6:$AM$277,'свод практик'!$J$6:$J$277,'свод субъектов ИБ+смежные'!AH$1,'свод практик'!$G$6:$G$277,"суб")</f>
        <v>0</v>
      </c>
      <c r="AI164" s="194">
        <f>SUMIFS('свод практик'!$AM$6:$AM$277,'свод практик'!$J$6:$J$277,'свод субъектов ИБ+смежные'!AI$1,'свод практик'!$G$6:$G$277,"суб")</f>
        <v>3.0000000000000001E-3</v>
      </c>
      <c r="AJ164" s="194">
        <f>SUMIFS('свод практик'!$AM$6:$AM$277,'свод практик'!$J$6:$J$277,'свод субъектов ИБ+смежные'!AJ$1,'свод практик'!$G$6:$G$277,"суб")</f>
        <v>0</v>
      </c>
      <c r="AK164" s="194">
        <f>SUMIFS('свод практик'!$AM$6:$AM$277,'свод практик'!$J$6:$J$277,'свод субъектов ИБ+смежные'!AK$1,'свод практик'!$G$6:$G$277,"суб")</f>
        <v>7.7653892574069908E-3</v>
      </c>
      <c r="AL164" s="194">
        <f>SUMIFS('свод практик'!$AM$6:$AM$277,'свод практик'!$J$6:$J$277,'свод субъектов ИБ+смежные'!AL$1,'свод практик'!$G$6:$G$277,"суб")</f>
        <v>3.1E-4</v>
      </c>
      <c r="AM164" s="194">
        <f>SUMIFS('свод практик'!$AM$6:$AM$277,'свод практик'!$J$6:$J$277,'свод субъектов ИБ+смежные'!AM$1,'свод практик'!$G$6:$G$277,"суб")</f>
        <v>1.3600126388932301E-3</v>
      </c>
      <c r="AN164" s="194">
        <f>SUMIFS('свод практик'!$AM$6:$AM$277,'свод практик'!$J$6:$J$277,'свод субъектов ИБ+смежные'!AN$1,'свод практик'!$G$6:$G$277,"суб")</f>
        <v>0</v>
      </c>
      <c r="AO164" s="194">
        <f>SUMIFS('свод практик'!$AM$6:$AM$277,'свод практик'!$J$6:$J$277,'свод субъектов ИБ+смежные'!AO$1,'свод практик'!$G$6:$G$277,"суб")</f>
        <v>0</v>
      </c>
      <c r="AP164" s="194">
        <f>SUMIFS('свод практик'!$AM$6:$AM$277,'свод практик'!$J$6:$J$277,'свод субъектов ИБ+смежные'!AP$1,'свод практик'!$G$6:$G$277,"суб")</f>
        <v>1.3755764552658841E-3</v>
      </c>
      <c r="AQ164" s="194">
        <f>SUMIFS('свод практик'!$AM$6:$AM$277,'свод практик'!$J$6:$J$277,'свод субъектов ИБ+смежные'!AQ$1,'свод практик'!$G$6:$G$277,"суб")</f>
        <v>1E-3</v>
      </c>
      <c r="AR164" s="194">
        <f>SUMIFS('свод практик'!$AM$6:$AM$277,'свод практик'!$J$6:$J$277,'свод субъектов ИБ+смежные'!AR$1,'свод практик'!$G$6:$G$277,"суб")</f>
        <v>4.3999999999999994E-3</v>
      </c>
      <c r="AS164" s="194">
        <f>SUMIFS('свод практик'!$AM$6:$AM$277,'свод практик'!$J$6:$J$277,'свод субъектов ИБ+смежные'!AS$1,'свод практик'!$G$6:$G$277,"суб")</f>
        <v>1.1000000000000001E-3</v>
      </c>
      <c r="AT164" s="194">
        <f>SUMIFS('свод практик'!$AM$6:$AM$277,'свод практик'!$J$6:$J$277,'свод субъектов ИБ+смежные'!AT$1,'свод практик'!$G$6:$G$277,"суб")</f>
        <v>4.1999999999999997E-3</v>
      </c>
      <c r="AU164" s="194">
        <f>SUMIFS('свод практик'!$AM$6:$AM$277,'свод практик'!$J$6:$J$277,'свод субъектов ИБ+смежные'!AU$1,'свод практик'!$G$6:$G$277,"суб")</f>
        <v>0</v>
      </c>
      <c r="AV164" s="194">
        <f>SUMIFS('свод практик'!$AM$6:$AM$277,'свод практик'!$J$6:$J$277,'свод субъектов ИБ+смежные'!AV$1,'свод практик'!$G$6:$G$277,"суб")</f>
        <v>4.0000000000000002E-4</v>
      </c>
      <c r="AW164" s="194">
        <f>SUMIFS('свод практик'!$AM$6:$AM$277,'свод практик'!$J$6:$J$277,'свод субъектов ИБ+смежные'!AW$1,'свод практик'!$G$6:$G$277,"суб")</f>
        <v>2.3150000000000002E-4</v>
      </c>
      <c r="AX164" s="194">
        <f>SUMIFS('свод практик'!$AM$6:$AM$277,'свод практик'!$J$6:$J$277,'свод субъектов ИБ+смежные'!AX$1,'свод практик'!$G$6:$G$277,"суб")</f>
        <v>1.737E-3</v>
      </c>
      <c r="AY164" s="194">
        <f>SUMIFS('свод практик'!$AM$6:$AM$277,'свод практик'!$J$6:$J$277,'свод субъектов ИБ+смежные'!AY$1,'свод практик'!$G$6:$G$277,"суб")</f>
        <v>0</v>
      </c>
      <c r="AZ164" s="194">
        <f>SUMIFS('свод практик'!$AM$6:$AM$277,'свод практик'!$J$6:$J$277,'свод субъектов ИБ+смежные'!AZ$1,'свод практик'!$G$6:$G$277,"суб")</f>
        <v>3.0999999999999999E-3</v>
      </c>
      <c r="BA164" s="194">
        <f>SUMIFS('свод практик'!$AM$6:$AM$277,'свод практик'!$J$6:$J$277,'свод субъектов ИБ+смежные'!BA$1,'свод практик'!$G$6:$G$277,"суб")</f>
        <v>9.9099999999999991E-4</v>
      </c>
      <c r="BB164" s="194">
        <f>SUMIFS('свод практик'!$AM$6:$AM$277,'свод практик'!$J$6:$J$277,'свод субъектов ИБ+смежные'!BB$1,'свод практик'!$G$6:$G$277,"суб")</f>
        <v>0</v>
      </c>
      <c r="BC164" s="194">
        <f>SUMIFS('свод практик'!$AM$6:$AM$277,'свод практик'!$J$6:$J$277,'свод субъектов ИБ+смежные'!BC$1,'свод практик'!$G$6:$G$277,"суб")</f>
        <v>6.9999999999999999E-4</v>
      </c>
      <c r="BD164" s="194">
        <f>SUMIFS('свод практик'!$AM$6:$AM$277,'свод практик'!$J$6:$J$277,'свод субъектов ИБ+смежные'!BD$1,'свод практик'!$G$6:$G$277,"суб")</f>
        <v>0</v>
      </c>
      <c r="BE164" s="194">
        <f>SUMIFS('свод практик'!$AM$6:$AM$277,'свод практик'!$J$6:$J$277,'свод субъектов ИБ+смежные'!BE$1,'свод практик'!$G$6:$G$277,"суб")</f>
        <v>0</v>
      </c>
      <c r="BF164" s="194">
        <f>SUMIFS('свод практик'!$AM$6:$AM$277,'свод практик'!$J$6:$J$277,'свод субъектов ИБ+смежные'!BF$1,'свод практик'!$G$6:$G$277,"суб")</f>
        <v>0</v>
      </c>
      <c r="BG164" s="194">
        <f>SUMIFS('свод практик'!$AM$6:$AM$277,'свод практик'!$J$6:$J$277,'свод субъектов ИБ+смежные'!BG$1,'свод практик'!$G$6:$G$277,"суб")</f>
        <v>2.9999999999999997E-4</v>
      </c>
      <c r="BH164" s="194">
        <f>SUMIFS('свод практик'!$AM$6:$AM$277,'свод практик'!$J$6:$J$277,'свод субъектов ИБ+смежные'!BH$1,'свод практик'!$G$6:$G$277,"суб")</f>
        <v>8.0000000000000004E-4</v>
      </c>
      <c r="BI164" s="194">
        <f>SUMIFS('свод практик'!$AM$6:$AM$277,'свод практик'!$J$6:$J$277,'свод субъектов ИБ+смежные'!BI$1,'свод практик'!$G$6:$G$277,"суб")</f>
        <v>1.8709589236779644E-3</v>
      </c>
      <c r="BJ164" s="194">
        <f>SUMIFS('свод практик'!$AM$6:$AM$277,'свод практик'!$J$6:$J$277,'свод субъектов ИБ+смежные'!BJ$1,'свод практик'!$G$6:$G$277,"суб")</f>
        <v>7.4899999999999993E-3</v>
      </c>
      <c r="BK164" s="194">
        <f>SUMIFS('свод практик'!$AM$6:$AM$277,'свод практик'!$J$6:$J$277,'свод субъектов ИБ+смежные'!BK$1,'свод практик'!$G$6:$G$277,"суб")</f>
        <v>6.9999999999999999E-4</v>
      </c>
      <c r="BL164" s="194">
        <f>SUMIFS('свод практик'!$AM$6:$AM$277,'свод практик'!$J$6:$J$277,'свод субъектов ИБ+смежные'!BL$1,'свод практик'!$G$6:$G$277,"суб")</f>
        <v>0</v>
      </c>
      <c r="BM164" s="194">
        <f>SUMIFS('свод практик'!$AM$6:$AM$277,'свод практик'!$J$6:$J$277,'свод субъектов ИБ+смежные'!BM$1,'свод практик'!$G$6:$G$277,"суб")</f>
        <v>6.9999999999999999E-4</v>
      </c>
      <c r="BN164" s="194">
        <f>SUMIFS('свод практик'!$AM$6:$AM$277,'свод практик'!$J$6:$J$277,'свод субъектов ИБ+смежные'!BN$1,'свод практик'!$G$6:$G$277,"суб")</f>
        <v>4.8325272964118974E-4</v>
      </c>
      <c r="BO164" s="194">
        <f>SUMIFS('свод практик'!$AM$6:$AM$277,'свод практик'!$J$6:$J$277,'свод субъектов ИБ+смежные'!BO$1,'свод практик'!$G$6:$G$277,"суб")</f>
        <v>1E-4</v>
      </c>
      <c r="BP164" s="194">
        <f>SUMIFS('свод практик'!$AM$6:$AM$277,'свод практик'!$J$6:$J$277,'свод субъектов ИБ+смежные'!BP$1,'свод практик'!$G$6:$G$277,"суб")</f>
        <v>9.1751418188019713E-4</v>
      </c>
      <c r="BQ164" s="194">
        <f>SUMIFS('свод практик'!$AM$6:$AM$277,'свод практик'!$J$6:$J$277,'свод субъектов ИБ+смежные'!BQ$1,'свод практик'!$G$6:$G$277,"суб")</f>
        <v>0</v>
      </c>
      <c r="BR164" s="194">
        <f>SUMIFS('свод практик'!$AM$6:$AM$277,'свод практик'!$J$6:$J$277,'свод субъектов ИБ+смежные'!BR$1,'свод практик'!$G$6:$G$277,"суб")</f>
        <v>9.5977974425983159E-5</v>
      </c>
      <c r="BS164" s="194">
        <f>SUMIFS('свод практик'!$AM$6:$AM$277,'свод практик'!$J$6:$J$277,'свод субъектов ИБ+смежные'!BS$1,'свод практик'!$G$6:$G$277,"суб")</f>
        <v>0</v>
      </c>
      <c r="BT164" s="194">
        <f>SUMIFS('свод практик'!$AM$6:$AM$277,'свод практик'!$J$6:$J$277,'свод субъектов ИБ+смежные'!BT$1,'свод практик'!$G$6:$G$277,"суб")</f>
        <v>3.6884443138242709E-5</v>
      </c>
      <c r="BU164" s="194">
        <f>SUMIFS('свод практик'!$AM$6:$AM$277,'свод практик'!$J$6:$J$277,'свод субъектов ИБ+смежные'!BU$1,'свод практик'!$G$6:$G$277,"суб")</f>
        <v>8.9999999999999998E-4</v>
      </c>
      <c r="BV164" s="194">
        <f>SUMIFS('свод практик'!$AM$6:$AM$277,'свод практик'!$J$6:$J$277,'свод субъектов ИБ+смежные'!BV$1,'свод практик'!$G$6:$G$277,"суб")</f>
        <v>2.7935952938648503E-4</v>
      </c>
      <c r="BW164" s="194">
        <f>SUMIFS('свод практик'!$AM$6:$AM$277,'свод практик'!$J$6:$J$277,'свод субъектов ИБ+смежные'!BW$1,'свод практик'!$G$6:$G$277,"суб")</f>
        <v>7.2900000000000005E-4</v>
      </c>
      <c r="BX164" s="194">
        <f>SUMIFS('свод практик'!$AM$6:$AM$277,'свод практик'!$J$6:$J$277,'свод субъектов ИБ+смежные'!BX$1,'свод практик'!$G$6:$G$277,"суб")</f>
        <v>2.3E-3</v>
      </c>
      <c r="BY164" s="194">
        <f>SUMIFS('свод практик'!$AM$6:$AM$277,'свод практик'!$J$6:$J$277,'свод субъектов ИБ+смежные'!BY$1,'свод практик'!$G$6:$G$277,"суб")</f>
        <v>4.4999999999999997E-3</v>
      </c>
      <c r="BZ164" s="194">
        <f>SUMIFS('свод практик'!$AM$6:$AM$277,'свод практик'!$J$6:$J$277,'свод субъектов ИБ+смежные'!BZ$1,'свод практик'!$G$6:$G$277,"суб")</f>
        <v>4.7329981444704951E-4</v>
      </c>
      <c r="CA164" s="194">
        <f>SUMIFS('свод практик'!$AM$6:$AM$277,'свод практик'!$J$6:$J$277,'свод субъектов ИБ+смежные'!CA$1,'свод практик'!$G$6:$G$277,"суб")</f>
        <v>0</v>
      </c>
      <c r="CB164" s="194">
        <f>SUMIFS('свод практик'!$AM$6:$AM$277,'свод практик'!$J$6:$J$277,'свод субъектов ИБ+смежные'!CB$1,'свод практик'!$G$6:$G$277,"суб")</f>
        <v>0</v>
      </c>
      <c r="CC164" s="194">
        <f>SUMIFS('свод практик'!$AM$6:$AM$277,'свод практик'!$J$6:$J$277,'свод субъектов ИБ+смежные'!CC$1,'свод практик'!$G$6:$G$277,"суб")</f>
        <v>1.0000000000000001E-5</v>
      </c>
      <c r="CD164" s="194">
        <f>SUMIFS('свод практик'!$AM$6:$AM$277,'свод практик'!$J$6:$J$277,'свод субъектов ИБ+смежные'!CD$1,'свод практик'!$G$6:$G$277,"суб")</f>
        <v>3.5000000000000001E-3</v>
      </c>
      <c r="CE164" s="194">
        <f>SUMIFS('свод практик'!$AM$6:$AM$277,'свод практик'!$J$6:$J$277,'свод субъектов ИБ+смежные'!CE$1,'свод практик'!$G$6:$G$277,"суб")</f>
        <v>2.6700000000000001E-3</v>
      </c>
      <c r="CF164" s="194">
        <f>SUMIFS('свод практик'!$AM$6:$AM$277,'свод практик'!$J$6:$J$277,'свод субъектов ИБ+смежные'!CF$1,'свод практик'!$G$6:$G$277,"суб")</f>
        <v>3.7300000000000002E-3</v>
      </c>
      <c r="CG164" s="194">
        <f>SUMIFS('свод практик'!$AM$6:$AM$277,'свод практик'!$J$6:$J$277,'свод субъектов ИБ+смежные'!CG$1,'свод практик'!$G$6:$G$277,"суб")</f>
        <v>1.8E-3</v>
      </c>
      <c r="CH164" s="194">
        <f>SUMIFS('свод практик'!$AM$6:$AM$277,'свод практик'!$J$6:$J$277,'свод субъектов ИБ+смежные'!CH$1,'свод практик'!$G$6:$G$277,"суб")</f>
        <v>5.5999999999999995E-4</v>
      </c>
      <c r="CI164" s="194">
        <f>SUMIFS('свод практик'!$AM$6:$AM$277,'свод практик'!$J$6:$J$277,'свод субъектов ИБ+смежные'!CI$1,'свод практик'!$G$6:$G$277,"суб")</f>
        <v>6.4999999999999997E-3</v>
      </c>
      <c r="CJ164" s="194">
        <f>SUMIFS('свод практик'!$AM$6:$AM$277,'свод практик'!$J$6:$J$277,'свод субъектов ИБ+смежные'!CJ$1,'свод практик'!$G$6:$G$277,"суб")</f>
        <v>0</v>
      </c>
      <c r="CK164" s="194">
        <f>SUMIFS('свод практик'!$AM$6:$AM$277,'свод практик'!$J$6:$J$277,'свод субъектов ИБ+смежные'!CK$1,'свод практик'!$G$6:$G$277,"суб")</f>
        <v>1.6222470516480533E-3</v>
      </c>
      <c r="CL164" s="194">
        <f>SUMIFS('свод практик'!$AM$6:$AM$277,'свод практик'!$J$6:$J$277,'свод субъектов ИБ+смежные'!CL$1,'свод практик'!$G$6:$G$277,"суб")</f>
        <v>5.5999999999999995E-4</v>
      </c>
      <c r="CM164" s="194">
        <f>SUMIFS('свод практик'!$AM$6:$AM$277,'свод практик'!$J$6:$J$277,'свод субъектов ИБ+смежные'!CM$1,'свод практик'!$G$6:$G$277,"суб")</f>
        <v>1.8E-3</v>
      </c>
      <c r="CN164" s="194">
        <f>SUMIFS('свод практик'!$AM$6:$AM$277,'свод практик'!$J$6:$J$277,'свод субъектов ИБ+смежные'!CN$1,'свод практик'!$G$6:$G$277,"суб")</f>
        <v>9.3000000000000005E-4</v>
      </c>
      <c r="CO164" s="194">
        <f>SUMIFS('свод практик'!$AM$6:$AM$277,'свод практик'!$J$6:$J$277,'свод субъектов ИБ+смежные'!CO$1,'свод практик'!$G$6:$G$277,"суб")</f>
        <v>0</v>
      </c>
      <c r="CP164" s="194">
        <f>SUMIFS('свод практик'!$AM$6:$AM$277,'свод практик'!$J$6:$J$277,'свод субъектов ИБ+смежные'!CP$1,'свод практик'!$G$6:$G$277,"суб")</f>
        <v>1.2120000000000002E-3</v>
      </c>
      <c r="CQ164" s="194">
        <f>SUMIFS('свод практик'!$AM$6:$AM$277,'свод практик'!$J$6:$J$277,'свод субъектов ИБ+смежные'!CQ$1,'свод практик'!$G$6:$G$277,"суб")</f>
        <v>0</v>
      </c>
      <c r="CR164" s="194">
        <f>SUMIFS('свод практик'!$AM$6:$AM$277,'свод практик'!$J$6:$J$277,'свод субъектов ИБ+смежные'!CR$1,'свод практик'!$G$6:$G$277,"суб")</f>
        <v>0</v>
      </c>
      <c r="CS164" s="194">
        <f>SUMIFS('свод практик'!$AM$6:$AM$277,'свод практик'!$J$6:$J$277,'свод субъектов ИБ+смежные'!CS$1,'свод практик'!$G$6:$G$277,"суб")</f>
        <v>4.5841460080453386E-3</v>
      </c>
      <c r="CT164" s="194">
        <f>SUMIFS('свод практик'!$AM$6:$AM$277,'свод практик'!$J$6:$J$277,'свод субъектов ИБ+смежные'!CT$1,'свод практик'!$G$6:$G$277,"суб")</f>
        <v>4.0000000000000002E-4</v>
      </c>
      <c r="CU164" s="194">
        <f>SUMIFS('свод практик'!$AM$6:$AM$277,'свод практик'!$J$6:$J$277,'свод субъектов ИБ+смежные'!CU$1,'свод практик'!$G$6:$G$277,"суб")</f>
        <v>0</v>
      </c>
      <c r="CV164" s="194">
        <f>SUMIFS('свод практик'!$AM$6:$AM$277,'свод практик'!$J$6:$J$277,'свод субъектов ИБ+смежные'!CV$1,'свод практик'!$G$6:$G$277,"суб")</f>
        <v>2E-3</v>
      </c>
    </row>
    <row r="165" spans="1:100" ht="56">
      <c r="A165" s="36" t="s">
        <v>5564</v>
      </c>
      <c r="B165" s="36" t="s">
        <v>4990</v>
      </c>
      <c r="C165" s="36" t="s">
        <v>5125</v>
      </c>
      <c r="D165" s="36" t="s">
        <v>4949</v>
      </c>
      <c r="E165" s="36">
        <v>42</v>
      </c>
      <c r="F165" s="36" t="s">
        <v>5565</v>
      </c>
      <c r="G165" s="36" t="s">
        <v>5566</v>
      </c>
      <c r="H165" s="36" t="s">
        <v>5115</v>
      </c>
      <c r="I165" s="36" t="s">
        <v>4956</v>
      </c>
      <c r="M165" s="36" t="s">
        <v>5497</v>
      </c>
      <c r="N165" s="36">
        <v>155.58546678732063</v>
      </c>
      <c r="O165" s="224">
        <f>O61/O142*1000</f>
        <v>188.42120602992188</v>
      </c>
      <c r="P165" s="224">
        <f>P61/P142*1000</f>
        <v>15.615058433679771</v>
      </c>
      <c r="Q165" s="224">
        <f>Q61/Q142*1000</f>
        <v>346.0772608006414</v>
      </c>
      <c r="R165" s="224">
        <f t="shared" ref="R165:CC165" si="118">R61/R142*1000</f>
        <v>74.925279023545542</v>
      </c>
      <c r="S165" s="224">
        <f t="shared" si="118"/>
        <v>113.21355348974696</v>
      </c>
      <c r="T165" s="224">
        <f t="shared" si="118"/>
        <v>44.171540268712391</v>
      </c>
      <c r="U165" s="224">
        <f t="shared" si="118"/>
        <v>1.1882082216087546</v>
      </c>
      <c r="V165" s="224">
        <f t="shared" si="118"/>
        <v>777.07241645481929</v>
      </c>
      <c r="W165" s="224">
        <f t="shared" si="118"/>
        <v>7.5341474819865093</v>
      </c>
      <c r="X165" s="224">
        <f t="shared" si="118"/>
        <v>91.111298720513176</v>
      </c>
      <c r="Y165" s="224">
        <f t="shared" si="118"/>
        <v>60.938143325883402</v>
      </c>
      <c r="Z165" s="224">
        <f t="shared" si="118"/>
        <v>523.72495613423303</v>
      </c>
      <c r="AA165" s="224">
        <f t="shared" si="118"/>
        <v>45.781731640253646</v>
      </c>
      <c r="AB165" s="224">
        <f t="shared" si="118"/>
        <v>147.22368499045169</v>
      </c>
      <c r="AC165" s="224">
        <f t="shared" si="118"/>
        <v>125.57840390401948</v>
      </c>
      <c r="AD165" s="224" t="e">
        <f t="shared" si="118"/>
        <v>#DIV/0!</v>
      </c>
      <c r="AE165" s="224" t="e">
        <f t="shared" si="118"/>
        <v>#DIV/0!</v>
      </c>
      <c r="AF165" s="224">
        <f t="shared" si="118"/>
        <v>23.654941650936919</v>
      </c>
      <c r="AG165" s="224" t="e">
        <f t="shared" si="118"/>
        <v>#DIV/0!</v>
      </c>
      <c r="AH165" s="224" t="e">
        <f t="shared" si="118"/>
        <v>#DIV/0!</v>
      </c>
      <c r="AI165" s="224">
        <f t="shared" si="118"/>
        <v>312.92832926424882</v>
      </c>
      <c r="AJ165" s="224">
        <f t="shared" si="118"/>
        <v>0</v>
      </c>
      <c r="AK165" s="224">
        <f t="shared" si="118"/>
        <v>1772.4539420200945</v>
      </c>
      <c r="AL165" s="224">
        <f t="shared" si="118"/>
        <v>27.59632720465186</v>
      </c>
      <c r="AM165" s="224">
        <f t="shared" si="118"/>
        <v>137.33202912986167</v>
      </c>
      <c r="AN165" s="224" t="e">
        <f t="shared" si="118"/>
        <v>#DIV/0!</v>
      </c>
      <c r="AO165" s="224" t="e">
        <f t="shared" si="118"/>
        <v>#DIV/0!</v>
      </c>
      <c r="AP165" s="224">
        <f t="shared" si="118"/>
        <v>195.76015640944317</v>
      </c>
      <c r="AQ165" s="224">
        <f t="shared" si="118"/>
        <v>45.94803933152167</v>
      </c>
      <c r="AR165" s="224">
        <f t="shared" si="118"/>
        <v>332.2930270545391</v>
      </c>
      <c r="AS165" s="224">
        <f t="shared" si="118"/>
        <v>143.26216560726874</v>
      </c>
      <c r="AT165" s="224">
        <f t="shared" si="118"/>
        <v>794.91947118360451</v>
      </c>
      <c r="AU165" s="224">
        <f t="shared" si="118"/>
        <v>0</v>
      </c>
      <c r="AV165" s="224">
        <f t="shared" si="118"/>
        <v>41.914331705073621</v>
      </c>
      <c r="AW165" s="224">
        <f t="shared" si="118"/>
        <v>357.04736906959363</v>
      </c>
      <c r="AX165" s="224">
        <f t="shared" si="118"/>
        <v>512.82378763373754</v>
      </c>
      <c r="AY165" s="224" t="e">
        <f t="shared" si="118"/>
        <v>#DIV/0!</v>
      </c>
      <c r="AZ165" s="224">
        <f t="shared" si="118"/>
        <v>293.54734913580086</v>
      </c>
      <c r="BA165" s="224">
        <f t="shared" si="118"/>
        <v>72.313903002794959</v>
      </c>
      <c r="BB165" s="224">
        <f t="shared" si="118"/>
        <v>0</v>
      </c>
      <c r="BC165" s="224">
        <f t="shared" si="118"/>
        <v>47.546687145418737</v>
      </c>
      <c r="BD165" s="224" t="e">
        <f t="shared" si="118"/>
        <v>#DIV/0!</v>
      </c>
      <c r="BE165" s="224" t="e">
        <f t="shared" si="118"/>
        <v>#DIV/0!</v>
      </c>
      <c r="BF165" s="224">
        <f t="shared" si="118"/>
        <v>0</v>
      </c>
      <c r="BG165" s="224">
        <f t="shared" si="118"/>
        <v>50.036926806183807</v>
      </c>
      <c r="BH165" s="224">
        <f t="shared" si="118"/>
        <v>529.49738458039576</v>
      </c>
      <c r="BI165" s="224">
        <f t="shared" si="118"/>
        <v>216.72813853218585</v>
      </c>
      <c r="BJ165" s="224">
        <f t="shared" si="118"/>
        <v>950.9087695380158</v>
      </c>
      <c r="BK165" s="224">
        <f t="shared" si="118"/>
        <v>56.370733431171367</v>
      </c>
      <c r="BL165" s="224">
        <f t="shared" si="118"/>
        <v>0</v>
      </c>
      <c r="BM165" s="224">
        <f t="shared" si="118"/>
        <v>51.838824115869969</v>
      </c>
      <c r="BN165" s="224">
        <f t="shared" si="118"/>
        <v>34.07139064988602</v>
      </c>
      <c r="BO165" s="224">
        <f t="shared" si="118"/>
        <v>371.16004857325584</v>
      </c>
      <c r="BP165" s="224">
        <f t="shared" si="118"/>
        <v>49.997387047366061</v>
      </c>
      <c r="BQ165" s="224" t="e">
        <f t="shared" si="118"/>
        <v>#DIV/0!</v>
      </c>
      <c r="BR165" s="224">
        <f t="shared" si="118"/>
        <v>7.3198351813926354</v>
      </c>
      <c r="BS165" s="224">
        <f t="shared" si="118"/>
        <v>0</v>
      </c>
      <c r="BT165" s="224">
        <f t="shared" si="118"/>
        <v>188.9028441050408</v>
      </c>
      <c r="BU165" s="224">
        <f t="shared" si="118"/>
        <v>72.210443264278425</v>
      </c>
      <c r="BV165" s="224">
        <f t="shared" si="118"/>
        <v>33.667225810831688</v>
      </c>
      <c r="BW165" s="224">
        <f t="shared" si="118"/>
        <v>44.512751120260099</v>
      </c>
      <c r="BX165" s="224">
        <f t="shared" si="118"/>
        <v>832.45746359173177</v>
      </c>
      <c r="BY165" s="224">
        <f t="shared" si="118"/>
        <v>1762.5596538396649</v>
      </c>
      <c r="BZ165" s="224">
        <f t="shared" si="118"/>
        <v>479.55555400990926</v>
      </c>
      <c r="CA165" s="224" t="e">
        <f t="shared" si="118"/>
        <v>#DIV/0!</v>
      </c>
      <c r="CB165" s="224" t="e">
        <f t="shared" si="118"/>
        <v>#DIV/0!</v>
      </c>
      <c r="CC165" s="224">
        <f t="shared" si="118"/>
        <v>0.87361740324279746</v>
      </c>
      <c r="CD165" s="224">
        <f t="shared" ref="CD165:CV165" si="119">CD61/CD142*1000</f>
        <v>230.39156850305494</v>
      </c>
      <c r="CE165" s="224">
        <f t="shared" si="119"/>
        <v>136.70049250660253</v>
      </c>
      <c r="CF165" s="224">
        <f t="shared" si="119"/>
        <v>345.22854276015073</v>
      </c>
      <c r="CG165" s="224">
        <f t="shared" si="119"/>
        <v>177.23222084937078</v>
      </c>
      <c r="CH165" s="224">
        <f t="shared" si="119"/>
        <v>50.044516338245593</v>
      </c>
      <c r="CI165" s="224">
        <f t="shared" si="119"/>
        <v>474.03278296633147</v>
      </c>
      <c r="CJ165" s="224" t="e">
        <f t="shared" si="119"/>
        <v>#DIV/0!</v>
      </c>
      <c r="CK165" s="224">
        <f t="shared" si="119"/>
        <v>116.23788985341093</v>
      </c>
      <c r="CL165" s="224">
        <f t="shared" si="119"/>
        <v>50.579322045617126</v>
      </c>
      <c r="CM165" s="224">
        <f t="shared" si="119"/>
        <v>119.03218487667327</v>
      </c>
      <c r="CN165" s="224">
        <f t="shared" si="119"/>
        <v>151.9576700604575</v>
      </c>
      <c r="CO165" s="224" t="e">
        <f t="shared" si="119"/>
        <v>#DIV/0!</v>
      </c>
      <c r="CP165" s="224">
        <f t="shared" si="119"/>
        <v>367.33547563076758</v>
      </c>
      <c r="CQ165" s="224">
        <f t="shared" si="119"/>
        <v>0</v>
      </c>
      <c r="CR165" s="224" t="e">
        <f t="shared" si="119"/>
        <v>#DIV/0!</v>
      </c>
      <c r="CS165" s="224">
        <f t="shared" si="119"/>
        <v>357.37330766335168</v>
      </c>
      <c r="CT165" s="224">
        <f t="shared" si="119"/>
        <v>533.46673336668334</v>
      </c>
      <c r="CU165" s="224">
        <f t="shared" si="119"/>
        <v>0</v>
      </c>
      <c r="CV165" s="224">
        <f t="shared" si="119"/>
        <v>588.53912571498154</v>
      </c>
    </row>
    <row r="166" spans="1:100" s="325" customFormat="1" ht="29">
      <c r="B166" s="325" t="s">
        <v>4947</v>
      </c>
      <c r="C166" s="325" t="s">
        <v>5127</v>
      </c>
      <c r="D166" s="325" t="s">
        <v>4949</v>
      </c>
      <c r="E166" s="325">
        <v>43</v>
      </c>
      <c r="F166" s="325" t="s">
        <v>5567</v>
      </c>
      <c r="G166" s="325" t="s">
        <v>5568</v>
      </c>
      <c r="H166" s="325" t="s">
        <v>5115</v>
      </c>
      <c r="I166" s="325" t="s">
        <v>4956</v>
      </c>
      <c r="M166" s="325" t="s">
        <v>5497</v>
      </c>
      <c r="O166" s="329"/>
      <c r="P166" s="330"/>
      <c r="Q166" s="331"/>
      <c r="R166" s="331"/>
      <c r="S166" s="332"/>
      <c r="T166" s="330"/>
      <c r="U166" s="330"/>
    </row>
    <row r="167" spans="1:100" ht="42">
      <c r="A167" s="36" t="s">
        <v>5569</v>
      </c>
      <c r="B167" s="36" t="s">
        <v>4990</v>
      </c>
      <c r="C167" s="36" t="s">
        <v>5137</v>
      </c>
      <c r="D167" s="36" t="s">
        <v>4949</v>
      </c>
      <c r="E167" s="36">
        <v>52</v>
      </c>
      <c r="F167" s="36" t="s">
        <v>5570</v>
      </c>
      <c r="G167" s="36" t="s">
        <v>5139</v>
      </c>
      <c r="H167" s="36" t="s">
        <v>5140</v>
      </c>
      <c r="I167" s="36" t="s">
        <v>4961</v>
      </c>
      <c r="L167" s="36" t="s">
        <v>278</v>
      </c>
      <c r="M167" s="36" t="s">
        <v>5497</v>
      </c>
      <c r="N167" s="36">
        <v>1576</v>
      </c>
      <c r="O167" s="224">
        <f>SUM(P167:CV167)</f>
        <v>1529</v>
      </c>
      <c r="P167" s="208">
        <f>SUMIFS('свод практик'!$BY$6:$BY$277,'свод практик'!$J$6:$J$277,'свод субъектов ИБ+смежные'!P$1,'свод практик'!$G$6:$G$277,"суб")</f>
        <v>2</v>
      </c>
      <c r="Q167" s="208">
        <f>SUMIFS('свод практик'!$BY$6:$BY$277,'свод практик'!$J$6:$J$277,'свод субъектов ИБ+смежные'!Q$1,'свод практик'!$G$6:$G$277,"суб")</f>
        <v>0</v>
      </c>
      <c r="R167" s="208">
        <f>SUMIFS('свод практик'!$BY$6:$BY$277,'свод практик'!$J$6:$J$277,'свод субъектов ИБ+смежные'!R$1,'свод практик'!$G$6:$G$277,"суб")</f>
        <v>13</v>
      </c>
      <c r="S167" s="208">
        <f>SUMIFS('свод практик'!$BY$6:$BY$277,'свод практик'!$J$6:$J$277,'свод субъектов ИБ+смежные'!S$1,'свод практик'!$G$6:$G$277,"суб")</f>
        <v>3</v>
      </c>
      <c r="T167" s="208">
        <f>SUMIFS('свод практик'!$BY$6:$BY$277,'свод практик'!$J$6:$J$277,'свод субъектов ИБ+смежные'!T$1,'свод практик'!$G$6:$G$277,"суб")</f>
        <v>41</v>
      </c>
      <c r="U167" s="208">
        <f>SUMIFS('свод практик'!$BY$6:$BY$277,'свод практик'!$J$6:$J$277,'свод субъектов ИБ+смежные'!U$1,'свод практик'!$G$6:$G$277,"суб")</f>
        <v>0</v>
      </c>
      <c r="V167" s="208">
        <f>SUMIFS('свод практик'!$BY$6:$BY$277,'свод практик'!$J$6:$J$277,'свод субъектов ИБ+смежные'!V$1,'свод практик'!$G$6:$G$277,"суб")</f>
        <v>120</v>
      </c>
      <c r="W167" s="208">
        <f>SUMIFS('свод практик'!$BY$6:$BY$277,'свод практик'!$J$6:$J$277,'свод субъектов ИБ+смежные'!W$1,'свод практик'!$G$6:$G$277,"суб")</f>
        <v>0</v>
      </c>
      <c r="X167" s="208">
        <f>SUMIFS('свод практик'!$BY$6:$BY$277,'свод практик'!$J$6:$J$277,'свод субъектов ИБ+смежные'!X$1,'свод практик'!$G$6:$G$277,"суб")</f>
        <v>1</v>
      </c>
      <c r="Y167" s="208">
        <f>SUMIFS('свод практик'!$BY$6:$BY$277,'свод практик'!$J$6:$J$277,'свод субъектов ИБ+смежные'!Y$1,'свод практик'!$G$6:$G$277,"суб")</f>
        <v>4</v>
      </c>
      <c r="Z167" s="208">
        <f>SUMIFS('свод практик'!$BY$6:$BY$277,'свод практик'!$J$6:$J$277,'свод субъектов ИБ+смежные'!Z$1,'свод практик'!$G$6:$G$277,"суб")</f>
        <v>14</v>
      </c>
      <c r="AA167" s="208">
        <f>SUMIFS('свод практик'!$BY$6:$BY$277,'свод практик'!$J$6:$J$277,'свод субъектов ИБ+смежные'!AA$1,'свод практик'!$G$6:$G$277,"суб")</f>
        <v>2</v>
      </c>
      <c r="AB167" s="208">
        <f>SUMIFS('свод практик'!$BY$6:$BY$277,'свод практик'!$J$6:$J$277,'свод субъектов ИБ+смежные'!AB$1,'свод практик'!$G$6:$G$277,"суб")</f>
        <v>134</v>
      </c>
      <c r="AC167" s="208">
        <f>SUMIFS('свод практик'!$BY$6:$BY$277,'свод практик'!$J$6:$J$277,'свод субъектов ИБ+смежные'!AC$1,'свод практик'!$G$6:$G$277,"суб")</f>
        <v>17</v>
      </c>
      <c r="AD167" s="208">
        <f>SUMIFS('свод практик'!$BY$6:$BY$277,'свод практик'!$J$6:$J$277,'свод субъектов ИБ+смежные'!AD$1,'свод практик'!$G$6:$G$277,"суб")</f>
        <v>0</v>
      </c>
      <c r="AE167" s="208">
        <f>SUMIFS('свод практик'!$BY$6:$BY$277,'свод практик'!$J$6:$J$277,'свод субъектов ИБ+смежные'!AE$1,'свод практик'!$G$6:$G$277,"суб")</f>
        <v>0</v>
      </c>
      <c r="AF167" s="208">
        <f>SUMIFS('свод практик'!$BY$6:$BY$277,'свод практик'!$J$6:$J$277,'свод субъектов ИБ+смежные'!AF$1,'свод практик'!$G$6:$G$277,"суб")</f>
        <v>0</v>
      </c>
      <c r="AG167" s="208">
        <f>SUMIFS('свод практик'!$BY$6:$BY$277,'свод практик'!$J$6:$J$277,'свод субъектов ИБ+смежные'!AG$1,'свод практик'!$G$6:$G$277,"суб")</f>
        <v>0</v>
      </c>
      <c r="AH167" s="208">
        <f>SUMIFS('свод практик'!$BY$6:$BY$277,'свод практик'!$J$6:$J$277,'свод субъектов ИБ+смежные'!AH$1,'свод практик'!$G$6:$G$277,"суб")</f>
        <v>0</v>
      </c>
      <c r="AI167" s="208">
        <f>SUMIFS('свод практик'!$BY$6:$BY$277,'свод практик'!$J$6:$J$277,'свод субъектов ИБ+смежные'!AI$1,'свод практик'!$G$6:$G$277,"суб")</f>
        <v>105</v>
      </c>
      <c r="AJ167" s="208">
        <f>SUMIFS('свод практик'!$BY$6:$BY$277,'свод практик'!$J$6:$J$277,'свод субъектов ИБ+смежные'!AJ$1,'свод практик'!$G$6:$G$277,"суб")</f>
        <v>0</v>
      </c>
      <c r="AK167" s="208">
        <f>SUMIFS('свод практик'!$BY$6:$BY$277,'свод практик'!$J$6:$J$277,'свод субъектов ИБ+смежные'!AK$1,'свод практик'!$G$6:$G$277,"суб")</f>
        <v>61</v>
      </c>
      <c r="AL167" s="208">
        <f>SUMIFS('свод практик'!$BY$6:$BY$277,'свод практик'!$J$6:$J$277,'свод субъектов ИБ+смежные'!AL$1,'свод практик'!$G$6:$G$277,"суб")</f>
        <v>1</v>
      </c>
      <c r="AM167" s="208">
        <f>SUMIFS('свод практик'!$BY$6:$BY$277,'свод практик'!$J$6:$J$277,'свод субъектов ИБ+смежные'!AM$1,'свод практик'!$G$6:$G$277,"суб")</f>
        <v>9</v>
      </c>
      <c r="AN167" s="208">
        <f>SUMIFS('свод практик'!$BY$6:$BY$277,'свод практик'!$J$6:$J$277,'свод субъектов ИБ+смежные'!AN$1,'свод практик'!$G$6:$G$277,"суб")</f>
        <v>0</v>
      </c>
      <c r="AO167" s="208">
        <f>SUMIFS('свод практик'!$BY$6:$BY$277,'свод практик'!$J$6:$J$277,'свод субъектов ИБ+смежные'!AO$1,'свод практик'!$G$6:$G$277,"суб")</f>
        <v>0</v>
      </c>
      <c r="AP167" s="208">
        <f>SUMIFS('свод практик'!$BY$6:$BY$277,'свод практик'!$J$6:$J$277,'свод субъектов ИБ+смежные'!AP$1,'свод практик'!$G$6:$G$277,"суб")</f>
        <v>19</v>
      </c>
      <c r="AQ167" s="208">
        <f>SUMIFS('свод практик'!$BY$6:$BY$277,'свод практик'!$J$6:$J$277,'свод субъектов ИБ+смежные'!AQ$1,'свод практик'!$G$6:$G$277,"суб")</f>
        <v>0</v>
      </c>
      <c r="AR167" s="208">
        <f>SUMIFS('свод практик'!$BY$6:$BY$277,'свод практик'!$J$6:$J$277,'свод субъектов ИБ+смежные'!AR$1,'свод практик'!$G$6:$G$277,"суб")</f>
        <v>53</v>
      </c>
      <c r="AS167" s="208">
        <f>SUMIFS('свод практик'!$BY$6:$BY$277,'свод практик'!$J$6:$J$277,'свод субъектов ИБ+смежные'!AS$1,'свод практик'!$G$6:$G$277,"суб")</f>
        <v>8</v>
      </c>
      <c r="AT167" s="208">
        <f>SUMIFS('свод практик'!$BY$6:$BY$277,'свод практик'!$J$6:$J$277,'свод субъектов ИБ+смежные'!AT$1,'свод практик'!$G$6:$G$277,"суб")</f>
        <v>25</v>
      </c>
      <c r="AU167" s="208">
        <f>SUMIFS('свод практик'!$BY$6:$BY$277,'свод практик'!$J$6:$J$277,'свод субъектов ИБ+смежные'!AU$1,'свод практик'!$G$6:$G$277,"суб")</f>
        <v>0</v>
      </c>
      <c r="AV167" s="208">
        <f>SUMIFS('свод практик'!$BY$6:$BY$277,'свод практик'!$J$6:$J$277,'свод субъектов ИБ+смежные'!AV$1,'свод практик'!$G$6:$G$277,"суб")</f>
        <v>12</v>
      </c>
      <c r="AW167" s="208">
        <f>SUMIFS('свод практик'!$BY$6:$BY$277,'свод практик'!$J$6:$J$277,'свод субъектов ИБ+смежные'!AW$1,'свод практик'!$G$6:$G$277,"суб")</f>
        <v>0</v>
      </c>
      <c r="AX167" s="208">
        <f>SUMIFS('свод практик'!$BY$6:$BY$277,'свод практик'!$J$6:$J$277,'свод субъектов ИБ+смежные'!AX$1,'свод практик'!$G$6:$G$277,"суб")</f>
        <v>5</v>
      </c>
      <c r="AY167" s="208">
        <f>SUMIFS('свод практик'!$BY$6:$BY$277,'свод практик'!$J$6:$J$277,'свод субъектов ИБ+смежные'!AY$1,'свод практик'!$G$6:$G$277,"суб")</f>
        <v>0</v>
      </c>
      <c r="AZ167" s="208">
        <f>SUMIFS('свод практик'!$BY$6:$BY$277,'свод практик'!$J$6:$J$277,'свод субъектов ИБ+смежные'!AZ$1,'свод практик'!$G$6:$G$277,"суб")</f>
        <v>27</v>
      </c>
      <c r="BA167" s="208">
        <f>SUMIFS('свод практик'!$BY$6:$BY$277,'свод практик'!$J$6:$J$277,'свод субъектов ИБ+смежные'!BA$1,'свод практик'!$G$6:$G$277,"суб")</f>
        <v>0</v>
      </c>
      <c r="BB167" s="208">
        <f>SUMIFS('свод практик'!$BY$6:$BY$277,'свод практик'!$J$6:$J$277,'свод субъектов ИБ+смежные'!BB$1,'свод практик'!$G$6:$G$277,"суб")</f>
        <v>0</v>
      </c>
      <c r="BC167" s="208">
        <f>SUMIFS('свод практик'!$BY$6:$BY$277,'свод практик'!$J$6:$J$277,'свод субъектов ИБ+смежные'!BC$1,'свод практик'!$G$6:$G$277,"суб")</f>
        <v>1</v>
      </c>
      <c r="BD167" s="208">
        <f>SUMIFS('свод практик'!$BY$6:$BY$277,'свод практик'!$J$6:$J$277,'свод субъектов ИБ+смежные'!BD$1,'свод практик'!$G$6:$G$277,"суб")</f>
        <v>0</v>
      </c>
      <c r="BE167" s="208">
        <f>SUMIFS('свод практик'!$BY$6:$BY$277,'свод практик'!$J$6:$J$277,'свод субъектов ИБ+смежные'!BE$1,'свод практик'!$G$6:$G$277,"суб")</f>
        <v>0</v>
      </c>
      <c r="BF167" s="208">
        <f>SUMIFS('свод практик'!$BY$6:$BY$277,'свод практик'!$J$6:$J$277,'свод субъектов ИБ+смежные'!BF$1,'свод практик'!$G$6:$G$277,"суб")</f>
        <v>0</v>
      </c>
      <c r="BG167" s="208">
        <f>SUMIFS('свод практик'!$BY$6:$BY$277,'свод практик'!$J$6:$J$277,'свод субъектов ИБ+смежные'!BG$1,'свод практик'!$G$6:$G$277,"суб")</f>
        <v>0</v>
      </c>
      <c r="BH167" s="208">
        <f>SUMIFS('свод практик'!$BY$6:$BY$277,'свод практик'!$J$6:$J$277,'свод субъектов ИБ+смежные'!BH$1,'свод практик'!$G$6:$G$277,"суб")</f>
        <v>0</v>
      </c>
      <c r="BI167" s="208">
        <f>SUMIFS('свод практик'!$BY$6:$BY$277,'свод практик'!$J$6:$J$277,'свод субъектов ИБ+смежные'!BI$1,'свод практик'!$G$6:$G$277,"суб")</f>
        <v>42</v>
      </c>
      <c r="BJ167" s="208">
        <f>SUMIFS('свод практик'!$BY$6:$BY$277,'свод практик'!$J$6:$J$277,'свод субъектов ИБ+смежные'!BJ$1,'свод практик'!$G$6:$G$277,"суб")</f>
        <v>0</v>
      </c>
      <c r="BK167" s="208">
        <f>SUMIFS('свод практик'!$BY$6:$BY$277,'свод практик'!$J$6:$J$277,'свод субъектов ИБ+смежные'!BK$1,'свод практик'!$G$6:$G$277,"суб")</f>
        <v>8</v>
      </c>
      <c r="BL167" s="208">
        <f>SUMIFS('свод практик'!$BY$6:$BY$277,'свод практик'!$J$6:$J$277,'свод субъектов ИБ+смежные'!BL$1,'свод практик'!$G$6:$G$277,"суб")</f>
        <v>0</v>
      </c>
      <c r="BM167" s="208">
        <f>SUMIFS('свод практик'!$BY$6:$BY$277,'свод практик'!$J$6:$J$277,'свод субъектов ИБ+смежные'!BM$1,'свод практик'!$G$6:$G$277,"суб")</f>
        <v>11</v>
      </c>
      <c r="BN167" s="208">
        <f>SUMIFS('свод практик'!$BY$6:$BY$277,'свод практик'!$J$6:$J$277,'свод субъектов ИБ+смежные'!BN$1,'свод практик'!$G$6:$G$277,"суб")</f>
        <v>0</v>
      </c>
      <c r="BO167" s="208">
        <f>SUMIFS('свод практик'!$BY$6:$BY$277,'свод практик'!$J$6:$J$277,'свод субъектов ИБ+смежные'!BO$1,'свод практик'!$G$6:$G$277,"суб")</f>
        <v>0</v>
      </c>
      <c r="BP167" s="208">
        <f>SUMIFS('свод практик'!$BY$6:$BY$277,'свод практик'!$J$6:$J$277,'свод субъектов ИБ+смежные'!BP$1,'свод практик'!$G$6:$G$277,"суб")</f>
        <v>21</v>
      </c>
      <c r="BQ167" s="208">
        <f>SUMIFS('свод практик'!$BY$6:$BY$277,'свод практик'!$J$6:$J$277,'свод субъектов ИБ+смежные'!BQ$1,'свод практик'!$G$6:$G$277,"суб")</f>
        <v>0</v>
      </c>
      <c r="BR167" s="208">
        <f>SUMIFS('свод практик'!$BY$6:$BY$277,'свод практик'!$J$6:$J$277,'свод субъектов ИБ+смежные'!BR$1,'свод практик'!$G$6:$G$277,"суб")</f>
        <v>1</v>
      </c>
      <c r="BS167" s="208">
        <f>SUMIFS('свод практик'!$BY$6:$BY$277,'свод практик'!$J$6:$J$277,'свод субъектов ИБ+смежные'!BS$1,'свод практик'!$G$6:$G$277,"суб")</f>
        <v>0</v>
      </c>
      <c r="BT167" s="208">
        <f>SUMIFS('свод практик'!$BY$6:$BY$277,'свод практик'!$J$6:$J$277,'свод субъектов ИБ+смежные'!BT$1,'свод практик'!$G$6:$G$277,"суб")</f>
        <v>4</v>
      </c>
      <c r="BU167" s="208">
        <f>SUMIFS('свод практик'!$BY$6:$BY$277,'свод практик'!$J$6:$J$277,'свод субъектов ИБ+смежные'!BU$1,'свод практик'!$G$6:$G$277,"суб")</f>
        <v>11</v>
      </c>
      <c r="BV167" s="208">
        <f>SUMIFS('свод практик'!$BY$6:$BY$277,'свод практик'!$J$6:$J$277,'свод субъектов ИБ+смежные'!BV$1,'свод практик'!$G$6:$G$277,"суб")</f>
        <v>0</v>
      </c>
      <c r="BW167" s="208">
        <f>SUMIFS('свод практик'!$BY$6:$BY$277,'свод практик'!$J$6:$J$277,'свод субъектов ИБ+смежные'!BW$1,'свод практик'!$G$6:$G$277,"суб")</f>
        <v>51</v>
      </c>
      <c r="BX167" s="208">
        <f>SUMIFS('свод практик'!$BY$6:$BY$277,'свод практик'!$J$6:$J$277,'свод субъектов ИБ+смежные'!BX$1,'свод практик'!$G$6:$G$277,"суб")</f>
        <v>103</v>
      </c>
      <c r="BY167" s="208">
        <f>SUMIFS('свод практик'!$BY$6:$BY$277,'свод практик'!$J$6:$J$277,'свод субъектов ИБ+смежные'!BY$1,'свод практик'!$G$6:$G$277,"суб")</f>
        <v>1</v>
      </c>
      <c r="BZ167" s="208">
        <f>SUMIFS('свод практик'!$BY$6:$BY$277,'свод практик'!$J$6:$J$277,'свод субъектов ИБ+смежные'!BZ$1,'свод практик'!$G$6:$G$277,"суб")</f>
        <v>0</v>
      </c>
      <c r="CA167" s="208">
        <f>SUMIFS('свод практик'!$BY$6:$BY$277,'свод практик'!$J$6:$J$277,'свод субъектов ИБ+смежные'!CA$1,'свод практик'!$G$6:$G$277,"суб")</f>
        <v>0</v>
      </c>
      <c r="CB167" s="208">
        <f>SUMIFS('свод практик'!$BY$6:$BY$277,'свод практик'!$J$6:$J$277,'свод субъектов ИБ+смежные'!CB$1,'свод практик'!$G$6:$G$277,"суб")</f>
        <v>0</v>
      </c>
      <c r="CC167" s="208">
        <f>SUMIFS('свод практик'!$BY$6:$BY$277,'свод практик'!$J$6:$J$277,'свод субъектов ИБ+смежные'!CC$1,'свод практик'!$G$6:$G$277,"суб")</f>
        <v>0</v>
      </c>
      <c r="CD167" s="208">
        <f>SUMIFS('свод практик'!$BY$6:$BY$277,'свод практик'!$J$6:$J$277,'свод субъектов ИБ+смежные'!CD$1,'свод практик'!$G$6:$G$277,"суб")</f>
        <v>2</v>
      </c>
      <c r="CE167" s="208">
        <f>SUMIFS('свод практик'!$BY$6:$BY$277,'свод практик'!$J$6:$J$277,'свод субъектов ИБ+смежные'!CE$1,'свод практик'!$G$6:$G$277,"суб")</f>
        <v>90</v>
      </c>
      <c r="CF167" s="208">
        <f>SUMIFS('свод практик'!$BY$6:$BY$277,'свод практик'!$J$6:$J$277,'свод субъектов ИБ+смежные'!CF$1,'свод практик'!$G$6:$G$277,"суб")</f>
        <v>359</v>
      </c>
      <c r="CG167" s="208">
        <f>SUMIFS('свод практик'!$BY$6:$BY$277,'свод практик'!$J$6:$J$277,'свод субъектов ИБ+смежные'!CG$1,'свод практик'!$G$6:$G$277,"суб")</f>
        <v>53</v>
      </c>
      <c r="CH167" s="208">
        <f>SUMIFS('свод практик'!$BY$6:$BY$277,'свод практик'!$J$6:$J$277,'свод субъектов ИБ+смежные'!CH$1,'свод практик'!$G$6:$G$277,"суб")</f>
        <v>6</v>
      </c>
      <c r="CI167" s="208">
        <f>SUMIFS('свод практик'!$BY$6:$BY$277,'свод практик'!$J$6:$J$277,'свод субъектов ИБ+смежные'!CI$1,'свод практик'!$G$6:$G$277,"суб")</f>
        <v>0</v>
      </c>
      <c r="CJ167" s="208">
        <f>SUMIFS('свод практик'!$BY$6:$BY$277,'свод практик'!$J$6:$J$277,'свод субъектов ИБ+смежные'!CJ$1,'свод практик'!$G$6:$G$277,"суб")</f>
        <v>0</v>
      </c>
      <c r="CK167" s="208">
        <f>SUMIFS('свод практик'!$BY$6:$BY$277,'свод практик'!$J$6:$J$277,'свод субъектов ИБ+смежные'!CK$1,'свод практик'!$G$6:$G$277,"суб")</f>
        <v>0</v>
      </c>
      <c r="CL167" s="208">
        <f>SUMIFS('свод практик'!$BY$6:$BY$277,'свод практик'!$J$6:$J$277,'свод субъектов ИБ+смежные'!CL$1,'свод практик'!$G$6:$G$277,"суб")</f>
        <v>1</v>
      </c>
      <c r="CM167" s="208">
        <f>SUMIFS('свод практик'!$BY$6:$BY$277,'свод практик'!$J$6:$J$277,'свод субъектов ИБ+смежные'!CM$1,'свод практик'!$G$6:$G$277,"суб")</f>
        <v>19</v>
      </c>
      <c r="CN167" s="208">
        <f>SUMIFS('свод практик'!$BY$6:$BY$277,'свод практик'!$J$6:$J$277,'свод субъектов ИБ+смежные'!CN$1,'свод практик'!$G$6:$G$277,"суб")</f>
        <v>27</v>
      </c>
      <c r="CO167" s="208">
        <f>SUMIFS('свод практик'!$BY$6:$BY$277,'свод практик'!$J$6:$J$277,'свод субъектов ИБ+смежные'!CO$1,'свод практик'!$G$6:$G$277,"суб")</f>
        <v>0</v>
      </c>
      <c r="CP167" s="208">
        <f>SUMIFS('свод практик'!$BY$6:$BY$277,'свод практик'!$J$6:$J$277,'свод субъектов ИБ+смежные'!CP$1,'свод практик'!$G$6:$G$277,"суб")</f>
        <v>0</v>
      </c>
      <c r="CQ167" s="208">
        <f>SUMIFS('свод практик'!$BY$6:$BY$277,'свод практик'!$J$6:$J$277,'свод субъектов ИБ+смежные'!CQ$1,'свод практик'!$G$6:$G$277,"суб")</f>
        <v>0</v>
      </c>
      <c r="CR167" s="208">
        <f>SUMIFS('свод практик'!$BY$6:$BY$277,'свод практик'!$J$6:$J$277,'свод субъектов ИБ+смежные'!CR$1,'свод практик'!$G$6:$G$277,"суб")</f>
        <v>0</v>
      </c>
      <c r="CS167" s="208">
        <f>SUMIFS('свод практик'!$BY$6:$BY$277,'свод практик'!$J$6:$J$277,'свод субъектов ИБ+смежные'!CS$1,'свод практик'!$G$6:$G$277,"суб")</f>
        <v>40</v>
      </c>
      <c r="CT167" s="208">
        <f>SUMIFS('свод практик'!$BY$6:$BY$277,'свод практик'!$J$6:$J$277,'свод субъектов ИБ+смежные'!CT$1,'свод практик'!$G$6:$G$277,"суб")</f>
        <v>0</v>
      </c>
      <c r="CU167" s="208">
        <f>SUMIFS('свод практик'!$BY$6:$BY$277,'свод практик'!$J$6:$J$277,'свод субъектов ИБ+смежные'!CU$1,'свод практик'!$G$6:$G$277,"суб")</f>
        <v>0</v>
      </c>
      <c r="CV167" s="208">
        <f>SUMIFS('свод практик'!$BY$6:$BY$277,'свод практик'!$J$6:$J$277,'свод субъектов ИБ+смежные'!CV$1,'свод практик'!$G$6:$G$277,"суб")</f>
        <v>2</v>
      </c>
    </row>
    <row r="168" spans="1:100" ht="15">
      <c r="D168" s="36" t="s">
        <v>4949</v>
      </c>
      <c r="E168" s="36">
        <v>53</v>
      </c>
      <c r="F168" s="36" t="s">
        <v>5571</v>
      </c>
      <c r="H168" s="36" t="s">
        <v>60</v>
      </c>
      <c r="M168" s="36" t="s">
        <v>5497</v>
      </c>
      <c r="N168" s="36">
        <v>8.7429268833906573E-2</v>
      </c>
      <c r="O168" s="224">
        <f t="shared" ref="O168:O205" si="120">SUM(P168:CV168)</f>
        <v>0</v>
      </c>
      <c r="Q168" s="191"/>
      <c r="R168" s="193"/>
      <c r="S168" s="192"/>
      <c r="T168" s="194"/>
      <c r="U168" s="194"/>
    </row>
    <row r="169" spans="1:100" ht="14">
      <c r="D169" s="36" t="s">
        <v>4949</v>
      </c>
      <c r="E169" s="36">
        <v>54</v>
      </c>
      <c r="F169" s="36" t="s">
        <v>5572</v>
      </c>
      <c r="G169" s="36" t="s">
        <v>5143</v>
      </c>
      <c r="H169" s="36" t="s">
        <v>5140</v>
      </c>
      <c r="L169" s="36" t="s">
        <v>278</v>
      </c>
      <c r="M169" s="36" t="s">
        <v>5497</v>
      </c>
      <c r="N169" s="36">
        <v>2697</v>
      </c>
      <c r="O169" s="224">
        <f t="shared" si="120"/>
        <v>2962</v>
      </c>
      <c r="P169" s="208">
        <f>SUMIFS('свод практик'!$BZ$6:$BZ$277,'свод практик'!$J$6:$J$277,'свод субъектов ИБ+смежные'!P$1,'свод практик'!$G$6:$G$277,"суб")</f>
        <v>0</v>
      </c>
      <c r="Q169" s="208">
        <f>SUMIFS('свод практик'!$BZ$6:$BZ$277,'свод практик'!$J$6:$J$277,'свод субъектов ИБ+смежные'!Q$1,'свод практик'!$G$6:$G$277,"суб")</f>
        <v>1</v>
      </c>
      <c r="R169" s="208">
        <f>SUMIFS('свод практик'!$BZ$6:$BZ$277,'свод практик'!$J$6:$J$277,'свод субъектов ИБ+смежные'!R$1,'свод практик'!$G$6:$G$277,"суб")</f>
        <v>12</v>
      </c>
      <c r="S169" s="208">
        <f>SUMIFS('свод практик'!$BZ$6:$BZ$277,'свод практик'!$J$6:$J$277,'свод субъектов ИБ+смежные'!S$1,'свод практик'!$G$6:$G$277,"суб")</f>
        <v>0</v>
      </c>
      <c r="T169" s="208">
        <f>SUMIFS('свод практик'!$BZ$6:$BZ$277,'свод практик'!$J$6:$J$277,'свод субъектов ИБ+смежные'!T$1,'свод практик'!$G$6:$G$277,"суб")</f>
        <v>0</v>
      </c>
      <c r="U169" s="208">
        <f>SUMIFS('свод практик'!$BZ$6:$BZ$277,'свод практик'!$J$6:$J$277,'свод субъектов ИБ+смежные'!U$1,'свод практик'!$G$6:$G$277,"суб")</f>
        <v>0</v>
      </c>
      <c r="V169" s="208">
        <f>SUMIFS('свод практик'!$BZ$6:$BZ$277,'свод практик'!$J$6:$J$277,'свод субъектов ИБ+смежные'!V$1,'свод практик'!$G$6:$G$277,"суб")</f>
        <v>240</v>
      </c>
      <c r="W169" s="208">
        <f>SUMIFS('свод практик'!$BZ$6:$BZ$277,'свод практик'!$J$6:$J$277,'свод субъектов ИБ+смежные'!W$1,'свод практик'!$G$6:$G$277,"суб")</f>
        <v>0</v>
      </c>
      <c r="X169" s="208">
        <f>SUMIFS('свод практик'!$BZ$6:$BZ$277,'свод практик'!$J$6:$J$277,'свод субъектов ИБ+смежные'!X$1,'свод практик'!$G$6:$G$277,"суб")</f>
        <v>1</v>
      </c>
      <c r="Y169" s="208">
        <f>SUMIFS('свод практик'!$BZ$6:$BZ$277,'свод практик'!$J$6:$J$277,'свод субъектов ИБ+смежные'!Y$1,'свод практик'!$G$6:$G$277,"суб")</f>
        <v>0</v>
      </c>
      <c r="Z169" s="208">
        <f>SUMIFS('свод практик'!$BZ$6:$BZ$277,'свод практик'!$J$6:$J$277,'свод субъектов ИБ+смежные'!Z$1,'свод практик'!$G$6:$G$277,"суб")</f>
        <v>38</v>
      </c>
      <c r="AA169" s="208">
        <f>SUMIFS('свод практик'!$BZ$6:$BZ$277,'свод практик'!$J$6:$J$277,'свод субъектов ИБ+смежные'!AA$1,'свод практик'!$G$6:$G$277,"суб")</f>
        <v>13</v>
      </c>
      <c r="AB169" s="208">
        <f>SUMIFS('свод практик'!$BZ$6:$BZ$277,'свод практик'!$J$6:$J$277,'свод субъектов ИБ+смежные'!AB$1,'свод практик'!$G$6:$G$277,"суб")</f>
        <v>0</v>
      </c>
      <c r="AC169" s="208">
        <f>SUMIFS('свод практик'!$BZ$6:$BZ$277,'свод практик'!$J$6:$J$277,'свод субъектов ИБ+смежные'!AC$1,'свод практик'!$G$6:$G$277,"суб")</f>
        <v>42</v>
      </c>
      <c r="AD169" s="208">
        <f>SUMIFS('свод практик'!$BZ$6:$BZ$277,'свод практик'!$J$6:$J$277,'свод субъектов ИБ+смежные'!AD$1,'свод практик'!$G$6:$G$277,"суб")</f>
        <v>0</v>
      </c>
      <c r="AE169" s="208">
        <f>SUMIFS('свод практик'!$BZ$6:$BZ$277,'свод практик'!$J$6:$J$277,'свод субъектов ИБ+смежные'!AE$1,'свод практик'!$G$6:$G$277,"суб")</f>
        <v>0</v>
      </c>
      <c r="AF169" s="208">
        <f>SUMIFS('свод практик'!$BZ$6:$BZ$277,'свод практик'!$J$6:$J$277,'свод субъектов ИБ+смежные'!AF$1,'свод практик'!$G$6:$G$277,"суб")</f>
        <v>0</v>
      </c>
      <c r="AG169" s="208">
        <f>SUMIFS('свод практик'!$BZ$6:$BZ$277,'свод практик'!$J$6:$J$277,'свод субъектов ИБ+смежные'!AG$1,'свод практик'!$G$6:$G$277,"суб")</f>
        <v>0</v>
      </c>
      <c r="AH169" s="208">
        <f>SUMIFS('свод практик'!$BZ$6:$BZ$277,'свод практик'!$J$6:$J$277,'свод субъектов ИБ+смежные'!AH$1,'свод практик'!$G$6:$G$277,"суб")</f>
        <v>0</v>
      </c>
      <c r="AI169" s="208">
        <f>SUMIFS('свод практик'!$BZ$6:$BZ$277,'свод практик'!$J$6:$J$277,'свод субъектов ИБ+смежные'!AI$1,'свод практик'!$G$6:$G$277,"суб")</f>
        <v>115</v>
      </c>
      <c r="AJ169" s="208">
        <f>SUMIFS('свод практик'!$BZ$6:$BZ$277,'свод практик'!$J$6:$J$277,'свод субъектов ИБ+смежные'!AJ$1,'свод практик'!$G$6:$G$277,"суб")</f>
        <v>0</v>
      </c>
      <c r="AK169" s="208">
        <f>SUMIFS('свод практик'!$BZ$6:$BZ$277,'свод практик'!$J$6:$J$277,'свод субъектов ИБ+смежные'!AK$1,'свод практик'!$G$6:$G$277,"суб")</f>
        <v>124</v>
      </c>
      <c r="AL169" s="208">
        <f>SUMIFS('свод практик'!$BZ$6:$BZ$277,'свод практик'!$J$6:$J$277,'свод субъектов ИБ+смежные'!AL$1,'свод практик'!$G$6:$G$277,"суб")</f>
        <v>0</v>
      </c>
      <c r="AM169" s="208">
        <f>SUMIFS('свод практик'!$BZ$6:$BZ$277,'свод практик'!$J$6:$J$277,'свод субъектов ИБ+смежные'!AM$1,'свод практик'!$G$6:$G$277,"суб")</f>
        <v>0</v>
      </c>
      <c r="AN169" s="208">
        <f>SUMIFS('свод практик'!$BZ$6:$BZ$277,'свод практик'!$J$6:$J$277,'свод субъектов ИБ+смежные'!AN$1,'свод практик'!$G$6:$G$277,"суб")</f>
        <v>0</v>
      </c>
      <c r="AO169" s="208">
        <f>SUMIFS('свод практик'!$BZ$6:$BZ$277,'свод практик'!$J$6:$J$277,'свод субъектов ИБ+смежные'!AO$1,'свод практик'!$G$6:$G$277,"суб")</f>
        <v>0</v>
      </c>
      <c r="AP169" s="208">
        <f>SUMIFS('свод практик'!$BZ$6:$BZ$277,'свод практик'!$J$6:$J$277,'свод субъектов ИБ+смежные'!AP$1,'свод практик'!$G$6:$G$277,"суб")</f>
        <v>12</v>
      </c>
      <c r="AQ169" s="208">
        <f>SUMIFS('свод практик'!$BZ$6:$BZ$277,'свод практик'!$J$6:$J$277,'свод субъектов ИБ+смежные'!AQ$1,'свод практик'!$G$6:$G$277,"суб")</f>
        <v>1</v>
      </c>
      <c r="AR169" s="208">
        <f>SUMIFS('свод практик'!$BZ$6:$BZ$277,'свод практик'!$J$6:$J$277,'свод субъектов ИБ+смежные'!AR$1,'свод практик'!$G$6:$G$277,"суб")</f>
        <v>118</v>
      </c>
      <c r="AS169" s="208">
        <f>SUMIFS('свод практик'!$BZ$6:$BZ$277,'свод практик'!$J$6:$J$277,'свод субъектов ИБ+смежные'!AS$1,'свод практик'!$G$6:$G$277,"суб")</f>
        <v>46</v>
      </c>
      <c r="AT169" s="208">
        <f>SUMIFS('свод практик'!$BZ$6:$BZ$277,'свод практик'!$J$6:$J$277,'свод субъектов ИБ+смежные'!AT$1,'свод практик'!$G$6:$G$277,"суб")</f>
        <v>33</v>
      </c>
      <c r="AU169" s="208">
        <f>SUMIFS('свод практик'!$BZ$6:$BZ$277,'свод практик'!$J$6:$J$277,'свод субъектов ИБ+смежные'!AU$1,'свод практик'!$G$6:$G$277,"суб")</f>
        <v>0</v>
      </c>
      <c r="AV169" s="208">
        <f>SUMIFS('свод практик'!$BZ$6:$BZ$277,'свод практик'!$J$6:$J$277,'свод субъектов ИБ+смежные'!AV$1,'свод практик'!$G$6:$G$277,"суб")</f>
        <v>0</v>
      </c>
      <c r="AW169" s="208">
        <f>SUMIFS('свод практик'!$BZ$6:$BZ$277,'свод практик'!$J$6:$J$277,'свод субъектов ИБ+смежные'!AW$1,'свод практик'!$G$6:$G$277,"суб")</f>
        <v>0</v>
      </c>
      <c r="AX169" s="208">
        <f>SUMIFS('свод практик'!$BZ$6:$BZ$277,'свод практик'!$J$6:$J$277,'свод субъектов ИБ+смежные'!AX$1,'свод практик'!$G$6:$G$277,"суб")</f>
        <v>38</v>
      </c>
      <c r="AY169" s="208">
        <f>SUMIFS('свод практик'!$BZ$6:$BZ$277,'свод практик'!$J$6:$J$277,'свод субъектов ИБ+смежные'!AY$1,'свод практик'!$G$6:$G$277,"суб")</f>
        <v>0</v>
      </c>
      <c r="AZ169" s="208">
        <f>SUMIFS('свод практик'!$BZ$6:$BZ$277,'свод практик'!$J$6:$J$277,'свод субъектов ИБ+смежные'!AZ$1,'свод практик'!$G$6:$G$277,"суб")</f>
        <v>266</v>
      </c>
      <c r="BA169" s="208">
        <f>SUMIFS('свод практик'!$BZ$6:$BZ$277,'свод практик'!$J$6:$J$277,'свод субъектов ИБ+смежные'!BA$1,'свод практик'!$G$6:$G$277,"суб")</f>
        <v>0</v>
      </c>
      <c r="BB169" s="208">
        <f>SUMIFS('свод практик'!$BZ$6:$BZ$277,'свод практик'!$J$6:$J$277,'свод субъектов ИБ+смежные'!BB$1,'свод практик'!$G$6:$G$277,"суб")</f>
        <v>0</v>
      </c>
      <c r="BC169" s="208">
        <f>SUMIFS('свод практик'!$BZ$6:$BZ$277,'свод практик'!$J$6:$J$277,'свод субъектов ИБ+смежные'!BC$1,'свод практик'!$G$6:$G$277,"суб")</f>
        <v>6</v>
      </c>
      <c r="BD169" s="208">
        <f>SUMIFS('свод практик'!$BZ$6:$BZ$277,'свод практик'!$J$6:$J$277,'свод субъектов ИБ+смежные'!BD$1,'свод практик'!$G$6:$G$277,"суб")</f>
        <v>0</v>
      </c>
      <c r="BE169" s="208">
        <f>SUMIFS('свод практик'!$BZ$6:$BZ$277,'свод практик'!$J$6:$J$277,'свод субъектов ИБ+смежные'!BE$1,'свод практик'!$G$6:$G$277,"суб")</f>
        <v>0</v>
      </c>
      <c r="BF169" s="208">
        <f>SUMIFS('свод практик'!$BZ$6:$BZ$277,'свод практик'!$J$6:$J$277,'свод субъектов ИБ+смежные'!BF$1,'свод практик'!$G$6:$G$277,"суб")</f>
        <v>0</v>
      </c>
      <c r="BG169" s="208">
        <f>SUMIFS('свод практик'!$BZ$6:$BZ$277,'свод практик'!$J$6:$J$277,'свод субъектов ИБ+смежные'!BG$1,'свод практик'!$G$6:$G$277,"суб")</f>
        <v>1</v>
      </c>
      <c r="BH169" s="208">
        <f>SUMIFS('свод практик'!$BZ$6:$BZ$277,'свод практик'!$J$6:$J$277,'свод субъектов ИБ+смежные'!BH$1,'свод практик'!$G$6:$G$277,"суб")</f>
        <v>4</v>
      </c>
      <c r="BI169" s="208">
        <f>SUMIFS('свод практик'!$BZ$6:$BZ$277,'свод практик'!$J$6:$J$277,'свод субъектов ИБ+смежные'!BI$1,'свод практик'!$G$6:$G$277,"суб")</f>
        <v>261</v>
      </c>
      <c r="BJ169" s="208">
        <f>SUMIFS('свод практик'!$BZ$6:$BZ$277,'свод практик'!$J$6:$J$277,'свод субъектов ИБ+смежные'!BJ$1,'свод практик'!$G$6:$G$277,"суб")</f>
        <v>155</v>
      </c>
      <c r="BK169" s="208">
        <f>SUMIFS('свод практик'!$BZ$6:$BZ$277,'свод практик'!$J$6:$J$277,'свод субъектов ИБ+смежные'!BK$1,'свод практик'!$G$6:$G$277,"суб")</f>
        <v>10</v>
      </c>
      <c r="BL169" s="208">
        <f>SUMIFS('свод практик'!$BZ$6:$BZ$277,'свод практик'!$J$6:$J$277,'свод субъектов ИБ+смежные'!BL$1,'свод практик'!$G$6:$G$277,"суб")</f>
        <v>0</v>
      </c>
      <c r="BM169" s="208">
        <f>SUMIFS('свод практик'!$BZ$6:$BZ$277,'свод практик'!$J$6:$J$277,'свод субъектов ИБ+смежные'!BM$1,'свод практик'!$G$6:$G$277,"суб")</f>
        <v>33</v>
      </c>
      <c r="BN169" s="208">
        <f>SUMIFS('свод практик'!$BZ$6:$BZ$277,'свод практик'!$J$6:$J$277,'свод субъектов ИБ+смежные'!BN$1,'свод практик'!$G$6:$G$277,"суб")</f>
        <v>0</v>
      </c>
      <c r="BO169" s="208">
        <f>SUMIFS('свод практик'!$BZ$6:$BZ$277,'свод практик'!$J$6:$J$277,'свод субъектов ИБ+смежные'!BO$1,'свод практик'!$G$6:$G$277,"суб")</f>
        <v>0</v>
      </c>
      <c r="BP169" s="208">
        <f>SUMIFS('свод практик'!$BZ$6:$BZ$277,'свод практик'!$J$6:$J$277,'свод субъектов ИБ+смежные'!BP$1,'свод практик'!$G$6:$G$277,"суб")</f>
        <v>9</v>
      </c>
      <c r="BQ169" s="208">
        <f>SUMIFS('свод практик'!$BZ$6:$BZ$277,'свод практик'!$J$6:$J$277,'свод субъектов ИБ+смежные'!BQ$1,'свод практик'!$G$6:$G$277,"суб")</f>
        <v>0</v>
      </c>
      <c r="BR169" s="208">
        <f>SUMIFS('свод практик'!$BZ$6:$BZ$277,'свод практик'!$J$6:$J$277,'свод субъектов ИБ+смежные'!BR$1,'свод практик'!$G$6:$G$277,"суб")</f>
        <v>0</v>
      </c>
      <c r="BS169" s="208">
        <f>SUMIFS('свод практик'!$BZ$6:$BZ$277,'свод практик'!$J$6:$J$277,'свод субъектов ИБ+смежные'!BS$1,'свод практик'!$G$6:$G$277,"суб")</f>
        <v>0</v>
      </c>
      <c r="BT169" s="208">
        <f>SUMIFS('свод практик'!$BZ$6:$BZ$277,'свод практик'!$J$6:$J$277,'свод субъектов ИБ+смежные'!BT$1,'свод практик'!$G$6:$G$277,"суб")</f>
        <v>18</v>
      </c>
      <c r="BU169" s="208">
        <f>SUMIFS('свод практик'!$BZ$6:$BZ$277,'свод практик'!$J$6:$J$277,'свод субъектов ИБ+смежные'!BU$1,'свод практик'!$G$6:$G$277,"суб")</f>
        <v>12</v>
      </c>
      <c r="BV169" s="208">
        <f>SUMIFS('свод практик'!$BZ$6:$BZ$277,'свод практик'!$J$6:$J$277,'свод субъектов ИБ+смежные'!BV$1,'свод практик'!$G$6:$G$277,"суб")</f>
        <v>4</v>
      </c>
      <c r="BW169" s="208">
        <f>SUMIFS('свод практик'!$BZ$6:$BZ$277,'свод практик'!$J$6:$J$277,'свод субъектов ИБ+смежные'!BW$1,'свод практик'!$G$6:$G$277,"суб")</f>
        <v>0</v>
      </c>
      <c r="BX169" s="208">
        <f>SUMIFS('свод практик'!$BZ$6:$BZ$277,'свод практик'!$J$6:$J$277,'свод субъектов ИБ+смежные'!BX$1,'свод практик'!$G$6:$G$277,"суб")</f>
        <v>39</v>
      </c>
      <c r="BY169" s="208">
        <f>SUMIFS('свод практик'!$BZ$6:$BZ$277,'свод практик'!$J$6:$J$277,'свод субъектов ИБ+смежные'!BY$1,'свод практик'!$G$6:$G$277,"суб")</f>
        <v>11</v>
      </c>
      <c r="BZ169" s="208">
        <f>SUMIFS('свод практик'!$BZ$6:$BZ$277,'свод практик'!$J$6:$J$277,'свод субъектов ИБ+смежные'!BZ$1,'свод практик'!$G$6:$G$277,"суб")</f>
        <v>0</v>
      </c>
      <c r="CA169" s="208">
        <f>SUMIFS('свод практик'!$BZ$6:$BZ$277,'свод практик'!$J$6:$J$277,'свод субъектов ИБ+смежные'!CA$1,'свод практик'!$G$6:$G$277,"суб")</f>
        <v>0</v>
      </c>
      <c r="CB169" s="208">
        <f>SUMIFS('свод практик'!$BZ$6:$BZ$277,'свод практик'!$J$6:$J$277,'свод субъектов ИБ+смежные'!CB$1,'свод практик'!$G$6:$G$277,"суб")</f>
        <v>0</v>
      </c>
      <c r="CC169" s="208">
        <f>SUMIFS('свод практик'!$BZ$6:$BZ$277,'свод практик'!$J$6:$J$277,'свод субъектов ИБ+смежные'!CC$1,'свод практик'!$G$6:$G$277,"суб")</f>
        <v>0</v>
      </c>
      <c r="CD169" s="208">
        <f>SUMIFS('свод практик'!$BZ$6:$BZ$277,'свод практик'!$J$6:$J$277,'свод субъектов ИБ+смежные'!CD$1,'свод практик'!$G$6:$G$277,"суб")</f>
        <v>33</v>
      </c>
      <c r="CE169" s="208">
        <f>SUMIFS('свод практик'!$BZ$6:$BZ$277,'свод практик'!$J$6:$J$277,'свод субъектов ИБ+смежные'!CE$1,'свод практик'!$G$6:$G$277,"суб")</f>
        <v>152</v>
      </c>
      <c r="CF169" s="208">
        <f>SUMIFS('свод практик'!$BZ$6:$BZ$277,'свод практик'!$J$6:$J$277,'свод субъектов ИБ+смежные'!CF$1,'свод практик'!$G$6:$G$277,"суб")</f>
        <v>721</v>
      </c>
      <c r="CG169" s="208">
        <f>SUMIFS('свод практик'!$BZ$6:$BZ$277,'свод практик'!$J$6:$J$277,'свод субъектов ИБ+смежные'!CG$1,'свод практик'!$G$6:$G$277,"суб")</f>
        <v>41</v>
      </c>
      <c r="CH169" s="208">
        <f>SUMIFS('свод практик'!$BZ$6:$BZ$277,'свод практик'!$J$6:$J$277,'свод субъектов ИБ+смежные'!CH$1,'свод практик'!$G$6:$G$277,"суб")</f>
        <v>4</v>
      </c>
      <c r="CI169" s="208">
        <f>SUMIFS('свод практик'!$BZ$6:$BZ$277,'свод практик'!$J$6:$J$277,'свод субъектов ИБ+смежные'!CI$1,'свод практик'!$G$6:$G$277,"суб")</f>
        <v>136</v>
      </c>
      <c r="CJ169" s="208">
        <f>SUMIFS('свод практик'!$BZ$6:$BZ$277,'свод практик'!$J$6:$J$277,'свод субъектов ИБ+смежные'!CJ$1,'свод практик'!$G$6:$G$277,"суб")</f>
        <v>0</v>
      </c>
      <c r="CK169" s="208">
        <f>SUMIFS('свод практик'!$BZ$6:$BZ$277,'свод практик'!$J$6:$J$277,'свод субъектов ИБ+смежные'!CK$1,'свод практик'!$G$6:$G$277,"суб")</f>
        <v>0</v>
      </c>
      <c r="CL169" s="208">
        <f>SUMIFS('свод практик'!$BZ$6:$BZ$277,'свод практик'!$J$6:$J$277,'свод субъектов ИБ+смежные'!CL$1,'свод практик'!$G$6:$G$277,"суб")</f>
        <v>19</v>
      </c>
      <c r="CM169" s="208">
        <f>SUMIFS('свод практик'!$BZ$6:$BZ$277,'свод практик'!$J$6:$J$277,'свод субъектов ИБ+смежные'!CM$1,'свод практик'!$G$6:$G$277,"суб")</f>
        <v>4</v>
      </c>
      <c r="CN169" s="208">
        <f>SUMIFS('свод практик'!$BZ$6:$BZ$277,'свод практик'!$J$6:$J$277,'свод субъектов ИБ+смежные'!CN$1,'свод практик'!$G$6:$G$277,"суб")</f>
        <v>16</v>
      </c>
      <c r="CO169" s="208">
        <f>SUMIFS('свод практик'!$BZ$6:$BZ$277,'свод практик'!$J$6:$J$277,'свод субъектов ИБ+смежные'!CO$1,'свод практик'!$G$6:$G$277,"суб")</f>
        <v>0</v>
      </c>
      <c r="CP169" s="208">
        <f>SUMIFS('свод практик'!$BZ$6:$BZ$277,'свод практик'!$J$6:$J$277,'свод субъектов ИБ+смежные'!CP$1,'свод практик'!$G$6:$G$277,"суб")</f>
        <v>0</v>
      </c>
      <c r="CQ169" s="208">
        <f>SUMIFS('свод практик'!$BZ$6:$BZ$277,'свод практик'!$J$6:$J$277,'свод субъектов ИБ+смежные'!CQ$1,'свод практик'!$G$6:$G$277,"суб")</f>
        <v>0</v>
      </c>
      <c r="CR169" s="208">
        <f>SUMIFS('свод практик'!$BZ$6:$BZ$277,'свод практик'!$J$6:$J$277,'свод субъектов ИБ+смежные'!CR$1,'свод практик'!$G$6:$G$277,"суб")</f>
        <v>0</v>
      </c>
      <c r="CS169" s="208">
        <f>SUMIFS('свод практик'!$BZ$6:$BZ$277,'свод практик'!$J$6:$J$277,'свод субъектов ИБ+смежные'!CS$1,'свод практик'!$G$6:$G$277,"суб")</f>
        <v>164</v>
      </c>
      <c r="CT169" s="208">
        <f>SUMIFS('свод практик'!$BZ$6:$BZ$277,'свод практик'!$J$6:$J$277,'свод субъектов ИБ+смежные'!CT$1,'свод практик'!$G$6:$G$277,"суб")</f>
        <v>3</v>
      </c>
      <c r="CU169" s="208">
        <f>SUMIFS('свод практик'!$BZ$6:$BZ$277,'свод практик'!$J$6:$J$277,'свод субъектов ИБ+смежные'!CU$1,'свод практик'!$G$6:$G$277,"суб")</f>
        <v>0</v>
      </c>
      <c r="CV169" s="208">
        <f>SUMIFS('свод практик'!$BZ$6:$BZ$277,'свод практик'!$J$6:$J$277,'свод субъектов ИБ+смежные'!CV$1,'свод практик'!$G$6:$G$277,"суб")</f>
        <v>6</v>
      </c>
    </row>
    <row r="170" spans="1:100" ht="15">
      <c r="D170" s="36" t="s">
        <v>4949</v>
      </c>
      <c r="E170" s="36">
        <v>55</v>
      </c>
      <c r="F170" s="36" t="s">
        <v>5573</v>
      </c>
      <c r="H170" s="36" t="s">
        <v>60</v>
      </c>
      <c r="M170" s="36" t="s">
        <v>5497</v>
      </c>
      <c r="N170" s="36">
        <v>0.14961721957172971</v>
      </c>
      <c r="O170" s="224">
        <f t="shared" si="120"/>
        <v>0</v>
      </c>
      <c r="Q170" s="191"/>
      <c r="R170" s="191"/>
      <c r="S170" s="192"/>
      <c r="T170" s="194"/>
      <c r="U170" s="194"/>
    </row>
    <row r="171" spans="1:100" ht="14">
      <c r="D171" s="36" t="s">
        <v>4949</v>
      </c>
      <c r="E171" s="36">
        <v>56</v>
      </c>
      <c r="F171" s="36" t="s">
        <v>5574</v>
      </c>
      <c r="G171" s="36" t="s">
        <v>5146</v>
      </c>
      <c r="H171" s="36" t="s">
        <v>5140</v>
      </c>
      <c r="L171" s="36" t="s">
        <v>278</v>
      </c>
      <c r="M171" s="36" t="s">
        <v>5497</v>
      </c>
      <c r="N171" s="36">
        <v>1544</v>
      </c>
      <c r="O171" s="224">
        <f t="shared" si="120"/>
        <v>1282</v>
      </c>
      <c r="P171" s="208">
        <f>SUMIFS('свод практик'!$CA$6:$CA$277,'свод практик'!$J$6:$J$277,'свод субъектов ИБ+смежные'!P$1,'свод практик'!$G$6:$G$277,"суб")</f>
        <v>0</v>
      </c>
      <c r="Q171" s="208">
        <f>SUMIFS('свод практик'!$CA$6:$CA$277,'свод практик'!$J$6:$J$277,'свод субъектов ИБ+смежные'!Q$1,'свод практик'!$G$6:$G$277,"суб")</f>
        <v>0</v>
      </c>
      <c r="R171" s="208">
        <f>SUMIFS('свод практик'!$CA$6:$CA$277,'свод практик'!$J$6:$J$277,'свод субъектов ИБ+смежные'!R$1,'свод практик'!$G$6:$G$277,"суб")</f>
        <v>14</v>
      </c>
      <c r="S171" s="208">
        <f>SUMIFS('свод практик'!$CA$6:$CA$277,'свод практик'!$J$6:$J$277,'свод субъектов ИБ+смежные'!S$1,'свод практик'!$G$6:$G$277,"суб")</f>
        <v>7</v>
      </c>
      <c r="T171" s="208">
        <f>SUMIFS('свод практик'!$CA$6:$CA$277,'свод практик'!$J$6:$J$277,'свод субъектов ИБ+смежные'!T$1,'свод практик'!$G$6:$G$277,"суб")</f>
        <v>0</v>
      </c>
      <c r="U171" s="208">
        <f>SUMIFS('свод практик'!$CA$6:$CA$277,'свод практик'!$J$6:$J$277,'свод субъектов ИБ+смежные'!U$1,'свод практик'!$G$6:$G$277,"суб")</f>
        <v>0</v>
      </c>
      <c r="V171" s="208">
        <f>SUMIFS('свод практик'!$CA$6:$CA$277,'свод практик'!$J$6:$J$277,'свод субъектов ИБ+смежные'!V$1,'свод практик'!$G$6:$G$277,"суб")</f>
        <v>148</v>
      </c>
      <c r="W171" s="208">
        <f>SUMIFS('свод практик'!$CA$6:$CA$277,'свод практик'!$J$6:$J$277,'свод субъектов ИБ+смежные'!W$1,'свод практик'!$G$6:$G$277,"суб")</f>
        <v>0</v>
      </c>
      <c r="X171" s="208">
        <f>SUMIFS('свод практик'!$CA$6:$CA$277,'свод практик'!$J$6:$J$277,'свод субъектов ИБ+смежные'!X$1,'свод практик'!$G$6:$G$277,"суб")</f>
        <v>1</v>
      </c>
      <c r="Y171" s="208">
        <f>SUMIFS('свод практик'!$CA$6:$CA$277,'свод практик'!$J$6:$J$277,'свод субъектов ИБ+смежные'!Y$1,'свод практик'!$G$6:$G$277,"суб")</f>
        <v>15</v>
      </c>
      <c r="Z171" s="208">
        <f>SUMIFS('свод практик'!$CA$6:$CA$277,'свод практик'!$J$6:$J$277,'свод субъектов ИБ+смежные'!Z$1,'свод практик'!$G$6:$G$277,"суб")</f>
        <v>37</v>
      </c>
      <c r="AA171" s="208">
        <f>SUMIFS('свод практик'!$CA$6:$CA$277,'свод практик'!$J$6:$J$277,'свод субъектов ИБ+смежные'!AA$1,'свод практик'!$G$6:$G$277,"суб")</f>
        <v>2</v>
      </c>
      <c r="AB171" s="208">
        <f>SUMIFS('свод практик'!$CA$6:$CA$277,'свод практик'!$J$6:$J$277,'свод субъектов ИБ+смежные'!AB$1,'свод практик'!$G$6:$G$277,"суб")</f>
        <v>85</v>
      </c>
      <c r="AC171" s="208">
        <f>SUMIFS('свод практик'!$CA$6:$CA$277,'свод практик'!$J$6:$J$277,'свод субъектов ИБ+смежные'!AC$1,'свод практик'!$G$6:$G$277,"суб")</f>
        <v>11</v>
      </c>
      <c r="AD171" s="208">
        <f>SUMIFS('свод практик'!$CA$6:$CA$277,'свод практик'!$J$6:$J$277,'свод субъектов ИБ+смежные'!AD$1,'свод практик'!$G$6:$G$277,"суб")</f>
        <v>0</v>
      </c>
      <c r="AE171" s="208">
        <f>SUMIFS('свод практик'!$CA$6:$CA$277,'свод практик'!$J$6:$J$277,'свод субъектов ИБ+смежные'!AE$1,'свод практик'!$G$6:$G$277,"суб")</f>
        <v>0</v>
      </c>
      <c r="AF171" s="208">
        <f>SUMIFS('свод практик'!$CA$6:$CA$277,'свод практик'!$J$6:$J$277,'свод субъектов ИБ+смежные'!AF$1,'свод практик'!$G$6:$G$277,"суб")</f>
        <v>0</v>
      </c>
      <c r="AG171" s="208">
        <f>SUMIFS('свод практик'!$CA$6:$CA$277,'свод практик'!$J$6:$J$277,'свод субъектов ИБ+смежные'!AG$1,'свод практик'!$G$6:$G$277,"суб")</f>
        <v>0</v>
      </c>
      <c r="AH171" s="208">
        <f>SUMIFS('свод практик'!$CA$6:$CA$277,'свод практик'!$J$6:$J$277,'свод субъектов ИБ+смежные'!AH$1,'свод практик'!$G$6:$G$277,"суб")</f>
        <v>0</v>
      </c>
      <c r="AI171" s="208">
        <f>SUMIFS('свод практик'!$CA$6:$CA$277,'свод практик'!$J$6:$J$277,'свод субъектов ИБ+смежные'!AI$1,'свод практик'!$G$6:$G$277,"суб")</f>
        <v>74</v>
      </c>
      <c r="AJ171" s="208">
        <f>SUMIFS('свод практик'!$CA$6:$CA$277,'свод практик'!$J$6:$J$277,'свод субъектов ИБ+смежные'!AJ$1,'свод практик'!$G$6:$G$277,"суб")</f>
        <v>0</v>
      </c>
      <c r="AK171" s="208">
        <f>SUMIFS('свод практик'!$CA$6:$CA$277,'свод практик'!$J$6:$J$277,'свод субъектов ИБ+смежные'!AK$1,'свод практик'!$G$6:$G$277,"суб")</f>
        <v>77</v>
      </c>
      <c r="AL171" s="208">
        <f>SUMIFS('свод практик'!$CA$6:$CA$277,'свод практик'!$J$6:$J$277,'свод субъектов ИБ+смежные'!AL$1,'свод практик'!$G$6:$G$277,"суб")</f>
        <v>0</v>
      </c>
      <c r="AM171" s="208">
        <f>SUMIFS('свод практик'!$CA$6:$CA$277,'свод практик'!$J$6:$J$277,'свод субъектов ИБ+смежные'!AM$1,'свод практик'!$G$6:$G$277,"суб")</f>
        <v>10</v>
      </c>
      <c r="AN171" s="208">
        <f>SUMIFS('свод практик'!$CA$6:$CA$277,'свод практик'!$J$6:$J$277,'свод субъектов ИБ+смежные'!AN$1,'свод практик'!$G$6:$G$277,"суб")</f>
        <v>0</v>
      </c>
      <c r="AO171" s="208">
        <f>SUMIFS('свод практик'!$CA$6:$CA$277,'свод практик'!$J$6:$J$277,'свод субъектов ИБ+смежные'!AO$1,'свод практик'!$G$6:$G$277,"суб")</f>
        <v>0</v>
      </c>
      <c r="AP171" s="208">
        <f>SUMIFS('свод практик'!$CA$6:$CA$277,'свод практик'!$J$6:$J$277,'свод субъектов ИБ+смежные'!AP$1,'свод практик'!$G$6:$G$277,"суб")</f>
        <v>15</v>
      </c>
      <c r="AQ171" s="208">
        <f>SUMIFS('свод практик'!$CA$6:$CA$277,'свод практик'!$J$6:$J$277,'свод субъектов ИБ+смежные'!AQ$1,'свод практик'!$G$6:$G$277,"суб")</f>
        <v>0</v>
      </c>
      <c r="AR171" s="208">
        <f>SUMIFS('свод практик'!$CA$6:$CA$277,'свод практик'!$J$6:$J$277,'свод субъектов ИБ+смежные'!AR$1,'свод практик'!$G$6:$G$277,"суб")</f>
        <v>17</v>
      </c>
      <c r="AS171" s="208">
        <f>SUMIFS('свод практик'!$CA$6:$CA$277,'свод практик'!$J$6:$J$277,'свод субъектов ИБ+смежные'!AS$1,'свод практик'!$G$6:$G$277,"суб")</f>
        <v>25</v>
      </c>
      <c r="AT171" s="208">
        <f>SUMIFS('свод практик'!$CA$6:$CA$277,'свод практик'!$J$6:$J$277,'свод субъектов ИБ+смежные'!AT$1,'свод практик'!$G$6:$G$277,"суб")</f>
        <v>22</v>
      </c>
      <c r="AU171" s="208">
        <f>SUMIFS('свод практик'!$CA$6:$CA$277,'свод практик'!$J$6:$J$277,'свод субъектов ИБ+смежные'!AU$1,'свод практик'!$G$6:$G$277,"суб")</f>
        <v>0</v>
      </c>
      <c r="AV171" s="208">
        <f>SUMIFS('свод практик'!$CA$6:$CA$277,'свод практик'!$J$6:$J$277,'свод субъектов ИБ+смежные'!AV$1,'свод практик'!$G$6:$G$277,"суб")</f>
        <v>32</v>
      </c>
      <c r="AW171" s="208">
        <f>SUMIFS('свод практик'!$CA$6:$CA$277,'свод практик'!$J$6:$J$277,'свод субъектов ИБ+смежные'!AW$1,'свод практик'!$G$6:$G$277,"суб")</f>
        <v>0</v>
      </c>
      <c r="AX171" s="208">
        <f>SUMIFS('свод практик'!$CA$6:$CA$277,'свод практик'!$J$6:$J$277,'свод субъектов ИБ+смежные'!AX$1,'свод практик'!$G$6:$G$277,"суб")</f>
        <v>2</v>
      </c>
      <c r="AY171" s="208">
        <f>SUMIFS('свод практик'!$CA$6:$CA$277,'свод практик'!$J$6:$J$277,'свод субъектов ИБ+смежные'!AY$1,'свод практик'!$G$6:$G$277,"суб")</f>
        <v>0</v>
      </c>
      <c r="AZ171" s="208">
        <f>SUMIFS('свод практик'!$CA$6:$CA$277,'свод практик'!$J$6:$J$277,'свод субъектов ИБ+смежные'!AZ$1,'свод практик'!$G$6:$G$277,"суб")</f>
        <v>82</v>
      </c>
      <c r="BA171" s="208">
        <f>SUMIFS('свод практик'!$CA$6:$CA$277,'свод практик'!$J$6:$J$277,'свод субъектов ИБ+смежные'!BA$1,'свод практик'!$G$6:$G$277,"суб")</f>
        <v>0</v>
      </c>
      <c r="BB171" s="208">
        <f>SUMIFS('свод практик'!$CA$6:$CA$277,'свод практик'!$J$6:$J$277,'свод субъектов ИБ+смежные'!BB$1,'свод практик'!$G$6:$G$277,"суб")</f>
        <v>0</v>
      </c>
      <c r="BC171" s="208">
        <f>SUMIFS('свод практик'!$CA$6:$CA$277,'свод практик'!$J$6:$J$277,'свод субъектов ИБ+смежные'!BC$1,'свод практик'!$G$6:$G$277,"суб")</f>
        <v>7</v>
      </c>
      <c r="BD171" s="208">
        <f>SUMIFS('свод практик'!$CA$6:$CA$277,'свод практик'!$J$6:$J$277,'свод субъектов ИБ+смежные'!BD$1,'свод практик'!$G$6:$G$277,"суб")</f>
        <v>0</v>
      </c>
      <c r="BE171" s="208">
        <f>SUMIFS('свод практик'!$CA$6:$CA$277,'свод практик'!$J$6:$J$277,'свод субъектов ИБ+смежные'!BE$1,'свод практик'!$G$6:$G$277,"суб")</f>
        <v>0</v>
      </c>
      <c r="BF171" s="208">
        <f>SUMIFS('свод практик'!$CA$6:$CA$277,'свод практик'!$J$6:$J$277,'свод субъектов ИБ+смежные'!BF$1,'свод практик'!$G$6:$G$277,"суб")</f>
        <v>0</v>
      </c>
      <c r="BG171" s="208">
        <f>SUMIFS('свод практик'!$CA$6:$CA$277,'свод практик'!$J$6:$J$277,'свод субъектов ИБ+смежные'!BG$1,'свод практик'!$G$6:$G$277,"суб")</f>
        <v>4</v>
      </c>
      <c r="BH171" s="208">
        <f>SUMIFS('свод практик'!$CA$6:$CA$277,'свод практик'!$J$6:$J$277,'свод субъектов ИБ+смежные'!BH$1,'свод практик'!$G$6:$G$277,"суб")</f>
        <v>0</v>
      </c>
      <c r="BI171" s="208">
        <f>SUMIFS('свод практик'!$CA$6:$CA$277,'свод практик'!$J$6:$J$277,'свод субъектов ИБ+смежные'!BI$1,'свод практик'!$G$6:$G$277,"суб")</f>
        <v>19</v>
      </c>
      <c r="BJ171" s="208">
        <f>SUMIFS('свод практик'!$CA$6:$CA$277,'свод практик'!$J$6:$J$277,'свод субъектов ИБ+смежные'!BJ$1,'свод практик'!$G$6:$G$277,"суб")</f>
        <v>9</v>
      </c>
      <c r="BK171" s="208">
        <f>SUMIFS('свод практик'!$CA$6:$CA$277,'свод практик'!$J$6:$J$277,'свод субъектов ИБ+смежные'!BK$1,'свод практик'!$G$6:$G$277,"суб")</f>
        <v>9</v>
      </c>
      <c r="BL171" s="208">
        <f>SUMIFS('свод практик'!$CA$6:$CA$277,'свод практик'!$J$6:$J$277,'свод субъектов ИБ+смежные'!BL$1,'свод практик'!$G$6:$G$277,"суб")</f>
        <v>0</v>
      </c>
      <c r="BM171" s="208">
        <f>SUMIFS('свод практик'!$CA$6:$CA$277,'свод практик'!$J$6:$J$277,'свод субъектов ИБ+смежные'!BM$1,'свод практик'!$G$6:$G$277,"суб")</f>
        <v>1</v>
      </c>
      <c r="BN171" s="208">
        <f>SUMIFS('свод практик'!$CA$6:$CA$277,'свод практик'!$J$6:$J$277,'свод субъектов ИБ+смежные'!BN$1,'свод практик'!$G$6:$G$277,"суб")</f>
        <v>0</v>
      </c>
      <c r="BO171" s="208">
        <f>SUMIFS('свод практик'!$CA$6:$CA$277,'свод практик'!$J$6:$J$277,'свод субъектов ИБ+смежные'!BO$1,'свод практик'!$G$6:$G$277,"суб")</f>
        <v>0</v>
      </c>
      <c r="BP171" s="208">
        <f>SUMIFS('свод практик'!$CA$6:$CA$277,'свод практик'!$J$6:$J$277,'свод субъектов ИБ+смежные'!BP$1,'свод практик'!$G$6:$G$277,"суб")</f>
        <v>0</v>
      </c>
      <c r="BQ171" s="208">
        <f>SUMIFS('свод практик'!$CA$6:$CA$277,'свод практик'!$J$6:$J$277,'свод субъектов ИБ+смежные'!BQ$1,'свод практик'!$G$6:$G$277,"суб")</f>
        <v>0</v>
      </c>
      <c r="BR171" s="208">
        <f>SUMIFS('свод практик'!$CA$6:$CA$277,'свод практик'!$J$6:$J$277,'свод субъектов ИБ+смежные'!BR$1,'свод практик'!$G$6:$G$277,"суб")</f>
        <v>0</v>
      </c>
      <c r="BS171" s="208">
        <f>SUMIFS('свод практик'!$CA$6:$CA$277,'свод практик'!$J$6:$J$277,'свод субъектов ИБ+смежные'!BS$1,'свод практик'!$G$6:$G$277,"суб")</f>
        <v>0</v>
      </c>
      <c r="BT171" s="208">
        <f>SUMIFS('свод практик'!$CA$6:$CA$277,'свод практик'!$J$6:$J$277,'свод субъектов ИБ+смежные'!BT$1,'свод практик'!$G$6:$G$277,"суб")</f>
        <v>0</v>
      </c>
      <c r="BU171" s="208">
        <f>SUMIFS('свод практик'!$CA$6:$CA$277,'свод практик'!$J$6:$J$277,'свод субъектов ИБ+смежные'!BU$1,'свод практик'!$G$6:$G$277,"суб")</f>
        <v>8</v>
      </c>
      <c r="BV171" s="208">
        <f>SUMIFS('свод практик'!$CA$6:$CA$277,'свод практик'!$J$6:$J$277,'свод субъектов ИБ+смежные'!BV$1,'свод практик'!$G$6:$G$277,"суб")</f>
        <v>0</v>
      </c>
      <c r="BW171" s="208">
        <f>SUMIFS('свод практик'!$CA$6:$CA$277,'свод практик'!$J$6:$J$277,'свод субъектов ИБ+смежные'!BW$1,'свод практик'!$G$6:$G$277,"суб")</f>
        <v>5</v>
      </c>
      <c r="BX171" s="208">
        <f>SUMIFS('свод практик'!$CA$6:$CA$277,'свод практик'!$J$6:$J$277,'свод субъектов ИБ+смежные'!BX$1,'свод практик'!$G$6:$G$277,"суб")</f>
        <v>29</v>
      </c>
      <c r="BY171" s="208">
        <f>SUMIFS('свод практик'!$CA$6:$CA$277,'свод практик'!$J$6:$J$277,'свод субъектов ИБ+смежные'!BY$1,'свод практик'!$G$6:$G$277,"суб")</f>
        <v>4</v>
      </c>
      <c r="BZ171" s="208">
        <f>SUMIFS('свод практик'!$CA$6:$CA$277,'свод практик'!$J$6:$J$277,'свод субъектов ИБ+смежные'!BZ$1,'свод практик'!$G$6:$G$277,"суб")</f>
        <v>0</v>
      </c>
      <c r="CA171" s="208">
        <f>SUMIFS('свод практик'!$CA$6:$CA$277,'свод практик'!$J$6:$J$277,'свод субъектов ИБ+смежные'!CA$1,'свод практик'!$G$6:$G$277,"суб")</f>
        <v>0</v>
      </c>
      <c r="CB171" s="208">
        <f>SUMIFS('свод практик'!$CA$6:$CA$277,'свод практик'!$J$6:$J$277,'свод субъектов ИБ+смежные'!CB$1,'свод практик'!$G$6:$G$277,"суб")</f>
        <v>0</v>
      </c>
      <c r="CC171" s="208">
        <f>SUMIFS('свод практик'!$CA$6:$CA$277,'свод практик'!$J$6:$J$277,'свод субъектов ИБ+смежные'!CC$1,'свод практик'!$G$6:$G$277,"суб")</f>
        <v>1</v>
      </c>
      <c r="CD171" s="208">
        <f>SUMIFS('свод практик'!$CA$6:$CA$277,'свод практик'!$J$6:$J$277,'свод субъектов ИБ+смежные'!CD$1,'свод практик'!$G$6:$G$277,"суб")</f>
        <v>0</v>
      </c>
      <c r="CE171" s="208">
        <f>SUMIFS('свод практик'!$CA$6:$CA$277,'свод практик'!$J$6:$J$277,'свод субъектов ИБ+смежные'!CE$1,'свод практик'!$G$6:$G$277,"суб")</f>
        <v>110</v>
      </c>
      <c r="CF171" s="208">
        <f>SUMIFS('свод практик'!$CA$6:$CA$277,'свод практик'!$J$6:$J$277,'свод субъектов ИБ+смежные'!CF$1,'свод практик'!$G$6:$G$277,"суб")</f>
        <v>282</v>
      </c>
      <c r="CG171" s="208">
        <f>SUMIFS('свод практик'!$CA$6:$CA$277,'свод практик'!$J$6:$J$277,'свод субъектов ИБ+смежные'!CG$1,'свод практик'!$G$6:$G$277,"суб")</f>
        <v>45</v>
      </c>
      <c r="CH171" s="208">
        <f>SUMIFS('свод практик'!$CA$6:$CA$277,'свод практик'!$J$6:$J$277,'свод субъектов ИБ+смежные'!CH$1,'свод практик'!$G$6:$G$277,"суб")</f>
        <v>1</v>
      </c>
      <c r="CI171" s="208">
        <f>SUMIFS('свод практик'!$CA$6:$CA$277,'свод практик'!$J$6:$J$277,'свод субъектов ИБ+смежные'!CI$1,'свод практик'!$G$6:$G$277,"суб")</f>
        <v>0</v>
      </c>
      <c r="CJ171" s="208">
        <f>SUMIFS('свод практик'!$CA$6:$CA$277,'свод практик'!$J$6:$J$277,'свод субъектов ИБ+смежные'!CJ$1,'свод практик'!$G$6:$G$277,"суб")</f>
        <v>0</v>
      </c>
      <c r="CK171" s="208">
        <f>SUMIFS('свод практик'!$CA$6:$CA$277,'свод практик'!$J$6:$J$277,'свод субъектов ИБ+смежные'!CK$1,'свод практик'!$G$6:$G$277,"суб")</f>
        <v>0</v>
      </c>
      <c r="CL171" s="208">
        <f>SUMIFS('свод практик'!$CA$6:$CA$277,'свод практик'!$J$6:$J$277,'свод субъектов ИБ+смежные'!CL$1,'свод практик'!$G$6:$G$277,"суб")</f>
        <v>2</v>
      </c>
      <c r="CM171" s="208">
        <f>SUMIFS('свод практик'!$CA$6:$CA$277,'свод практик'!$J$6:$J$277,'свод субъектов ИБ+смежные'!CM$1,'свод практик'!$G$6:$G$277,"суб")</f>
        <v>3</v>
      </c>
      <c r="CN171" s="208">
        <f>SUMIFS('свод практик'!$CA$6:$CA$277,'свод практик'!$J$6:$J$277,'свод субъектов ИБ+смежные'!CN$1,'свод практик'!$G$6:$G$277,"суб")</f>
        <v>26</v>
      </c>
      <c r="CO171" s="208">
        <f>SUMIFS('свод практик'!$CA$6:$CA$277,'свод практик'!$J$6:$J$277,'свод субъектов ИБ+смежные'!CO$1,'свод практик'!$G$6:$G$277,"суб")</f>
        <v>0</v>
      </c>
      <c r="CP171" s="208">
        <f>SUMIFS('свод практик'!$CA$6:$CA$277,'свод практик'!$J$6:$J$277,'свод субъектов ИБ+смежные'!CP$1,'свод практик'!$G$6:$G$277,"суб")</f>
        <v>0</v>
      </c>
      <c r="CQ171" s="208">
        <f>SUMIFS('свод практик'!$CA$6:$CA$277,'свод практик'!$J$6:$J$277,'свод субъектов ИБ+смежные'!CQ$1,'свод практик'!$G$6:$G$277,"суб")</f>
        <v>0</v>
      </c>
      <c r="CR171" s="208">
        <f>SUMIFS('свод практик'!$CA$6:$CA$277,'свод практик'!$J$6:$J$277,'свод субъектов ИБ+смежные'!CR$1,'свод практик'!$G$6:$G$277,"суб")</f>
        <v>0</v>
      </c>
      <c r="CS171" s="208">
        <f>SUMIFS('свод практик'!$CA$6:$CA$277,'свод практик'!$J$6:$J$277,'свод субъектов ИБ+смежные'!CS$1,'свод практик'!$G$6:$G$277,"суб")</f>
        <v>22</v>
      </c>
      <c r="CT171" s="208">
        <f>SUMIFS('свод практик'!$CA$6:$CA$277,'свод практик'!$J$6:$J$277,'свод субъектов ИБ+смежные'!CT$1,'свод практик'!$G$6:$G$277,"суб")</f>
        <v>0</v>
      </c>
      <c r="CU171" s="208">
        <f>SUMIFS('свод практик'!$CA$6:$CA$277,'свод практик'!$J$6:$J$277,'свод субъектов ИБ+смежные'!CU$1,'свод практик'!$G$6:$G$277,"суб")</f>
        <v>0</v>
      </c>
      <c r="CV171" s="208">
        <f>SUMIFS('свод практик'!$CA$6:$CA$277,'свод практик'!$J$6:$J$277,'свод субъектов ИБ+смежные'!CV$1,'свод практик'!$G$6:$G$277,"суб")</f>
        <v>19</v>
      </c>
    </row>
    <row r="172" spans="1:100" ht="15">
      <c r="D172" s="36" t="s">
        <v>4949</v>
      </c>
      <c r="E172" s="36">
        <v>57</v>
      </c>
      <c r="F172" s="36" t="s">
        <v>5575</v>
      </c>
      <c r="H172" s="36" t="s">
        <v>60</v>
      </c>
      <c r="M172" s="36" t="s">
        <v>5497</v>
      </c>
      <c r="N172" s="36">
        <v>8.5654055253522696E-2</v>
      </c>
      <c r="O172" s="224">
        <f t="shared" si="120"/>
        <v>0</v>
      </c>
      <c r="Q172" s="191"/>
      <c r="R172" s="191"/>
      <c r="S172" s="192"/>
      <c r="T172" s="194"/>
      <c r="U172" s="194"/>
    </row>
    <row r="173" spans="1:100" ht="14">
      <c r="D173" s="36" t="s">
        <v>4949</v>
      </c>
      <c r="E173" s="36">
        <v>58</v>
      </c>
      <c r="F173" s="36" t="s">
        <v>5576</v>
      </c>
      <c r="G173" s="36" t="s">
        <v>5149</v>
      </c>
      <c r="H173" s="36" t="s">
        <v>5140</v>
      </c>
      <c r="L173" s="36" t="s">
        <v>278</v>
      </c>
      <c r="M173" s="36" t="s">
        <v>5497</v>
      </c>
      <c r="N173" s="36">
        <v>502</v>
      </c>
      <c r="O173" s="224">
        <f t="shared" si="120"/>
        <v>569</v>
      </c>
      <c r="P173" s="208">
        <f>SUMIFS('свод практик'!$CB$6:$CB$277,'свод практик'!$J$6:$J$277,'свод субъектов ИБ+смежные'!P$1,'свод практик'!$G$6:$G$277,"суб")</f>
        <v>0</v>
      </c>
      <c r="Q173" s="208">
        <f>SUMIFS('свод практик'!$CB$6:$CB$277,'свод практик'!$J$6:$J$277,'свод субъектов ИБ+смежные'!Q$1,'свод практик'!$G$6:$G$277,"суб")</f>
        <v>0</v>
      </c>
      <c r="R173" s="208">
        <f>SUMIFS('свод практик'!$CB$6:$CB$277,'свод практик'!$J$6:$J$277,'свод субъектов ИБ+смежные'!R$1,'свод практик'!$G$6:$G$277,"суб")</f>
        <v>0</v>
      </c>
      <c r="S173" s="208">
        <f>SUMIFS('свод практик'!$CB$6:$CB$277,'свод практик'!$J$6:$J$277,'свод субъектов ИБ+смежные'!S$1,'свод практик'!$G$6:$G$277,"суб")</f>
        <v>0</v>
      </c>
      <c r="T173" s="208">
        <f>SUMIFS('свод практик'!$CB$6:$CB$277,'свод практик'!$J$6:$J$277,'свод субъектов ИБ+смежные'!T$1,'свод практик'!$G$6:$G$277,"суб")</f>
        <v>21</v>
      </c>
      <c r="U173" s="208">
        <f>SUMIFS('свод практик'!$CB$6:$CB$277,'свод практик'!$J$6:$J$277,'свод субъектов ИБ+смежные'!U$1,'свод практик'!$G$6:$G$277,"суб")</f>
        <v>0</v>
      </c>
      <c r="V173" s="208">
        <f>SUMIFS('свод практик'!$CB$6:$CB$277,'свод практик'!$J$6:$J$277,'свод субъектов ИБ+смежные'!V$1,'свод практик'!$G$6:$G$277,"суб")</f>
        <v>31</v>
      </c>
      <c r="W173" s="208">
        <f>SUMIFS('свод практик'!$CB$6:$CB$277,'свод практик'!$J$6:$J$277,'свод субъектов ИБ+смежные'!W$1,'свод практик'!$G$6:$G$277,"суб")</f>
        <v>1</v>
      </c>
      <c r="X173" s="208">
        <f>SUMIFS('свод практик'!$CB$6:$CB$277,'свод практик'!$J$6:$J$277,'свод субъектов ИБ+смежные'!X$1,'свод практик'!$G$6:$G$277,"суб")</f>
        <v>0</v>
      </c>
      <c r="Y173" s="208">
        <f>SUMIFS('свод практик'!$CB$6:$CB$277,'свод практик'!$J$6:$J$277,'свод субъектов ИБ+смежные'!Y$1,'свод практик'!$G$6:$G$277,"суб")</f>
        <v>68</v>
      </c>
      <c r="Z173" s="208">
        <f>SUMIFS('свод практик'!$CB$6:$CB$277,'свод практик'!$J$6:$J$277,'свод субъектов ИБ+смежные'!Z$1,'свод практик'!$G$6:$G$277,"суб")</f>
        <v>0</v>
      </c>
      <c r="AA173" s="208">
        <f>SUMIFS('свод практик'!$CB$6:$CB$277,'свод практик'!$J$6:$J$277,'свод субъектов ИБ+смежные'!AA$1,'свод практик'!$G$6:$G$277,"суб")</f>
        <v>1</v>
      </c>
      <c r="AB173" s="208">
        <f>SUMIFS('свод практик'!$CB$6:$CB$277,'свод практик'!$J$6:$J$277,'свод субъектов ИБ+смежные'!AB$1,'свод практик'!$G$6:$G$277,"суб")</f>
        <v>82</v>
      </c>
      <c r="AC173" s="208">
        <f>SUMIFS('свод практик'!$CB$6:$CB$277,'свод практик'!$J$6:$J$277,'свод субъектов ИБ+смежные'!AC$1,'свод практик'!$G$6:$G$277,"суб")</f>
        <v>0</v>
      </c>
      <c r="AD173" s="208">
        <f>SUMIFS('свод практик'!$CB$6:$CB$277,'свод практик'!$J$6:$J$277,'свод субъектов ИБ+смежные'!AD$1,'свод практик'!$G$6:$G$277,"суб")</f>
        <v>0</v>
      </c>
      <c r="AE173" s="208">
        <f>SUMIFS('свод практик'!$CB$6:$CB$277,'свод практик'!$J$6:$J$277,'свод субъектов ИБ+смежные'!AE$1,'свод практик'!$G$6:$G$277,"суб")</f>
        <v>0</v>
      </c>
      <c r="AF173" s="208">
        <f>SUMIFS('свод практик'!$CB$6:$CB$277,'свод практик'!$J$6:$J$277,'свод субъектов ИБ+смежные'!AF$1,'свод практик'!$G$6:$G$277,"суб")</f>
        <v>0</v>
      </c>
      <c r="AG173" s="208">
        <f>SUMIFS('свод практик'!$CB$6:$CB$277,'свод практик'!$J$6:$J$277,'свод субъектов ИБ+смежные'!AG$1,'свод практик'!$G$6:$G$277,"суб")</f>
        <v>0</v>
      </c>
      <c r="AH173" s="208">
        <f>SUMIFS('свод практик'!$CB$6:$CB$277,'свод практик'!$J$6:$J$277,'свод субъектов ИБ+смежные'!AH$1,'свод практик'!$G$6:$G$277,"суб")</f>
        <v>0</v>
      </c>
      <c r="AI173" s="208">
        <f>SUMIFS('свод практик'!$CB$6:$CB$277,'свод практик'!$J$6:$J$277,'свод субъектов ИБ+смежные'!AI$1,'свод практик'!$G$6:$G$277,"суб")</f>
        <v>96</v>
      </c>
      <c r="AJ173" s="208">
        <f>SUMIFS('свод практик'!$CB$6:$CB$277,'свод практик'!$J$6:$J$277,'свод субъектов ИБ+смежные'!AJ$1,'свод практик'!$G$6:$G$277,"суб")</f>
        <v>0</v>
      </c>
      <c r="AK173" s="208">
        <f>SUMIFS('свод практик'!$CB$6:$CB$277,'свод практик'!$J$6:$J$277,'свод субъектов ИБ+смежные'!AK$1,'свод практик'!$G$6:$G$277,"суб")</f>
        <v>0</v>
      </c>
      <c r="AL173" s="208">
        <f>SUMIFS('свод практик'!$CB$6:$CB$277,'свод практик'!$J$6:$J$277,'свод субъектов ИБ+смежные'!AL$1,'свод практик'!$G$6:$G$277,"суб")</f>
        <v>0</v>
      </c>
      <c r="AM173" s="208">
        <f>SUMIFS('свод практик'!$CB$6:$CB$277,'свод практик'!$J$6:$J$277,'свод субъектов ИБ+смежные'!AM$1,'свод практик'!$G$6:$G$277,"суб")</f>
        <v>2</v>
      </c>
      <c r="AN173" s="208">
        <f>SUMIFS('свод практик'!$CB$6:$CB$277,'свод практик'!$J$6:$J$277,'свод субъектов ИБ+смежные'!AN$1,'свод практик'!$G$6:$G$277,"суб")</f>
        <v>0</v>
      </c>
      <c r="AO173" s="208">
        <f>SUMIFS('свод практик'!$CB$6:$CB$277,'свод практик'!$J$6:$J$277,'свод субъектов ИБ+смежные'!AO$1,'свод практик'!$G$6:$G$277,"суб")</f>
        <v>0</v>
      </c>
      <c r="AP173" s="208">
        <f>SUMIFS('свод практик'!$CB$6:$CB$277,'свод практик'!$J$6:$J$277,'свод субъектов ИБ+смежные'!AP$1,'свод практик'!$G$6:$G$277,"суб")</f>
        <v>4</v>
      </c>
      <c r="AQ173" s="208">
        <f>SUMIFS('свод практик'!$CB$6:$CB$277,'свод практик'!$J$6:$J$277,'свод субъектов ИБ+смежные'!AQ$1,'свод практик'!$G$6:$G$277,"суб")</f>
        <v>0</v>
      </c>
      <c r="AR173" s="208">
        <f>SUMIFS('свод практик'!$CB$6:$CB$277,'свод практик'!$J$6:$J$277,'свод субъектов ИБ+смежные'!AR$1,'свод практик'!$G$6:$G$277,"суб")</f>
        <v>8</v>
      </c>
      <c r="AS173" s="208">
        <f>SUMIFS('свод практик'!$CB$6:$CB$277,'свод практик'!$J$6:$J$277,'свод субъектов ИБ+смежные'!AS$1,'свод практик'!$G$6:$G$277,"суб")</f>
        <v>2</v>
      </c>
      <c r="AT173" s="208">
        <f>SUMIFS('свод практик'!$CB$6:$CB$277,'свод практик'!$J$6:$J$277,'свод субъектов ИБ+смежные'!AT$1,'свод практик'!$G$6:$G$277,"суб")</f>
        <v>0</v>
      </c>
      <c r="AU173" s="208">
        <f>SUMIFS('свод практик'!$CB$6:$CB$277,'свод практик'!$J$6:$J$277,'свод субъектов ИБ+смежные'!AU$1,'свод практик'!$G$6:$G$277,"суб")</f>
        <v>0</v>
      </c>
      <c r="AV173" s="208">
        <f>SUMIFS('свод практик'!$CB$6:$CB$277,'свод практик'!$J$6:$J$277,'свод субъектов ИБ+смежные'!AV$1,'свод практик'!$G$6:$G$277,"суб")</f>
        <v>0</v>
      </c>
      <c r="AW173" s="208">
        <f>SUMIFS('свод практик'!$CB$6:$CB$277,'свод практик'!$J$6:$J$277,'свод субъектов ИБ+смежные'!AW$1,'свод практик'!$G$6:$G$277,"суб")</f>
        <v>0</v>
      </c>
      <c r="AX173" s="208">
        <f>SUMIFS('свод практик'!$CB$6:$CB$277,'свод практик'!$J$6:$J$277,'свод субъектов ИБ+смежные'!AX$1,'свод практик'!$G$6:$G$277,"суб")</f>
        <v>0</v>
      </c>
      <c r="AY173" s="208">
        <f>SUMIFS('свод практик'!$CB$6:$CB$277,'свод практик'!$J$6:$J$277,'свод субъектов ИБ+смежные'!AY$1,'свод практик'!$G$6:$G$277,"суб")</f>
        <v>0</v>
      </c>
      <c r="AZ173" s="208">
        <f>SUMIFS('свод практик'!$CB$6:$CB$277,'свод практик'!$J$6:$J$277,'свод субъектов ИБ+смежные'!AZ$1,'свод практик'!$G$6:$G$277,"суб")</f>
        <v>25</v>
      </c>
      <c r="BA173" s="208">
        <f>SUMIFS('свод практик'!$CB$6:$CB$277,'свод практик'!$J$6:$J$277,'свод субъектов ИБ+смежные'!BA$1,'свод практик'!$G$6:$G$277,"суб")</f>
        <v>0</v>
      </c>
      <c r="BB173" s="208">
        <f>SUMIFS('свод практик'!$CB$6:$CB$277,'свод практик'!$J$6:$J$277,'свод субъектов ИБ+смежные'!BB$1,'свод практик'!$G$6:$G$277,"суб")</f>
        <v>0</v>
      </c>
      <c r="BC173" s="208">
        <f>SUMIFS('свод практик'!$CB$6:$CB$277,'свод практик'!$J$6:$J$277,'свод субъектов ИБ+смежные'!BC$1,'свод практик'!$G$6:$G$277,"суб")</f>
        <v>0</v>
      </c>
      <c r="BD173" s="208">
        <f>SUMIFS('свод практик'!$CB$6:$CB$277,'свод практик'!$J$6:$J$277,'свод субъектов ИБ+смежные'!BD$1,'свод практик'!$G$6:$G$277,"суб")</f>
        <v>0</v>
      </c>
      <c r="BE173" s="208">
        <f>SUMIFS('свод практик'!$CB$6:$CB$277,'свод практик'!$J$6:$J$277,'свод субъектов ИБ+смежные'!BE$1,'свод практик'!$G$6:$G$277,"суб")</f>
        <v>0</v>
      </c>
      <c r="BF173" s="208">
        <f>SUMIFS('свод практик'!$CB$6:$CB$277,'свод практик'!$J$6:$J$277,'свод субъектов ИБ+смежные'!BF$1,'свод практик'!$G$6:$G$277,"суб")</f>
        <v>0</v>
      </c>
      <c r="BG173" s="208">
        <f>SUMIFS('свод практик'!$CB$6:$CB$277,'свод практик'!$J$6:$J$277,'свод субъектов ИБ+смежные'!BG$1,'свод практик'!$G$6:$G$277,"суб")</f>
        <v>0</v>
      </c>
      <c r="BH173" s="208">
        <f>SUMIFS('свод практик'!$CB$6:$CB$277,'свод практик'!$J$6:$J$277,'свод субъектов ИБ+смежные'!BH$1,'свод практик'!$G$6:$G$277,"суб")</f>
        <v>0</v>
      </c>
      <c r="BI173" s="208">
        <f>SUMIFS('свод практик'!$CB$6:$CB$277,'свод практик'!$J$6:$J$277,'свод субъектов ИБ+смежные'!BI$1,'свод практик'!$G$6:$G$277,"суб")</f>
        <v>3</v>
      </c>
      <c r="BJ173" s="208">
        <f>SUMIFS('свод практик'!$CB$6:$CB$277,'свод практик'!$J$6:$J$277,'свод субъектов ИБ+смежные'!BJ$1,'свод практик'!$G$6:$G$277,"суб")</f>
        <v>5</v>
      </c>
      <c r="BK173" s="208">
        <f>SUMIFS('свод практик'!$CB$6:$CB$277,'свод практик'!$J$6:$J$277,'свод субъектов ИБ+смежные'!BK$1,'свод практик'!$G$6:$G$277,"суб")</f>
        <v>0</v>
      </c>
      <c r="BL173" s="208">
        <f>SUMIFS('свод практик'!$CB$6:$CB$277,'свод практик'!$J$6:$J$277,'свод субъектов ИБ+смежные'!BL$1,'свод практик'!$G$6:$G$277,"суб")</f>
        <v>0</v>
      </c>
      <c r="BM173" s="208">
        <f>SUMIFS('свод практик'!$CB$6:$CB$277,'свод практик'!$J$6:$J$277,'свод субъектов ИБ+смежные'!BM$1,'свод практик'!$G$6:$G$277,"суб")</f>
        <v>0</v>
      </c>
      <c r="BN173" s="208">
        <f>SUMIFS('свод практик'!$CB$6:$CB$277,'свод практик'!$J$6:$J$277,'свод субъектов ИБ+смежные'!BN$1,'свод практик'!$G$6:$G$277,"суб")</f>
        <v>0</v>
      </c>
      <c r="BO173" s="208">
        <f>SUMIFS('свод практик'!$CB$6:$CB$277,'свод практик'!$J$6:$J$277,'свод субъектов ИБ+смежные'!BO$1,'свод практик'!$G$6:$G$277,"суб")</f>
        <v>0</v>
      </c>
      <c r="BP173" s="208">
        <f>SUMIFS('свод практик'!$CB$6:$CB$277,'свод практик'!$J$6:$J$277,'свод субъектов ИБ+смежные'!BP$1,'свод практик'!$G$6:$G$277,"суб")</f>
        <v>0</v>
      </c>
      <c r="BQ173" s="208">
        <f>SUMIFS('свод практик'!$CB$6:$CB$277,'свод практик'!$J$6:$J$277,'свод субъектов ИБ+смежные'!BQ$1,'свод практик'!$G$6:$G$277,"суб")</f>
        <v>0</v>
      </c>
      <c r="BR173" s="208">
        <f>SUMIFS('свод практик'!$CB$6:$CB$277,'свод практик'!$J$6:$J$277,'свод субъектов ИБ+смежные'!BR$1,'свод практик'!$G$6:$G$277,"суб")</f>
        <v>0</v>
      </c>
      <c r="BS173" s="208">
        <f>SUMIFS('свод практик'!$CB$6:$CB$277,'свод практик'!$J$6:$J$277,'свод субъектов ИБ+смежные'!BS$1,'свод практик'!$G$6:$G$277,"суб")</f>
        <v>0</v>
      </c>
      <c r="BT173" s="208">
        <f>SUMIFS('свод практик'!$CB$6:$CB$277,'свод практик'!$J$6:$J$277,'свод субъектов ИБ+смежные'!BT$1,'свод практик'!$G$6:$G$277,"суб")</f>
        <v>0</v>
      </c>
      <c r="BU173" s="208">
        <f>SUMIFS('свод практик'!$CB$6:$CB$277,'свод практик'!$J$6:$J$277,'свод субъектов ИБ+смежные'!BU$1,'свод практик'!$G$6:$G$277,"суб")</f>
        <v>0</v>
      </c>
      <c r="BV173" s="208">
        <f>SUMIFS('свод практик'!$CB$6:$CB$277,'свод практик'!$J$6:$J$277,'свод субъектов ИБ+смежные'!BV$1,'свод практик'!$G$6:$G$277,"суб")</f>
        <v>0</v>
      </c>
      <c r="BW173" s="208">
        <f>SUMIFS('свод практик'!$CB$6:$CB$277,'свод практик'!$J$6:$J$277,'свод субъектов ИБ+смежные'!BW$1,'свод практик'!$G$6:$G$277,"суб")</f>
        <v>1</v>
      </c>
      <c r="BX173" s="208">
        <f>SUMIFS('свод практик'!$CB$6:$CB$277,'свод практик'!$J$6:$J$277,'свод субъектов ИБ+смежные'!BX$1,'свод практик'!$G$6:$G$277,"суб")</f>
        <v>2</v>
      </c>
      <c r="BY173" s="208">
        <f>SUMIFS('свод практик'!$CB$6:$CB$277,'свод практик'!$J$6:$J$277,'свод субъектов ИБ+смежные'!BY$1,'свод практик'!$G$6:$G$277,"суб")</f>
        <v>0</v>
      </c>
      <c r="BZ173" s="208">
        <f>SUMIFS('свод практик'!$CB$6:$CB$277,'свод практик'!$J$6:$J$277,'свод субъектов ИБ+смежные'!BZ$1,'свод практик'!$G$6:$G$277,"суб")</f>
        <v>0</v>
      </c>
      <c r="CA173" s="208">
        <f>SUMIFS('свод практик'!$CB$6:$CB$277,'свод практик'!$J$6:$J$277,'свод субъектов ИБ+смежные'!CA$1,'свод практик'!$G$6:$G$277,"суб")</f>
        <v>0</v>
      </c>
      <c r="CB173" s="208">
        <f>SUMIFS('свод практик'!$CB$6:$CB$277,'свод практик'!$J$6:$J$277,'свод субъектов ИБ+смежные'!CB$1,'свод практик'!$G$6:$G$277,"суб")</f>
        <v>0</v>
      </c>
      <c r="CC173" s="208">
        <f>SUMIFS('свод практик'!$CB$6:$CB$277,'свод практик'!$J$6:$J$277,'свод субъектов ИБ+смежные'!CC$1,'свод практик'!$G$6:$G$277,"суб")</f>
        <v>0</v>
      </c>
      <c r="CD173" s="208">
        <f>SUMIFS('свод практик'!$CB$6:$CB$277,'свод практик'!$J$6:$J$277,'свод субъектов ИБ+смежные'!CD$1,'свод практик'!$G$6:$G$277,"суб")</f>
        <v>8</v>
      </c>
      <c r="CE173" s="208">
        <f>SUMIFS('свод практик'!$CB$6:$CB$277,'свод практик'!$J$6:$J$277,'свод субъектов ИБ+смежные'!CE$1,'свод практик'!$G$6:$G$277,"суб")</f>
        <v>2</v>
      </c>
      <c r="CF173" s="208">
        <f>SUMIFS('свод практик'!$CB$6:$CB$277,'свод практик'!$J$6:$J$277,'свод субъектов ИБ+смежные'!CF$1,'свод практик'!$G$6:$G$277,"суб")</f>
        <v>198</v>
      </c>
      <c r="CG173" s="208">
        <f>SUMIFS('свод практик'!$CB$6:$CB$277,'свод практик'!$J$6:$J$277,'свод субъектов ИБ+смежные'!CG$1,'свод практик'!$G$6:$G$277,"суб")</f>
        <v>0</v>
      </c>
      <c r="CH173" s="208">
        <f>SUMIFS('свод практик'!$CB$6:$CB$277,'свод практик'!$J$6:$J$277,'свод субъектов ИБ+смежные'!CH$1,'свод практик'!$G$6:$G$277,"суб")</f>
        <v>0</v>
      </c>
      <c r="CI173" s="208">
        <f>SUMIFS('свод практик'!$CB$6:$CB$277,'свод практик'!$J$6:$J$277,'свод субъектов ИБ+смежные'!CI$1,'свод практик'!$G$6:$G$277,"суб")</f>
        <v>0</v>
      </c>
      <c r="CJ173" s="208">
        <f>SUMIFS('свод практик'!$CB$6:$CB$277,'свод практик'!$J$6:$J$277,'свод субъектов ИБ+смежные'!CJ$1,'свод практик'!$G$6:$G$277,"суб")</f>
        <v>0</v>
      </c>
      <c r="CK173" s="208">
        <f>SUMIFS('свод практик'!$CB$6:$CB$277,'свод практик'!$J$6:$J$277,'свод субъектов ИБ+смежные'!CK$1,'свод практик'!$G$6:$G$277,"суб")</f>
        <v>0</v>
      </c>
      <c r="CL173" s="208">
        <f>SUMIFS('свод практик'!$CB$6:$CB$277,'свод практик'!$J$6:$J$277,'свод субъектов ИБ+смежные'!CL$1,'свод практик'!$G$6:$G$277,"суб")</f>
        <v>1</v>
      </c>
      <c r="CM173" s="208">
        <f>SUMIFS('свод практик'!$CB$6:$CB$277,'свод практик'!$J$6:$J$277,'свод субъектов ИБ+смежные'!CM$1,'свод практик'!$G$6:$G$277,"суб")</f>
        <v>2</v>
      </c>
      <c r="CN173" s="208">
        <f>SUMIFS('свод практик'!$CB$6:$CB$277,'свод практик'!$J$6:$J$277,'свод субъектов ИБ+смежные'!CN$1,'свод практик'!$G$6:$G$277,"суб")</f>
        <v>1</v>
      </c>
      <c r="CO173" s="208">
        <f>SUMIFS('свод практик'!$CB$6:$CB$277,'свод практик'!$J$6:$J$277,'свод субъектов ИБ+смежные'!CO$1,'свод практик'!$G$6:$G$277,"суб")</f>
        <v>0</v>
      </c>
      <c r="CP173" s="208">
        <f>SUMIFS('свод практик'!$CB$6:$CB$277,'свод практик'!$J$6:$J$277,'свод субъектов ИБ+смежные'!CP$1,'свод практик'!$G$6:$G$277,"суб")</f>
        <v>0</v>
      </c>
      <c r="CQ173" s="208">
        <f>SUMIFS('свод практик'!$CB$6:$CB$277,'свод практик'!$J$6:$J$277,'свод субъектов ИБ+смежные'!CQ$1,'свод практик'!$G$6:$G$277,"суб")</f>
        <v>0</v>
      </c>
      <c r="CR173" s="208">
        <f>SUMIFS('свод практик'!$CB$6:$CB$277,'свод практик'!$J$6:$J$277,'свод субъектов ИБ+смежные'!CR$1,'свод практик'!$G$6:$G$277,"суб")</f>
        <v>0</v>
      </c>
      <c r="CS173" s="208">
        <f>SUMIFS('свод практик'!$CB$6:$CB$277,'свод практик'!$J$6:$J$277,'свод субъектов ИБ+смежные'!CS$1,'свод практик'!$G$6:$G$277,"суб")</f>
        <v>1</v>
      </c>
      <c r="CT173" s="208">
        <f>SUMIFS('свод практик'!$CB$6:$CB$277,'свод практик'!$J$6:$J$277,'свод субъектов ИБ+смежные'!CT$1,'свод практик'!$G$6:$G$277,"суб")</f>
        <v>0</v>
      </c>
      <c r="CU173" s="208">
        <f>SUMIFS('свод практик'!$CB$6:$CB$277,'свод практик'!$J$6:$J$277,'свод субъектов ИБ+смежные'!CU$1,'свод практик'!$G$6:$G$277,"суб")</f>
        <v>0</v>
      </c>
      <c r="CV173" s="208">
        <f>SUMIFS('свод практик'!$CB$6:$CB$277,'свод практик'!$J$6:$J$277,'свод субъектов ИБ+смежные'!CV$1,'свод практик'!$G$6:$G$277,"суб")</f>
        <v>4</v>
      </c>
    </row>
    <row r="174" spans="1:100" ht="15">
      <c r="D174" s="36" t="s">
        <v>4949</v>
      </c>
      <c r="E174" s="36">
        <v>59</v>
      </c>
      <c r="F174" s="36" t="s">
        <v>5577</v>
      </c>
      <c r="H174" s="36" t="s">
        <v>60</v>
      </c>
      <c r="M174" s="36" t="s">
        <v>5497</v>
      </c>
      <c r="N174" s="36">
        <v>2.7848663042272272E-2</v>
      </c>
      <c r="O174" s="224">
        <f t="shared" si="120"/>
        <v>0</v>
      </c>
      <c r="Q174" s="191"/>
      <c r="R174" s="193"/>
      <c r="S174" s="192"/>
      <c r="T174" s="194"/>
      <c r="U174" s="194"/>
    </row>
    <row r="175" spans="1:100" ht="28">
      <c r="D175" s="36" t="s">
        <v>4949</v>
      </c>
      <c r="E175" s="36">
        <v>60</v>
      </c>
      <c r="F175" s="36" t="s">
        <v>5578</v>
      </c>
      <c r="G175" s="36" t="s">
        <v>5152</v>
      </c>
      <c r="H175" s="36" t="s">
        <v>5140</v>
      </c>
      <c r="L175" s="36" t="s">
        <v>278</v>
      </c>
      <c r="M175" s="36" t="s">
        <v>5497</v>
      </c>
      <c r="N175" s="36">
        <v>17</v>
      </c>
      <c r="O175" s="224">
        <f t="shared" si="120"/>
        <v>14</v>
      </c>
      <c r="P175" s="208">
        <f>SUMIFS('свод практик'!$CC$6:$CC$277,'свод практик'!$J$6:$J$277,'свод субъектов ИБ+смежные'!P$1,'свод практик'!$G$6:$G$277,"суб")</f>
        <v>0</v>
      </c>
      <c r="Q175" s="208">
        <f>SUMIFS('свод практик'!$CC$6:$CC$277,'свод практик'!$J$6:$J$277,'свод субъектов ИБ+смежные'!Q$1,'свод практик'!$G$6:$G$277,"суб")</f>
        <v>0</v>
      </c>
      <c r="R175" s="208">
        <f>SUMIFS('свод практик'!$CC$6:$CC$277,'свод практик'!$J$6:$J$277,'свод субъектов ИБ+смежные'!R$1,'свод практик'!$G$6:$G$277,"суб")</f>
        <v>0</v>
      </c>
      <c r="S175" s="208">
        <f>SUMIFS('свод практик'!$CC$6:$CC$277,'свод практик'!$J$6:$J$277,'свод субъектов ИБ+смежные'!S$1,'свод практик'!$G$6:$G$277,"суб")</f>
        <v>0</v>
      </c>
      <c r="T175" s="208">
        <f>SUMIFS('свод практик'!$CC$6:$CC$277,'свод практик'!$J$6:$J$277,'свод субъектов ИБ+смежные'!T$1,'свод практик'!$G$6:$G$277,"суб")</f>
        <v>0</v>
      </c>
      <c r="U175" s="208">
        <f>SUMIFS('свод практик'!$CC$6:$CC$277,'свод практик'!$J$6:$J$277,'свод субъектов ИБ+смежные'!U$1,'свод практик'!$G$6:$G$277,"суб")</f>
        <v>0</v>
      </c>
      <c r="V175" s="208">
        <f>SUMIFS('свод практик'!$CC$6:$CC$277,'свод практик'!$J$6:$J$277,'свод субъектов ИБ+смежные'!V$1,'свод практик'!$G$6:$G$277,"суб")</f>
        <v>1</v>
      </c>
      <c r="W175" s="208">
        <f>SUMIFS('свод практик'!$CC$6:$CC$277,'свод практик'!$J$6:$J$277,'свод субъектов ИБ+смежные'!W$1,'свод практик'!$G$6:$G$277,"суб")</f>
        <v>0</v>
      </c>
      <c r="X175" s="208">
        <f>SUMIFS('свод практик'!$CC$6:$CC$277,'свод практик'!$J$6:$J$277,'свод субъектов ИБ+смежные'!X$1,'свод практик'!$G$6:$G$277,"суб")</f>
        <v>0</v>
      </c>
      <c r="Y175" s="208">
        <f>SUMIFS('свод практик'!$CC$6:$CC$277,'свод практик'!$J$6:$J$277,'свод субъектов ИБ+смежные'!Y$1,'свод практик'!$G$6:$G$277,"суб")</f>
        <v>0</v>
      </c>
      <c r="Z175" s="208">
        <f>SUMIFS('свод практик'!$CC$6:$CC$277,'свод практик'!$J$6:$J$277,'свод субъектов ИБ+смежные'!Z$1,'свод практик'!$G$6:$G$277,"суб")</f>
        <v>0</v>
      </c>
      <c r="AA175" s="208">
        <f>SUMIFS('свод практик'!$CC$6:$CC$277,'свод практик'!$J$6:$J$277,'свод субъектов ИБ+смежные'!AA$1,'свод практик'!$G$6:$G$277,"суб")</f>
        <v>0</v>
      </c>
      <c r="AB175" s="208">
        <f>SUMIFS('свод практик'!$CC$6:$CC$277,'свод практик'!$J$6:$J$277,'свод субъектов ИБ+смежные'!AB$1,'свод практик'!$G$6:$G$277,"суб")</f>
        <v>2</v>
      </c>
      <c r="AC175" s="208">
        <f>SUMIFS('свод практик'!$CC$6:$CC$277,'свод практик'!$J$6:$J$277,'свод субъектов ИБ+смежные'!AC$1,'свод практик'!$G$6:$G$277,"суб")</f>
        <v>0</v>
      </c>
      <c r="AD175" s="208">
        <f>SUMIFS('свод практик'!$CC$6:$CC$277,'свод практик'!$J$6:$J$277,'свод субъектов ИБ+смежные'!AD$1,'свод практик'!$G$6:$G$277,"суб")</f>
        <v>0</v>
      </c>
      <c r="AE175" s="208">
        <f>SUMIFS('свод практик'!$CC$6:$CC$277,'свод практик'!$J$6:$J$277,'свод субъектов ИБ+смежные'!AE$1,'свод практик'!$G$6:$G$277,"суб")</f>
        <v>0</v>
      </c>
      <c r="AF175" s="208">
        <f>SUMIFS('свод практик'!$CC$6:$CC$277,'свод практик'!$J$6:$J$277,'свод субъектов ИБ+смежные'!AF$1,'свод практик'!$G$6:$G$277,"суб")</f>
        <v>0</v>
      </c>
      <c r="AG175" s="208">
        <f>SUMIFS('свод практик'!$CC$6:$CC$277,'свод практик'!$J$6:$J$277,'свод субъектов ИБ+смежные'!AG$1,'свод практик'!$G$6:$G$277,"суб")</f>
        <v>0</v>
      </c>
      <c r="AH175" s="208">
        <f>SUMIFS('свод практик'!$CC$6:$CC$277,'свод практик'!$J$6:$J$277,'свод субъектов ИБ+смежные'!AH$1,'свод практик'!$G$6:$G$277,"суб")</f>
        <v>0</v>
      </c>
      <c r="AI175" s="208">
        <f>SUMIFS('свод практик'!$CC$6:$CC$277,'свод практик'!$J$6:$J$277,'свод субъектов ИБ+смежные'!AI$1,'свод практик'!$G$6:$G$277,"суб")</f>
        <v>0</v>
      </c>
      <c r="AJ175" s="208">
        <f>SUMIFS('свод практик'!$CC$6:$CC$277,'свод практик'!$J$6:$J$277,'свод субъектов ИБ+смежные'!AJ$1,'свод практик'!$G$6:$G$277,"суб")</f>
        <v>0</v>
      </c>
      <c r="AK175" s="208">
        <f>SUMIFS('свод практик'!$CC$6:$CC$277,'свод практик'!$J$6:$J$277,'свод субъектов ИБ+смежные'!AK$1,'свод практик'!$G$6:$G$277,"суб")</f>
        <v>0</v>
      </c>
      <c r="AL175" s="208">
        <f>SUMIFS('свод практик'!$CC$6:$CC$277,'свод практик'!$J$6:$J$277,'свод субъектов ИБ+смежные'!AL$1,'свод практик'!$G$6:$G$277,"суб")</f>
        <v>0</v>
      </c>
      <c r="AM175" s="208">
        <f>SUMIFS('свод практик'!$CC$6:$CC$277,'свод практик'!$J$6:$J$277,'свод субъектов ИБ+смежные'!AM$1,'свод практик'!$G$6:$G$277,"суб")</f>
        <v>3</v>
      </c>
      <c r="AN175" s="208">
        <f>SUMIFS('свод практик'!$CC$6:$CC$277,'свод практик'!$J$6:$J$277,'свод субъектов ИБ+смежные'!AN$1,'свод практик'!$G$6:$G$277,"суб")</f>
        <v>0</v>
      </c>
      <c r="AO175" s="208">
        <f>SUMIFS('свод практик'!$CC$6:$CC$277,'свод практик'!$J$6:$J$277,'свод субъектов ИБ+смежные'!AO$1,'свод практик'!$G$6:$G$277,"суб")</f>
        <v>0</v>
      </c>
      <c r="AP175" s="208">
        <f>SUMIFS('свод практик'!$CC$6:$CC$277,'свод практик'!$J$6:$J$277,'свод субъектов ИБ+смежные'!AP$1,'свод практик'!$G$6:$G$277,"суб")</f>
        <v>0</v>
      </c>
      <c r="AQ175" s="208">
        <f>SUMIFS('свод практик'!$CC$6:$CC$277,'свод практик'!$J$6:$J$277,'свод субъектов ИБ+смежные'!AQ$1,'свод практик'!$G$6:$G$277,"суб")</f>
        <v>0</v>
      </c>
      <c r="AR175" s="208">
        <f>SUMIFS('свод практик'!$CC$6:$CC$277,'свод практик'!$J$6:$J$277,'свод субъектов ИБ+смежные'!AR$1,'свод практик'!$G$6:$G$277,"суб")</f>
        <v>0</v>
      </c>
      <c r="AS175" s="208">
        <f>SUMIFS('свод практик'!$CC$6:$CC$277,'свод практик'!$J$6:$J$277,'свод субъектов ИБ+смежные'!AS$1,'свод практик'!$G$6:$G$277,"суб")</f>
        <v>0</v>
      </c>
      <c r="AT175" s="208">
        <f>SUMIFS('свод практик'!$CC$6:$CC$277,'свод практик'!$J$6:$J$277,'свод субъектов ИБ+смежные'!AT$1,'свод практик'!$G$6:$G$277,"суб")</f>
        <v>0</v>
      </c>
      <c r="AU175" s="208">
        <f>SUMIFS('свод практик'!$CC$6:$CC$277,'свод практик'!$J$6:$J$277,'свод субъектов ИБ+смежные'!AU$1,'свод практик'!$G$6:$G$277,"суб")</f>
        <v>0</v>
      </c>
      <c r="AV175" s="208">
        <f>SUMIFS('свод практик'!$CC$6:$CC$277,'свод практик'!$J$6:$J$277,'свод субъектов ИБ+смежные'!AV$1,'свод практик'!$G$6:$G$277,"суб")</f>
        <v>0</v>
      </c>
      <c r="AW175" s="208">
        <f>SUMIFS('свод практик'!$CC$6:$CC$277,'свод практик'!$J$6:$J$277,'свод субъектов ИБ+смежные'!AW$1,'свод практик'!$G$6:$G$277,"суб")</f>
        <v>0</v>
      </c>
      <c r="AX175" s="208">
        <f>SUMIFS('свод практик'!$CC$6:$CC$277,'свод практик'!$J$6:$J$277,'свод субъектов ИБ+смежные'!AX$1,'свод практик'!$G$6:$G$277,"суб")</f>
        <v>0</v>
      </c>
      <c r="AY175" s="208">
        <f>SUMIFS('свод практик'!$CC$6:$CC$277,'свод практик'!$J$6:$J$277,'свод субъектов ИБ+смежные'!AY$1,'свод практик'!$G$6:$G$277,"суб")</f>
        <v>0</v>
      </c>
      <c r="AZ175" s="208">
        <f>SUMIFS('свод практик'!$CC$6:$CC$277,'свод практик'!$J$6:$J$277,'свод субъектов ИБ+смежные'!AZ$1,'свод практик'!$G$6:$G$277,"суб")</f>
        <v>4</v>
      </c>
      <c r="BA175" s="208">
        <f>SUMIFS('свод практик'!$CC$6:$CC$277,'свод практик'!$J$6:$J$277,'свод субъектов ИБ+смежные'!BA$1,'свод практик'!$G$6:$G$277,"суб")</f>
        <v>0</v>
      </c>
      <c r="BB175" s="208">
        <f>SUMIFS('свод практик'!$CC$6:$CC$277,'свод практик'!$J$6:$J$277,'свод субъектов ИБ+смежные'!BB$1,'свод практик'!$G$6:$G$277,"суб")</f>
        <v>0</v>
      </c>
      <c r="BC175" s="208">
        <f>SUMIFS('свод практик'!$CC$6:$CC$277,'свод практик'!$J$6:$J$277,'свод субъектов ИБ+смежные'!BC$1,'свод практик'!$G$6:$G$277,"суб")</f>
        <v>0</v>
      </c>
      <c r="BD175" s="208">
        <f>SUMIFS('свод практик'!$CC$6:$CC$277,'свод практик'!$J$6:$J$277,'свод субъектов ИБ+смежные'!BD$1,'свод практик'!$G$6:$G$277,"суб")</f>
        <v>0</v>
      </c>
      <c r="BE175" s="208">
        <f>SUMIFS('свод практик'!$CC$6:$CC$277,'свод практик'!$J$6:$J$277,'свод субъектов ИБ+смежные'!BE$1,'свод практик'!$G$6:$G$277,"суб")</f>
        <v>0</v>
      </c>
      <c r="BF175" s="208">
        <f>SUMIFS('свод практик'!$CC$6:$CC$277,'свод практик'!$J$6:$J$277,'свод субъектов ИБ+смежные'!BF$1,'свод практик'!$G$6:$G$277,"суб")</f>
        <v>0</v>
      </c>
      <c r="BG175" s="208">
        <f>SUMIFS('свод практик'!$CC$6:$CC$277,'свод практик'!$J$6:$J$277,'свод субъектов ИБ+смежные'!BG$1,'свод практик'!$G$6:$G$277,"суб")</f>
        <v>0</v>
      </c>
      <c r="BH175" s="208">
        <f>SUMIFS('свод практик'!$CC$6:$CC$277,'свод практик'!$J$6:$J$277,'свод субъектов ИБ+смежные'!BH$1,'свод практик'!$G$6:$G$277,"суб")</f>
        <v>0</v>
      </c>
      <c r="BI175" s="208">
        <f>SUMIFS('свод практик'!$CC$6:$CC$277,'свод практик'!$J$6:$J$277,'свод субъектов ИБ+смежные'!BI$1,'свод практик'!$G$6:$G$277,"суб")</f>
        <v>0</v>
      </c>
      <c r="BJ175" s="208">
        <f>SUMIFS('свод практик'!$CC$6:$CC$277,'свод практик'!$J$6:$J$277,'свод субъектов ИБ+смежные'!BJ$1,'свод практик'!$G$6:$G$277,"суб")</f>
        <v>0</v>
      </c>
      <c r="BK175" s="208">
        <f>SUMIFS('свод практик'!$CC$6:$CC$277,'свод практик'!$J$6:$J$277,'свод субъектов ИБ+смежные'!BK$1,'свод практик'!$G$6:$G$277,"суб")</f>
        <v>0</v>
      </c>
      <c r="BL175" s="208">
        <f>SUMIFS('свод практик'!$CC$6:$CC$277,'свод практик'!$J$6:$J$277,'свод субъектов ИБ+смежные'!BL$1,'свод практик'!$G$6:$G$277,"суб")</f>
        <v>0</v>
      </c>
      <c r="BM175" s="208">
        <f>SUMIFS('свод практик'!$CC$6:$CC$277,'свод практик'!$J$6:$J$277,'свод субъектов ИБ+смежные'!BM$1,'свод практик'!$G$6:$G$277,"суб")</f>
        <v>0</v>
      </c>
      <c r="BN175" s="208">
        <f>SUMIFS('свод практик'!$CC$6:$CC$277,'свод практик'!$J$6:$J$277,'свод субъектов ИБ+смежные'!BN$1,'свод практик'!$G$6:$G$277,"суб")</f>
        <v>0</v>
      </c>
      <c r="BO175" s="208">
        <f>SUMIFS('свод практик'!$CC$6:$CC$277,'свод практик'!$J$6:$J$277,'свод субъектов ИБ+смежные'!BO$1,'свод практик'!$G$6:$G$277,"суб")</f>
        <v>0</v>
      </c>
      <c r="BP175" s="208">
        <f>SUMIFS('свод практик'!$CC$6:$CC$277,'свод практик'!$J$6:$J$277,'свод субъектов ИБ+смежные'!BP$1,'свод практик'!$G$6:$G$277,"суб")</f>
        <v>0</v>
      </c>
      <c r="BQ175" s="208">
        <f>SUMIFS('свод практик'!$CC$6:$CC$277,'свод практик'!$J$6:$J$277,'свод субъектов ИБ+смежные'!BQ$1,'свод практик'!$G$6:$G$277,"суб")</f>
        <v>0</v>
      </c>
      <c r="BR175" s="208">
        <f>SUMIFS('свод практик'!$CC$6:$CC$277,'свод практик'!$J$6:$J$277,'свод субъектов ИБ+смежные'!BR$1,'свод практик'!$G$6:$G$277,"суб")</f>
        <v>0</v>
      </c>
      <c r="BS175" s="208">
        <f>SUMIFS('свод практик'!$CC$6:$CC$277,'свод практик'!$J$6:$J$277,'свод субъектов ИБ+смежные'!BS$1,'свод практик'!$G$6:$G$277,"суб")</f>
        <v>0</v>
      </c>
      <c r="BT175" s="208">
        <f>SUMIFS('свод практик'!$CC$6:$CC$277,'свод практик'!$J$6:$J$277,'свод субъектов ИБ+смежные'!BT$1,'свод практик'!$G$6:$G$277,"суб")</f>
        <v>0</v>
      </c>
      <c r="BU175" s="208">
        <f>SUMIFS('свод практик'!$CC$6:$CC$277,'свод практик'!$J$6:$J$277,'свод субъектов ИБ+смежные'!BU$1,'свод практик'!$G$6:$G$277,"суб")</f>
        <v>0</v>
      </c>
      <c r="BV175" s="208">
        <f>SUMIFS('свод практик'!$CC$6:$CC$277,'свод практик'!$J$6:$J$277,'свод субъектов ИБ+смежные'!BV$1,'свод практик'!$G$6:$G$277,"суб")</f>
        <v>0</v>
      </c>
      <c r="BW175" s="208">
        <f>SUMIFS('свод практик'!$CC$6:$CC$277,'свод практик'!$J$6:$J$277,'свод субъектов ИБ+смежные'!BW$1,'свод практик'!$G$6:$G$277,"суб")</f>
        <v>0</v>
      </c>
      <c r="BX175" s="208">
        <f>SUMIFS('свод практик'!$CC$6:$CC$277,'свод практик'!$J$6:$J$277,'свод субъектов ИБ+смежные'!BX$1,'свод практик'!$G$6:$G$277,"суб")</f>
        <v>0</v>
      </c>
      <c r="BY175" s="208">
        <f>SUMIFS('свод практик'!$CC$6:$CC$277,'свод практик'!$J$6:$J$277,'свод субъектов ИБ+смежные'!BY$1,'свод практик'!$G$6:$G$277,"суб")</f>
        <v>1</v>
      </c>
      <c r="BZ175" s="208">
        <f>SUMIFS('свод практик'!$CC$6:$CC$277,'свод практик'!$J$6:$J$277,'свод субъектов ИБ+смежные'!BZ$1,'свод практик'!$G$6:$G$277,"суб")</f>
        <v>0</v>
      </c>
      <c r="CA175" s="208">
        <f>SUMIFS('свод практик'!$CC$6:$CC$277,'свод практик'!$J$6:$J$277,'свод субъектов ИБ+смежные'!CA$1,'свод практик'!$G$6:$G$277,"суб")</f>
        <v>0</v>
      </c>
      <c r="CB175" s="208">
        <f>SUMIFS('свод практик'!$CC$6:$CC$277,'свод практик'!$J$6:$J$277,'свод субъектов ИБ+смежные'!CB$1,'свод практик'!$G$6:$G$277,"суб")</f>
        <v>0</v>
      </c>
      <c r="CC175" s="208">
        <f>SUMIFS('свод практик'!$CC$6:$CC$277,'свод практик'!$J$6:$J$277,'свод субъектов ИБ+смежные'!CC$1,'свод практик'!$G$6:$G$277,"суб")</f>
        <v>0</v>
      </c>
      <c r="CD175" s="208">
        <f>SUMIFS('свод практик'!$CC$6:$CC$277,'свод практик'!$J$6:$J$277,'свод субъектов ИБ+смежные'!CD$1,'свод практик'!$G$6:$G$277,"суб")</f>
        <v>3</v>
      </c>
      <c r="CE175" s="208">
        <f>SUMIFS('свод практик'!$CC$6:$CC$277,'свод практик'!$J$6:$J$277,'свод субъектов ИБ+смежные'!CE$1,'свод практик'!$G$6:$G$277,"суб")</f>
        <v>0</v>
      </c>
      <c r="CF175" s="208">
        <f>SUMIFS('свод практик'!$CC$6:$CC$277,'свод практик'!$J$6:$J$277,'свод субъектов ИБ+смежные'!CF$1,'свод практик'!$G$6:$G$277,"суб")</f>
        <v>0</v>
      </c>
      <c r="CG175" s="208">
        <f>SUMIFS('свод практик'!$CC$6:$CC$277,'свод практик'!$J$6:$J$277,'свод субъектов ИБ+смежные'!CG$1,'свод практик'!$G$6:$G$277,"суб")</f>
        <v>0</v>
      </c>
      <c r="CH175" s="208">
        <f>SUMIFS('свод практик'!$CC$6:$CC$277,'свод практик'!$J$6:$J$277,'свод субъектов ИБ+смежные'!CH$1,'свод практик'!$G$6:$G$277,"суб")</f>
        <v>0</v>
      </c>
      <c r="CI175" s="208">
        <f>SUMIFS('свод практик'!$CC$6:$CC$277,'свод практик'!$J$6:$J$277,'свод субъектов ИБ+смежные'!CI$1,'свод практик'!$G$6:$G$277,"суб")</f>
        <v>0</v>
      </c>
      <c r="CJ175" s="208">
        <f>SUMIFS('свод практик'!$CC$6:$CC$277,'свод практик'!$J$6:$J$277,'свод субъектов ИБ+смежные'!CJ$1,'свод практик'!$G$6:$G$277,"суб")</f>
        <v>0</v>
      </c>
      <c r="CK175" s="208">
        <f>SUMIFS('свод практик'!$CC$6:$CC$277,'свод практик'!$J$6:$J$277,'свод субъектов ИБ+смежные'!CK$1,'свод практик'!$G$6:$G$277,"суб")</f>
        <v>0</v>
      </c>
      <c r="CL175" s="208">
        <f>SUMIFS('свод практик'!$CC$6:$CC$277,'свод практик'!$J$6:$J$277,'свод субъектов ИБ+смежные'!CL$1,'свод практик'!$G$6:$G$277,"суб")</f>
        <v>0</v>
      </c>
      <c r="CM175" s="208">
        <f>SUMIFS('свод практик'!$CC$6:$CC$277,'свод практик'!$J$6:$J$277,'свод субъектов ИБ+смежные'!CM$1,'свод практик'!$G$6:$G$277,"суб")</f>
        <v>0</v>
      </c>
      <c r="CN175" s="208">
        <f>SUMIFS('свод практик'!$CC$6:$CC$277,'свод практик'!$J$6:$J$277,'свод субъектов ИБ+смежные'!CN$1,'свод практик'!$G$6:$G$277,"суб")</f>
        <v>0</v>
      </c>
      <c r="CO175" s="208">
        <f>SUMIFS('свод практик'!$CC$6:$CC$277,'свод практик'!$J$6:$J$277,'свод субъектов ИБ+смежные'!CO$1,'свод практик'!$G$6:$G$277,"суб")</f>
        <v>0</v>
      </c>
      <c r="CP175" s="208">
        <f>SUMIFS('свод практик'!$CC$6:$CC$277,'свод практик'!$J$6:$J$277,'свод субъектов ИБ+смежные'!CP$1,'свод практик'!$G$6:$G$277,"суб")</f>
        <v>0</v>
      </c>
      <c r="CQ175" s="208">
        <f>SUMIFS('свод практик'!$CC$6:$CC$277,'свод практик'!$J$6:$J$277,'свод субъектов ИБ+смежные'!CQ$1,'свод практик'!$G$6:$G$277,"суб")</f>
        <v>0</v>
      </c>
      <c r="CR175" s="208">
        <f>SUMIFS('свод практик'!$CC$6:$CC$277,'свод практик'!$J$6:$J$277,'свод субъектов ИБ+смежные'!CR$1,'свод практик'!$G$6:$G$277,"суб")</f>
        <v>0</v>
      </c>
      <c r="CS175" s="208">
        <f>SUMIFS('свод практик'!$CC$6:$CC$277,'свод практик'!$J$6:$J$277,'свод субъектов ИБ+смежные'!CS$1,'свод практик'!$G$6:$G$277,"суб")</f>
        <v>0</v>
      </c>
      <c r="CT175" s="208">
        <f>SUMIFS('свод практик'!$CC$6:$CC$277,'свод практик'!$J$6:$J$277,'свод субъектов ИБ+смежные'!CT$1,'свод практик'!$G$6:$G$277,"суб")</f>
        <v>0</v>
      </c>
      <c r="CU175" s="208">
        <f>SUMIFS('свод практик'!$CC$6:$CC$277,'свод практик'!$J$6:$J$277,'свод субъектов ИБ+смежные'!CU$1,'свод практик'!$G$6:$G$277,"суб")</f>
        <v>0</v>
      </c>
      <c r="CV175" s="208">
        <f>SUMIFS('свод практик'!$CC$6:$CC$277,'свод практик'!$J$6:$J$277,'свод субъектов ИБ+смежные'!CV$1,'свод практик'!$G$6:$G$277,"суб")</f>
        <v>0</v>
      </c>
    </row>
    <row r="176" spans="1:100" ht="15">
      <c r="D176" s="36" t="s">
        <v>4949</v>
      </c>
      <c r="E176" s="36">
        <v>61</v>
      </c>
      <c r="F176" s="36" t="s">
        <v>5579</v>
      </c>
      <c r="H176" s="36" t="s">
        <v>60</v>
      </c>
      <c r="M176" s="36" t="s">
        <v>5497</v>
      </c>
      <c r="N176" s="36">
        <v>9.4308221457894156E-4</v>
      </c>
      <c r="O176" s="224">
        <f t="shared" si="120"/>
        <v>0</v>
      </c>
      <c r="Q176" s="191"/>
      <c r="R176" s="193"/>
      <c r="S176" s="192"/>
      <c r="T176" s="194"/>
      <c r="U176" s="194"/>
    </row>
    <row r="177" spans="4:100" ht="28">
      <c r="D177" s="36" t="s">
        <v>4949</v>
      </c>
      <c r="E177" s="36">
        <v>62</v>
      </c>
      <c r="F177" s="36" t="s">
        <v>5580</v>
      </c>
      <c r="G177" s="36" t="s">
        <v>5155</v>
      </c>
      <c r="H177" s="36" t="s">
        <v>5140</v>
      </c>
      <c r="L177" s="36" t="s">
        <v>278</v>
      </c>
      <c r="M177" s="36" t="s">
        <v>5497</v>
      </c>
      <c r="N177" s="36">
        <v>396</v>
      </c>
      <c r="O177" s="224">
        <f t="shared" si="120"/>
        <v>587</v>
      </c>
      <c r="P177" s="208">
        <f>SUMIFS('свод практик'!$CD$6:$CD$277,'свод практик'!$J$6:$J$277,'свод субъектов ИБ+смежные'!P$1,'свод практик'!$G$6:$G$277,"суб")</f>
        <v>2</v>
      </c>
      <c r="Q177" s="208">
        <f>SUMIFS('свод практик'!$CD$6:$CD$277,'свод практик'!$J$6:$J$277,'свод субъектов ИБ+смежные'!Q$1,'свод практик'!$G$6:$G$277,"суб")</f>
        <v>2</v>
      </c>
      <c r="R177" s="208">
        <f>SUMIFS('свод практик'!$CD$6:$CD$277,'свод практик'!$J$6:$J$277,'свод субъектов ИБ+смежные'!R$1,'свод практик'!$G$6:$G$277,"суб")</f>
        <v>7</v>
      </c>
      <c r="S177" s="208">
        <f>SUMIFS('свод практик'!$CD$6:$CD$277,'свод практик'!$J$6:$J$277,'свод субъектов ИБ+смежные'!S$1,'свод практик'!$G$6:$G$277,"суб")</f>
        <v>0</v>
      </c>
      <c r="T177" s="208">
        <f>SUMIFS('свод практик'!$CD$6:$CD$277,'свод практик'!$J$6:$J$277,'свод субъектов ИБ+смежные'!T$1,'свод практик'!$G$6:$G$277,"суб")</f>
        <v>9</v>
      </c>
      <c r="U177" s="208">
        <f>SUMIFS('свод практик'!$CD$6:$CD$277,'свод практик'!$J$6:$J$277,'свод субъектов ИБ+смежные'!U$1,'свод практик'!$G$6:$G$277,"суб")</f>
        <v>0</v>
      </c>
      <c r="V177" s="208">
        <f>SUMIFS('свод практик'!$CD$6:$CD$277,'свод практик'!$J$6:$J$277,'свод субъектов ИБ+смежные'!V$1,'свод практик'!$G$6:$G$277,"суб")</f>
        <v>91</v>
      </c>
      <c r="W177" s="208">
        <f>SUMIFS('свод практик'!$CD$6:$CD$277,'свод практик'!$J$6:$J$277,'свод субъектов ИБ+смежные'!W$1,'свод практик'!$G$6:$G$277,"суб")</f>
        <v>4</v>
      </c>
      <c r="X177" s="208">
        <f>SUMIFS('свод практик'!$CD$6:$CD$277,'свод практик'!$J$6:$J$277,'свод субъектов ИБ+смежные'!X$1,'свод практик'!$G$6:$G$277,"суб")</f>
        <v>34</v>
      </c>
      <c r="Y177" s="208">
        <f>SUMIFS('свод практик'!$CD$6:$CD$277,'свод практик'!$J$6:$J$277,'свод субъектов ИБ+смежные'!Y$1,'свод практик'!$G$6:$G$277,"суб")</f>
        <v>0</v>
      </c>
      <c r="Z177" s="208">
        <f>SUMIFS('свод практик'!$CD$6:$CD$277,'свод практик'!$J$6:$J$277,'свод субъектов ИБ+смежные'!Z$1,'свод практик'!$G$6:$G$277,"суб")</f>
        <v>24</v>
      </c>
      <c r="AA177" s="208">
        <f>SUMIFS('свод практик'!$CD$6:$CD$277,'свод практик'!$J$6:$J$277,'свод субъектов ИБ+смежные'!AA$1,'свод практик'!$G$6:$G$277,"суб")</f>
        <v>2</v>
      </c>
      <c r="AB177" s="208">
        <f>SUMIFS('свод практик'!$CD$6:$CD$277,'свод практик'!$J$6:$J$277,'свод субъектов ИБ+смежные'!AB$1,'свод практик'!$G$6:$G$277,"суб")</f>
        <v>54</v>
      </c>
      <c r="AC177" s="208">
        <f>SUMIFS('свод практик'!$CD$6:$CD$277,'свод практик'!$J$6:$J$277,'свод субъектов ИБ+смежные'!AC$1,'свод практик'!$G$6:$G$277,"суб")</f>
        <v>47</v>
      </c>
      <c r="AD177" s="208">
        <f>SUMIFS('свод практик'!$CD$6:$CD$277,'свод практик'!$J$6:$J$277,'свод субъектов ИБ+смежные'!AD$1,'свод практик'!$G$6:$G$277,"суб")</f>
        <v>0</v>
      </c>
      <c r="AE177" s="208">
        <f>SUMIFS('свод практик'!$CD$6:$CD$277,'свод практик'!$J$6:$J$277,'свод субъектов ИБ+смежные'!AE$1,'свод практик'!$G$6:$G$277,"суб")</f>
        <v>0</v>
      </c>
      <c r="AF177" s="208">
        <f>SUMIFS('свод практик'!$CD$6:$CD$277,'свод практик'!$J$6:$J$277,'свод субъектов ИБ+смежные'!AF$1,'свод практик'!$G$6:$G$277,"суб")</f>
        <v>0</v>
      </c>
      <c r="AG177" s="208">
        <f>SUMIFS('свод практик'!$CD$6:$CD$277,'свод практик'!$J$6:$J$277,'свод субъектов ИБ+смежные'!AG$1,'свод практик'!$G$6:$G$277,"суб")</f>
        <v>0</v>
      </c>
      <c r="AH177" s="208">
        <f>SUMIFS('свод практик'!$CD$6:$CD$277,'свод практик'!$J$6:$J$277,'свод субъектов ИБ+смежные'!AH$1,'свод практик'!$G$6:$G$277,"суб")</f>
        <v>0</v>
      </c>
      <c r="AI177" s="208">
        <f>SUMIFS('свод практик'!$CD$6:$CD$277,'свод практик'!$J$6:$J$277,'свод субъектов ИБ+смежные'!AI$1,'свод практик'!$G$6:$G$277,"суб")</f>
        <v>0</v>
      </c>
      <c r="AJ177" s="208">
        <f>SUMIFS('свод практик'!$CD$6:$CD$277,'свод практик'!$J$6:$J$277,'свод субъектов ИБ+смежные'!AJ$1,'свод практик'!$G$6:$G$277,"суб")</f>
        <v>0</v>
      </c>
      <c r="AK177" s="208">
        <f>SUMIFS('свод практик'!$CD$6:$CD$277,'свод практик'!$J$6:$J$277,'свод субъектов ИБ+смежные'!AK$1,'свод практик'!$G$6:$G$277,"суб")</f>
        <v>0</v>
      </c>
      <c r="AL177" s="208">
        <f>SUMIFS('свод практик'!$CD$6:$CD$277,'свод практик'!$J$6:$J$277,'свод субъектов ИБ+смежные'!AL$1,'свод практик'!$G$6:$G$277,"суб")</f>
        <v>0</v>
      </c>
      <c r="AM177" s="208">
        <f>SUMIFS('свод практик'!$CD$6:$CD$277,'свод практик'!$J$6:$J$277,'свод субъектов ИБ+смежные'!AM$1,'свод практик'!$G$6:$G$277,"суб")</f>
        <v>0</v>
      </c>
      <c r="AN177" s="208">
        <f>SUMIFS('свод практик'!$CD$6:$CD$277,'свод практик'!$J$6:$J$277,'свод субъектов ИБ+смежные'!AN$1,'свод практик'!$G$6:$G$277,"суб")</f>
        <v>0</v>
      </c>
      <c r="AO177" s="208">
        <f>SUMIFS('свод практик'!$CD$6:$CD$277,'свод практик'!$J$6:$J$277,'свод субъектов ИБ+смежные'!AO$1,'свод практик'!$G$6:$G$277,"суб")</f>
        <v>0</v>
      </c>
      <c r="AP177" s="208">
        <f>SUMIFS('свод практик'!$CD$6:$CD$277,'свод практик'!$J$6:$J$277,'свод субъектов ИБ+смежные'!AP$1,'свод практик'!$G$6:$G$277,"суб")</f>
        <v>0</v>
      </c>
      <c r="AQ177" s="208">
        <f>SUMIFS('свод практик'!$CD$6:$CD$277,'свод практик'!$J$6:$J$277,'свод субъектов ИБ+смежные'!AQ$1,'свод практик'!$G$6:$G$277,"суб")</f>
        <v>0</v>
      </c>
      <c r="AR177" s="208">
        <f>SUMIFS('свод практик'!$CD$6:$CD$277,'свод практик'!$J$6:$J$277,'свод субъектов ИБ+смежные'!AR$1,'свод практик'!$G$6:$G$277,"суб")</f>
        <v>14</v>
      </c>
      <c r="AS177" s="208">
        <f>SUMIFS('свод практик'!$CD$6:$CD$277,'свод практик'!$J$6:$J$277,'свод субъектов ИБ+смежные'!AS$1,'свод практик'!$G$6:$G$277,"суб")</f>
        <v>11</v>
      </c>
      <c r="AT177" s="208">
        <f>SUMIFS('свод практик'!$CD$6:$CD$277,'свод практик'!$J$6:$J$277,'свод субъектов ИБ+смежные'!AT$1,'свод практик'!$G$6:$G$277,"суб")</f>
        <v>5</v>
      </c>
      <c r="AU177" s="208">
        <f>SUMIFS('свод практик'!$CD$6:$CD$277,'свод практик'!$J$6:$J$277,'свод субъектов ИБ+смежные'!AU$1,'свод практик'!$G$6:$G$277,"суб")</f>
        <v>0</v>
      </c>
      <c r="AV177" s="208">
        <f>SUMIFS('свод практик'!$CD$6:$CD$277,'свод практик'!$J$6:$J$277,'свод субъектов ИБ+смежные'!AV$1,'свод практик'!$G$6:$G$277,"суб")</f>
        <v>0</v>
      </c>
      <c r="AW177" s="208">
        <f>SUMIFS('свод практик'!$CD$6:$CD$277,'свод практик'!$J$6:$J$277,'свод субъектов ИБ+смежные'!AW$1,'свод практик'!$G$6:$G$277,"суб")</f>
        <v>0</v>
      </c>
      <c r="AX177" s="208">
        <f>SUMIFS('свод практик'!$CD$6:$CD$277,'свод практик'!$J$6:$J$277,'свод субъектов ИБ+смежные'!AX$1,'свод практик'!$G$6:$G$277,"суб")</f>
        <v>0</v>
      </c>
      <c r="AY177" s="208">
        <f>SUMIFS('свод практик'!$CD$6:$CD$277,'свод практик'!$J$6:$J$277,'свод субъектов ИБ+смежные'!AY$1,'свод практик'!$G$6:$G$277,"суб")</f>
        <v>0</v>
      </c>
      <c r="AZ177" s="208">
        <f>SUMIFS('свод практик'!$CD$6:$CD$277,'свод практик'!$J$6:$J$277,'свод субъектов ИБ+смежные'!AZ$1,'свод практик'!$G$6:$G$277,"суб")</f>
        <v>1</v>
      </c>
      <c r="BA177" s="208">
        <f>SUMIFS('свод практик'!$CD$6:$CD$277,'свод практик'!$J$6:$J$277,'свод субъектов ИБ+смежные'!BA$1,'свод практик'!$G$6:$G$277,"суб")</f>
        <v>0</v>
      </c>
      <c r="BB177" s="208">
        <f>SUMIFS('свод практик'!$CD$6:$CD$277,'свод практик'!$J$6:$J$277,'свод субъектов ИБ+смежные'!BB$1,'свод практик'!$G$6:$G$277,"суб")</f>
        <v>0</v>
      </c>
      <c r="BC177" s="208">
        <f>SUMIFS('свод практик'!$CD$6:$CD$277,'свод практик'!$J$6:$J$277,'свод субъектов ИБ+смежные'!BC$1,'свод практик'!$G$6:$G$277,"суб")</f>
        <v>15</v>
      </c>
      <c r="BD177" s="208">
        <f>SUMIFS('свод практик'!$CD$6:$CD$277,'свод практик'!$J$6:$J$277,'свод субъектов ИБ+смежные'!BD$1,'свод практик'!$G$6:$G$277,"суб")</f>
        <v>0</v>
      </c>
      <c r="BE177" s="208">
        <f>SUMIFS('свод практик'!$CD$6:$CD$277,'свод практик'!$J$6:$J$277,'свод субъектов ИБ+смежные'!BE$1,'свод практик'!$G$6:$G$277,"суб")</f>
        <v>0</v>
      </c>
      <c r="BF177" s="208">
        <f>SUMIFS('свод практик'!$CD$6:$CD$277,'свод практик'!$J$6:$J$277,'свод субъектов ИБ+смежные'!BF$1,'свод практик'!$G$6:$G$277,"суб")</f>
        <v>0</v>
      </c>
      <c r="BG177" s="208">
        <f>SUMIFS('свод практик'!$CD$6:$CD$277,'свод практик'!$J$6:$J$277,'свод субъектов ИБ+смежные'!BG$1,'свод практик'!$G$6:$G$277,"суб")</f>
        <v>0</v>
      </c>
      <c r="BH177" s="208">
        <f>SUMIFS('свод практик'!$CD$6:$CD$277,'свод практик'!$J$6:$J$277,'свод субъектов ИБ+смежные'!BH$1,'свод практик'!$G$6:$G$277,"суб")</f>
        <v>3</v>
      </c>
      <c r="BI177" s="208">
        <f>SUMIFS('свод практик'!$CD$6:$CD$277,'свод практик'!$J$6:$J$277,'свод субъектов ИБ+смежные'!BI$1,'свод практик'!$G$6:$G$277,"суб")</f>
        <v>73</v>
      </c>
      <c r="BJ177" s="208">
        <f>SUMIFS('свод практик'!$CD$6:$CD$277,'свод практик'!$J$6:$J$277,'свод субъектов ИБ+смежные'!BJ$1,'свод практик'!$G$6:$G$277,"суб")</f>
        <v>0</v>
      </c>
      <c r="BK177" s="208">
        <f>SUMIFS('свод практик'!$CD$6:$CD$277,'свод практик'!$J$6:$J$277,'свод субъектов ИБ+смежные'!BK$1,'свод практик'!$G$6:$G$277,"суб")</f>
        <v>15</v>
      </c>
      <c r="BL177" s="208">
        <f>SUMIFS('свод практик'!$CD$6:$CD$277,'свод практик'!$J$6:$J$277,'свод субъектов ИБ+смежные'!BL$1,'свод практик'!$G$6:$G$277,"суб")</f>
        <v>0</v>
      </c>
      <c r="BM177" s="208">
        <f>SUMIFS('свод практик'!$CD$6:$CD$277,'свод практик'!$J$6:$J$277,'свод субъектов ИБ+смежные'!BM$1,'свод практик'!$G$6:$G$277,"суб")</f>
        <v>3</v>
      </c>
      <c r="BN177" s="208">
        <f>SUMIFS('свод практик'!$CD$6:$CD$277,'свод практик'!$J$6:$J$277,'свод субъектов ИБ+смежные'!BN$1,'свод практик'!$G$6:$G$277,"суб")</f>
        <v>0</v>
      </c>
      <c r="BO177" s="208">
        <f>SUMIFS('свод практик'!$CD$6:$CD$277,'свод практик'!$J$6:$J$277,'свод субъектов ИБ+смежные'!BO$1,'свод практик'!$G$6:$G$277,"суб")</f>
        <v>0</v>
      </c>
      <c r="BP177" s="208">
        <f>SUMIFS('свод практик'!$CD$6:$CD$277,'свод практик'!$J$6:$J$277,'свод субъектов ИБ+смежные'!BP$1,'свод практик'!$G$6:$G$277,"суб")</f>
        <v>26</v>
      </c>
      <c r="BQ177" s="208">
        <f>SUMIFS('свод практик'!$CD$6:$CD$277,'свод практик'!$J$6:$J$277,'свод субъектов ИБ+смежные'!BQ$1,'свод практик'!$G$6:$G$277,"суб")</f>
        <v>0</v>
      </c>
      <c r="BR177" s="208">
        <f>SUMIFS('свод практик'!$CD$6:$CD$277,'свод практик'!$J$6:$J$277,'свод субъектов ИБ+смежные'!BR$1,'свод практик'!$G$6:$G$277,"суб")</f>
        <v>0</v>
      </c>
      <c r="BS177" s="208">
        <f>SUMIFS('свод практик'!$CD$6:$CD$277,'свод практик'!$J$6:$J$277,'свод субъектов ИБ+смежные'!BS$1,'свод практик'!$G$6:$G$277,"суб")</f>
        <v>0</v>
      </c>
      <c r="BT177" s="208">
        <f>SUMIFS('свод практик'!$CD$6:$CD$277,'свод практик'!$J$6:$J$277,'свод субъектов ИБ+смежные'!BT$1,'свод практик'!$G$6:$G$277,"суб")</f>
        <v>20</v>
      </c>
      <c r="BU177" s="208">
        <f>SUMIFS('свод практик'!$CD$6:$CD$277,'свод практик'!$J$6:$J$277,'свод субъектов ИБ+смежные'!BU$1,'свод практик'!$G$6:$G$277,"суб")</f>
        <v>13</v>
      </c>
      <c r="BV177" s="208">
        <f>SUMIFS('свод практик'!$CD$6:$CD$277,'свод практик'!$J$6:$J$277,'свод субъектов ИБ+смежные'!BV$1,'свод практик'!$G$6:$G$277,"суб")</f>
        <v>0</v>
      </c>
      <c r="BW177" s="208">
        <f>SUMIFS('свод практик'!$CD$6:$CD$277,'свод практик'!$J$6:$J$277,'свод субъектов ИБ+смежные'!BW$1,'свод практик'!$G$6:$G$277,"суб")</f>
        <v>0</v>
      </c>
      <c r="BX177" s="208">
        <f>SUMIFS('свод практик'!$CD$6:$CD$277,'свод практик'!$J$6:$J$277,'свод субъектов ИБ+смежные'!BX$1,'свод практик'!$G$6:$G$277,"суб")</f>
        <v>10</v>
      </c>
      <c r="BY177" s="208">
        <f>SUMIFS('свод практик'!$CD$6:$CD$277,'свод практик'!$J$6:$J$277,'свод субъектов ИБ+смежные'!BY$1,'свод практик'!$G$6:$G$277,"суб")</f>
        <v>6</v>
      </c>
      <c r="BZ177" s="208">
        <f>SUMIFS('свод практик'!$CD$6:$CD$277,'свод практик'!$J$6:$J$277,'свод субъектов ИБ+смежные'!BZ$1,'свод практик'!$G$6:$G$277,"суб")</f>
        <v>0</v>
      </c>
      <c r="CA177" s="208">
        <f>SUMIFS('свод практик'!$CD$6:$CD$277,'свод практик'!$J$6:$J$277,'свод субъектов ИБ+смежные'!CA$1,'свод практик'!$G$6:$G$277,"суб")</f>
        <v>0</v>
      </c>
      <c r="CB177" s="208">
        <f>SUMIFS('свод практик'!$CD$6:$CD$277,'свод практик'!$J$6:$J$277,'свод субъектов ИБ+смежные'!CB$1,'свод практик'!$G$6:$G$277,"суб")</f>
        <v>0</v>
      </c>
      <c r="CC177" s="208">
        <f>SUMIFS('свод практик'!$CD$6:$CD$277,'свод практик'!$J$6:$J$277,'свод субъектов ИБ+смежные'!CC$1,'свод практик'!$G$6:$G$277,"суб")</f>
        <v>2</v>
      </c>
      <c r="CD177" s="208">
        <f>SUMIFS('свод практик'!$CD$6:$CD$277,'свод практик'!$J$6:$J$277,'свод субъектов ИБ+смежные'!CD$1,'свод практик'!$G$6:$G$277,"суб")</f>
        <v>0</v>
      </c>
      <c r="CE177" s="208">
        <f>SUMIFS('свод практик'!$CD$6:$CD$277,'свод практик'!$J$6:$J$277,'свод субъектов ИБ+смежные'!CE$1,'свод практик'!$G$6:$G$277,"суб")</f>
        <v>27</v>
      </c>
      <c r="CF177" s="208">
        <f>SUMIFS('свод практик'!$CD$6:$CD$277,'свод практик'!$J$6:$J$277,'свод субъектов ИБ+смежные'!CF$1,'свод практик'!$G$6:$G$277,"суб")</f>
        <v>18</v>
      </c>
      <c r="CG177" s="208">
        <f>SUMIFS('свод практик'!$CD$6:$CD$277,'свод практик'!$J$6:$J$277,'свод субъектов ИБ+смежные'!CG$1,'свод практик'!$G$6:$G$277,"суб")</f>
        <v>0</v>
      </c>
      <c r="CH177" s="208">
        <f>SUMIFS('свод практик'!$CD$6:$CD$277,'свод практик'!$J$6:$J$277,'свод субъектов ИБ+смежные'!CH$1,'свод практик'!$G$6:$G$277,"суб")</f>
        <v>10</v>
      </c>
      <c r="CI177" s="208">
        <f>SUMIFS('свод практик'!$CD$6:$CD$277,'свод практик'!$J$6:$J$277,'свод субъектов ИБ+смежные'!CI$1,'свод практик'!$G$6:$G$277,"суб")</f>
        <v>0</v>
      </c>
      <c r="CJ177" s="208">
        <f>SUMIFS('свод практик'!$CD$6:$CD$277,'свод практик'!$J$6:$J$277,'свод субъектов ИБ+смежные'!CJ$1,'свод практик'!$G$6:$G$277,"суб")</f>
        <v>0</v>
      </c>
      <c r="CK177" s="208">
        <f>SUMIFS('свод практик'!$CD$6:$CD$277,'свод практик'!$J$6:$J$277,'свод субъектов ИБ+смежные'!CK$1,'свод практик'!$G$6:$G$277,"суб")</f>
        <v>0</v>
      </c>
      <c r="CL177" s="208">
        <f>SUMIFS('свод практик'!$CD$6:$CD$277,'свод практик'!$J$6:$J$277,'свод субъектов ИБ+смежные'!CL$1,'свод практик'!$G$6:$G$277,"суб")</f>
        <v>5</v>
      </c>
      <c r="CM177" s="208">
        <f>SUMIFS('свод практик'!$CD$6:$CD$277,'свод практик'!$J$6:$J$277,'свод субъектов ИБ+смежные'!CM$1,'свод практик'!$G$6:$G$277,"суб")</f>
        <v>11</v>
      </c>
      <c r="CN177" s="208">
        <f>SUMIFS('свод практик'!$CD$6:$CD$277,'свод практик'!$J$6:$J$277,'свод субъектов ИБ+смежные'!CN$1,'свод практик'!$G$6:$G$277,"суб")</f>
        <v>13</v>
      </c>
      <c r="CO177" s="208">
        <f>SUMIFS('свод практик'!$CD$6:$CD$277,'свод практик'!$J$6:$J$277,'свод субъектов ИБ+смежные'!CO$1,'свод практик'!$G$6:$G$277,"суб")</f>
        <v>0</v>
      </c>
      <c r="CP177" s="208">
        <f>SUMIFS('свод практик'!$CD$6:$CD$277,'свод практик'!$J$6:$J$277,'свод субъектов ИБ+смежные'!CP$1,'свод практик'!$G$6:$G$277,"суб")</f>
        <v>6</v>
      </c>
      <c r="CQ177" s="208">
        <f>SUMIFS('свод практик'!$CD$6:$CD$277,'свод практик'!$J$6:$J$277,'свод субъектов ИБ+смежные'!CQ$1,'свод практик'!$G$6:$G$277,"суб")</f>
        <v>0</v>
      </c>
      <c r="CR177" s="208">
        <f>SUMIFS('свод практик'!$CD$6:$CD$277,'свод практик'!$J$6:$J$277,'свод субъектов ИБ+смежные'!CR$1,'свод практик'!$G$6:$G$277,"суб")</f>
        <v>0</v>
      </c>
      <c r="CS177" s="208">
        <f>SUMIFS('свод практик'!$CD$6:$CD$277,'свод практик'!$J$6:$J$277,'свод субъектов ИБ+смежные'!CS$1,'свод практик'!$G$6:$G$277,"суб")</f>
        <v>0</v>
      </c>
      <c r="CT177" s="208">
        <f>SUMIFS('свод практик'!$CD$6:$CD$277,'свод практик'!$J$6:$J$277,'свод субъектов ИБ+смежные'!CT$1,'свод практик'!$G$6:$G$277,"суб")</f>
        <v>0</v>
      </c>
      <c r="CU177" s="208">
        <f>SUMIFS('свод практик'!$CD$6:$CD$277,'свод практик'!$J$6:$J$277,'свод субъектов ИБ+смежные'!CU$1,'свод практик'!$G$6:$G$277,"суб")</f>
        <v>0</v>
      </c>
      <c r="CV177" s="208">
        <f>SUMIFS('свод практик'!$CD$6:$CD$277,'свод практик'!$J$6:$J$277,'свод субъектов ИБ+смежные'!CV$1,'свод практик'!$G$6:$G$277,"суб")</f>
        <v>4</v>
      </c>
    </row>
    <row r="178" spans="4:100" ht="15">
      <c r="D178" s="36" t="s">
        <v>4949</v>
      </c>
      <c r="E178" s="36">
        <v>63</v>
      </c>
      <c r="F178" s="36" t="s">
        <v>5581</v>
      </c>
      <c r="H178" s="36" t="s">
        <v>60</v>
      </c>
      <c r="M178" s="36" t="s">
        <v>5497</v>
      </c>
      <c r="N178" s="36">
        <v>2.1968268057250637E-2</v>
      </c>
      <c r="O178" s="224">
        <f t="shared" si="120"/>
        <v>0</v>
      </c>
      <c r="Q178" s="191"/>
      <c r="R178" s="193"/>
      <c r="S178" s="192"/>
      <c r="T178" s="194"/>
      <c r="U178" s="194"/>
    </row>
    <row r="179" spans="4:100" ht="14">
      <c r="D179" s="36" t="s">
        <v>4949</v>
      </c>
      <c r="E179" s="36">
        <v>64</v>
      </c>
      <c r="F179" s="36" t="s">
        <v>5582</v>
      </c>
      <c r="G179" s="36" t="s">
        <v>5158</v>
      </c>
      <c r="H179" s="36" t="s">
        <v>5140</v>
      </c>
      <c r="L179" s="36" t="s">
        <v>278</v>
      </c>
      <c r="M179" s="36" t="s">
        <v>5497</v>
      </c>
      <c r="N179" s="36">
        <v>1010</v>
      </c>
      <c r="O179" s="224">
        <f t="shared" si="120"/>
        <v>1423</v>
      </c>
      <c r="P179" s="208">
        <f>SUMIFS('свод практик'!$CE$6:$CE$277,'свод практик'!$J$6:$J$277,'свод субъектов ИБ+смежные'!P$1,'свод практик'!$G$6:$G$277,"суб")</f>
        <v>0</v>
      </c>
      <c r="Q179" s="208">
        <f>SUMIFS('свод практик'!$CE$6:$CE$277,'свод практик'!$J$6:$J$277,'свод субъектов ИБ+смежные'!Q$1,'свод практик'!$G$6:$G$277,"суб")</f>
        <v>0</v>
      </c>
      <c r="R179" s="208">
        <f>SUMIFS('свод практик'!$CE$6:$CE$277,'свод практик'!$J$6:$J$277,'свод субъектов ИБ+смежные'!R$1,'свод практик'!$G$6:$G$277,"суб")</f>
        <v>0</v>
      </c>
      <c r="S179" s="208">
        <f>SUMIFS('свод практик'!$CE$6:$CE$277,'свод практик'!$J$6:$J$277,'свод субъектов ИБ+смежные'!S$1,'свод практик'!$G$6:$G$277,"суб")</f>
        <v>0</v>
      </c>
      <c r="T179" s="208">
        <f>SUMIFS('свод практик'!$CE$6:$CE$277,'свод практик'!$J$6:$J$277,'свод субъектов ИБ+смежные'!T$1,'свод практик'!$G$6:$G$277,"суб")</f>
        <v>0</v>
      </c>
      <c r="U179" s="208">
        <f>SUMIFS('свод практик'!$CE$6:$CE$277,'свод практик'!$J$6:$J$277,'свод субъектов ИБ+смежные'!U$1,'свод практик'!$G$6:$G$277,"суб")</f>
        <v>0</v>
      </c>
      <c r="V179" s="208">
        <f>SUMIFS('свод практик'!$CE$6:$CE$277,'свод практик'!$J$6:$J$277,'свод субъектов ИБ+смежные'!V$1,'свод практик'!$G$6:$G$277,"суб")</f>
        <v>495</v>
      </c>
      <c r="W179" s="208">
        <f>SUMIFS('свод практик'!$CE$6:$CE$277,'свод практик'!$J$6:$J$277,'свод субъектов ИБ+смежные'!W$1,'свод практик'!$G$6:$G$277,"суб")</f>
        <v>0</v>
      </c>
      <c r="X179" s="208">
        <f>SUMIFS('свод практик'!$CE$6:$CE$277,'свод практик'!$J$6:$J$277,'свод субъектов ИБ+смежные'!X$1,'свод практик'!$G$6:$G$277,"суб")</f>
        <v>0</v>
      </c>
      <c r="Y179" s="208">
        <f>SUMIFS('свод практик'!$CE$6:$CE$277,'свод практик'!$J$6:$J$277,'свод субъектов ИБ+смежные'!Y$1,'свод практик'!$G$6:$G$277,"суб")</f>
        <v>0</v>
      </c>
      <c r="Z179" s="208">
        <f>SUMIFS('свод практик'!$CE$6:$CE$277,'свод практик'!$J$6:$J$277,'свод субъектов ИБ+смежные'!Z$1,'свод практик'!$G$6:$G$277,"суб")</f>
        <v>0</v>
      </c>
      <c r="AA179" s="208">
        <f>SUMIFS('свод практик'!$CE$6:$CE$277,'свод практик'!$J$6:$J$277,'свод субъектов ИБ+смежные'!AA$1,'свод практик'!$G$6:$G$277,"суб")</f>
        <v>6</v>
      </c>
      <c r="AB179" s="208">
        <f>SUMIFS('свод практик'!$CE$6:$CE$277,'свод практик'!$J$6:$J$277,'свод субъектов ИБ+смежные'!AB$1,'свод практик'!$G$6:$G$277,"суб")</f>
        <v>0</v>
      </c>
      <c r="AC179" s="208">
        <f>SUMIFS('свод практик'!$CE$6:$CE$277,'свод практик'!$J$6:$J$277,'свод субъектов ИБ+смежные'!AC$1,'свод практик'!$G$6:$G$277,"суб")</f>
        <v>0</v>
      </c>
      <c r="AD179" s="208">
        <f>SUMIFS('свод практик'!$CE$6:$CE$277,'свод практик'!$J$6:$J$277,'свод субъектов ИБ+смежные'!AD$1,'свод практик'!$G$6:$G$277,"суб")</f>
        <v>0</v>
      </c>
      <c r="AE179" s="208">
        <f>SUMIFS('свод практик'!$CE$6:$CE$277,'свод практик'!$J$6:$J$277,'свод субъектов ИБ+смежные'!AE$1,'свод практик'!$G$6:$G$277,"суб")</f>
        <v>0</v>
      </c>
      <c r="AF179" s="208">
        <f>SUMIFS('свод практик'!$CE$6:$CE$277,'свод практик'!$J$6:$J$277,'свод субъектов ИБ+смежные'!AF$1,'свод практик'!$G$6:$G$277,"суб")</f>
        <v>0</v>
      </c>
      <c r="AG179" s="208">
        <f>SUMIFS('свод практик'!$CE$6:$CE$277,'свод практик'!$J$6:$J$277,'свод субъектов ИБ+смежные'!AG$1,'свод практик'!$G$6:$G$277,"суб")</f>
        <v>0</v>
      </c>
      <c r="AH179" s="208">
        <f>SUMIFS('свод практик'!$CE$6:$CE$277,'свод практик'!$J$6:$J$277,'свод субъектов ИБ+смежные'!AH$1,'свод практик'!$G$6:$G$277,"суб")</f>
        <v>0</v>
      </c>
      <c r="AI179" s="208">
        <f>SUMIFS('свод практик'!$CE$6:$CE$277,'свод практик'!$J$6:$J$277,'свод субъектов ИБ+смежные'!AI$1,'свод практик'!$G$6:$G$277,"суб")</f>
        <v>367</v>
      </c>
      <c r="AJ179" s="208">
        <f>SUMIFS('свод практик'!$CE$6:$CE$277,'свод практик'!$J$6:$J$277,'свод субъектов ИБ+смежные'!AJ$1,'свод практик'!$G$6:$G$277,"суб")</f>
        <v>0</v>
      </c>
      <c r="AK179" s="208">
        <f>SUMIFS('свод практик'!$CE$6:$CE$277,'свод практик'!$J$6:$J$277,'свод субъектов ИБ+смежные'!AK$1,'свод практик'!$G$6:$G$277,"суб")</f>
        <v>2</v>
      </c>
      <c r="AL179" s="208">
        <f>SUMIFS('свод практик'!$CE$6:$CE$277,'свод практик'!$J$6:$J$277,'свод субъектов ИБ+смежные'!AL$1,'свод практик'!$G$6:$G$277,"суб")</f>
        <v>0</v>
      </c>
      <c r="AM179" s="208">
        <f>SUMIFS('свод практик'!$CE$6:$CE$277,'свод практик'!$J$6:$J$277,'свод субъектов ИБ+смежные'!AM$1,'свод практик'!$G$6:$G$277,"суб")</f>
        <v>0</v>
      </c>
      <c r="AN179" s="208">
        <f>SUMIFS('свод практик'!$CE$6:$CE$277,'свод практик'!$J$6:$J$277,'свод субъектов ИБ+смежные'!AN$1,'свод практик'!$G$6:$G$277,"суб")</f>
        <v>0</v>
      </c>
      <c r="AO179" s="208">
        <f>SUMIFS('свод практик'!$CE$6:$CE$277,'свод практик'!$J$6:$J$277,'свод субъектов ИБ+смежные'!AO$1,'свод практик'!$G$6:$G$277,"суб")</f>
        <v>0</v>
      </c>
      <c r="AP179" s="208">
        <f>SUMIFS('свод практик'!$CE$6:$CE$277,'свод практик'!$J$6:$J$277,'свод субъектов ИБ+смежные'!AP$1,'свод практик'!$G$6:$G$277,"суб")</f>
        <v>7</v>
      </c>
      <c r="AQ179" s="208">
        <f>SUMIFS('свод практик'!$CE$6:$CE$277,'свод практик'!$J$6:$J$277,'свод субъектов ИБ+смежные'!AQ$1,'свод практик'!$G$6:$G$277,"суб")</f>
        <v>4</v>
      </c>
      <c r="AR179" s="208">
        <f>SUMIFS('свод практик'!$CE$6:$CE$277,'свод практик'!$J$6:$J$277,'свод субъектов ИБ+смежные'!AR$1,'свод практик'!$G$6:$G$277,"суб")</f>
        <v>10</v>
      </c>
      <c r="AS179" s="208">
        <f>SUMIFS('свод практик'!$CE$6:$CE$277,'свод практик'!$J$6:$J$277,'свод субъектов ИБ+смежные'!AS$1,'свод практик'!$G$6:$G$277,"суб")</f>
        <v>28</v>
      </c>
      <c r="AT179" s="208">
        <f>SUMIFS('свод практик'!$CE$6:$CE$277,'свод практик'!$J$6:$J$277,'свод субъектов ИБ+смежные'!AT$1,'свод практик'!$G$6:$G$277,"суб")</f>
        <v>21</v>
      </c>
      <c r="AU179" s="208">
        <f>SUMIFS('свод практик'!$CE$6:$CE$277,'свод практик'!$J$6:$J$277,'свод субъектов ИБ+смежные'!AU$1,'свод практик'!$G$6:$G$277,"суб")</f>
        <v>0</v>
      </c>
      <c r="AV179" s="208">
        <f>SUMIFS('свод практик'!$CE$6:$CE$277,'свод практик'!$J$6:$J$277,'свод субъектов ИБ+смежные'!AV$1,'свод практик'!$G$6:$G$277,"суб")</f>
        <v>0</v>
      </c>
      <c r="AW179" s="208">
        <f>SUMIFS('свод практик'!$CE$6:$CE$277,'свод практик'!$J$6:$J$277,'свод субъектов ИБ+смежные'!AW$1,'свод практик'!$G$6:$G$277,"суб")</f>
        <v>0</v>
      </c>
      <c r="AX179" s="208">
        <f>SUMIFS('свод практик'!$CE$6:$CE$277,'свод практик'!$J$6:$J$277,'свод субъектов ИБ+смежные'!AX$1,'свод практик'!$G$6:$G$277,"суб")</f>
        <v>13</v>
      </c>
      <c r="AY179" s="208">
        <f>SUMIFS('свод практик'!$CE$6:$CE$277,'свод практик'!$J$6:$J$277,'свод субъектов ИБ+смежные'!AY$1,'свод практик'!$G$6:$G$277,"суб")</f>
        <v>0</v>
      </c>
      <c r="AZ179" s="208">
        <f>SUMIFS('свод практик'!$CE$6:$CE$277,'свод практик'!$J$6:$J$277,'свод субъектов ИБ+смежные'!AZ$1,'свод практик'!$G$6:$G$277,"суб")</f>
        <v>0</v>
      </c>
      <c r="BA179" s="208">
        <f>SUMIFS('свод практик'!$CE$6:$CE$277,'свод практик'!$J$6:$J$277,'свод субъектов ИБ+смежные'!BA$1,'свод практик'!$G$6:$G$277,"суб")</f>
        <v>0</v>
      </c>
      <c r="BB179" s="208">
        <f>SUMIFS('свод практик'!$CE$6:$CE$277,'свод практик'!$J$6:$J$277,'свод субъектов ИБ+смежные'!BB$1,'свод практик'!$G$6:$G$277,"суб")</f>
        <v>0</v>
      </c>
      <c r="BC179" s="208">
        <f>SUMIFS('свод практик'!$CE$6:$CE$277,'свод практик'!$J$6:$J$277,'свод субъектов ИБ+смежные'!BC$1,'свод практик'!$G$6:$G$277,"суб")</f>
        <v>0</v>
      </c>
      <c r="BD179" s="208">
        <f>SUMIFS('свод практик'!$CE$6:$CE$277,'свод практик'!$J$6:$J$277,'свод субъектов ИБ+смежные'!BD$1,'свод практик'!$G$6:$G$277,"суб")</f>
        <v>0</v>
      </c>
      <c r="BE179" s="208">
        <f>SUMIFS('свод практик'!$CE$6:$CE$277,'свод практик'!$J$6:$J$277,'свод субъектов ИБ+смежные'!BE$1,'свод практик'!$G$6:$G$277,"суб")</f>
        <v>0</v>
      </c>
      <c r="BF179" s="208">
        <f>SUMIFS('свод практик'!$CE$6:$CE$277,'свод практик'!$J$6:$J$277,'свод субъектов ИБ+смежные'!BF$1,'свод практик'!$G$6:$G$277,"суб")</f>
        <v>0</v>
      </c>
      <c r="BG179" s="208">
        <f>SUMIFS('свод практик'!$CE$6:$CE$277,'свод практик'!$J$6:$J$277,'свод субъектов ИБ+смежные'!BG$1,'свод практик'!$G$6:$G$277,"суб")</f>
        <v>12</v>
      </c>
      <c r="BH179" s="208">
        <f>SUMIFS('свод практик'!$CE$6:$CE$277,'свод практик'!$J$6:$J$277,'свод субъектов ИБ+смежные'!BH$1,'свод практик'!$G$6:$G$277,"суб")</f>
        <v>0</v>
      </c>
      <c r="BI179" s="208">
        <f>SUMIFS('свод практик'!$CE$6:$CE$277,'свод практик'!$J$6:$J$277,'свод субъектов ИБ+смежные'!BI$1,'свод практик'!$G$6:$G$277,"суб")</f>
        <v>0</v>
      </c>
      <c r="BJ179" s="208">
        <f>SUMIFS('свод практик'!$CE$6:$CE$277,'свод практик'!$J$6:$J$277,'свод субъектов ИБ+смежные'!BJ$1,'свод практик'!$G$6:$G$277,"суб")</f>
        <v>0</v>
      </c>
      <c r="BK179" s="208">
        <f>SUMIFS('свод практик'!$CE$6:$CE$277,'свод практик'!$J$6:$J$277,'свод субъектов ИБ+смежные'!BK$1,'свод практик'!$G$6:$G$277,"суб")</f>
        <v>7</v>
      </c>
      <c r="BL179" s="208">
        <f>SUMIFS('свод практик'!$CE$6:$CE$277,'свод практик'!$J$6:$J$277,'свод субъектов ИБ+смежные'!BL$1,'свод практик'!$G$6:$G$277,"суб")</f>
        <v>0</v>
      </c>
      <c r="BM179" s="208">
        <f>SUMIFS('свод практик'!$CE$6:$CE$277,'свод практик'!$J$6:$J$277,'свод субъектов ИБ+смежные'!BM$1,'свод практик'!$G$6:$G$277,"суб")</f>
        <v>0</v>
      </c>
      <c r="BN179" s="208">
        <f>SUMIFS('свод практик'!$CE$6:$CE$277,'свод практик'!$J$6:$J$277,'свод субъектов ИБ+смежные'!BN$1,'свод практик'!$G$6:$G$277,"суб")</f>
        <v>1</v>
      </c>
      <c r="BO179" s="208">
        <f>SUMIFS('свод практик'!$CE$6:$CE$277,'свод практик'!$J$6:$J$277,'свод субъектов ИБ+смежные'!BO$1,'свод практик'!$G$6:$G$277,"суб")</f>
        <v>0</v>
      </c>
      <c r="BP179" s="208">
        <f>SUMIFS('свод практик'!$CE$6:$CE$277,'свод практик'!$J$6:$J$277,'свод субъектов ИБ+смежные'!BP$1,'свод практик'!$G$6:$G$277,"суб")</f>
        <v>5</v>
      </c>
      <c r="BQ179" s="208">
        <f>SUMIFS('свод практик'!$CE$6:$CE$277,'свод практик'!$J$6:$J$277,'свод субъектов ИБ+смежные'!BQ$1,'свод практик'!$G$6:$G$277,"суб")</f>
        <v>0</v>
      </c>
      <c r="BR179" s="208">
        <f>SUMIFS('свод практик'!$CE$6:$CE$277,'свод практик'!$J$6:$J$277,'свод субъектов ИБ+смежные'!BR$1,'свод практик'!$G$6:$G$277,"суб")</f>
        <v>0</v>
      </c>
      <c r="BS179" s="208">
        <f>SUMIFS('свод практик'!$CE$6:$CE$277,'свод практик'!$J$6:$J$277,'свод субъектов ИБ+смежные'!BS$1,'свод практик'!$G$6:$G$277,"суб")</f>
        <v>0</v>
      </c>
      <c r="BT179" s="208">
        <f>SUMIFS('свод практик'!$CE$6:$CE$277,'свод практик'!$J$6:$J$277,'свод субъектов ИБ+смежные'!BT$1,'свод практик'!$G$6:$G$277,"суб")</f>
        <v>0</v>
      </c>
      <c r="BU179" s="208">
        <f>SUMIFS('свод практик'!$CE$6:$CE$277,'свод практик'!$J$6:$J$277,'свод субъектов ИБ+смежные'!BU$1,'свод практик'!$G$6:$G$277,"суб")</f>
        <v>0</v>
      </c>
      <c r="BV179" s="208">
        <f>SUMIFS('свод практик'!$CE$6:$CE$277,'свод практик'!$J$6:$J$277,'свод субъектов ИБ+смежные'!BV$1,'свод практик'!$G$6:$G$277,"суб")</f>
        <v>0</v>
      </c>
      <c r="BW179" s="208">
        <f>SUMIFS('свод практик'!$CE$6:$CE$277,'свод практик'!$J$6:$J$277,'свод субъектов ИБ+смежные'!BW$1,'свод практик'!$G$6:$G$277,"суб")</f>
        <v>0</v>
      </c>
      <c r="BX179" s="208">
        <f>SUMIFS('свод практик'!$CE$6:$CE$277,'свод практик'!$J$6:$J$277,'свод субъектов ИБ+смежные'!BX$1,'свод практик'!$G$6:$G$277,"суб")</f>
        <v>12</v>
      </c>
      <c r="BY179" s="208">
        <f>SUMIFS('свод практик'!$CE$6:$CE$277,'свод практик'!$J$6:$J$277,'свод субъектов ИБ+смежные'!BY$1,'свод практик'!$G$6:$G$277,"суб")</f>
        <v>33</v>
      </c>
      <c r="BZ179" s="208">
        <f>SUMIFS('свод практик'!$CE$6:$CE$277,'свод практик'!$J$6:$J$277,'свод субъектов ИБ+смежные'!BZ$1,'свод практик'!$G$6:$G$277,"суб")</f>
        <v>5</v>
      </c>
      <c r="CA179" s="208">
        <f>SUMIFS('свод практик'!$CE$6:$CE$277,'свод практик'!$J$6:$J$277,'свод субъектов ИБ+смежные'!CA$1,'свод практик'!$G$6:$G$277,"суб")</f>
        <v>0</v>
      </c>
      <c r="CB179" s="208">
        <f>SUMIFS('свод практик'!$CE$6:$CE$277,'свод практик'!$J$6:$J$277,'свод субъектов ИБ+смежные'!CB$1,'свод практик'!$G$6:$G$277,"суб")</f>
        <v>0</v>
      </c>
      <c r="CC179" s="208">
        <f>SUMIFS('свод практик'!$CE$6:$CE$277,'свод практик'!$J$6:$J$277,'свод субъектов ИБ+смежные'!CC$1,'свод практик'!$G$6:$G$277,"суб")</f>
        <v>0</v>
      </c>
      <c r="CD179" s="208">
        <f>SUMIFS('свод практик'!$CE$6:$CE$277,'свод практик'!$J$6:$J$277,'свод субъектов ИБ+смежные'!CD$1,'свод практик'!$G$6:$G$277,"суб")</f>
        <v>0</v>
      </c>
      <c r="CE179" s="208">
        <f>SUMIFS('свод практик'!$CE$6:$CE$277,'свод практик'!$J$6:$J$277,'свод субъектов ИБ+смежные'!CE$1,'свод практик'!$G$6:$G$277,"суб")</f>
        <v>0</v>
      </c>
      <c r="CF179" s="208">
        <f>SUMIFS('свод практик'!$CE$6:$CE$277,'свод практик'!$J$6:$J$277,'свод субъектов ИБ+смежные'!CF$1,'свод практик'!$G$6:$G$277,"суб")</f>
        <v>18</v>
      </c>
      <c r="CG179" s="208">
        <f>SUMIFS('свод практик'!$CE$6:$CE$277,'свод практик'!$J$6:$J$277,'свод субъектов ИБ+смежные'!CG$1,'свод практик'!$G$6:$G$277,"суб")</f>
        <v>0</v>
      </c>
      <c r="CH179" s="208">
        <f>SUMIFS('свод практик'!$CE$6:$CE$277,'свод практик'!$J$6:$J$277,'свод субъектов ИБ+смежные'!CH$1,'свод практик'!$G$6:$G$277,"суб")</f>
        <v>0</v>
      </c>
      <c r="CI179" s="208">
        <f>SUMIFS('свод практик'!$CE$6:$CE$277,'свод практик'!$J$6:$J$277,'свод субъектов ИБ+смежные'!CI$1,'свод практик'!$G$6:$G$277,"суб")</f>
        <v>177</v>
      </c>
      <c r="CJ179" s="208">
        <f>SUMIFS('свод практик'!$CE$6:$CE$277,'свод практик'!$J$6:$J$277,'свод субъектов ИБ+смежные'!CJ$1,'свод практик'!$G$6:$G$277,"суб")</f>
        <v>0</v>
      </c>
      <c r="CK179" s="208">
        <f>SUMIFS('свод практик'!$CE$6:$CE$277,'свод практик'!$J$6:$J$277,'свод субъектов ИБ+смежные'!CK$1,'свод практик'!$G$6:$G$277,"суб")</f>
        <v>0</v>
      </c>
      <c r="CL179" s="208">
        <f>SUMIFS('свод практик'!$CE$6:$CE$277,'свод практик'!$J$6:$J$277,'свод субъектов ИБ+смежные'!CL$1,'свод практик'!$G$6:$G$277,"суб")</f>
        <v>6</v>
      </c>
      <c r="CM179" s="208">
        <f>SUMIFS('свод практик'!$CE$6:$CE$277,'свод практик'!$J$6:$J$277,'свод субъектов ИБ+смежные'!CM$1,'свод практик'!$G$6:$G$277,"суб")</f>
        <v>3</v>
      </c>
      <c r="CN179" s="208">
        <f>SUMIFS('свод практик'!$CE$6:$CE$277,'свод практик'!$J$6:$J$277,'свод субъектов ИБ+смежные'!CN$1,'свод практик'!$G$6:$G$277,"суб")</f>
        <v>0</v>
      </c>
      <c r="CO179" s="208">
        <f>SUMIFS('свод практик'!$CE$6:$CE$277,'свод практик'!$J$6:$J$277,'свод субъектов ИБ+смежные'!CO$1,'свод практик'!$G$6:$G$277,"суб")</f>
        <v>0</v>
      </c>
      <c r="CP179" s="208">
        <f>SUMIFS('свод практик'!$CE$6:$CE$277,'свод практик'!$J$6:$J$277,'свод субъектов ИБ+смежные'!CP$1,'свод практик'!$G$6:$G$277,"суб")</f>
        <v>0</v>
      </c>
      <c r="CQ179" s="208">
        <f>SUMIFS('свод практик'!$CE$6:$CE$277,'свод практик'!$J$6:$J$277,'свод субъектов ИБ+смежные'!CQ$1,'свод практик'!$G$6:$G$277,"суб")</f>
        <v>0</v>
      </c>
      <c r="CR179" s="208">
        <f>SUMIFS('свод практик'!$CE$6:$CE$277,'свод практик'!$J$6:$J$277,'свод субъектов ИБ+смежные'!CR$1,'свод практик'!$G$6:$G$277,"суб")</f>
        <v>0</v>
      </c>
      <c r="CS179" s="208">
        <f>SUMIFS('свод практик'!$CE$6:$CE$277,'свод практик'!$J$6:$J$277,'свод субъектов ИБ+смежные'!CS$1,'свод практик'!$G$6:$G$277,"суб")</f>
        <v>27</v>
      </c>
      <c r="CT179" s="208">
        <f>SUMIFS('свод практик'!$CE$6:$CE$277,'свод практик'!$J$6:$J$277,'свод субъектов ИБ+смежные'!CT$1,'свод практик'!$G$6:$G$277,"суб")</f>
        <v>0</v>
      </c>
      <c r="CU179" s="208">
        <f>SUMIFS('свод практик'!$CE$6:$CE$277,'свод практик'!$J$6:$J$277,'свод субъектов ИБ+смежные'!CU$1,'свод практик'!$G$6:$G$277,"суб")</f>
        <v>0</v>
      </c>
      <c r="CV179" s="208">
        <f>SUMIFS('свод практик'!$CE$6:$CE$277,'свод практик'!$J$6:$J$277,'свод субъектов ИБ+смежные'!CV$1,'свод практик'!$G$6:$G$277,"суб")</f>
        <v>164</v>
      </c>
    </row>
    <row r="180" spans="4:100" ht="15">
      <c r="D180" s="36" t="s">
        <v>4949</v>
      </c>
      <c r="E180" s="36">
        <v>65</v>
      </c>
      <c r="F180" s="36" t="s">
        <v>5583</v>
      </c>
      <c r="H180" s="36" t="s">
        <v>60</v>
      </c>
      <c r="M180" s="36" t="s">
        <v>5497</v>
      </c>
      <c r="N180" s="36">
        <v>5.6030178630866526E-2</v>
      </c>
      <c r="O180" s="224">
        <f t="shared" si="120"/>
        <v>0</v>
      </c>
      <c r="Q180" s="191"/>
      <c r="R180" s="191"/>
      <c r="S180" s="192"/>
      <c r="T180" s="194"/>
      <c r="U180" s="194"/>
    </row>
    <row r="181" spans="4:100" ht="42">
      <c r="D181" s="36" t="s">
        <v>4949</v>
      </c>
      <c r="E181" s="36">
        <v>87</v>
      </c>
      <c r="F181" s="36" t="s">
        <v>5584</v>
      </c>
      <c r="G181" s="36" t="s">
        <v>25</v>
      </c>
      <c r="H181" s="36" t="s">
        <v>5140</v>
      </c>
      <c r="M181" s="36" t="s">
        <v>5497</v>
      </c>
      <c r="N181" s="36">
        <v>1429</v>
      </c>
      <c r="O181" s="224">
        <f t="shared" si="120"/>
        <v>1422</v>
      </c>
      <c r="P181" s="208">
        <f>SUMIFS('свод практик'!$CF$6:$CF$277,'свод практик'!$J$6:$J$277,'свод субъектов ИБ+смежные'!P$1,'свод практик'!$G$6:$G$277,"суб")</f>
        <v>0</v>
      </c>
      <c r="Q181" s="208">
        <f>SUMIFS('свод практик'!$CF$6:$CF$277,'свод практик'!$J$6:$J$277,'свод субъектов ИБ+смежные'!Q$1,'свод практик'!$G$6:$G$277,"суб")</f>
        <v>0</v>
      </c>
      <c r="R181" s="208">
        <f>SUMIFS('свод практик'!$CF$6:$CF$277,'свод практик'!$J$6:$J$277,'свод субъектов ИБ+смежные'!R$1,'свод практик'!$G$6:$G$277,"суб")</f>
        <v>45</v>
      </c>
      <c r="S181" s="208">
        <f>SUMIFS('свод практик'!$CF$6:$CF$277,'свод практик'!$J$6:$J$277,'свод субъектов ИБ+смежные'!S$1,'свод практик'!$G$6:$G$277,"суб")</f>
        <v>19</v>
      </c>
      <c r="T181" s="208">
        <f>SUMIFS('свод практик'!$CF$6:$CF$277,'свод практик'!$J$6:$J$277,'свод субъектов ИБ+смежные'!T$1,'свод практик'!$G$6:$G$277,"суб")</f>
        <v>53</v>
      </c>
      <c r="U181" s="208">
        <f>SUMIFS('свод практик'!$CF$6:$CF$277,'свод практик'!$J$6:$J$277,'свод субъектов ИБ+смежные'!U$1,'свод практик'!$G$6:$G$277,"суб")</f>
        <v>0</v>
      </c>
      <c r="V181" s="208">
        <f>SUMIFS('свод практик'!$CF$6:$CF$277,'свод практик'!$J$6:$J$277,'свод субъектов ИБ+смежные'!V$1,'свод практик'!$G$6:$G$277,"суб")</f>
        <v>271</v>
      </c>
      <c r="W181" s="208">
        <f>SUMIFS('свод практик'!$CF$6:$CF$277,'свод практик'!$J$6:$J$277,'свод субъектов ИБ+смежные'!W$1,'свод практик'!$G$6:$G$277,"суб")</f>
        <v>2</v>
      </c>
      <c r="X181" s="208">
        <f>SUMIFS('свод практик'!$CF$6:$CF$277,'свод практик'!$J$6:$J$277,'свод субъектов ИБ+смежные'!X$1,'свод практик'!$G$6:$G$277,"суб")</f>
        <v>2</v>
      </c>
      <c r="Y181" s="208">
        <f>SUMIFS('свод практик'!$CF$6:$CF$277,'свод практик'!$J$6:$J$277,'свод субъектов ИБ+смежные'!Y$1,'свод практик'!$G$6:$G$277,"суб")</f>
        <v>0</v>
      </c>
      <c r="Z181" s="208">
        <f>SUMIFS('свод практик'!$CF$6:$CF$277,'свод практик'!$J$6:$J$277,'свод субъектов ИБ+смежные'!Z$1,'свод практик'!$G$6:$G$277,"суб")</f>
        <v>0</v>
      </c>
      <c r="AA181" s="208">
        <f>SUMIFS('свод практик'!$CF$6:$CF$277,'свод практик'!$J$6:$J$277,'свод субъектов ИБ+смежные'!AA$1,'свод практик'!$G$6:$G$277,"суб")</f>
        <v>14</v>
      </c>
      <c r="AB181" s="208">
        <f>SUMIFS('свод практик'!$CF$6:$CF$277,'свод практик'!$J$6:$J$277,'свод субъектов ИБ+смежные'!AB$1,'свод практик'!$G$6:$G$277,"суб")</f>
        <v>68</v>
      </c>
      <c r="AC181" s="208">
        <f>SUMIFS('свод практик'!$CF$6:$CF$277,'свод практик'!$J$6:$J$277,'свод субъектов ИБ+смежные'!AC$1,'свод практик'!$G$6:$G$277,"суб")</f>
        <v>0</v>
      </c>
      <c r="AD181" s="208">
        <f>SUMIFS('свод практик'!$CF$6:$CF$277,'свод практик'!$J$6:$J$277,'свод субъектов ИБ+смежные'!AD$1,'свод практик'!$G$6:$G$277,"суб")</f>
        <v>0</v>
      </c>
      <c r="AE181" s="208">
        <f>SUMIFS('свод практик'!$CF$6:$CF$277,'свод практик'!$J$6:$J$277,'свод субъектов ИБ+смежные'!AE$1,'свод практик'!$G$6:$G$277,"суб")</f>
        <v>0</v>
      </c>
      <c r="AF181" s="208">
        <f>SUMIFS('свод практик'!$CF$6:$CF$277,'свод практик'!$J$6:$J$277,'свод субъектов ИБ+смежные'!AF$1,'свод практик'!$G$6:$G$277,"суб")</f>
        <v>0</v>
      </c>
      <c r="AG181" s="208">
        <f>SUMIFS('свод практик'!$CF$6:$CF$277,'свод практик'!$J$6:$J$277,'свод субъектов ИБ+смежные'!AG$1,'свод практик'!$G$6:$G$277,"суб")</f>
        <v>0</v>
      </c>
      <c r="AH181" s="208">
        <f>SUMIFS('свод практик'!$CF$6:$CF$277,'свод практик'!$J$6:$J$277,'свод субъектов ИБ+смежные'!AH$1,'свод практик'!$G$6:$G$277,"суб")</f>
        <v>0</v>
      </c>
      <c r="AI181" s="208">
        <f>SUMIFS('свод практик'!$CF$6:$CF$277,'свод практик'!$J$6:$J$277,'свод субъектов ИБ+смежные'!AI$1,'свод практик'!$G$6:$G$277,"суб")</f>
        <v>390</v>
      </c>
      <c r="AJ181" s="208">
        <f>SUMIFS('свод практик'!$CF$6:$CF$277,'свод практик'!$J$6:$J$277,'свод субъектов ИБ+смежные'!AJ$1,'свод практик'!$G$6:$G$277,"суб")</f>
        <v>0</v>
      </c>
      <c r="AK181" s="208">
        <f>SUMIFS('свод практик'!$CF$6:$CF$277,'свод практик'!$J$6:$J$277,'свод субъектов ИБ+смежные'!AK$1,'свод практик'!$G$6:$G$277,"суб")</f>
        <v>1</v>
      </c>
      <c r="AL181" s="208">
        <f>SUMIFS('свод практик'!$CF$6:$CF$277,'свод практик'!$J$6:$J$277,'свод субъектов ИБ+смежные'!AL$1,'свод практик'!$G$6:$G$277,"суб")</f>
        <v>0</v>
      </c>
      <c r="AM181" s="208">
        <f>SUMIFS('свод практик'!$CF$6:$CF$277,'свод практик'!$J$6:$J$277,'свод субъектов ИБ+смежные'!AM$1,'свод практик'!$G$6:$G$277,"суб")</f>
        <v>20</v>
      </c>
      <c r="AN181" s="208">
        <f>SUMIFS('свод практик'!$CF$6:$CF$277,'свод практик'!$J$6:$J$277,'свод субъектов ИБ+смежные'!AN$1,'свод практик'!$G$6:$G$277,"суб")</f>
        <v>0</v>
      </c>
      <c r="AO181" s="208">
        <f>SUMIFS('свод практик'!$CF$6:$CF$277,'свод практик'!$J$6:$J$277,'свод субъектов ИБ+смежные'!AO$1,'свод практик'!$G$6:$G$277,"суб")</f>
        <v>0</v>
      </c>
      <c r="AP181" s="208">
        <f>SUMIFS('свод практик'!$CF$6:$CF$277,'свод практик'!$J$6:$J$277,'свод субъектов ИБ+смежные'!AP$1,'свод практик'!$G$6:$G$277,"суб")</f>
        <v>15</v>
      </c>
      <c r="AQ181" s="208">
        <f>SUMIFS('свод практик'!$CF$6:$CF$277,'свод практик'!$J$6:$J$277,'свод субъектов ИБ+смежные'!AQ$1,'свод практик'!$G$6:$G$277,"суб")</f>
        <v>1</v>
      </c>
      <c r="AR181" s="208">
        <f>SUMIFS('свод практик'!$CF$6:$CF$277,'свод практик'!$J$6:$J$277,'свод субъектов ИБ+смежные'!AR$1,'свод практик'!$G$6:$G$277,"суб")</f>
        <v>26</v>
      </c>
      <c r="AS181" s="208">
        <f>SUMIFS('свод практик'!$CF$6:$CF$277,'свод практик'!$J$6:$J$277,'свод субъектов ИБ+смежные'!AS$1,'свод практик'!$G$6:$G$277,"суб")</f>
        <v>22</v>
      </c>
      <c r="AT181" s="208">
        <f>SUMIFS('свод практик'!$CF$6:$CF$277,'свод практик'!$J$6:$J$277,'свод субъектов ИБ+смежные'!AT$1,'свод практик'!$G$6:$G$277,"суб")</f>
        <v>14</v>
      </c>
      <c r="AU181" s="208">
        <f>SUMIFS('свод практик'!$CF$6:$CF$277,'свод практик'!$J$6:$J$277,'свод субъектов ИБ+смежные'!AU$1,'свод практик'!$G$6:$G$277,"суб")</f>
        <v>0</v>
      </c>
      <c r="AV181" s="208">
        <f>SUMIFS('свод практик'!$CF$6:$CF$277,'свод практик'!$J$6:$J$277,'свод субъектов ИБ+смежные'!AV$1,'свод практик'!$G$6:$G$277,"суб")</f>
        <v>15</v>
      </c>
      <c r="AW181" s="208">
        <f>SUMIFS('свод практик'!$CF$6:$CF$277,'свод практик'!$J$6:$J$277,'свод субъектов ИБ+смежные'!AW$1,'свод практик'!$G$6:$G$277,"суб")</f>
        <v>0</v>
      </c>
      <c r="AX181" s="208">
        <f>SUMIFS('свод практик'!$CF$6:$CF$277,'свод практик'!$J$6:$J$277,'свод субъектов ИБ+смежные'!AX$1,'свод практик'!$G$6:$G$277,"суб")</f>
        <v>21</v>
      </c>
      <c r="AY181" s="208">
        <f>SUMIFS('свод практик'!$CF$6:$CF$277,'свод практик'!$J$6:$J$277,'свод субъектов ИБ+смежные'!AY$1,'свод практик'!$G$6:$G$277,"суб")</f>
        <v>0</v>
      </c>
      <c r="AZ181" s="208">
        <f>SUMIFS('свод практик'!$CF$6:$CF$277,'свод практик'!$J$6:$J$277,'свод субъектов ИБ+смежные'!AZ$1,'свод практик'!$G$6:$G$277,"суб")</f>
        <v>2</v>
      </c>
      <c r="BA181" s="208">
        <f>SUMIFS('свод практик'!$CF$6:$CF$277,'свод практик'!$J$6:$J$277,'свод субъектов ИБ+смежные'!BA$1,'свод практик'!$G$6:$G$277,"суб")</f>
        <v>0</v>
      </c>
      <c r="BB181" s="208">
        <f>SUMIFS('свод практик'!$CF$6:$CF$277,'свод практик'!$J$6:$J$277,'свод субъектов ИБ+смежные'!BB$1,'свод практик'!$G$6:$G$277,"суб")</f>
        <v>0</v>
      </c>
      <c r="BC181" s="208">
        <f>SUMIFS('свод практик'!$CF$6:$CF$277,'свод практик'!$J$6:$J$277,'свод субъектов ИБ+смежные'!BC$1,'свод практик'!$G$6:$G$277,"суб")</f>
        <v>0</v>
      </c>
      <c r="BD181" s="208">
        <f>SUMIFS('свод практик'!$CF$6:$CF$277,'свод практик'!$J$6:$J$277,'свод субъектов ИБ+смежные'!BD$1,'свод практик'!$G$6:$G$277,"суб")</f>
        <v>0</v>
      </c>
      <c r="BE181" s="208">
        <f>SUMIFS('свод практик'!$CF$6:$CF$277,'свод практик'!$J$6:$J$277,'свод субъектов ИБ+смежные'!BE$1,'свод практик'!$G$6:$G$277,"суб")</f>
        <v>0</v>
      </c>
      <c r="BF181" s="208">
        <f>SUMIFS('свод практик'!$CF$6:$CF$277,'свод практик'!$J$6:$J$277,'свод субъектов ИБ+смежные'!BF$1,'свод практик'!$G$6:$G$277,"суб")</f>
        <v>0</v>
      </c>
      <c r="BG181" s="208">
        <f>SUMIFS('свод практик'!$CF$6:$CF$277,'свод практик'!$J$6:$J$277,'свод субъектов ИБ+смежные'!BG$1,'свод практик'!$G$6:$G$277,"суб")</f>
        <v>4</v>
      </c>
      <c r="BH181" s="208">
        <f>SUMIFS('свод практик'!$CF$6:$CF$277,'свод практик'!$J$6:$J$277,'свод субъектов ИБ+смежные'!BH$1,'свод практик'!$G$6:$G$277,"суб")</f>
        <v>1</v>
      </c>
      <c r="BI181" s="208">
        <f>SUMIFS('свод практик'!$CF$6:$CF$277,'свод практик'!$J$6:$J$277,'свод субъектов ИБ+смежные'!BI$1,'свод практик'!$G$6:$G$277,"суб")</f>
        <v>13</v>
      </c>
      <c r="BJ181" s="208">
        <f>SUMIFS('свод практик'!$CF$6:$CF$277,'свод практик'!$J$6:$J$277,'свод субъектов ИБ+смежные'!BJ$1,'свод практик'!$G$6:$G$277,"суб")</f>
        <v>9</v>
      </c>
      <c r="BK181" s="208">
        <f>SUMIFS('свод практик'!$CF$6:$CF$277,'свод практик'!$J$6:$J$277,'свод субъектов ИБ+смежные'!BK$1,'свод практик'!$G$6:$G$277,"суб")</f>
        <v>19</v>
      </c>
      <c r="BL181" s="208">
        <f>SUMIFS('свод практик'!$CF$6:$CF$277,'свод практик'!$J$6:$J$277,'свод субъектов ИБ+смежные'!BL$1,'свод практик'!$G$6:$G$277,"суб")</f>
        <v>0</v>
      </c>
      <c r="BM181" s="208">
        <f>SUMIFS('свод практик'!$CF$6:$CF$277,'свод практик'!$J$6:$J$277,'свод субъектов ИБ+смежные'!BM$1,'свод практик'!$G$6:$G$277,"суб")</f>
        <v>16</v>
      </c>
      <c r="BN181" s="208">
        <f>SUMIFS('свод практик'!$CF$6:$CF$277,'свод практик'!$J$6:$J$277,'свод субъектов ИБ+смежные'!BN$1,'свод практик'!$G$6:$G$277,"суб")</f>
        <v>1</v>
      </c>
      <c r="BO181" s="208">
        <f>SUMIFS('свод практик'!$CF$6:$CF$277,'свод практик'!$J$6:$J$277,'свод субъектов ИБ+смежные'!BO$1,'свод практик'!$G$6:$G$277,"суб")</f>
        <v>0</v>
      </c>
      <c r="BP181" s="208">
        <f>SUMIFS('свод практик'!$CF$6:$CF$277,'свод практик'!$J$6:$J$277,'свод субъектов ИБ+смежные'!BP$1,'свод практик'!$G$6:$G$277,"суб")</f>
        <v>14</v>
      </c>
      <c r="BQ181" s="208">
        <f>SUMIFS('свод практик'!$CF$6:$CF$277,'свод практик'!$J$6:$J$277,'свод субъектов ИБ+смежные'!BQ$1,'свод практик'!$G$6:$G$277,"суб")</f>
        <v>0</v>
      </c>
      <c r="BR181" s="208">
        <f>SUMIFS('свод практик'!$CF$6:$CF$277,'свод практик'!$J$6:$J$277,'свод субъектов ИБ+смежные'!BR$1,'свод практик'!$G$6:$G$277,"суб")</f>
        <v>1</v>
      </c>
      <c r="BS181" s="208">
        <f>SUMIFS('свод практик'!$CF$6:$CF$277,'свод практик'!$J$6:$J$277,'свод субъектов ИБ+смежные'!BS$1,'свод практик'!$G$6:$G$277,"суб")</f>
        <v>0</v>
      </c>
      <c r="BT181" s="208">
        <f>SUMIFS('свод практик'!$CF$6:$CF$277,'свод практик'!$J$6:$J$277,'свод субъектов ИБ+смежные'!BT$1,'свод практик'!$G$6:$G$277,"суб")</f>
        <v>7</v>
      </c>
      <c r="BU181" s="208">
        <f>SUMIFS('свод практик'!$CF$6:$CF$277,'свод практик'!$J$6:$J$277,'свод субъектов ИБ+смежные'!BU$1,'свод практик'!$G$6:$G$277,"суб")</f>
        <v>7</v>
      </c>
      <c r="BV181" s="208">
        <f>SUMIFS('свод практик'!$CF$6:$CF$277,'свод практик'!$J$6:$J$277,'свод субъектов ИБ+смежные'!BV$1,'свод практик'!$G$6:$G$277,"суб")</f>
        <v>0</v>
      </c>
      <c r="BW181" s="208">
        <f>SUMIFS('свод практик'!$CF$6:$CF$277,'свод практик'!$J$6:$J$277,'свод субъектов ИБ+смежные'!BW$1,'свод практик'!$G$6:$G$277,"суб")</f>
        <v>7</v>
      </c>
      <c r="BX181" s="208">
        <f>SUMIFS('свод практик'!$CF$6:$CF$277,'свод практик'!$J$6:$J$277,'свод субъектов ИБ+смежные'!BX$1,'свод практик'!$G$6:$G$277,"суб")</f>
        <v>44</v>
      </c>
      <c r="BY181" s="208">
        <f>SUMIFS('свод практик'!$CF$6:$CF$277,'свод практик'!$J$6:$J$277,'свод субъектов ИБ+смежные'!BY$1,'свод практик'!$G$6:$G$277,"суб")</f>
        <v>6</v>
      </c>
      <c r="BZ181" s="208">
        <f>SUMIFS('свод практик'!$CF$6:$CF$277,'свод практик'!$J$6:$J$277,'свод субъектов ИБ+смежные'!BZ$1,'свод практик'!$G$6:$G$277,"суб")</f>
        <v>2</v>
      </c>
      <c r="CA181" s="208">
        <f>SUMIFS('свод практик'!$CF$6:$CF$277,'свод практик'!$J$6:$J$277,'свод субъектов ИБ+смежные'!CA$1,'свод практик'!$G$6:$G$277,"суб")</f>
        <v>0</v>
      </c>
      <c r="CB181" s="208">
        <f>SUMIFS('свод практик'!$CF$6:$CF$277,'свод практик'!$J$6:$J$277,'свод субъектов ИБ+смежные'!CB$1,'свод практик'!$G$6:$G$277,"суб")</f>
        <v>0</v>
      </c>
      <c r="CC181" s="208">
        <f>SUMIFS('свод практик'!$CF$6:$CF$277,'свод практик'!$J$6:$J$277,'свод субъектов ИБ+смежные'!CC$1,'свод практик'!$G$6:$G$277,"суб")</f>
        <v>0</v>
      </c>
      <c r="CD181" s="208">
        <f>SUMIFS('свод практик'!$CF$6:$CF$277,'свод практик'!$J$6:$J$277,'свод субъектов ИБ+смежные'!CD$1,'свод практик'!$G$6:$G$277,"суб")</f>
        <v>46</v>
      </c>
      <c r="CE181" s="208">
        <f>SUMIFS('свод практик'!$CF$6:$CF$277,'свод практик'!$J$6:$J$277,'свод субъектов ИБ+смежные'!CE$1,'свод практик'!$G$6:$G$277,"суб")</f>
        <v>11</v>
      </c>
      <c r="CF181" s="208">
        <f>SUMIFS('свод практик'!$CF$6:$CF$277,'свод практик'!$J$6:$J$277,'свод субъектов ИБ+смежные'!CF$1,'свод практик'!$G$6:$G$277,"суб")</f>
        <v>109</v>
      </c>
      <c r="CG181" s="208">
        <f>SUMIFS('свод практик'!$CF$6:$CF$277,'свод практик'!$J$6:$J$277,'свод субъектов ИБ+смежные'!CG$1,'свод практик'!$G$6:$G$277,"суб")</f>
        <v>4</v>
      </c>
      <c r="CH181" s="208">
        <f>SUMIFS('свод практик'!$CF$6:$CF$277,'свод практик'!$J$6:$J$277,'свод субъектов ИБ+смежные'!CH$1,'свод практик'!$G$6:$G$277,"суб")</f>
        <v>3</v>
      </c>
      <c r="CI181" s="208">
        <f>SUMIFS('свод практик'!$CF$6:$CF$277,'свод практик'!$J$6:$J$277,'свод субъектов ИБ+смежные'!CI$1,'свод практик'!$G$6:$G$277,"суб")</f>
        <v>20</v>
      </c>
      <c r="CJ181" s="208">
        <f>SUMIFS('свод практик'!$CF$6:$CF$277,'свод практик'!$J$6:$J$277,'свод субъектов ИБ+смежные'!CJ$1,'свод практик'!$G$6:$G$277,"суб")</f>
        <v>0</v>
      </c>
      <c r="CK181" s="208">
        <f>SUMIFS('свод практик'!$CF$6:$CF$277,'свод практик'!$J$6:$J$277,'свод субъектов ИБ+смежные'!CK$1,'свод практик'!$G$6:$G$277,"суб")</f>
        <v>0</v>
      </c>
      <c r="CL181" s="208">
        <f>SUMIFS('свод практик'!$CF$6:$CF$277,'свод практик'!$J$6:$J$277,'свод субъектов ИБ+смежные'!CL$1,'свод практик'!$G$6:$G$277,"суб")</f>
        <v>7</v>
      </c>
      <c r="CM181" s="208">
        <f>SUMIFS('свод практик'!$CF$6:$CF$277,'свод практик'!$J$6:$J$277,'свод субъектов ИБ+смежные'!CM$1,'свод практик'!$G$6:$G$277,"суб")</f>
        <v>40</v>
      </c>
      <c r="CN181" s="208">
        <f>SUMIFS('свод практик'!$CF$6:$CF$277,'свод практик'!$J$6:$J$277,'свод субъектов ИБ+смежные'!CN$1,'свод практик'!$G$6:$G$277,"суб")</f>
        <v>3</v>
      </c>
      <c r="CO181" s="208">
        <f>SUMIFS('свод практик'!$CF$6:$CF$277,'свод практик'!$J$6:$J$277,'свод субъектов ИБ+смежные'!CO$1,'свод практик'!$G$6:$G$277,"суб")</f>
        <v>0</v>
      </c>
      <c r="CP181" s="208">
        <f>SUMIFS('свод практик'!$CF$6:$CF$277,'свод практик'!$J$6:$J$277,'свод субъектов ИБ+смежные'!CP$1,'свод практик'!$G$6:$G$277,"суб")</f>
        <v>0</v>
      </c>
      <c r="CQ181" s="208">
        <f>SUMIFS('свод практик'!$CF$6:$CF$277,'свод практик'!$J$6:$J$277,'свод субъектов ИБ+смежные'!CQ$1,'свод практик'!$G$6:$G$277,"суб")</f>
        <v>0</v>
      </c>
      <c r="CR181" s="208">
        <f>SUMIFS('свод практик'!$CF$6:$CF$277,'свод практик'!$J$6:$J$277,'свод субъектов ИБ+смежные'!CR$1,'свод практик'!$G$6:$G$277,"суб")</f>
        <v>0</v>
      </c>
      <c r="CS181" s="208">
        <f>SUMIFS('свод практик'!$CF$6:$CF$277,'свод практик'!$J$6:$J$277,'свод субъектов ИБ+смежные'!CS$1,'свод практик'!$G$6:$G$277,"суб")</f>
        <v>13</v>
      </c>
      <c r="CT181" s="208">
        <f>SUMIFS('свод практик'!$CF$6:$CF$277,'свод практик'!$J$6:$J$277,'свод субъектов ИБ+смежные'!CT$1,'свод практик'!$G$6:$G$277,"суб")</f>
        <v>1</v>
      </c>
      <c r="CU181" s="208">
        <f>SUMIFS('свод практик'!$CF$6:$CF$277,'свод практик'!$J$6:$J$277,'свод субъектов ИБ+смежные'!CU$1,'свод практик'!$G$6:$G$277,"суб")</f>
        <v>0</v>
      </c>
      <c r="CV181" s="208">
        <f>SUMIFS('свод практик'!$CF$6:$CF$277,'свод практик'!$J$6:$J$277,'свод субъектов ИБ+смежные'!CV$1,'свод практик'!$G$6:$G$277,"суб")</f>
        <v>13</v>
      </c>
    </row>
    <row r="182" spans="4:100" ht="15">
      <c r="D182" s="36" t="s">
        <v>4949</v>
      </c>
      <c r="E182" s="36">
        <v>88</v>
      </c>
      <c r="F182" s="36" t="s">
        <v>5585</v>
      </c>
      <c r="H182" s="36" t="s">
        <v>60</v>
      </c>
      <c r="M182" s="36" t="s">
        <v>5497</v>
      </c>
      <c r="N182" s="36">
        <v>7.9274381449018091E-2</v>
      </c>
      <c r="O182" s="224">
        <f t="shared" si="120"/>
        <v>0</v>
      </c>
      <c r="Q182" s="191"/>
      <c r="R182" s="191"/>
      <c r="S182" s="192"/>
      <c r="T182" s="194"/>
      <c r="U182" s="194"/>
    </row>
    <row r="183" spans="4:100" ht="14">
      <c r="D183" s="36" t="s">
        <v>4949</v>
      </c>
      <c r="E183" s="36">
        <v>66</v>
      </c>
      <c r="F183" s="36" t="s">
        <v>5586</v>
      </c>
      <c r="G183" s="36" t="s">
        <v>5163</v>
      </c>
      <c r="H183" s="36" t="s">
        <v>5140</v>
      </c>
      <c r="L183" s="36" t="s">
        <v>278</v>
      </c>
      <c r="M183" s="36" t="s">
        <v>5497</v>
      </c>
      <c r="N183" s="36">
        <v>950</v>
      </c>
      <c r="O183" s="224">
        <f t="shared" si="120"/>
        <v>1318</v>
      </c>
      <c r="P183" s="208">
        <f>SUMIFS('свод практик'!$CG$6:$CG$277,'свод практик'!$J$6:$J$277,'свод субъектов ИБ+смежные'!P$1,'свод практик'!$G$6:$G$277,"суб")</f>
        <v>0</v>
      </c>
      <c r="Q183" s="208">
        <f>SUMIFS('свод практик'!$CG$6:$CG$277,'свод практик'!$J$6:$J$277,'свод субъектов ИБ+смежные'!Q$1,'свод практик'!$G$6:$G$277,"суб")</f>
        <v>2</v>
      </c>
      <c r="R183" s="208">
        <f>SUMIFS('свод практик'!$CG$6:$CG$277,'свод практик'!$J$6:$J$277,'свод субъектов ИБ+смежные'!R$1,'свод практик'!$G$6:$G$277,"суб")</f>
        <v>33</v>
      </c>
      <c r="S183" s="208">
        <f>SUMIFS('свод практик'!$CG$6:$CG$277,'свод практик'!$J$6:$J$277,'свод субъектов ИБ+смежные'!S$1,'свод практик'!$G$6:$G$277,"суб")</f>
        <v>12</v>
      </c>
      <c r="T183" s="208">
        <f>SUMIFS('свод практик'!$CG$6:$CG$277,'свод практик'!$J$6:$J$277,'свод субъектов ИБ+смежные'!T$1,'свод практик'!$G$6:$G$277,"суб")</f>
        <v>82</v>
      </c>
      <c r="U183" s="208">
        <f>SUMIFS('свод практик'!$CG$6:$CG$277,'свод практик'!$J$6:$J$277,'свод субъектов ИБ+смежные'!U$1,'свод практик'!$G$6:$G$277,"суб")</f>
        <v>2</v>
      </c>
      <c r="V183" s="208">
        <f>SUMIFS('свод практик'!$CG$6:$CG$277,'свод практик'!$J$6:$J$277,'свод субъектов ИБ+смежные'!V$1,'свод практик'!$G$6:$G$277,"суб")</f>
        <v>89</v>
      </c>
      <c r="W183" s="208">
        <f>SUMIFS('свод практик'!$CG$6:$CG$277,'свод практик'!$J$6:$J$277,'свод субъектов ИБ+смежные'!W$1,'свод практик'!$G$6:$G$277,"суб")</f>
        <v>9</v>
      </c>
      <c r="X183" s="208">
        <f>SUMIFS('свод практик'!$CG$6:$CG$277,'свод практик'!$J$6:$J$277,'свод субъектов ИБ+смежные'!X$1,'свод практик'!$G$6:$G$277,"суб")</f>
        <v>14</v>
      </c>
      <c r="Y183" s="208">
        <f>SUMIFS('свод практик'!$CG$6:$CG$277,'свод практик'!$J$6:$J$277,'свод субъектов ИБ+смежные'!Y$1,'свод практик'!$G$6:$G$277,"суб")</f>
        <v>307</v>
      </c>
      <c r="Z183" s="208">
        <f>SUMIFS('свод практик'!$CG$6:$CG$277,'свод практик'!$J$6:$J$277,'свод субъектов ИБ+смежные'!Z$1,'свод практик'!$G$6:$G$277,"суб")</f>
        <v>4</v>
      </c>
      <c r="AA183" s="208">
        <f>SUMIFS('свод практик'!$CG$6:$CG$277,'свод практик'!$J$6:$J$277,'свод субъектов ИБ+смежные'!AA$1,'свод практик'!$G$6:$G$277,"суб")</f>
        <v>12</v>
      </c>
      <c r="AB183" s="208">
        <f>SUMIFS('свод практик'!$CG$6:$CG$277,'свод практик'!$J$6:$J$277,'свод субъектов ИБ+смежные'!AB$1,'свод практик'!$G$6:$G$277,"суб")</f>
        <v>54</v>
      </c>
      <c r="AC183" s="208">
        <f>SUMIFS('свод практик'!$CG$6:$CG$277,'свод практик'!$J$6:$J$277,'свод субъектов ИБ+смежные'!AC$1,'свод практик'!$G$6:$G$277,"суб")</f>
        <v>5</v>
      </c>
      <c r="AD183" s="208">
        <f>SUMIFS('свод практик'!$CG$6:$CG$277,'свод практик'!$J$6:$J$277,'свод субъектов ИБ+смежные'!AD$1,'свод практик'!$G$6:$G$277,"суб")</f>
        <v>0</v>
      </c>
      <c r="AE183" s="208">
        <f>SUMIFS('свод практик'!$CG$6:$CG$277,'свод практик'!$J$6:$J$277,'свод субъектов ИБ+смежные'!AE$1,'свод практик'!$G$6:$G$277,"суб")</f>
        <v>0</v>
      </c>
      <c r="AF183" s="208">
        <f>SUMIFS('свод практик'!$CG$6:$CG$277,'свод практик'!$J$6:$J$277,'свод субъектов ИБ+смежные'!AF$1,'свод практик'!$G$6:$G$277,"суб")</f>
        <v>0</v>
      </c>
      <c r="AG183" s="208">
        <f>SUMIFS('свод практик'!$CG$6:$CG$277,'свод практик'!$J$6:$J$277,'свод субъектов ИБ+смежные'!AG$1,'свод практик'!$G$6:$G$277,"суб")</f>
        <v>0</v>
      </c>
      <c r="AH183" s="208">
        <f>SUMIFS('свод практик'!$CG$6:$CG$277,'свод практик'!$J$6:$J$277,'свод субъектов ИБ+смежные'!AH$1,'свод практик'!$G$6:$G$277,"суб")</f>
        <v>0</v>
      </c>
      <c r="AI183" s="208">
        <f>SUMIFS('свод практик'!$CG$6:$CG$277,'свод практик'!$J$6:$J$277,'свод субъектов ИБ+смежные'!AI$1,'свод практик'!$G$6:$G$277,"суб")</f>
        <v>35</v>
      </c>
      <c r="AJ183" s="208">
        <f>SUMIFS('свод практик'!$CG$6:$CG$277,'свод практик'!$J$6:$J$277,'свод субъектов ИБ+смежные'!AJ$1,'свод практик'!$G$6:$G$277,"суб")</f>
        <v>0</v>
      </c>
      <c r="AK183" s="208">
        <f>SUMIFS('свод практик'!$CG$6:$CG$277,'свод практик'!$J$6:$J$277,'свод субъектов ИБ+смежные'!AK$1,'свод практик'!$G$6:$G$277,"суб")</f>
        <v>4</v>
      </c>
      <c r="AL183" s="208">
        <f>SUMIFS('свод практик'!$CG$6:$CG$277,'свод практик'!$J$6:$J$277,'свод субъектов ИБ+смежные'!AL$1,'свод практик'!$G$6:$G$277,"суб")</f>
        <v>0</v>
      </c>
      <c r="AM183" s="208">
        <f>SUMIFS('свод практик'!$CG$6:$CG$277,'свод практик'!$J$6:$J$277,'свод субъектов ИБ+смежные'!AM$1,'свод практик'!$G$6:$G$277,"суб")</f>
        <v>24</v>
      </c>
      <c r="AN183" s="208">
        <f>SUMIFS('свод практик'!$CG$6:$CG$277,'свод практик'!$J$6:$J$277,'свод субъектов ИБ+смежные'!AN$1,'свод практик'!$G$6:$G$277,"суб")</f>
        <v>0</v>
      </c>
      <c r="AO183" s="208">
        <f>SUMIFS('свод практик'!$CG$6:$CG$277,'свод практик'!$J$6:$J$277,'свод субъектов ИБ+смежные'!AO$1,'свод практик'!$G$6:$G$277,"суб")</f>
        <v>0</v>
      </c>
      <c r="AP183" s="208">
        <f>SUMIFS('свод практик'!$CG$6:$CG$277,'свод практик'!$J$6:$J$277,'свод субъектов ИБ+смежные'!AP$1,'свод практик'!$G$6:$G$277,"суб")</f>
        <v>22</v>
      </c>
      <c r="AQ183" s="208">
        <f>SUMIFS('свод практик'!$CG$6:$CG$277,'свод практик'!$J$6:$J$277,'свод субъектов ИБ+смежные'!AQ$1,'свод практик'!$G$6:$G$277,"суб")</f>
        <v>31</v>
      </c>
      <c r="AR183" s="208">
        <f>SUMIFS('свод практик'!$CG$6:$CG$277,'свод практик'!$J$6:$J$277,'свод субъектов ИБ+смежные'!AR$1,'свод практик'!$G$6:$G$277,"суб")</f>
        <v>22</v>
      </c>
      <c r="AS183" s="208">
        <f>SUMIFS('свод практик'!$CG$6:$CG$277,'свод практик'!$J$6:$J$277,'свод субъектов ИБ+смежные'!AS$1,'свод практик'!$G$6:$G$277,"суб")</f>
        <v>33</v>
      </c>
      <c r="AT183" s="208">
        <f>SUMIFS('свод практик'!$CG$6:$CG$277,'свод практик'!$J$6:$J$277,'свод субъектов ИБ+смежные'!AT$1,'свод практик'!$G$6:$G$277,"суб")</f>
        <v>11</v>
      </c>
      <c r="AU183" s="208">
        <f>SUMIFS('свод практик'!$CG$6:$CG$277,'свод практик'!$J$6:$J$277,'свод субъектов ИБ+смежные'!AU$1,'свод практик'!$G$6:$G$277,"суб")</f>
        <v>0</v>
      </c>
      <c r="AV183" s="208">
        <f>SUMIFS('свод практик'!$CG$6:$CG$277,'свод практик'!$J$6:$J$277,'свод субъектов ИБ+смежные'!AV$1,'свод практик'!$G$6:$G$277,"суб")</f>
        <v>12</v>
      </c>
      <c r="AW183" s="208">
        <f>SUMIFS('свод практик'!$CG$6:$CG$277,'свод практик'!$J$6:$J$277,'свод субъектов ИБ+смежные'!AW$1,'свод практик'!$G$6:$G$277,"суб")</f>
        <v>1</v>
      </c>
      <c r="AX183" s="208">
        <f>SUMIFS('свод практик'!$CG$6:$CG$277,'свод практик'!$J$6:$J$277,'свод субъектов ИБ+смежные'!AX$1,'свод практик'!$G$6:$G$277,"суб")</f>
        <v>5</v>
      </c>
      <c r="AY183" s="208">
        <f>SUMIFS('свод практик'!$CG$6:$CG$277,'свод практик'!$J$6:$J$277,'свод субъектов ИБ+смежные'!AY$1,'свод практик'!$G$6:$G$277,"суб")</f>
        <v>0</v>
      </c>
      <c r="AZ183" s="208">
        <f>SUMIFS('свод практик'!$CG$6:$CG$277,'свод практик'!$J$6:$J$277,'свод субъектов ИБ+смежные'!AZ$1,'свод практик'!$G$6:$G$277,"суб")</f>
        <v>17</v>
      </c>
      <c r="BA183" s="208">
        <f>SUMIFS('свод практик'!$CG$6:$CG$277,'свод практик'!$J$6:$J$277,'свод субъектов ИБ+смежные'!BA$1,'свод практик'!$G$6:$G$277,"суб")</f>
        <v>2</v>
      </c>
      <c r="BB183" s="208">
        <f>SUMIFS('свод практик'!$CG$6:$CG$277,'свод практик'!$J$6:$J$277,'свод субъектов ИБ+смежные'!BB$1,'свод практик'!$G$6:$G$277,"суб")</f>
        <v>0</v>
      </c>
      <c r="BC183" s="208">
        <f>SUMIFS('свод практик'!$CG$6:$CG$277,'свод практик'!$J$6:$J$277,'свод субъектов ИБ+смежные'!BC$1,'свод практик'!$G$6:$G$277,"суб")</f>
        <v>1</v>
      </c>
      <c r="BD183" s="208">
        <f>SUMIFS('свод практик'!$CG$6:$CG$277,'свод практик'!$J$6:$J$277,'свод субъектов ИБ+смежные'!BD$1,'свод практик'!$G$6:$G$277,"суб")</f>
        <v>0</v>
      </c>
      <c r="BE183" s="208">
        <f>SUMIFS('свод практик'!$CG$6:$CG$277,'свод практик'!$J$6:$J$277,'свод субъектов ИБ+смежные'!BE$1,'свод практик'!$G$6:$G$277,"суб")</f>
        <v>0</v>
      </c>
      <c r="BF183" s="208">
        <f>SUMIFS('свод практик'!$CG$6:$CG$277,'свод практик'!$J$6:$J$277,'свод субъектов ИБ+смежные'!BF$1,'свод практик'!$G$6:$G$277,"суб")</f>
        <v>0</v>
      </c>
      <c r="BG183" s="208">
        <f>SUMIFS('свод практик'!$CG$6:$CG$277,'свод практик'!$J$6:$J$277,'свод субъектов ИБ+смежные'!BG$1,'свод практик'!$G$6:$G$277,"суб")</f>
        <v>5</v>
      </c>
      <c r="BH183" s="208">
        <f>SUMIFS('свод практик'!$CG$6:$CG$277,'свод практик'!$J$6:$J$277,'свод субъектов ИБ+смежные'!BH$1,'свод практик'!$G$6:$G$277,"суб")</f>
        <v>1</v>
      </c>
      <c r="BI183" s="208">
        <f>SUMIFS('свод практик'!$CG$6:$CG$277,'свод практик'!$J$6:$J$277,'свод субъектов ИБ+смежные'!BI$1,'свод практик'!$G$6:$G$277,"суб")</f>
        <v>17</v>
      </c>
      <c r="BJ183" s="208">
        <f>SUMIFS('свод практик'!$CG$6:$CG$277,'свод практик'!$J$6:$J$277,'свод субъектов ИБ+смежные'!BJ$1,'свод практик'!$G$6:$G$277,"суб")</f>
        <v>23</v>
      </c>
      <c r="BK183" s="208">
        <f>SUMIFS('свод практик'!$CG$6:$CG$277,'свод практик'!$J$6:$J$277,'свод субъектов ИБ+смежные'!BK$1,'свод практик'!$G$6:$G$277,"суб")</f>
        <v>13</v>
      </c>
      <c r="BL183" s="208">
        <f>SUMIFS('свод практик'!$CG$6:$CG$277,'свод практик'!$J$6:$J$277,'свод субъектов ИБ+смежные'!BL$1,'свод практик'!$G$6:$G$277,"суб")</f>
        <v>0</v>
      </c>
      <c r="BM183" s="208">
        <f>SUMIFS('свод практик'!$CG$6:$CG$277,'свод практик'!$J$6:$J$277,'свод субъектов ИБ+смежные'!BM$1,'свод практик'!$G$6:$G$277,"суб")</f>
        <v>7</v>
      </c>
      <c r="BN183" s="208">
        <f>SUMIFS('свод практик'!$CG$6:$CG$277,'свод практик'!$J$6:$J$277,'свод субъектов ИБ+смежные'!BN$1,'свод практик'!$G$6:$G$277,"суб")</f>
        <v>1</v>
      </c>
      <c r="BO183" s="208">
        <f>SUMIFS('свод практик'!$CG$6:$CG$277,'свод практик'!$J$6:$J$277,'свод субъектов ИБ+смежные'!BO$1,'свод практик'!$G$6:$G$277,"суб")</f>
        <v>0</v>
      </c>
      <c r="BP183" s="208">
        <f>SUMIFS('свод практик'!$CG$6:$CG$277,'свод практик'!$J$6:$J$277,'свод субъектов ИБ+смежные'!BP$1,'свод практик'!$G$6:$G$277,"суб")</f>
        <v>10</v>
      </c>
      <c r="BQ183" s="208">
        <f>SUMIFS('свод практик'!$CG$6:$CG$277,'свод практик'!$J$6:$J$277,'свод субъектов ИБ+смежные'!BQ$1,'свод практик'!$G$6:$G$277,"суб")</f>
        <v>0</v>
      </c>
      <c r="BR183" s="208">
        <f>SUMIFS('свод практик'!$CG$6:$CG$277,'свод практик'!$J$6:$J$277,'свод субъектов ИБ+смежные'!BR$1,'свод практик'!$G$6:$G$277,"суб")</f>
        <v>5</v>
      </c>
      <c r="BS183" s="208">
        <f>SUMIFS('свод практик'!$CG$6:$CG$277,'свод практик'!$J$6:$J$277,'свод субъектов ИБ+смежные'!BS$1,'свод практик'!$G$6:$G$277,"суб")</f>
        <v>0</v>
      </c>
      <c r="BT183" s="208">
        <f>SUMIFS('свод практик'!$CG$6:$CG$277,'свод практик'!$J$6:$J$277,'свод субъектов ИБ+смежные'!BT$1,'свод практик'!$G$6:$G$277,"суб")</f>
        <v>21</v>
      </c>
      <c r="BU183" s="208">
        <f>SUMIFS('свод практик'!$CG$6:$CG$277,'свод практик'!$J$6:$J$277,'свод субъектов ИБ+смежные'!BU$1,'свод практик'!$G$6:$G$277,"суб")</f>
        <v>22</v>
      </c>
      <c r="BV183" s="208">
        <f>SUMIFS('свод практик'!$CG$6:$CG$277,'свод практик'!$J$6:$J$277,'свод субъектов ИБ+смежные'!BV$1,'свод практик'!$G$6:$G$277,"суб")</f>
        <v>4</v>
      </c>
      <c r="BW183" s="208">
        <f>SUMIFS('свод практик'!$CG$6:$CG$277,'свод практик'!$J$6:$J$277,'свод субъектов ИБ+смежные'!BW$1,'свод практик'!$G$6:$G$277,"суб")</f>
        <v>9</v>
      </c>
      <c r="BX183" s="208">
        <f>SUMIFS('свод практик'!$CG$6:$CG$277,'свод практик'!$J$6:$J$277,'свод субъектов ИБ+смежные'!BX$1,'свод практик'!$G$6:$G$277,"суб")</f>
        <v>39</v>
      </c>
      <c r="BY183" s="208">
        <f>SUMIFS('свод практик'!$CG$6:$CG$277,'свод практик'!$J$6:$J$277,'свод субъектов ИБ+смежные'!BY$1,'свод практик'!$G$6:$G$277,"суб")</f>
        <v>61</v>
      </c>
      <c r="BZ183" s="208">
        <f>SUMIFS('свод практик'!$CG$6:$CG$277,'свод практик'!$J$6:$J$277,'свод субъектов ИБ+смежные'!BZ$1,'свод практик'!$G$6:$G$277,"суб")</f>
        <v>8</v>
      </c>
      <c r="CA183" s="208">
        <f>SUMIFS('свод практик'!$CG$6:$CG$277,'свод практик'!$J$6:$J$277,'свод субъектов ИБ+смежные'!CA$1,'свод практик'!$G$6:$G$277,"суб")</f>
        <v>0</v>
      </c>
      <c r="CB183" s="208">
        <f>SUMIFS('свод практик'!$CG$6:$CG$277,'свод практик'!$J$6:$J$277,'свод субъектов ИБ+смежные'!CB$1,'свод практик'!$G$6:$G$277,"суб")</f>
        <v>0</v>
      </c>
      <c r="CC183" s="208">
        <f>SUMIFS('свод практик'!$CG$6:$CG$277,'свод практик'!$J$6:$J$277,'свод субъектов ИБ+смежные'!CC$1,'свод практик'!$G$6:$G$277,"суб")</f>
        <v>1</v>
      </c>
      <c r="CD183" s="208">
        <f>SUMIFS('свод практик'!$CG$6:$CG$277,'свод практик'!$J$6:$J$277,'свод субъектов ИБ+смежные'!CD$1,'свод практик'!$G$6:$G$277,"суб")</f>
        <v>40</v>
      </c>
      <c r="CE183" s="208">
        <f>SUMIFS('свод практик'!$CG$6:$CG$277,'свод практик'!$J$6:$J$277,'свод субъектов ИБ+смежные'!CE$1,'свод практик'!$G$6:$G$277,"суб")</f>
        <v>7</v>
      </c>
      <c r="CF183" s="208">
        <f>SUMIFS('свод практик'!$CG$6:$CG$277,'свод практик'!$J$6:$J$277,'свод субъектов ИБ+смежные'!CF$1,'свод практик'!$G$6:$G$277,"суб")</f>
        <v>55</v>
      </c>
      <c r="CG183" s="208">
        <f>SUMIFS('свод практик'!$CG$6:$CG$277,'свод практик'!$J$6:$J$277,'свод субъектов ИБ+смежные'!CG$1,'свод практик'!$G$6:$G$277,"суб")</f>
        <v>15</v>
      </c>
      <c r="CH183" s="208">
        <f>SUMIFS('свод практик'!$CG$6:$CG$277,'свод практик'!$J$6:$J$277,'свод субъектов ИБ+смежные'!CH$1,'свод практик'!$G$6:$G$277,"суб")</f>
        <v>8</v>
      </c>
      <c r="CI183" s="208">
        <f>SUMIFS('свод практик'!$CG$6:$CG$277,'свод практик'!$J$6:$J$277,'свод субъектов ИБ+смежные'!CI$1,'свод практик'!$G$6:$G$277,"суб")</f>
        <v>10</v>
      </c>
      <c r="CJ183" s="208">
        <f>SUMIFS('свод практик'!$CG$6:$CG$277,'свод практик'!$J$6:$J$277,'свод субъектов ИБ+смежные'!CJ$1,'свод практик'!$G$6:$G$277,"суб")</f>
        <v>0</v>
      </c>
      <c r="CK183" s="208">
        <f>SUMIFS('свод практик'!$CG$6:$CG$277,'свод практик'!$J$6:$J$277,'свод субъектов ИБ+смежные'!CK$1,'свод практик'!$G$6:$G$277,"суб")</f>
        <v>0</v>
      </c>
      <c r="CL183" s="208">
        <f>SUMIFS('свод практик'!$CG$6:$CG$277,'свод практик'!$J$6:$J$277,'свод субъектов ИБ+смежные'!CL$1,'свод практик'!$G$6:$G$277,"суб")</f>
        <v>10</v>
      </c>
      <c r="CM183" s="208">
        <f>SUMIFS('свод практик'!$CG$6:$CG$277,'свод практик'!$J$6:$J$277,'свод субъектов ИБ+смежные'!CM$1,'свод практик'!$G$6:$G$277,"суб")</f>
        <v>2</v>
      </c>
      <c r="CN183" s="208">
        <f>SUMIFS('свод практик'!$CG$6:$CG$277,'свод практик'!$J$6:$J$277,'свод субъектов ИБ+смежные'!CN$1,'свод практик'!$G$6:$G$277,"суб")</f>
        <v>43</v>
      </c>
      <c r="CO183" s="208">
        <f>SUMIFS('свод практик'!$CG$6:$CG$277,'свод практик'!$J$6:$J$277,'свод субъектов ИБ+смежные'!CO$1,'свод практик'!$G$6:$G$277,"суб")</f>
        <v>0</v>
      </c>
      <c r="CP183" s="208">
        <f>SUMIFS('свод практик'!$CG$6:$CG$277,'свод практик'!$J$6:$J$277,'свод субъектов ИБ+смежные'!CP$1,'свод практик'!$G$6:$G$277,"суб")</f>
        <v>0</v>
      </c>
      <c r="CQ183" s="208">
        <f>SUMIFS('свод практик'!$CG$6:$CG$277,'свод практик'!$J$6:$J$277,'свод субъектов ИБ+смежные'!CQ$1,'свод практик'!$G$6:$G$277,"суб")</f>
        <v>0</v>
      </c>
      <c r="CR183" s="208">
        <f>SUMIFS('свод практик'!$CG$6:$CG$277,'свод практик'!$J$6:$J$277,'свод субъектов ИБ+смежные'!CR$1,'свод практик'!$G$6:$G$277,"суб")</f>
        <v>0</v>
      </c>
      <c r="CS183" s="208">
        <f>SUMIFS('свод практик'!$CG$6:$CG$277,'свод практик'!$J$6:$J$277,'свод субъектов ИБ+смежные'!CS$1,'свод практик'!$G$6:$G$277,"суб")</f>
        <v>0</v>
      </c>
      <c r="CT183" s="208">
        <f>SUMIFS('свод практик'!$CG$6:$CG$277,'свод практик'!$J$6:$J$277,'свод субъектов ИБ+смежные'!CT$1,'свод практик'!$G$6:$G$277,"суб")</f>
        <v>1</v>
      </c>
      <c r="CU183" s="208">
        <f>SUMIFS('свод практик'!$CG$6:$CG$277,'свод практик'!$J$6:$J$277,'свод субъектов ИБ+смежные'!CU$1,'свод практик'!$G$6:$G$277,"суб")</f>
        <v>0</v>
      </c>
      <c r="CV183" s="208">
        <f>SUMIFS('свод практик'!$CG$6:$CG$277,'свод практик'!$J$6:$J$277,'свод субъектов ИБ+смежные'!CV$1,'свод практик'!$G$6:$G$277,"суб")</f>
        <v>35</v>
      </c>
    </row>
    <row r="184" spans="4:100" ht="15">
      <c r="D184" s="36" t="s">
        <v>4949</v>
      </c>
      <c r="E184" s="36">
        <v>67</v>
      </c>
      <c r="F184" s="36" t="s">
        <v>5587</v>
      </c>
      <c r="H184" s="36" t="s">
        <v>60</v>
      </c>
      <c r="M184" s="36" t="s">
        <v>5497</v>
      </c>
      <c r="N184" s="36">
        <v>5.2701653167646731E-2</v>
      </c>
      <c r="O184" s="224">
        <f t="shared" si="120"/>
        <v>0</v>
      </c>
      <c r="Q184" s="191"/>
      <c r="R184" s="191"/>
      <c r="S184" s="192"/>
      <c r="T184" s="194"/>
      <c r="U184" s="194"/>
    </row>
    <row r="185" spans="4:100" ht="28">
      <c r="D185" s="36" t="s">
        <v>4949</v>
      </c>
      <c r="E185" s="36">
        <v>89</v>
      </c>
      <c r="F185" s="36" t="s">
        <v>5588</v>
      </c>
      <c r="G185" s="36" t="s">
        <v>5166</v>
      </c>
      <c r="H185" s="36" t="s">
        <v>5140</v>
      </c>
      <c r="M185" s="36" t="s">
        <v>5497</v>
      </c>
      <c r="N185" s="36">
        <v>1505</v>
      </c>
      <c r="O185" s="224">
        <f t="shared" si="120"/>
        <v>2159</v>
      </c>
      <c r="P185" s="208">
        <f>SUMIFS('свод практик'!$CH$6:$CH$277,'свод практик'!$J$6:$J$277,'свод субъектов ИБ+смежные'!P$1,'свод практик'!$G$6:$G$277,"суб")</f>
        <v>0</v>
      </c>
      <c r="Q185" s="208">
        <f>SUMIFS('свод практик'!$CH$6:$CH$277,'свод практик'!$J$6:$J$277,'свод субъектов ИБ+смежные'!Q$1,'свод практик'!$G$6:$G$277,"суб")</f>
        <v>0</v>
      </c>
      <c r="R185" s="208">
        <f>SUMIFS('свод практик'!$CH$6:$CH$277,'свод практик'!$J$6:$J$277,'свод субъектов ИБ+смежные'!R$1,'свод практик'!$G$6:$G$277,"суб")</f>
        <v>0</v>
      </c>
      <c r="S185" s="208">
        <f>SUMIFS('свод практик'!$CH$6:$CH$277,'свод практик'!$J$6:$J$277,'свод субъектов ИБ+смежные'!S$1,'свод практик'!$G$6:$G$277,"суб")</f>
        <v>0</v>
      </c>
      <c r="T185" s="208">
        <f>SUMIFS('свод практик'!$CH$6:$CH$277,'свод практик'!$J$6:$J$277,'свод субъектов ИБ+смежные'!T$1,'свод практик'!$G$6:$G$277,"суб")</f>
        <v>0</v>
      </c>
      <c r="U185" s="208">
        <f>SUMIFS('свод практик'!$CH$6:$CH$277,'свод практик'!$J$6:$J$277,'свод субъектов ИБ+смежные'!U$1,'свод практик'!$G$6:$G$277,"суб")</f>
        <v>0</v>
      </c>
      <c r="V185" s="208">
        <f>SUMIFS('свод практик'!$CH$6:$CH$277,'свод практик'!$J$6:$J$277,'свод субъектов ИБ+смежные'!V$1,'свод практик'!$G$6:$G$277,"суб")</f>
        <v>400</v>
      </c>
      <c r="W185" s="208">
        <f>SUMIFS('свод практик'!$CH$6:$CH$277,'свод практик'!$J$6:$J$277,'свод субъектов ИБ+смежные'!W$1,'свод практик'!$G$6:$G$277,"суб")</f>
        <v>0</v>
      </c>
      <c r="X185" s="208">
        <f>SUMIFS('свод практик'!$CH$6:$CH$277,'свод практик'!$J$6:$J$277,'свод субъектов ИБ+смежные'!X$1,'свод практик'!$G$6:$G$277,"суб")</f>
        <v>2</v>
      </c>
      <c r="Y185" s="208">
        <f>SUMIFS('свод практик'!$CH$6:$CH$277,'свод практик'!$J$6:$J$277,'свод субъектов ИБ+смежные'!Y$1,'свод практик'!$G$6:$G$277,"суб")</f>
        <v>531</v>
      </c>
      <c r="Z185" s="208">
        <f>SUMIFS('свод практик'!$CH$6:$CH$277,'свод практик'!$J$6:$J$277,'свод субъектов ИБ+смежные'!Z$1,'свод практик'!$G$6:$G$277,"суб")</f>
        <v>151</v>
      </c>
      <c r="AA185" s="208">
        <f>SUMIFS('свод практик'!$CH$6:$CH$277,'свод практик'!$J$6:$J$277,'свод субъектов ИБ+смежные'!AA$1,'свод практик'!$G$6:$G$277,"суб")</f>
        <v>3</v>
      </c>
      <c r="AB185" s="208">
        <f>SUMIFS('свод практик'!$CH$6:$CH$277,'свод практик'!$J$6:$J$277,'свод субъектов ИБ+смежные'!AB$1,'свод практик'!$G$6:$G$277,"суб")</f>
        <v>0</v>
      </c>
      <c r="AC185" s="208">
        <f>SUMIFS('свод практик'!$CH$6:$CH$277,'свод практик'!$J$6:$J$277,'свод субъектов ИБ+смежные'!AC$1,'свод практик'!$G$6:$G$277,"суб")</f>
        <v>3</v>
      </c>
      <c r="AD185" s="208">
        <f>SUMIFS('свод практик'!$CH$6:$CH$277,'свод практик'!$J$6:$J$277,'свод субъектов ИБ+смежные'!AD$1,'свод практик'!$G$6:$G$277,"суб")</f>
        <v>0</v>
      </c>
      <c r="AE185" s="208">
        <f>SUMIFS('свод практик'!$CH$6:$CH$277,'свод практик'!$J$6:$J$277,'свод субъектов ИБ+смежные'!AE$1,'свод практик'!$G$6:$G$277,"суб")</f>
        <v>0</v>
      </c>
      <c r="AF185" s="208">
        <f>SUMIFS('свод практик'!$CH$6:$CH$277,'свод практик'!$J$6:$J$277,'свод субъектов ИБ+смежные'!AF$1,'свод практик'!$G$6:$G$277,"суб")</f>
        <v>0</v>
      </c>
      <c r="AG185" s="208">
        <f>SUMIFS('свод практик'!$CH$6:$CH$277,'свод практик'!$J$6:$J$277,'свод субъектов ИБ+смежные'!AG$1,'свод практик'!$G$6:$G$277,"суб")</f>
        <v>0</v>
      </c>
      <c r="AH185" s="208">
        <f>SUMIFS('свод практик'!$CH$6:$CH$277,'свод практик'!$J$6:$J$277,'свод субъектов ИБ+смежные'!AH$1,'свод практик'!$G$6:$G$277,"суб")</f>
        <v>0</v>
      </c>
      <c r="AI185" s="208">
        <f>SUMIFS('свод практик'!$CH$6:$CH$277,'свод практик'!$J$6:$J$277,'свод субъектов ИБ+смежные'!AI$1,'свод практик'!$G$6:$G$277,"суб")</f>
        <v>0</v>
      </c>
      <c r="AJ185" s="208">
        <f>SUMIFS('свод практик'!$CH$6:$CH$277,'свод практик'!$J$6:$J$277,'свод субъектов ИБ+смежные'!AJ$1,'свод практик'!$G$6:$G$277,"суб")</f>
        <v>0</v>
      </c>
      <c r="AK185" s="208">
        <f>SUMIFS('свод практик'!$CH$6:$CH$277,'свод практик'!$J$6:$J$277,'свод субъектов ИБ+смежные'!AK$1,'свод практик'!$G$6:$G$277,"суб")</f>
        <v>80</v>
      </c>
      <c r="AL185" s="208">
        <f>SUMIFS('свод практик'!$CH$6:$CH$277,'свод практик'!$J$6:$J$277,'свод субъектов ИБ+смежные'!AL$1,'свод практик'!$G$6:$G$277,"суб")</f>
        <v>0</v>
      </c>
      <c r="AM185" s="208">
        <f>SUMIFS('свод практик'!$CH$6:$CH$277,'свод практик'!$J$6:$J$277,'свод субъектов ИБ+смежные'!AM$1,'свод практик'!$G$6:$G$277,"суб")</f>
        <v>0</v>
      </c>
      <c r="AN185" s="208">
        <f>SUMIFS('свод практик'!$CH$6:$CH$277,'свод практик'!$J$6:$J$277,'свод субъектов ИБ+смежные'!AN$1,'свод практик'!$G$6:$G$277,"суб")</f>
        <v>0</v>
      </c>
      <c r="AO185" s="208">
        <f>SUMIFS('свод практик'!$CH$6:$CH$277,'свод практик'!$J$6:$J$277,'свод субъектов ИБ+смежные'!AO$1,'свод практик'!$G$6:$G$277,"суб")</f>
        <v>0</v>
      </c>
      <c r="AP185" s="208">
        <f>SUMIFS('свод практик'!$CH$6:$CH$277,'свод практик'!$J$6:$J$277,'свод субъектов ИБ+смежные'!AP$1,'свод практик'!$G$6:$G$277,"суб")</f>
        <v>0</v>
      </c>
      <c r="AQ185" s="208">
        <f>SUMIFS('свод практик'!$CH$6:$CH$277,'свод практик'!$J$6:$J$277,'свод субъектов ИБ+смежные'!AQ$1,'свод практик'!$G$6:$G$277,"суб")</f>
        <v>0</v>
      </c>
      <c r="AR185" s="208">
        <f>SUMIFS('свод практик'!$CH$6:$CH$277,'свод практик'!$J$6:$J$277,'свод субъектов ИБ+смежные'!AR$1,'свод практик'!$G$6:$G$277,"суб")</f>
        <v>0</v>
      </c>
      <c r="AS185" s="208">
        <f>SUMIFS('свод практик'!$CH$6:$CH$277,'свод практик'!$J$6:$J$277,'свод субъектов ИБ+смежные'!AS$1,'свод практик'!$G$6:$G$277,"суб")</f>
        <v>0</v>
      </c>
      <c r="AT185" s="208">
        <f>SUMIFS('свод практик'!$CH$6:$CH$277,'свод практик'!$J$6:$J$277,'свод субъектов ИБ+смежные'!AT$1,'свод практик'!$G$6:$G$277,"суб")</f>
        <v>122</v>
      </c>
      <c r="AU185" s="208">
        <f>SUMIFS('свод практик'!$CH$6:$CH$277,'свод практик'!$J$6:$J$277,'свод субъектов ИБ+смежные'!AU$1,'свод практик'!$G$6:$G$277,"суб")</f>
        <v>0</v>
      </c>
      <c r="AV185" s="208">
        <f>SUMIFS('свод практик'!$CH$6:$CH$277,'свод практик'!$J$6:$J$277,'свод субъектов ИБ+смежные'!AV$1,'свод практик'!$G$6:$G$277,"суб")</f>
        <v>0</v>
      </c>
      <c r="AW185" s="208">
        <f>SUMIFS('свод практик'!$CH$6:$CH$277,'свод практик'!$J$6:$J$277,'свод субъектов ИБ+смежные'!AW$1,'свод практик'!$G$6:$G$277,"суб")</f>
        <v>0</v>
      </c>
      <c r="AX185" s="208">
        <f>SUMIFS('свод практик'!$CH$6:$CH$277,'свод практик'!$J$6:$J$277,'свод субъектов ИБ+смежные'!AX$1,'свод практик'!$G$6:$G$277,"суб")</f>
        <v>192</v>
      </c>
      <c r="AY185" s="208">
        <f>SUMIFS('свод практик'!$CH$6:$CH$277,'свод практик'!$J$6:$J$277,'свод субъектов ИБ+смежные'!AY$1,'свод практик'!$G$6:$G$277,"суб")</f>
        <v>0</v>
      </c>
      <c r="AZ185" s="208">
        <f>SUMIFS('свод практик'!$CH$6:$CH$277,'свод практик'!$J$6:$J$277,'свод субъектов ИБ+смежные'!AZ$1,'свод практик'!$G$6:$G$277,"суб")</f>
        <v>59</v>
      </c>
      <c r="BA185" s="208">
        <f>SUMIFS('свод практик'!$CH$6:$CH$277,'свод практик'!$J$6:$J$277,'свод субъектов ИБ+смежные'!BA$1,'свод практик'!$G$6:$G$277,"суб")</f>
        <v>22</v>
      </c>
      <c r="BB185" s="208">
        <f>SUMIFS('свод практик'!$CH$6:$CH$277,'свод практик'!$J$6:$J$277,'свод субъектов ИБ+смежные'!BB$1,'свод практик'!$G$6:$G$277,"суб")</f>
        <v>0</v>
      </c>
      <c r="BC185" s="208">
        <f>SUMIFS('свод практик'!$CH$6:$CH$277,'свод практик'!$J$6:$J$277,'свод субъектов ИБ+смежные'!BC$1,'свод практик'!$G$6:$G$277,"суб")</f>
        <v>0</v>
      </c>
      <c r="BD185" s="208">
        <f>SUMIFS('свод практик'!$CH$6:$CH$277,'свод практик'!$J$6:$J$277,'свод субъектов ИБ+смежные'!BD$1,'свод практик'!$G$6:$G$277,"суб")</f>
        <v>0</v>
      </c>
      <c r="BE185" s="208">
        <f>SUMIFS('свод практик'!$CH$6:$CH$277,'свод практик'!$J$6:$J$277,'свод субъектов ИБ+смежные'!BE$1,'свод практик'!$G$6:$G$277,"суб")</f>
        <v>0</v>
      </c>
      <c r="BF185" s="208">
        <f>SUMIFS('свод практик'!$CH$6:$CH$277,'свод практик'!$J$6:$J$277,'свод субъектов ИБ+смежные'!BF$1,'свод практик'!$G$6:$G$277,"суб")</f>
        <v>0</v>
      </c>
      <c r="BG185" s="208">
        <f>SUMIFS('свод практик'!$CH$6:$CH$277,'свод практик'!$J$6:$J$277,'свод субъектов ИБ+смежные'!BG$1,'свод практик'!$G$6:$G$277,"суб")</f>
        <v>0</v>
      </c>
      <c r="BH185" s="208">
        <f>SUMIFS('свод практик'!$CH$6:$CH$277,'свод практик'!$J$6:$J$277,'свод субъектов ИБ+смежные'!BH$1,'свод практик'!$G$6:$G$277,"суб")</f>
        <v>2</v>
      </c>
      <c r="BI185" s="208">
        <f>SUMIFS('свод практик'!$CH$6:$CH$277,'свод практик'!$J$6:$J$277,'свод субъектов ИБ+смежные'!BI$1,'свод практик'!$G$6:$G$277,"суб")</f>
        <v>0</v>
      </c>
      <c r="BJ185" s="208">
        <f>SUMIFS('свод практик'!$CH$6:$CH$277,'свод практик'!$J$6:$J$277,'свод субъектов ИБ+смежные'!BJ$1,'свод практик'!$G$6:$G$277,"суб")</f>
        <v>121</v>
      </c>
      <c r="BK185" s="208">
        <f>SUMIFS('свод практик'!$CH$6:$CH$277,'свод практик'!$J$6:$J$277,'свод субъектов ИБ+смежные'!BK$1,'свод практик'!$G$6:$G$277,"суб")</f>
        <v>1</v>
      </c>
      <c r="BL185" s="208">
        <f>SUMIFS('свод практик'!$CH$6:$CH$277,'свод практик'!$J$6:$J$277,'свод субъектов ИБ+смежные'!BL$1,'свод практик'!$G$6:$G$277,"суб")</f>
        <v>0</v>
      </c>
      <c r="BM185" s="208">
        <f>SUMIFS('свод практик'!$CH$6:$CH$277,'свод практик'!$J$6:$J$277,'свод субъектов ИБ+смежные'!BM$1,'свод практик'!$G$6:$G$277,"суб")</f>
        <v>0</v>
      </c>
      <c r="BN185" s="208">
        <f>SUMIFS('свод практик'!$CH$6:$CH$277,'свод практик'!$J$6:$J$277,'свод субъектов ИБ+смежные'!BN$1,'свод практик'!$G$6:$G$277,"суб")</f>
        <v>0</v>
      </c>
      <c r="BO185" s="208">
        <f>SUMIFS('свод практик'!$CH$6:$CH$277,'свод практик'!$J$6:$J$277,'свод субъектов ИБ+смежные'!BO$1,'свод практик'!$G$6:$G$277,"суб")</f>
        <v>63</v>
      </c>
      <c r="BP185" s="208">
        <f>SUMIFS('свод практик'!$CH$6:$CH$277,'свод практик'!$J$6:$J$277,'свод субъектов ИБ+смежные'!BP$1,'свод практик'!$G$6:$G$277,"суб")</f>
        <v>4</v>
      </c>
      <c r="BQ185" s="208">
        <f>SUMIFS('свод практик'!$CH$6:$CH$277,'свод практик'!$J$6:$J$277,'свод субъектов ИБ+смежные'!BQ$1,'свод практик'!$G$6:$G$277,"суб")</f>
        <v>0</v>
      </c>
      <c r="BR185" s="208">
        <f>SUMIFS('свод практик'!$CH$6:$CH$277,'свод практик'!$J$6:$J$277,'свод субъектов ИБ+смежные'!BR$1,'свод практик'!$G$6:$G$277,"суб")</f>
        <v>0</v>
      </c>
      <c r="BS185" s="208">
        <f>SUMIFS('свод практик'!$CH$6:$CH$277,'свод практик'!$J$6:$J$277,'свод субъектов ИБ+смежные'!BS$1,'свод практик'!$G$6:$G$277,"суб")</f>
        <v>0</v>
      </c>
      <c r="BT185" s="208">
        <f>SUMIFS('свод практик'!$CH$6:$CH$277,'свод практик'!$J$6:$J$277,'свод субъектов ИБ+смежные'!BT$1,'свод практик'!$G$6:$G$277,"суб")</f>
        <v>14</v>
      </c>
      <c r="BU185" s="208">
        <f>SUMIFS('свод практик'!$CH$6:$CH$277,'свод практик'!$J$6:$J$277,'свод субъектов ИБ+смежные'!BU$1,'свод практик'!$G$6:$G$277,"суб")</f>
        <v>5</v>
      </c>
      <c r="BV185" s="208">
        <f>SUMIFS('свод практик'!$CH$6:$CH$277,'свод практик'!$J$6:$J$277,'свод субъектов ИБ+смежные'!BV$1,'свод практик'!$G$6:$G$277,"суб")</f>
        <v>0</v>
      </c>
      <c r="BW185" s="208">
        <f>SUMIFS('свод практик'!$CH$6:$CH$277,'свод практик'!$J$6:$J$277,'свод субъектов ИБ+смежные'!BW$1,'свод практик'!$G$6:$G$277,"суб")</f>
        <v>0</v>
      </c>
      <c r="BX185" s="208">
        <f>SUMIFS('свод практик'!$CH$6:$CH$277,'свод практик'!$J$6:$J$277,'свод субъектов ИБ+смежные'!BX$1,'свод практик'!$G$6:$G$277,"суб")</f>
        <v>86</v>
      </c>
      <c r="BY185" s="208">
        <f>SUMIFS('свод практик'!$CH$6:$CH$277,'свод практик'!$J$6:$J$277,'свод субъектов ИБ+смежные'!BY$1,'свод практик'!$G$6:$G$277,"суб")</f>
        <v>0</v>
      </c>
      <c r="BZ185" s="208">
        <f>SUMIFS('свод практик'!$CH$6:$CH$277,'свод практик'!$J$6:$J$277,'свод субъектов ИБ+смежные'!BZ$1,'свод практик'!$G$6:$G$277,"суб")</f>
        <v>71</v>
      </c>
      <c r="CA185" s="208">
        <f>SUMIFS('свод практик'!$CH$6:$CH$277,'свод практик'!$J$6:$J$277,'свод субъектов ИБ+смежные'!CA$1,'свод практик'!$G$6:$G$277,"суб")</f>
        <v>0</v>
      </c>
      <c r="CB185" s="208">
        <f>SUMIFS('свод практик'!$CH$6:$CH$277,'свод практик'!$J$6:$J$277,'свод субъектов ИБ+смежные'!CB$1,'свод практик'!$G$6:$G$277,"суб")</f>
        <v>0</v>
      </c>
      <c r="CC185" s="208">
        <f>SUMIFS('свод практик'!$CH$6:$CH$277,'свод практик'!$J$6:$J$277,'свод субъектов ИБ+смежные'!CC$1,'свод практик'!$G$6:$G$277,"суб")</f>
        <v>0</v>
      </c>
      <c r="CD185" s="208">
        <f>SUMIFS('свод практик'!$CH$6:$CH$277,'свод практик'!$J$6:$J$277,'свод субъектов ИБ+смежные'!CD$1,'свод практик'!$G$6:$G$277,"суб")</f>
        <v>0</v>
      </c>
      <c r="CE185" s="208">
        <f>SUMIFS('свод практик'!$CH$6:$CH$277,'свод практик'!$J$6:$J$277,'свод субъектов ИБ+смежные'!CE$1,'свод практик'!$G$6:$G$277,"суб")</f>
        <v>37</v>
      </c>
      <c r="CF185" s="208">
        <f>SUMIFS('свод практик'!$CH$6:$CH$277,'свод практик'!$J$6:$J$277,'свод субъектов ИБ+смежные'!CF$1,'свод практик'!$G$6:$G$277,"суб")</f>
        <v>2</v>
      </c>
      <c r="CG185" s="208">
        <f>SUMIFS('свод практик'!$CH$6:$CH$277,'свод практик'!$J$6:$J$277,'свод субъектов ИБ+смежные'!CG$1,'свод практик'!$G$6:$G$277,"суб")</f>
        <v>37</v>
      </c>
      <c r="CH185" s="208">
        <f>SUMIFS('свод практик'!$CH$6:$CH$277,'свод практик'!$J$6:$J$277,'свод субъектов ИБ+смежные'!CH$1,'свод практик'!$G$6:$G$277,"суб")</f>
        <v>0</v>
      </c>
      <c r="CI185" s="208">
        <f>SUMIFS('свод практик'!$CH$6:$CH$277,'свод практик'!$J$6:$J$277,'свод субъектов ИБ+смежные'!CI$1,'свод практик'!$G$6:$G$277,"суб")</f>
        <v>7</v>
      </c>
      <c r="CJ185" s="208">
        <f>SUMIFS('свод практик'!$CH$6:$CH$277,'свод практик'!$J$6:$J$277,'свод субъектов ИБ+смежные'!CJ$1,'свод практик'!$G$6:$G$277,"суб")</f>
        <v>0</v>
      </c>
      <c r="CK185" s="208">
        <f>SUMIFS('свод практик'!$CH$6:$CH$277,'свод практик'!$J$6:$J$277,'свод субъектов ИБ+смежные'!CK$1,'свод практик'!$G$6:$G$277,"суб")</f>
        <v>11</v>
      </c>
      <c r="CL185" s="208">
        <f>SUMIFS('свод практик'!$CH$6:$CH$277,'свод практик'!$J$6:$J$277,'свод субъектов ИБ+смежные'!CL$1,'свод практик'!$G$6:$G$277,"суб")</f>
        <v>6</v>
      </c>
      <c r="CM185" s="208">
        <f>SUMIFS('свод практик'!$CH$6:$CH$277,'свод практик'!$J$6:$J$277,'свод субъектов ИБ+смежные'!CM$1,'свод практик'!$G$6:$G$277,"суб")</f>
        <v>0</v>
      </c>
      <c r="CN185" s="208">
        <f>SUMIFS('свод практик'!$CH$6:$CH$277,'свод практик'!$J$6:$J$277,'свод субъектов ИБ+смежные'!CN$1,'свод практик'!$G$6:$G$277,"суб")</f>
        <v>11</v>
      </c>
      <c r="CO185" s="208">
        <f>SUMIFS('свод практик'!$CH$6:$CH$277,'свод практик'!$J$6:$J$277,'свод субъектов ИБ+смежные'!CO$1,'свод практик'!$G$6:$G$277,"суб")</f>
        <v>0</v>
      </c>
      <c r="CP185" s="208">
        <f>SUMIFS('свод практик'!$CH$6:$CH$277,'свод практик'!$J$6:$J$277,'свод субъектов ИБ+смежные'!CP$1,'свод практик'!$G$6:$G$277,"суб")</f>
        <v>0</v>
      </c>
      <c r="CQ185" s="208">
        <f>SUMIFS('свод практик'!$CH$6:$CH$277,'свод практик'!$J$6:$J$277,'свод субъектов ИБ+смежные'!CQ$1,'свод практик'!$G$6:$G$277,"суб")</f>
        <v>0</v>
      </c>
      <c r="CR185" s="208">
        <f>SUMIFS('свод практик'!$CH$6:$CH$277,'свод практик'!$J$6:$J$277,'свод субъектов ИБ+смежные'!CR$1,'свод практик'!$G$6:$G$277,"суб")</f>
        <v>0</v>
      </c>
      <c r="CS185" s="208">
        <f>SUMIFS('свод практик'!$CH$6:$CH$277,'свод практик'!$J$6:$J$277,'свод субъектов ИБ+смежные'!CS$1,'свод практик'!$G$6:$G$277,"суб")</f>
        <v>0</v>
      </c>
      <c r="CT185" s="208">
        <f>SUMIFS('свод практик'!$CH$6:$CH$277,'свод практик'!$J$6:$J$277,'свод субъектов ИБ+смежные'!CT$1,'свод практик'!$G$6:$G$277,"суб")</f>
        <v>0</v>
      </c>
      <c r="CU185" s="208">
        <f>SUMIFS('свод практик'!$CH$6:$CH$277,'свод практик'!$J$6:$J$277,'свод субъектов ИБ+смежные'!CU$1,'свод практик'!$G$6:$G$277,"суб")</f>
        <v>0</v>
      </c>
      <c r="CV185" s="208">
        <f>SUMIFS('свод практик'!$CH$6:$CH$277,'свод практик'!$J$6:$J$277,'свод субъектов ИБ+смежные'!CV$1,'свод практик'!$G$6:$G$277,"суб")</f>
        <v>116</v>
      </c>
    </row>
    <row r="186" spans="4:100" ht="15">
      <c r="D186" s="36" t="s">
        <v>4949</v>
      </c>
      <c r="E186" s="36">
        <v>90</v>
      </c>
      <c r="F186" s="36" t="s">
        <v>5589</v>
      </c>
      <c r="H186" s="36" t="s">
        <v>60</v>
      </c>
      <c r="M186" s="36" t="s">
        <v>5497</v>
      </c>
      <c r="N186" s="36">
        <v>8.3490513702429825E-2</v>
      </c>
      <c r="O186" s="224">
        <f t="shared" si="120"/>
        <v>0</v>
      </c>
      <c r="Q186" s="191"/>
      <c r="R186" s="191"/>
      <c r="S186" s="192"/>
      <c r="T186" s="194"/>
      <c r="U186" s="194"/>
    </row>
    <row r="187" spans="4:100" ht="14">
      <c r="D187" s="36" t="s">
        <v>4949</v>
      </c>
      <c r="E187" s="36">
        <v>68</v>
      </c>
      <c r="F187" s="36" t="s">
        <v>5590</v>
      </c>
      <c r="G187" s="36" t="s">
        <v>5169</v>
      </c>
      <c r="H187" s="36" t="s">
        <v>5140</v>
      </c>
      <c r="L187" s="36" t="s">
        <v>278</v>
      </c>
      <c r="M187" s="36" t="s">
        <v>5497</v>
      </c>
      <c r="N187" s="36">
        <v>1355</v>
      </c>
      <c r="O187" s="224">
        <f t="shared" si="120"/>
        <v>1478</v>
      </c>
      <c r="P187" s="208">
        <f>SUMIFS('свод практик'!$CI$6:$CI$277,'свод практик'!$J$6:$J$277,'свод субъектов ИБ+смежные'!P$1,'свод практик'!$G$6:$G$277,"суб")</f>
        <v>1</v>
      </c>
      <c r="Q187" s="208">
        <f>SUMIFS('свод практик'!$CI$6:$CI$277,'свод практик'!$J$6:$J$277,'свод субъектов ИБ+смежные'!Q$1,'свод практик'!$G$6:$G$277,"суб")</f>
        <v>7</v>
      </c>
      <c r="R187" s="208">
        <f>SUMIFS('свод практик'!$CI$6:$CI$277,'свод практик'!$J$6:$J$277,'свод субъектов ИБ+смежные'!R$1,'свод практик'!$G$6:$G$277,"суб")</f>
        <v>57</v>
      </c>
      <c r="S187" s="208">
        <f>SUMIFS('свод практик'!$CI$6:$CI$277,'свод практик'!$J$6:$J$277,'свод субъектов ИБ+смежные'!S$1,'свод практик'!$G$6:$G$277,"суб")</f>
        <v>4</v>
      </c>
      <c r="T187" s="208">
        <f>SUMIFS('свод практик'!$CI$6:$CI$277,'свод практик'!$J$6:$J$277,'свод субъектов ИБ+смежные'!T$1,'свод практик'!$G$6:$G$277,"суб")</f>
        <v>0</v>
      </c>
      <c r="U187" s="208">
        <f>SUMIFS('свод практик'!$CI$6:$CI$277,'свод практик'!$J$6:$J$277,'свод субъектов ИБ+смежные'!U$1,'свод практик'!$G$6:$G$277,"суб")</f>
        <v>10</v>
      </c>
      <c r="V187" s="208">
        <f>SUMIFS('свод практик'!$CI$6:$CI$277,'свод практик'!$J$6:$J$277,'свод субъектов ИБ+смежные'!V$1,'свод практик'!$G$6:$G$277,"суб")</f>
        <v>193</v>
      </c>
      <c r="W187" s="208">
        <f>SUMIFS('свод практик'!$CI$6:$CI$277,'свод практик'!$J$6:$J$277,'свод субъектов ИБ+смежные'!W$1,'свод практик'!$G$6:$G$277,"суб")</f>
        <v>10</v>
      </c>
      <c r="X187" s="208">
        <f>SUMIFS('свод практик'!$CI$6:$CI$277,'свод практик'!$J$6:$J$277,'свод субъектов ИБ+смежные'!X$1,'свод практик'!$G$6:$G$277,"суб")</f>
        <v>13</v>
      </c>
      <c r="Y187" s="208">
        <f>SUMIFS('свод практик'!$CI$6:$CI$277,'свод практик'!$J$6:$J$277,'свод субъектов ИБ+смежные'!Y$1,'свод практик'!$G$6:$G$277,"суб")</f>
        <v>129</v>
      </c>
      <c r="Z187" s="208">
        <f>SUMIFS('свод практик'!$CI$6:$CI$277,'свод практик'!$J$6:$J$277,'свод субъектов ИБ+смежные'!Z$1,'свод практик'!$G$6:$G$277,"суб")</f>
        <v>30</v>
      </c>
      <c r="AA187" s="208">
        <f>SUMIFS('свод практик'!$CI$6:$CI$277,'свод практик'!$J$6:$J$277,'свод субъектов ИБ+смежные'!AA$1,'свод практик'!$G$6:$G$277,"суб")</f>
        <v>3</v>
      </c>
      <c r="AB187" s="208">
        <f>SUMIFS('свод практик'!$CI$6:$CI$277,'свод практик'!$J$6:$J$277,'свод субъектов ИБ+смежные'!AB$1,'свод практик'!$G$6:$G$277,"суб")</f>
        <v>161</v>
      </c>
      <c r="AC187" s="208">
        <f>SUMIFS('свод практик'!$CI$6:$CI$277,'свод практик'!$J$6:$J$277,'свод субъектов ИБ+смежные'!AC$1,'свод практик'!$G$6:$G$277,"суб")</f>
        <v>72</v>
      </c>
      <c r="AD187" s="208">
        <f>SUMIFS('свод практик'!$CI$6:$CI$277,'свод практик'!$J$6:$J$277,'свод субъектов ИБ+смежные'!AD$1,'свод практик'!$G$6:$G$277,"суб")</f>
        <v>0</v>
      </c>
      <c r="AE187" s="208">
        <f>SUMIFS('свод практик'!$CI$6:$CI$277,'свод практик'!$J$6:$J$277,'свод субъектов ИБ+смежные'!AE$1,'свод практик'!$G$6:$G$277,"суб")</f>
        <v>0</v>
      </c>
      <c r="AF187" s="208">
        <f>SUMIFS('свод практик'!$CI$6:$CI$277,'свод практик'!$J$6:$J$277,'свод субъектов ИБ+смежные'!AF$1,'свод практик'!$G$6:$G$277,"суб")</f>
        <v>0</v>
      </c>
      <c r="AG187" s="208">
        <f>SUMIFS('свод практик'!$CI$6:$CI$277,'свод практик'!$J$6:$J$277,'свод субъектов ИБ+смежные'!AG$1,'свод практик'!$G$6:$G$277,"суб")</f>
        <v>0</v>
      </c>
      <c r="AH187" s="208">
        <f>SUMIFS('свод практик'!$CI$6:$CI$277,'свод практик'!$J$6:$J$277,'свод субъектов ИБ+смежные'!AH$1,'свод практик'!$G$6:$G$277,"суб")</f>
        <v>0</v>
      </c>
      <c r="AI187" s="208">
        <f>SUMIFS('свод практик'!$CI$6:$CI$277,'свод практик'!$J$6:$J$277,'свод субъектов ИБ+смежные'!AI$1,'свод практик'!$G$6:$G$277,"суб")</f>
        <v>78</v>
      </c>
      <c r="AJ187" s="208">
        <f>SUMIFS('свод практик'!$CI$6:$CI$277,'свод практик'!$J$6:$J$277,'свод субъектов ИБ+смежные'!AJ$1,'свод практик'!$G$6:$G$277,"суб")</f>
        <v>0</v>
      </c>
      <c r="AK187" s="208">
        <f>SUMIFS('свод практик'!$CI$6:$CI$277,'свод практик'!$J$6:$J$277,'свод субъектов ИБ+смежные'!AK$1,'свод практик'!$G$6:$G$277,"суб")</f>
        <v>33</v>
      </c>
      <c r="AL187" s="208">
        <f>SUMIFS('свод практик'!$CI$6:$CI$277,'свод практик'!$J$6:$J$277,'свод субъектов ИБ+смежные'!AL$1,'свод практик'!$G$6:$G$277,"суб")</f>
        <v>3</v>
      </c>
      <c r="AM187" s="208">
        <f>SUMIFS('свод практик'!$CI$6:$CI$277,'свод практик'!$J$6:$J$277,'свод субъектов ИБ+смежные'!AM$1,'свод практик'!$G$6:$G$277,"суб")</f>
        <v>15</v>
      </c>
      <c r="AN187" s="208">
        <f>SUMIFS('свод практик'!$CI$6:$CI$277,'свод практик'!$J$6:$J$277,'свод субъектов ИБ+смежные'!AN$1,'свод практик'!$G$6:$G$277,"суб")</f>
        <v>0</v>
      </c>
      <c r="AO187" s="208">
        <f>SUMIFS('свод практик'!$CI$6:$CI$277,'свод практик'!$J$6:$J$277,'свод субъектов ИБ+смежные'!AO$1,'свод практик'!$G$6:$G$277,"суб")</f>
        <v>0</v>
      </c>
      <c r="AP187" s="208">
        <f>SUMIFS('свод практик'!$CI$6:$CI$277,'свод практик'!$J$6:$J$277,'свод субъектов ИБ+смежные'!AP$1,'свод практик'!$G$6:$G$277,"суб")</f>
        <v>12</v>
      </c>
      <c r="AQ187" s="208">
        <f>SUMIFS('свод практик'!$CI$6:$CI$277,'свод практик'!$J$6:$J$277,'свод субъектов ИБ+смежные'!AQ$1,'свод практик'!$G$6:$G$277,"суб")</f>
        <v>17</v>
      </c>
      <c r="AR187" s="208">
        <f>SUMIFS('свод практик'!$CI$6:$CI$277,'свод практик'!$J$6:$J$277,'свод субъектов ИБ+смежные'!AR$1,'свод практик'!$G$6:$G$277,"суб")</f>
        <v>0</v>
      </c>
      <c r="AS187" s="208">
        <f>SUMIFS('свод практик'!$CI$6:$CI$277,'свод практик'!$J$6:$J$277,'свод субъектов ИБ+смежные'!AS$1,'свод практик'!$G$6:$G$277,"суб")</f>
        <v>23</v>
      </c>
      <c r="AT187" s="208">
        <f>SUMIFS('свод практик'!$CI$6:$CI$277,'свод практик'!$J$6:$J$277,'свод субъектов ИБ+смежные'!AT$1,'свод практик'!$G$6:$G$277,"суб")</f>
        <v>23</v>
      </c>
      <c r="AU187" s="208">
        <f>SUMIFS('свод практик'!$CI$6:$CI$277,'свод практик'!$J$6:$J$277,'свод субъектов ИБ+смежные'!AU$1,'свод практик'!$G$6:$G$277,"суб")</f>
        <v>0</v>
      </c>
      <c r="AV187" s="208">
        <f>SUMIFS('свод практик'!$CI$6:$CI$277,'свод практик'!$J$6:$J$277,'свод субъектов ИБ+смежные'!AV$1,'свод практик'!$G$6:$G$277,"суб")</f>
        <v>10</v>
      </c>
      <c r="AW187" s="208">
        <f>SUMIFS('свод практик'!$CI$6:$CI$277,'свод практик'!$J$6:$J$277,'свод субъектов ИБ+смежные'!AW$1,'свод практик'!$G$6:$G$277,"суб")</f>
        <v>17</v>
      </c>
      <c r="AX187" s="208">
        <f>SUMIFS('свод практик'!$CI$6:$CI$277,'свод практик'!$J$6:$J$277,'свод субъектов ИБ+смежные'!AX$1,'свод практик'!$G$6:$G$277,"суб")</f>
        <v>10</v>
      </c>
      <c r="AY187" s="208">
        <f>SUMIFS('свод практик'!$CI$6:$CI$277,'свод практик'!$J$6:$J$277,'свод субъектов ИБ+смежные'!AY$1,'свод практик'!$G$6:$G$277,"суб")</f>
        <v>0</v>
      </c>
      <c r="AZ187" s="208">
        <f>SUMIFS('свод практик'!$CI$6:$CI$277,'свод практик'!$J$6:$J$277,'свод субъектов ИБ+смежные'!AZ$1,'свод практик'!$G$6:$G$277,"суб")</f>
        <v>55</v>
      </c>
      <c r="BA187" s="208">
        <f>SUMIFS('свод практик'!$CI$6:$CI$277,'свод практик'!$J$6:$J$277,'свод субъектов ИБ+смежные'!BA$1,'свод практик'!$G$6:$G$277,"суб")</f>
        <v>1</v>
      </c>
      <c r="BB187" s="208">
        <f>SUMIFS('свод практик'!$CI$6:$CI$277,'свод практик'!$J$6:$J$277,'свод субъектов ИБ+смежные'!BB$1,'свод практик'!$G$6:$G$277,"суб")</f>
        <v>0</v>
      </c>
      <c r="BC187" s="208">
        <f>SUMIFS('свод практик'!$CI$6:$CI$277,'свод практик'!$J$6:$J$277,'свод субъектов ИБ+смежные'!BC$1,'свод практик'!$G$6:$G$277,"суб")</f>
        <v>0</v>
      </c>
      <c r="BD187" s="208">
        <f>SUMIFS('свод практик'!$CI$6:$CI$277,'свод практик'!$J$6:$J$277,'свод субъектов ИБ+смежные'!BD$1,'свод практик'!$G$6:$G$277,"суб")</f>
        <v>0</v>
      </c>
      <c r="BE187" s="208">
        <f>SUMIFS('свод практик'!$CI$6:$CI$277,'свод практик'!$J$6:$J$277,'свод субъектов ИБ+смежные'!BE$1,'свод практик'!$G$6:$G$277,"суб")</f>
        <v>0</v>
      </c>
      <c r="BF187" s="208">
        <f>SUMIFS('свод практик'!$CI$6:$CI$277,'свод практик'!$J$6:$J$277,'свод субъектов ИБ+смежные'!BF$1,'свод практик'!$G$6:$G$277,"суб")</f>
        <v>0</v>
      </c>
      <c r="BG187" s="208">
        <f>SUMIFS('свод практик'!$CI$6:$CI$277,'свод практик'!$J$6:$J$277,'свод субъектов ИБ+смежные'!BG$1,'свод практик'!$G$6:$G$277,"суб")</f>
        <v>4</v>
      </c>
      <c r="BH187" s="208">
        <f>SUMIFS('свод практик'!$CI$6:$CI$277,'свод практик'!$J$6:$J$277,'свод субъектов ИБ+смежные'!BH$1,'свод практик'!$G$6:$G$277,"суб")</f>
        <v>7</v>
      </c>
      <c r="BI187" s="208">
        <f>SUMIFS('свод практик'!$CI$6:$CI$277,'свод практик'!$J$6:$J$277,'свод субъектов ИБ+смежные'!BI$1,'свод практик'!$G$6:$G$277,"суб")</f>
        <v>53</v>
      </c>
      <c r="BJ187" s="208">
        <f>SUMIFS('свод практик'!$CI$6:$CI$277,'свод практик'!$J$6:$J$277,'свод субъектов ИБ+смежные'!BJ$1,'свод практик'!$G$6:$G$277,"суб")</f>
        <v>58</v>
      </c>
      <c r="BK187" s="208">
        <f>SUMIFS('свод практик'!$CI$6:$CI$277,'свод практик'!$J$6:$J$277,'свод субъектов ИБ+смежные'!BK$1,'свод практик'!$G$6:$G$277,"суб")</f>
        <v>11</v>
      </c>
      <c r="BL187" s="208">
        <f>SUMIFS('свод практик'!$CI$6:$CI$277,'свод практик'!$J$6:$J$277,'свод субъектов ИБ+смежные'!BL$1,'свод практик'!$G$6:$G$277,"суб")</f>
        <v>0</v>
      </c>
      <c r="BM187" s="208">
        <f>SUMIFS('свод практик'!$CI$6:$CI$277,'свод практик'!$J$6:$J$277,'свод субъектов ИБ+смежные'!BM$1,'свод практик'!$G$6:$G$277,"суб")</f>
        <v>7</v>
      </c>
      <c r="BN187" s="208">
        <f>SUMIFS('свод практик'!$CI$6:$CI$277,'свод практик'!$J$6:$J$277,'свод субъектов ИБ+смежные'!BN$1,'свод практик'!$G$6:$G$277,"суб")</f>
        <v>1</v>
      </c>
      <c r="BO187" s="208">
        <f>SUMIFS('свод практик'!$CI$6:$CI$277,'свод практик'!$J$6:$J$277,'свод субъектов ИБ+смежные'!BO$1,'свод практик'!$G$6:$G$277,"суб")</f>
        <v>0</v>
      </c>
      <c r="BP187" s="208">
        <f>SUMIFS('свод практик'!$CI$6:$CI$277,'свод практик'!$J$6:$J$277,'свод субъектов ИБ+смежные'!BP$1,'свод практик'!$G$6:$G$277,"суб")</f>
        <v>26</v>
      </c>
      <c r="BQ187" s="208">
        <f>SUMIFS('свод практик'!$CI$6:$CI$277,'свод практик'!$J$6:$J$277,'свод субъектов ИБ+смежные'!BQ$1,'свод практик'!$G$6:$G$277,"суб")</f>
        <v>0</v>
      </c>
      <c r="BR187" s="208">
        <f>SUMIFS('свод практик'!$CI$6:$CI$277,'свод практик'!$J$6:$J$277,'свод субъектов ИБ+смежные'!BR$1,'свод практик'!$G$6:$G$277,"суб")</f>
        <v>3</v>
      </c>
      <c r="BS187" s="208">
        <f>SUMIFS('свод практик'!$CI$6:$CI$277,'свод практик'!$J$6:$J$277,'свод субъектов ИБ+смежные'!BS$1,'свод практик'!$G$6:$G$277,"суб")</f>
        <v>0</v>
      </c>
      <c r="BT187" s="208">
        <f>SUMIFS('свод практик'!$CI$6:$CI$277,'свод практик'!$J$6:$J$277,'свод субъектов ИБ+смежные'!BT$1,'свод практик'!$G$6:$G$277,"суб")</f>
        <v>35</v>
      </c>
      <c r="BU187" s="208">
        <f>SUMIFS('свод практик'!$CI$6:$CI$277,'свод практик'!$J$6:$J$277,'свод субъектов ИБ+смежные'!BU$1,'свод практик'!$G$6:$G$277,"суб")</f>
        <v>24</v>
      </c>
      <c r="BV187" s="208">
        <f>SUMIFS('свод практик'!$CI$6:$CI$277,'свод практик'!$J$6:$J$277,'свод субъектов ИБ+смежные'!BV$1,'свод практик'!$G$6:$G$277,"суб")</f>
        <v>0</v>
      </c>
      <c r="BW187" s="208">
        <f>SUMIFS('свод практик'!$CI$6:$CI$277,'свод практик'!$J$6:$J$277,'свод субъектов ИБ+смежные'!BW$1,'свод практик'!$G$6:$G$277,"суб")</f>
        <v>13</v>
      </c>
      <c r="BX187" s="208">
        <f>SUMIFS('свод практик'!$CI$6:$CI$277,'свод практик'!$J$6:$J$277,'свод субъектов ИБ+смежные'!BX$1,'свод практик'!$G$6:$G$277,"суб")</f>
        <v>9</v>
      </c>
      <c r="BY187" s="208">
        <f>SUMIFS('свод практик'!$CI$6:$CI$277,'свод практик'!$J$6:$J$277,'свод субъектов ИБ+смежные'!BY$1,'свод практик'!$G$6:$G$277,"суб")</f>
        <v>11</v>
      </c>
      <c r="BZ187" s="208">
        <f>SUMIFS('свод практик'!$CI$6:$CI$277,'свод практик'!$J$6:$J$277,'свод субъектов ИБ+смежные'!BZ$1,'свод практик'!$G$6:$G$277,"суб")</f>
        <v>5</v>
      </c>
      <c r="CA187" s="208">
        <f>SUMIFS('свод практик'!$CI$6:$CI$277,'свод практик'!$J$6:$J$277,'свод субъектов ИБ+смежные'!CA$1,'свод практик'!$G$6:$G$277,"суб")</f>
        <v>0</v>
      </c>
      <c r="CB187" s="208">
        <f>SUMIFS('свод практик'!$CI$6:$CI$277,'свод практик'!$J$6:$J$277,'свод субъектов ИБ+смежные'!CB$1,'свод практик'!$G$6:$G$277,"суб")</f>
        <v>0</v>
      </c>
      <c r="CC187" s="208">
        <f>SUMIFS('свод практик'!$CI$6:$CI$277,'свод практик'!$J$6:$J$277,'свод субъектов ИБ+смежные'!CC$1,'свод практик'!$G$6:$G$277,"суб")</f>
        <v>2</v>
      </c>
      <c r="CD187" s="208">
        <f>SUMIFS('свод практик'!$CI$6:$CI$277,'свод практик'!$J$6:$J$277,'свод субъектов ИБ+смежные'!CD$1,'свод практик'!$G$6:$G$277,"суб")</f>
        <v>0</v>
      </c>
      <c r="CE187" s="208">
        <f>SUMIFS('свод практик'!$CI$6:$CI$277,'свод практик'!$J$6:$J$277,'свод субъектов ИБ+смежные'!CE$1,'свод практик'!$G$6:$G$277,"суб")</f>
        <v>23</v>
      </c>
      <c r="CF187" s="208">
        <f>SUMIFS('свод практик'!$CI$6:$CI$277,'свод практик'!$J$6:$J$277,'свод субъектов ИБ+смежные'!CF$1,'свод практик'!$G$6:$G$277,"суб")</f>
        <v>9</v>
      </c>
      <c r="CG187" s="208">
        <f>SUMIFS('свод практик'!$CI$6:$CI$277,'свод практик'!$J$6:$J$277,'свод субъектов ИБ+смежные'!CG$1,'свод практик'!$G$6:$G$277,"суб")</f>
        <v>38</v>
      </c>
      <c r="CH187" s="208">
        <f>SUMIFS('свод практик'!$CI$6:$CI$277,'свод практик'!$J$6:$J$277,'свод субъектов ИБ+смежные'!CH$1,'свод практик'!$G$6:$G$277,"суб")</f>
        <v>16</v>
      </c>
      <c r="CI187" s="208">
        <f>SUMIFS('свод практик'!$CI$6:$CI$277,'свод практик'!$J$6:$J$277,'свод субъектов ИБ+смежные'!CI$1,'свод практик'!$G$6:$G$277,"суб")</f>
        <v>11</v>
      </c>
      <c r="CJ187" s="208">
        <f>SUMIFS('свод практик'!$CI$6:$CI$277,'свод практик'!$J$6:$J$277,'свод субъектов ИБ+смежные'!CJ$1,'свод практик'!$G$6:$G$277,"суб")</f>
        <v>0</v>
      </c>
      <c r="CK187" s="208">
        <f>SUMIFS('свод практик'!$CI$6:$CI$277,'свод практик'!$J$6:$J$277,'свод субъектов ИБ+смежные'!CK$1,'свод практик'!$G$6:$G$277,"суб")</f>
        <v>3</v>
      </c>
      <c r="CL187" s="208">
        <f>SUMIFS('свод практик'!$CI$6:$CI$277,'свод практик'!$J$6:$J$277,'свод субъектов ИБ+смежные'!CL$1,'свод практик'!$G$6:$G$277,"суб")</f>
        <v>13</v>
      </c>
      <c r="CM187" s="208">
        <f>SUMIFS('свод практик'!$CI$6:$CI$277,'свод практик'!$J$6:$J$277,'свод субъектов ИБ+смежные'!CM$1,'свод практик'!$G$6:$G$277,"суб")</f>
        <v>0</v>
      </c>
      <c r="CN187" s="208">
        <f>SUMIFS('свод практик'!$CI$6:$CI$277,'свод практик'!$J$6:$J$277,'свод субъектов ИБ+смежные'!CN$1,'свод практик'!$G$6:$G$277,"суб")</f>
        <v>54</v>
      </c>
      <c r="CO187" s="208">
        <f>SUMIFS('свод практик'!$CI$6:$CI$277,'свод практик'!$J$6:$J$277,'свод субъектов ИБ+смежные'!CO$1,'свод практик'!$G$6:$G$277,"суб")</f>
        <v>0</v>
      </c>
      <c r="CP187" s="208">
        <f>SUMIFS('свод практик'!$CI$6:$CI$277,'свод практик'!$J$6:$J$277,'свод субъектов ИБ+смежные'!CP$1,'свод практик'!$G$6:$G$277,"суб")</f>
        <v>0</v>
      </c>
      <c r="CQ187" s="208">
        <f>SUMIFS('свод практик'!$CI$6:$CI$277,'свод практик'!$J$6:$J$277,'свод субъектов ИБ+смежные'!CQ$1,'свод практик'!$G$6:$G$277,"суб")</f>
        <v>0</v>
      </c>
      <c r="CR187" s="208">
        <f>SUMIFS('свод практик'!$CI$6:$CI$277,'свод практик'!$J$6:$J$277,'свод субъектов ИБ+смежные'!CR$1,'свод практик'!$G$6:$G$277,"суб")</f>
        <v>0</v>
      </c>
      <c r="CS187" s="208">
        <f>SUMIFS('свод практик'!$CI$6:$CI$277,'свод практик'!$J$6:$J$277,'свод субъектов ИБ+смежные'!CS$1,'свод практик'!$G$6:$G$277,"суб")</f>
        <v>41</v>
      </c>
      <c r="CT187" s="208">
        <f>SUMIFS('свод практик'!$CI$6:$CI$277,'свод практик'!$J$6:$J$277,'свод субъектов ИБ+смежные'!CT$1,'свод практик'!$G$6:$G$277,"суб")</f>
        <v>2</v>
      </c>
      <c r="CU187" s="208">
        <f>SUMIFS('свод практик'!$CI$6:$CI$277,'свод практик'!$J$6:$J$277,'свод субъектов ИБ+смежные'!CU$1,'свод практик'!$G$6:$G$277,"суб")</f>
        <v>0</v>
      </c>
      <c r="CV187" s="208">
        <f>SUMIFS('свод практик'!$CI$6:$CI$277,'свод практик'!$J$6:$J$277,'свод субъектов ИБ+смежные'!CV$1,'свод практик'!$G$6:$G$277,"суб")</f>
        <v>12</v>
      </c>
    </row>
    <row r="188" spans="4:100" ht="15">
      <c r="D188" s="36" t="s">
        <v>4949</v>
      </c>
      <c r="E188" s="36">
        <v>69</v>
      </c>
      <c r="F188" s="36" t="s">
        <v>5591</v>
      </c>
      <c r="H188" s="36" t="s">
        <v>60</v>
      </c>
      <c r="M188" s="36" t="s">
        <v>5497</v>
      </c>
      <c r="N188" s="36">
        <v>7.5169200044380338E-2</v>
      </c>
      <c r="O188" s="224">
        <f t="shared" si="120"/>
        <v>0</v>
      </c>
      <c r="Q188" s="191"/>
      <c r="R188" s="193"/>
      <c r="S188" s="192"/>
      <c r="T188" s="194"/>
      <c r="U188" s="194"/>
    </row>
    <row r="189" spans="4:100" ht="28">
      <c r="D189" s="36" t="s">
        <v>4949</v>
      </c>
      <c r="E189" s="36">
        <v>70</v>
      </c>
      <c r="F189" s="36" t="s">
        <v>5592</v>
      </c>
      <c r="G189" s="36" t="s">
        <v>5172</v>
      </c>
      <c r="H189" s="36" t="s">
        <v>5140</v>
      </c>
      <c r="L189" s="36" t="s">
        <v>278</v>
      </c>
      <c r="M189" s="36" t="s">
        <v>5497</v>
      </c>
      <c r="N189" s="36">
        <v>1624</v>
      </c>
      <c r="O189" s="224">
        <f t="shared" si="120"/>
        <v>2174</v>
      </c>
      <c r="P189" s="208">
        <f>SUMIFS('свод практик'!$CJ$6:$CJ$277,'свод практик'!$J$6:$J$277,'свод субъектов ИБ+смежные'!P$1,'свод практик'!$G$6:$G$277,"суб")</f>
        <v>1</v>
      </c>
      <c r="Q189" s="208">
        <f>SUMIFS('свод практик'!$CJ$6:$CJ$277,'свод практик'!$J$6:$J$277,'свод субъектов ИБ+смежные'!Q$1,'свод практик'!$G$6:$G$277,"суб")</f>
        <v>15</v>
      </c>
      <c r="R189" s="208">
        <f>SUMIFS('свод практик'!$CJ$6:$CJ$277,'свод практик'!$J$6:$J$277,'свод субъектов ИБ+смежные'!R$1,'свод практик'!$G$6:$G$277,"суб")</f>
        <v>9</v>
      </c>
      <c r="S189" s="208">
        <f>SUMIFS('свод практик'!$CJ$6:$CJ$277,'свод практик'!$J$6:$J$277,'свод субъектов ИБ+смежные'!S$1,'свод практик'!$G$6:$G$277,"суб")</f>
        <v>34</v>
      </c>
      <c r="T189" s="208">
        <f>SUMIFS('свод практик'!$CJ$6:$CJ$277,'свод практик'!$J$6:$J$277,'свод субъектов ИБ+смежные'!T$1,'свод практик'!$G$6:$G$277,"суб")</f>
        <v>76</v>
      </c>
      <c r="U189" s="208">
        <f>SUMIFS('свод практик'!$CJ$6:$CJ$277,'свод практик'!$J$6:$J$277,'свод субъектов ИБ+смежные'!U$1,'свод практик'!$G$6:$G$277,"суб")</f>
        <v>0</v>
      </c>
      <c r="V189" s="208">
        <f>SUMIFS('свод практик'!$CJ$6:$CJ$277,'свод практик'!$J$6:$J$277,'свод субъектов ИБ+смежные'!V$1,'свод практик'!$G$6:$G$277,"суб")</f>
        <v>113</v>
      </c>
      <c r="W189" s="208">
        <f>SUMIFS('свод практик'!$CJ$6:$CJ$277,'свод практик'!$J$6:$J$277,'свод субъектов ИБ+смежные'!W$1,'свод практик'!$G$6:$G$277,"суб")</f>
        <v>13</v>
      </c>
      <c r="X189" s="208">
        <f>SUMIFS('свод практик'!$CJ$6:$CJ$277,'свод практик'!$J$6:$J$277,'свод субъектов ИБ+смежные'!X$1,'свод практик'!$G$6:$G$277,"суб")</f>
        <v>16</v>
      </c>
      <c r="Y189" s="208">
        <f>SUMIFS('свод практик'!$CJ$6:$CJ$277,'свод практик'!$J$6:$J$277,'свод субъектов ИБ+смежные'!Y$1,'свод практик'!$G$6:$G$277,"суб")</f>
        <v>0</v>
      </c>
      <c r="Z189" s="208">
        <f>SUMIFS('свод практик'!$CJ$6:$CJ$277,'свод практик'!$J$6:$J$277,'свод субъектов ИБ+смежные'!Z$1,'свод практик'!$G$6:$G$277,"суб")</f>
        <v>122</v>
      </c>
      <c r="AA189" s="208">
        <f>SUMIFS('свод практик'!$CJ$6:$CJ$277,'свод практик'!$J$6:$J$277,'свод субъектов ИБ+смежные'!AA$1,'свод практик'!$G$6:$G$277,"суб")</f>
        <v>29</v>
      </c>
      <c r="AB189" s="208">
        <f>SUMIFS('свод практик'!$CJ$6:$CJ$277,'свод практик'!$J$6:$J$277,'свод субъектов ИБ+смежные'!AB$1,'свод практик'!$G$6:$G$277,"суб")</f>
        <v>158</v>
      </c>
      <c r="AC189" s="208">
        <f>SUMIFS('свод практик'!$CJ$6:$CJ$277,'свод практик'!$J$6:$J$277,'свод субъектов ИБ+смежные'!AC$1,'свод практик'!$G$6:$G$277,"суб")</f>
        <v>66</v>
      </c>
      <c r="AD189" s="208">
        <f>SUMIFS('свод практик'!$CJ$6:$CJ$277,'свод практик'!$J$6:$J$277,'свод субъектов ИБ+смежные'!AD$1,'свод практик'!$G$6:$G$277,"суб")</f>
        <v>0</v>
      </c>
      <c r="AE189" s="208">
        <f>SUMIFS('свод практик'!$CJ$6:$CJ$277,'свод практик'!$J$6:$J$277,'свод субъектов ИБ+смежные'!AE$1,'свод практик'!$G$6:$G$277,"суб")</f>
        <v>0</v>
      </c>
      <c r="AF189" s="208">
        <f>SUMIFS('свод практик'!$CJ$6:$CJ$277,'свод практик'!$J$6:$J$277,'свод субъектов ИБ+смежные'!AF$1,'свод практик'!$G$6:$G$277,"суб")</f>
        <v>0</v>
      </c>
      <c r="AG189" s="208">
        <f>SUMIFS('свод практик'!$CJ$6:$CJ$277,'свод практик'!$J$6:$J$277,'свод субъектов ИБ+смежные'!AG$1,'свод практик'!$G$6:$G$277,"суб")</f>
        <v>0</v>
      </c>
      <c r="AH189" s="208">
        <f>SUMIFS('свод практик'!$CJ$6:$CJ$277,'свод практик'!$J$6:$J$277,'свод субъектов ИБ+смежные'!AH$1,'свод практик'!$G$6:$G$277,"суб")</f>
        <v>0</v>
      </c>
      <c r="AI189" s="208">
        <f>SUMIFS('свод практик'!$CJ$6:$CJ$277,'свод практик'!$J$6:$J$277,'свод субъектов ИБ+смежные'!AI$1,'свод практик'!$G$6:$G$277,"суб")</f>
        <v>216</v>
      </c>
      <c r="AJ189" s="208">
        <f>SUMIFS('свод практик'!$CJ$6:$CJ$277,'свод практик'!$J$6:$J$277,'свод субъектов ИБ+смежные'!AJ$1,'свод практик'!$G$6:$G$277,"суб")</f>
        <v>0</v>
      </c>
      <c r="AK189" s="208">
        <f>SUMIFS('свод практик'!$CJ$6:$CJ$277,'свод практик'!$J$6:$J$277,'свод субъектов ИБ+смежные'!AK$1,'свод практик'!$G$6:$G$277,"суб")</f>
        <v>23</v>
      </c>
      <c r="AL189" s="208">
        <f>SUMIFS('свод практик'!$CJ$6:$CJ$277,'свод практик'!$J$6:$J$277,'свод субъектов ИБ+смежные'!AL$1,'свод практик'!$G$6:$G$277,"суб")</f>
        <v>3</v>
      </c>
      <c r="AM189" s="208">
        <f>SUMIFS('свод практик'!$CJ$6:$CJ$277,'свод практик'!$J$6:$J$277,'свод субъектов ИБ+смежные'!AM$1,'свод практик'!$G$6:$G$277,"суб")</f>
        <v>31</v>
      </c>
      <c r="AN189" s="208">
        <f>SUMIFS('свод практик'!$CJ$6:$CJ$277,'свод практик'!$J$6:$J$277,'свод субъектов ИБ+смежные'!AN$1,'свод практик'!$G$6:$G$277,"суб")</f>
        <v>0</v>
      </c>
      <c r="AO189" s="208">
        <f>SUMIFS('свод практик'!$CJ$6:$CJ$277,'свод практик'!$J$6:$J$277,'свод субъектов ИБ+смежные'!AO$1,'свод практик'!$G$6:$G$277,"суб")</f>
        <v>0</v>
      </c>
      <c r="AP189" s="208">
        <f>SUMIFS('свод практик'!$CJ$6:$CJ$277,'свод практик'!$J$6:$J$277,'свод субъектов ИБ+смежные'!AP$1,'свод практик'!$G$6:$G$277,"суб")</f>
        <v>30</v>
      </c>
      <c r="AQ189" s="208">
        <f>SUMIFS('свод практик'!$CJ$6:$CJ$277,'свод практик'!$J$6:$J$277,'свод субъектов ИБ+смежные'!AQ$1,'свод практик'!$G$6:$G$277,"суб")</f>
        <v>18</v>
      </c>
      <c r="AR189" s="208">
        <f>SUMIFS('свод практик'!$CJ$6:$CJ$277,'свод практик'!$J$6:$J$277,'свод субъектов ИБ+смежные'!AR$1,'свод практик'!$G$6:$G$277,"суб")</f>
        <v>65</v>
      </c>
      <c r="AS189" s="208">
        <f>SUMIFS('свод практик'!$CJ$6:$CJ$277,'свод практик'!$J$6:$J$277,'свод субъектов ИБ+смежные'!AS$1,'свод практик'!$G$6:$G$277,"суб")</f>
        <v>20</v>
      </c>
      <c r="AT189" s="208">
        <f>SUMIFS('свод практик'!$CJ$6:$CJ$277,'свод практик'!$J$6:$J$277,'свод субъектов ИБ+смежные'!AT$1,'свод практик'!$G$6:$G$277,"суб")</f>
        <v>44</v>
      </c>
      <c r="AU189" s="208">
        <f>SUMIFS('свод практик'!$CJ$6:$CJ$277,'свод практик'!$J$6:$J$277,'свод субъектов ИБ+смежные'!AU$1,'свод практик'!$G$6:$G$277,"суб")</f>
        <v>0</v>
      </c>
      <c r="AV189" s="208">
        <f>SUMIFS('свод практик'!$CJ$6:$CJ$277,'свод практик'!$J$6:$J$277,'свод субъектов ИБ+смежные'!AV$1,'свод практик'!$G$6:$G$277,"суб")</f>
        <v>14</v>
      </c>
      <c r="AW189" s="208">
        <f>SUMIFS('свод практик'!$CJ$6:$CJ$277,'свод практик'!$J$6:$J$277,'свод субъектов ИБ+смежные'!AW$1,'свод практик'!$G$6:$G$277,"суб")</f>
        <v>101</v>
      </c>
      <c r="AX189" s="208">
        <f>SUMIFS('свод практик'!$CJ$6:$CJ$277,'свод практик'!$J$6:$J$277,'свод субъектов ИБ+смежные'!AX$1,'свод практик'!$G$6:$G$277,"суб")</f>
        <v>6</v>
      </c>
      <c r="AY189" s="208">
        <f>SUMIFS('свод практик'!$CJ$6:$CJ$277,'свод практик'!$J$6:$J$277,'свод субъектов ИБ+смежные'!AY$1,'свод практик'!$G$6:$G$277,"суб")</f>
        <v>0</v>
      </c>
      <c r="AZ189" s="208">
        <f>SUMIFS('свод практик'!$CJ$6:$CJ$277,'свод практик'!$J$6:$J$277,'свод субъектов ИБ+смежные'!AZ$1,'свод практик'!$G$6:$G$277,"суб")</f>
        <v>4</v>
      </c>
      <c r="BA189" s="208">
        <f>SUMIFS('свод практик'!$CJ$6:$CJ$277,'свод практик'!$J$6:$J$277,'свод субъектов ИБ+смежные'!BA$1,'свод практик'!$G$6:$G$277,"суб")</f>
        <v>56</v>
      </c>
      <c r="BB189" s="208">
        <f>SUMIFS('свод практик'!$CJ$6:$CJ$277,'свод практик'!$J$6:$J$277,'свод субъектов ИБ+смежные'!BB$1,'свод практик'!$G$6:$G$277,"суб")</f>
        <v>0</v>
      </c>
      <c r="BC189" s="208">
        <f>SUMIFS('свод практик'!$CJ$6:$CJ$277,'свод практик'!$J$6:$J$277,'свод субъектов ИБ+смежные'!BC$1,'свод практик'!$G$6:$G$277,"суб")</f>
        <v>7</v>
      </c>
      <c r="BD189" s="208">
        <f>SUMIFS('свод практик'!$CJ$6:$CJ$277,'свод практик'!$J$6:$J$277,'свод субъектов ИБ+смежные'!BD$1,'свод практик'!$G$6:$G$277,"суб")</f>
        <v>0</v>
      </c>
      <c r="BE189" s="208">
        <f>SUMIFS('свод практик'!$CJ$6:$CJ$277,'свод практик'!$J$6:$J$277,'свод субъектов ИБ+смежные'!BE$1,'свод практик'!$G$6:$G$277,"суб")</f>
        <v>0</v>
      </c>
      <c r="BF189" s="208">
        <f>SUMIFS('свод практик'!$CJ$6:$CJ$277,'свод практик'!$J$6:$J$277,'свод субъектов ИБ+смежные'!BF$1,'свод практик'!$G$6:$G$277,"суб")</f>
        <v>0</v>
      </c>
      <c r="BG189" s="208">
        <f>SUMIFS('свод практик'!$CJ$6:$CJ$277,'свод практик'!$J$6:$J$277,'свод субъектов ИБ+смежные'!BG$1,'свод практик'!$G$6:$G$277,"суб")</f>
        <v>5</v>
      </c>
      <c r="BH189" s="208">
        <f>SUMIFS('свод практик'!$CJ$6:$CJ$277,'свод практик'!$J$6:$J$277,'свод субъектов ИБ+смежные'!BH$1,'свод практик'!$G$6:$G$277,"суб")</f>
        <v>5</v>
      </c>
      <c r="BI189" s="208">
        <f>SUMIFS('свод практик'!$CJ$6:$CJ$277,'свод практик'!$J$6:$J$277,'свод субъектов ИБ+смежные'!BI$1,'свод практик'!$G$6:$G$277,"суб")</f>
        <v>35</v>
      </c>
      <c r="BJ189" s="208">
        <f>SUMIFS('свод практик'!$CJ$6:$CJ$277,'свод практик'!$J$6:$J$277,'свод субъектов ИБ+смежные'!BJ$1,'свод практик'!$G$6:$G$277,"суб")</f>
        <v>29</v>
      </c>
      <c r="BK189" s="208">
        <f>SUMIFS('свод практик'!$CJ$6:$CJ$277,'свод практик'!$J$6:$J$277,'свод субъектов ИБ+смежные'!BK$1,'свод практик'!$G$6:$G$277,"суб")</f>
        <v>37</v>
      </c>
      <c r="BL189" s="208">
        <f>SUMIFS('свод практик'!$CJ$6:$CJ$277,'свод практик'!$J$6:$J$277,'свод субъектов ИБ+смежные'!BL$1,'свод практик'!$G$6:$G$277,"суб")</f>
        <v>0</v>
      </c>
      <c r="BM189" s="208">
        <f>SUMIFS('свод практик'!$CJ$6:$CJ$277,'свод практик'!$J$6:$J$277,'свод субъектов ИБ+смежные'!BM$1,'свод практик'!$G$6:$G$277,"суб")</f>
        <v>8</v>
      </c>
      <c r="BN189" s="208">
        <f>SUMIFS('свод практик'!$CJ$6:$CJ$277,'свод практик'!$J$6:$J$277,'свод субъектов ИБ+смежные'!BN$1,'свод практик'!$G$6:$G$277,"суб")</f>
        <v>5</v>
      </c>
      <c r="BO189" s="208">
        <f>SUMIFS('свод практик'!$CJ$6:$CJ$277,'свод практик'!$J$6:$J$277,'свод субъектов ИБ+смежные'!BO$1,'свод практик'!$G$6:$G$277,"суб")</f>
        <v>42</v>
      </c>
      <c r="BP189" s="208">
        <f>SUMIFS('свод практик'!$CJ$6:$CJ$277,'свод практик'!$J$6:$J$277,'свод субъектов ИБ+смежные'!BP$1,'свод практик'!$G$6:$G$277,"суб")</f>
        <v>9</v>
      </c>
      <c r="BQ189" s="208">
        <f>SUMIFS('свод практик'!$CJ$6:$CJ$277,'свод практик'!$J$6:$J$277,'свод субъектов ИБ+смежные'!BQ$1,'свод практик'!$G$6:$G$277,"суб")</f>
        <v>0</v>
      </c>
      <c r="BR189" s="208">
        <f>SUMIFS('свод практик'!$CJ$6:$CJ$277,'свод практик'!$J$6:$J$277,'свод субъектов ИБ+смежные'!BR$1,'свод практик'!$G$6:$G$277,"суб")</f>
        <v>9</v>
      </c>
      <c r="BS189" s="208">
        <f>SUMIFS('свод практик'!$CJ$6:$CJ$277,'свод практик'!$J$6:$J$277,'свод субъектов ИБ+смежные'!BS$1,'свод практик'!$G$6:$G$277,"суб")</f>
        <v>0</v>
      </c>
      <c r="BT189" s="208">
        <f>SUMIFS('свод практик'!$CJ$6:$CJ$277,'свод практик'!$J$6:$J$277,'свод субъектов ИБ+смежные'!BT$1,'свод практик'!$G$6:$G$277,"суб")</f>
        <v>36</v>
      </c>
      <c r="BU189" s="208">
        <f>SUMIFS('свод практик'!$CJ$6:$CJ$277,'свод практик'!$J$6:$J$277,'свод субъектов ИБ+смежные'!BU$1,'свод практик'!$G$6:$G$277,"суб")</f>
        <v>42</v>
      </c>
      <c r="BV189" s="208">
        <f>SUMIFS('свод практик'!$CJ$6:$CJ$277,'свод практик'!$J$6:$J$277,'свод субъектов ИБ+смежные'!BV$1,'свод практик'!$G$6:$G$277,"суб")</f>
        <v>3</v>
      </c>
      <c r="BW189" s="208">
        <f>SUMIFS('свод практик'!$CJ$6:$CJ$277,'свод практик'!$J$6:$J$277,'свод субъектов ИБ+смежные'!BW$1,'свод практик'!$G$6:$G$277,"суб")</f>
        <v>21</v>
      </c>
      <c r="BX189" s="208">
        <f>SUMIFS('свод практик'!$CJ$6:$CJ$277,'свод практик'!$J$6:$J$277,'свод субъектов ИБ+смежные'!BX$1,'свод практик'!$G$6:$G$277,"суб")</f>
        <v>37</v>
      </c>
      <c r="BY189" s="208">
        <f>SUMIFS('свод практик'!$CJ$6:$CJ$277,'свод практик'!$J$6:$J$277,'свод субъектов ИБ+смежные'!BY$1,'свод практик'!$G$6:$G$277,"суб")</f>
        <v>41</v>
      </c>
      <c r="BZ189" s="208">
        <f>SUMIFS('свод практик'!$CJ$6:$CJ$277,'свод практик'!$J$6:$J$277,'свод субъектов ИБ+смежные'!BZ$1,'свод практик'!$G$6:$G$277,"суб")</f>
        <v>67</v>
      </c>
      <c r="CA189" s="208">
        <f>SUMIFS('свод практик'!$CJ$6:$CJ$277,'свод практик'!$J$6:$J$277,'свод субъектов ИБ+смежные'!CA$1,'свод практик'!$G$6:$G$277,"суб")</f>
        <v>0</v>
      </c>
      <c r="CB189" s="208">
        <f>SUMIFS('свод практик'!$CJ$6:$CJ$277,'свод практик'!$J$6:$J$277,'свод субъектов ИБ+смежные'!CB$1,'свод практик'!$G$6:$G$277,"суб")</f>
        <v>0</v>
      </c>
      <c r="CC189" s="208">
        <f>SUMIFS('свод практик'!$CJ$6:$CJ$277,'свод практик'!$J$6:$J$277,'свод субъектов ИБ+смежные'!CC$1,'свод практик'!$G$6:$G$277,"суб")</f>
        <v>0</v>
      </c>
      <c r="CD189" s="208">
        <f>SUMIFS('свод практик'!$CJ$6:$CJ$277,'свод практик'!$J$6:$J$277,'свод субъектов ИБ+смежные'!CD$1,'свод практик'!$G$6:$G$277,"суб")</f>
        <v>101</v>
      </c>
      <c r="CE189" s="208">
        <f>SUMIFS('свод практик'!$CJ$6:$CJ$277,'свод практик'!$J$6:$J$277,'свод субъектов ИБ+смежные'!CE$1,'свод практик'!$G$6:$G$277,"суб")</f>
        <v>1</v>
      </c>
      <c r="CF189" s="208">
        <f>SUMIFS('свод практик'!$CJ$6:$CJ$277,'свод практик'!$J$6:$J$277,'свод субъектов ИБ+смежные'!CF$1,'свод практик'!$G$6:$G$277,"суб")</f>
        <v>91</v>
      </c>
      <c r="CG189" s="208">
        <f>SUMIFS('свод практик'!$CJ$6:$CJ$277,'свод практик'!$J$6:$J$277,'свод субъектов ИБ+смежные'!CG$1,'свод практик'!$G$6:$G$277,"суб")</f>
        <v>0</v>
      </c>
      <c r="CH189" s="208">
        <f>SUMIFS('свод практик'!$CJ$6:$CJ$277,'свод практик'!$J$6:$J$277,'свод субъектов ИБ+смежные'!CH$1,'свод практик'!$G$6:$G$277,"суб")</f>
        <v>18</v>
      </c>
      <c r="CI189" s="208">
        <f>SUMIFS('свод практик'!$CJ$6:$CJ$277,'свод практик'!$J$6:$J$277,'свод субъектов ИБ+смежные'!CI$1,'свод практик'!$G$6:$G$277,"суб")</f>
        <v>22</v>
      </c>
      <c r="CJ189" s="208">
        <f>SUMIFS('свод практик'!$CJ$6:$CJ$277,'свод практик'!$J$6:$J$277,'свод субъектов ИБ+смежные'!CJ$1,'свод практик'!$G$6:$G$277,"суб")</f>
        <v>0</v>
      </c>
      <c r="CK189" s="208">
        <f>SUMIFS('свод практик'!$CJ$6:$CJ$277,'свод практик'!$J$6:$J$277,'свод субъектов ИБ+смежные'!CK$1,'свод практик'!$G$6:$G$277,"суб")</f>
        <v>3</v>
      </c>
      <c r="CL189" s="208">
        <f>SUMIFS('свод практик'!$CJ$6:$CJ$277,'свод практик'!$J$6:$J$277,'свод субъектов ИБ+смежные'!CL$1,'свод практик'!$G$6:$G$277,"суб")</f>
        <v>9</v>
      </c>
      <c r="CM189" s="208">
        <f>SUMIFS('свод практик'!$CJ$6:$CJ$277,'свод практик'!$J$6:$J$277,'свод субъектов ИБ+смежные'!CM$1,'свод практик'!$G$6:$G$277,"суб")</f>
        <v>10</v>
      </c>
      <c r="CN189" s="208">
        <f>SUMIFS('свод практик'!$CJ$6:$CJ$277,'свод практик'!$J$6:$J$277,'свод субъектов ИБ+смежные'!CN$1,'свод практик'!$G$6:$G$277,"суб")</f>
        <v>29</v>
      </c>
      <c r="CO189" s="208">
        <f>SUMIFS('свод практик'!$CJ$6:$CJ$277,'свод практик'!$J$6:$J$277,'свод субъектов ИБ+смежные'!CO$1,'свод практик'!$G$6:$G$277,"суб")</f>
        <v>0</v>
      </c>
      <c r="CP189" s="208">
        <f>SUMIFS('свод практик'!$CJ$6:$CJ$277,'свод практик'!$J$6:$J$277,'свод субъектов ИБ+смежные'!CP$1,'свод практик'!$G$6:$G$277,"суб")</f>
        <v>72</v>
      </c>
      <c r="CQ189" s="208">
        <f>SUMIFS('свод практик'!$CJ$6:$CJ$277,'свод практик'!$J$6:$J$277,'свод субъектов ИБ+смежные'!CQ$1,'свод практик'!$G$6:$G$277,"суб")</f>
        <v>0</v>
      </c>
      <c r="CR189" s="208">
        <f>SUMIFS('свод практик'!$CJ$6:$CJ$277,'свод практик'!$J$6:$J$277,'свод субъектов ИБ+смежные'!CR$1,'свод практик'!$G$6:$G$277,"суб")</f>
        <v>0</v>
      </c>
      <c r="CS189" s="208">
        <f>SUMIFS('свод практик'!$CJ$6:$CJ$277,'свод практик'!$J$6:$J$277,'свод субъектов ИБ+смежные'!CS$1,'свод практик'!$G$6:$G$277,"суб")</f>
        <v>44</v>
      </c>
      <c r="CT189" s="208">
        <f>SUMIFS('свод практик'!$CJ$6:$CJ$277,'свод практик'!$J$6:$J$277,'свод субъектов ИБ+смежные'!CT$1,'свод практик'!$G$6:$G$277,"суб")</f>
        <v>3</v>
      </c>
      <c r="CU189" s="208">
        <f>SUMIFS('свод практик'!$CJ$6:$CJ$277,'свод практик'!$J$6:$J$277,'свод субъектов ИБ+смежные'!CU$1,'свод практик'!$G$6:$G$277,"суб")</f>
        <v>0</v>
      </c>
      <c r="CV189" s="208">
        <f>SUMIFS('свод практик'!$CJ$6:$CJ$277,'свод практик'!$J$6:$J$277,'свод субъектов ИБ+смежные'!CV$1,'свод практик'!$G$6:$G$277,"суб")</f>
        <v>50</v>
      </c>
    </row>
    <row r="190" spans="4:100" ht="15">
      <c r="D190" s="36" t="s">
        <v>4949</v>
      </c>
      <c r="E190" s="36">
        <v>71</v>
      </c>
      <c r="F190" s="36" t="s">
        <v>5593</v>
      </c>
      <c r="H190" s="36" t="s">
        <v>60</v>
      </c>
      <c r="M190" s="36" t="s">
        <v>5497</v>
      </c>
      <c r="N190" s="36">
        <v>9.0092089204482417E-2</v>
      </c>
      <c r="O190" s="224">
        <f t="shared" si="120"/>
        <v>0</v>
      </c>
      <c r="Q190" s="191"/>
      <c r="R190" s="193"/>
      <c r="S190" s="192"/>
      <c r="T190" s="194"/>
      <c r="U190" s="194"/>
    </row>
    <row r="191" spans="4:100" ht="14">
      <c r="D191" s="36" t="s">
        <v>4949</v>
      </c>
      <c r="E191" s="36">
        <v>72</v>
      </c>
      <c r="F191" s="36" t="s">
        <v>5594</v>
      </c>
      <c r="G191" s="36" t="s">
        <v>5175</v>
      </c>
      <c r="H191" s="36" t="s">
        <v>5140</v>
      </c>
      <c r="L191" s="36" t="s">
        <v>278</v>
      </c>
      <c r="M191" s="36" t="s">
        <v>5497</v>
      </c>
      <c r="N191" s="36">
        <v>897</v>
      </c>
      <c r="O191" s="224">
        <f t="shared" si="120"/>
        <v>1042</v>
      </c>
      <c r="P191" s="208">
        <f>SUMIFS('свод практик'!$CK$6:$CK$277,'свод практик'!$J$6:$J$277,'свод субъектов ИБ+смежные'!P$1,'свод практик'!$G$6:$G$277,"суб")</f>
        <v>0</v>
      </c>
      <c r="Q191" s="208">
        <f>SUMIFS('свод практик'!$CK$6:$CK$277,'свод практик'!$J$6:$J$277,'свод субъектов ИБ+смежные'!Q$1,'свод практик'!$G$6:$G$277,"суб")</f>
        <v>0</v>
      </c>
      <c r="R191" s="208">
        <f>SUMIFS('свод практик'!$CK$6:$CK$277,'свод практик'!$J$6:$J$277,'свод субъектов ИБ+смежные'!R$1,'свод практик'!$G$6:$G$277,"суб")</f>
        <v>14</v>
      </c>
      <c r="S191" s="208">
        <f>SUMIFS('свод практик'!$CK$6:$CK$277,'свод практик'!$J$6:$J$277,'свод субъектов ИБ+смежные'!S$1,'свод практик'!$G$6:$G$277,"суб")</f>
        <v>3</v>
      </c>
      <c r="T191" s="208">
        <f>SUMIFS('свод практик'!$CK$6:$CK$277,'свод практик'!$J$6:$J$277,'свод субъектов ИБ+смежные'!T$1,'свод практик'!$G$6:$G$277,"суб")</f>
        <v>0</v>
      </c>
      <c r="U191" s="208">
        <f>SUMIFS('свод практик'!$CK$6:$CK$277,'свод практик'!$J$6:$J$277,'свод субъектов ИБ+смежные'!U$1,'свод практик'!$G$6:$G$277,"суб")</f>
        <v>0</v>
      </c>
      <c r="V191" s="208">
        <f>SUMIFS('свод практик'!$CK$6:$CK$277,'свод практик'!$J$6:$J$277,'свод субъектов ИБ+смежные'!V$1,'свод практик'!$G$6:$G$277,"суб")</f>
        <v>109</v>
      </c>
      <c r="W191" s="208">
        <f>SUMIFS('свод практик'!$CK$6:$CK$277,'свод практик'!$J$6:$J$277,'свод субъектов ИБ+смежные'!W$1,'свод практик'!$G$6:$G$277,"суб")</f>
        <v>0</v>
      </c>
      <c r="X191" s="208">
        <f>SUMIFS('свод практик'!$CK$6:$CK$277,'свод практик'!$J$6:$J$277,'свод субъектов ИБ+смежные'!X$1,'свод практик'!$G$6:$G$277,"суб")</f>
        <v>5</v>
      </c>
      <c r="Y191" s="208">
        <f>SUMIFS('свод практик'!$CK$6:$CK$277,'свод практик'!$J$6:$J$277,'свод субъектов ИБ+смежные'!Y$1,'свод практик'!$G$6:$G$277,"суб")</f>
        <v>0</v>
      </c>
      <c r="Z191" s="208">
        <f>SUMIFS('свод практик'!$CK$6:$CK$277,'свод практик'!$J$6:$J$277,'свод субъектов ИБ+смежные'!Z$1,'свод практик'!$G$6:$G$277,"суб")</f>
        <v>18</v>
      </c>
      <c r="AA191" s="208">
        <f>SUMIFS('свод практик'!$CK$6:$CK$277,'свод практик'!$J$6:$J$277,'свод субъектов ИБ+смежные'!AA$1,'свод практик'!$G$6:$G$277,"суб")</f>
        <v>5</v>
      </c>
      <c r="AB191" s="208">
        <f>SUMIFS('свод практик'!$CK$6:$CK$277,'свод практик'!$J$6:$J$277,'свод субъектов ИБ+смежные'!AB$1,'свод практик'!$G$6:$G$277,"суб")</f>
        <v>0</v>
      </c>
      <c r="AC191" s="208">
        <f>SUMIFS('свод практик'!$CK$6:$CK$277,'свод практик'!$J$6:$J$277,'свод субъектов ИБ+смежные'!AC$1,'свод практик'!$G$6:$G$277,"суб")</f>
        <v>45</v>
      </c>
      <c r="AD191" s="208">
        <f>SUMIFS('свод практик'!$CK$6:$CK$277,'свод практик'!$J$6:$J$277,'свод субъектов ИБ+смежные'!AD$1,'свод практик'!$G$6:$G$277,"суб")</f>
        <v>0</v>
      </c>
      <c r="AE191" s="208">
        <f>SUMIFS('свод практик'!$CK$6:$CK$277,'свод практик'!$J$6:$J$277,'свод субъектов ИБ+смежные'!AE$1,'свод практик'!$G$6:$G$277,"суб")</f>
        <v>0</v>
      </c>
      <c r="AF191" s="208">
        <f>SUMIFS('свод практик'!$CK$6:$CK$277,'свод практик'!$J$6:$J$277,'свод субъектов ИБ+смежные'!AF$1,'свод практик'!$G$6:$G$277,"суб")</f>
        <v>0</v>
      </c>
      <c r="AG191" s="208">
        <f>SUMIFS('свод практик'!$CK$6:$CK$277,'свод практик'!$J$6:$J$277,'свод субъектов ИБ+смежные'!AG$1,'свод практик'!$G$6:$G$277,"суб")</f>
        <v>0</v>
      </c>
      <c r="AH191" s="208">
        <f>SUMIFS('свод практик'!$CK$6:$CK$277,'свод практик'!$J$6:$J$277,'свод субъектов ИБ+смежные'!AH$1,'свод практик'!$G$6:$G$277,"суб")</f>
        <v>0</v>
      </c>
      <c r="AI191" s="208">
        <f>SUMIFS('свод практик'!$CK$6:$CK$277,'свод практик'!$J$6:$J$277,'свод субъектов ИБ+смежные'!AI$1,'свод практик'!$G$6:$G$277,"суб")</f>
        <v>42</v>
      </c>
      <c r="AJ191" s="208">
        <f>SUMIFS('свод практик'!$CK$6:$CK$277,'свод практик'!$J$6:$J$277,'свод субъектов ИБ+смежные'!AJ$1,'свод практик'!$G$6:$G$277,"суб")</f>
        <v>0</v>
      </c>
      <c r="AK191" s="208">
        <f>SUMIFS('свод практик'!$CK$6:$CK$277,'свод практик'!$J$6:$J$277,'свод субъектов ИБ+смежные'!AK$1,'свод практик'!$G$6:$G$277,"суб")</f>
        <v>0</v>
      </c>
      <c r="AL191" s="208">
        <f>SUMIFS('свод практик'!$CK$6:$CK$277,'свод практик'!$J$6:$J$277,'свод субъектов ИБ+смежные'!AL$1,'свод практик'!$G$6:$G$277,"суб")</f>
        <v>2</v>
      </c>
      <c r="AM191" s="208">
        <f>SUMIFS('свод практик'!$CK$6:$CK$277,'свод практик'!$J$6:$J$277,'свод субъектов ИБ+смежные'!AM$1,'свод практик'!$G$6:$G$277,"суб")</f>
        <v>15</v>
      </c>
      <c r="AN191" s="208">
        <f>SUMIFS('свод практик'!$CK$6:$CK$277,'свод практик'!$J$6:$J$277,'свод субъектов ИБ+смежные'!AN$1,'свод практик'!$G$6:$G$277,"суб")</f>
        <v>0</v>
      </c>
      <c r="AO191" s="208">
        <f>SUMIFS('свод практик'!$CK$6:$CK$277,'свод практик'!$J$6:$J$277,'свод субъектов ИБ+смежные'!AO$1,'свод практик'!$G$6:$G$277,"суб")</f>
        <v>0</v>
      </c>
      <c r="AP191" s="208">
        <f>SUMIFS('свод практик'!$CK$6:$CK$277,'свод практик'!$J$6:$J$277,'свод субъектов ИБ+смежные'!AP$1,'свод практик'!$G$6:$G$277,"суб")</f>
        <v>7</v>
      </c>
      <c r="AQ191" s="208">
        <f>SUMIFS('свод практик'!$CK$6:$CK$277,'свод практик'!$J$6:$J$277,'свод субъектов ИБ+смежные'!AQ$1,'свод практик'!$G$6:$G$277,"суб")</f>
        <v>27</v>
      </c>
      <c r="AR191" s="208">
        <f>SUMIFS('свод практик'!$CK$6:$CK$277,'свод практик'!$J$6:$J$277,'свод субъектов ИБ+смежные'!AR$1,'свод практик'!$G$6:$G$277,"суб")</f>
        <v>9</v>
      </c>
      <c r="AS191" s="208">
        <f>SUMIFS('свод практик'!$CK$6:$CK$277,'свод практик'!$J$6:$J$277,'свод субъектов ИБ+смежные'!AS$1,'свод практик'!$G$6:$G$277,"суб")</f>
        <v>21</v>
      </c>
      <c r="AT191" s="208">
        <f>SUMIFS('свод практик'!$CK$6:$CK$277,'свод практик'!$J$6:$J$277,'свод субъектов ИБ+смежные'!AT$1,'свод практик'!$G$6:$G$277,"суб")</f>
        <v>0</v>
      </c>
      <c r="AU191" s="208">
        <f>SUMIFS('свод практик'!$CK$6:$CK$277,'свод практик'!$J$6:$J$277,'свод субъектов ИБ+смежные'!AU$1,'свод практик'!$G$6:$G$277,"суб")</f>
        <v>0</v>
      </c>
      <c r="AV191" s="208">
        <f>SUMIFS('свод практик'!$CK$6:$CK$277,'свод практик'!$J$6:$J$277,'свод субъектов ИБ+смежные'!AV$1,'свод практик'!$G$6:$G$277,"суб")</f>
        <v>16</v>
      </c>
      <c r="AW191" s="208">
        <f>SUMIFS('свод практик'!$CK$6:$CK$277,'свод практик'!$J$6:$J$277,'свод субъектов ИБ+смежные'!AW$1,'свод практик'!$G$6:$G$277,"суб")</f>
        <v>0</v>
      </c>
      <c r="AX191" s="208">
        <f>SUMIFS('свод практик'!$CK$6:$CK$277,'свод практик'!$J$6:$J$277,'свод субъектов ИБ+смежные'!AX$1,'свод практик'!$G$6:$G$277,"суб")</f>
        <v>0</v>
      </c>
      <c r="AY191" s="208">
        <f>SUMIFS('свод практик'!$CK$6:$CK$277,'свод практик'!$J$6:$J$277,'свод субъектов ИБ+смежные'!AY$1,'свод практик'!$G$6:$G$277,"суб")</f>
        <v>0</v>
      </c>
      <c r="AZ191" s="208">
        <f>SUMIFS('свод практик'!$CK$6:$CK$277,'свод практик'!$J$6:$J$277,'свод субъектов ИБ+смежные'!AZ$1,'свод практик'!$G$6:$G$277,"суб")</f>
        <v>2</v>
      </c>
      <c r="BA191" s="208">
        <f>SUMIFS('свод практик'!$CK$6:$CK$277,'свод практик'!$J$6:$J$277,'свод субъектов ИБ+смежные'!BA$1,'свод практик'!$G$6:$G$277,"суб")</f>
        <v>0</v>
      </c>
      <c r="BB191" s="208">
        <f>SUMIFS('свод практик'!$CK$6:$CK$277,'свод практик'!$J$6:$J$277,'свод субъектов ИБ+смежные'!BB$1,'свод практик'!$G$6:$G$277,"суб")</f>
        <v>0</v>
      </c>
      <c r="BC191" s="208">
        <f>SUMIFS('свод практик'!$CK$6:$CK$277,'свод практик'!$J$6:$J$277,'свод субъектов ИБ+смежные'!BC$1,'свод практик'!$G$6:$G$277,"суб")</f>
        <v>2</v>
      </c>
      <c r="BD191" s="208">
        <f>SUMIFS('свод практик'!$CK$6:$CK$277,'свод практик'!$J$6:$J$277,'свод субъектов ИБ+смежные'!BD$1,'свод практик'!$G$6:$G$277,"суб")</f>
        <v>0</v>
      </c>
      <c r="BE191" s="208">
        <f>SUMIFS('свод практик'!$CK$6:$CK$277,'свод практик'!$J$6:$J$277,'свод субъектов ИБ+смежные'!BE$1,'свод практик'!$G$6:$G$277,"суб")</f>
        <v>0</v>
      </c>
      <c r="BF191" s="208">
        <f>SUMIFS('свод практик'!$CK$6:$CK$277,'свод практик'!$J$6:$J$277,'свод субъектов ИБ+смежные'!BF$1,'свод практик'!$G$6:$G$277,"суб")</f>
        <v>0</v>
      </c>
      <c r="BG191" s="208">
        <f>SUMIFS('свод практик'!$CK$6:$CK$277,'свод практик'!$J$6:$J$277,'свод субъектов ИБ+смежные'!BG$1,'свод практик'!$G$6:$G$277,"суб")</f>
        <v>0</v>
      </c>
      <c r="BH191" s="208">
        <f>SUMIFS('свод практик'!$CK$6:$CK$277,'свод практик'!$J$6:$J$277,'свод субъектов ИБ+смежные'!BH$1,'свод практик'!$G$6:$G$277,"суб")</f>
        <v>0</v>
      </c>
      <c r="BI191" s="208">
        <f>SUMIFS('свод практик'!$CK$6:$CK$277,'свод практик'!$J$6:$J$277,'свод субъектов ИБ+смежные'!BI$1,'свод практик'!$G$6:$G$277,"суб")</f>
        <v>66</v>
      </c>
      <c r="BJ191" s="208">
        <f>SUMIFS('свод практик'!$CK$6:$CK$277,'свод практик'!$J$6:$J$277,'свод субъектов ИБ+смежные'!BJ$1,'свод практик'!$G$6:$G$277,"суб")</f>
        <v>11</v>
      </c>
      <c r="BK191" s="208">
        <f>SUMIFS('свод практик'!$CK$6:$CK$277,'свод практик'!$J$6:$J$277,'свод субъектов ИБ+смежные'!BK$1,'свод практик'!$G$6:$G$277,"суб")</f>
        <v>66</v>
      </c>
      <c r="BL191" s="208">
        <f>SUMIFS('свод практик'!$CK$6:$CK$277,'свод практик'!$J$6:$J$277,'свод субъектов ИБ+смежные'!BL$1,'свод практик'!$G$6:$G$277,"суб")</f>
        <v>0</v>
      </c>
      <c r="BM191" s="208">
        <f>SUMIFS('свод практик'!$CK$6:$CK$277,'свод практик'!$J$6:$J$277,'свод субъектов ИБ+смежные'!BM$1,'свод практик'!$G$6:$G$277,"суб")</f>
        <v>24</v>
      </c>
      <c r="BN191" s="208">
        <f>SUMIFS('свод практик'!$CK$6:$CK$277,'свод практик'!$J$6:$J$277,'свод субъектов ИБ+смежные'!BN$1,'свод практик'!$G$6:$G$277,"суб")</f>
        <v>0</v>
      </c>
      <c r="BO191" s="208">
        <f>SUMIFS('свод практик'!$CK$6:$CK$277,'свод практик'!$J$6:$J$277,'свод субъектов ИБ+смежные'!BO$1,'свод практик'!$G$6:$G$277,"суб")</f>
        <v>0</v>
      </c>
      <c r="BP191" s="208">
        <f>SUMIFS('свод практик'!$CK$6:$CK$277,'свод практик'!$J$6:$J$277,'свод субъектов ИБ+смежные'!BP$1,'свод практик'!$G$6:$G$277,"суб")</f>
        <v>0</v>
      </c>
      <c r="BQ191" s="208">
        <f>SUMIFS('свод практик'!$CK$6:$CK$277,'свод практик'!$J$6:$J$277,'свод субъектов ИБ+смежные'!BQ$1,'свод практик'!$G$6:$G$277,"суб")</f>
        <v>0</v>
      </c>
      <c r="BR191" s="208">
        <f>SUMIFS('свод практик'!$CK$6:$CK$277,'свод практик'!$J$6:$J$277,'свод субъектов ИБ+смежные'!BR$1,'свод практик'!$G$6:$G$277,"суб")</f>
        <v>1</v>
      </c>
      <c r="BS191" s="208">
        <f>SUMIFS('свод практик'!$CK$6:$CK$277,'свод практик'!$J$6:$J$277,'свод субъектов ИБ+смежные'!BS$1,'свод практик'!$G$6:$G$277,"суб")</f>
        <v>0</v>
      </c>
      <c r="BT191" s="208">
        <f>SUMIFS('свод практик'!$CK$6:$CK$277,'свод практик'!$J$6:$J$277,'свод субъектов ИБ+смежные'!BT$1,'свод практик'!$G$6:$G$277,"суб")</f>
        <v>35</v>
      </c>
      <c r="BU191" s="208">
        <f>SUMIFS('свод практик'!$CK$6:$CK$277,'свод практик'!$J$6:$J$277,'свод субъектов ИБ+смежные'!BU$1,'свод практик'!$G$6:$G$277,"суб")</f>
        <v>10</v>
      </c>
      <c r="BV191" s="208">
        <f>SUMIFS('свод практик'!$CK$6:$CK$277,'свод практик'!$J$6:$J$277,'свод субъектов ИБ+смежные'!BV$1,'свод практик'!$G$6:$G$277,"суб")</f>
        <v>0</v>
      </c>
      <c r="BW191" s="208">
        <f>SUMIFS('свод практик'!$CK$6:$CK$277,'свод практик'!$J$6:$J$277,'свод субъектов ИБ+смежные'!BW$1,'свод практик'!$G$6:$G$277,"суб")</f>
        <v>3</v>
      </c>
      <c r="BX191" s="208">
        <f>SUMIFS('свод практик'!$CK$6:$CK$277,'свод практик'!$J$6:$J$277,'свод субъектов ИБ+смежные'!BX$1,'свод практик'!$G$6:$G$277,"суб")</f>
        <v>5</v>
      </c>
      <c r="BY191" s="208">
        <f>SUMIFS('свод практик'!$CK$6:$CK$277,'свод практик'!$J$6:$J$277,'свод субъектов ИБ+смежные'!BY$1,'свод практик'!$G$6:$G$277,"суб")</f>
        <v>0</v>
      </c>
      <c r="BZ191" s="208">
        <f>SUMIFS('свод практик'!$CK$6:$CK$277,'свод практик'!$J$6:$J$277,'свод субъектов ИБ+смежные'!BZ$1,'свод практик'!$G$6:$G$277,"суб")</f>
        <v>0</v>
      </c>
      <c r="CA191" s="208">
        <f>SUMIFS('свод практик'!$CK$6:$CK$277,'свод практик'!$J$6:$J$277,'свод субъектов ИБ+смежные'!CA$1,'свод практик'!$G$6:$G$277,"суб")</f>
        <v>0</v>
      </c>
      <c r="CB191" s="208">
        <f>SUMIFS('свод практик'!$CK$6:$CK$277,'свод практик'!$J$6:$J$277,'свод субъектов ИБ+смежные'!CB$1,'свод практик'!$G$6:$G$277,"суб")</f>
        <v>0</v>
      </c>
      <c r="CC191" s="208">
        <f>SUMIFS('свод практик'!$CK$6:$CK$277,'свод практик'!$J$6:$J$277,'свод субъектов ИБ+смежные'!CC$1,'свод практик'!$G$6:$G$277,"суб")</f>
        <v>0</v>
      </c>
      <c r="CD191" s="208">
        <f>SUMIFS('свод практик'!$CK$6:$CK$277,'свод практик'!$J$6:$J$277,'свод субъектов ИБ+смежные'!CD$1,'свод практик'!$G$6:$G$277,"суб")</f>
        <v>6</v>
      </c>
      <c r="CE191" s="208">
        <f>SUMIFS('свод практик'!$CK$6:$CK$277,'свод практик'!$J$6:$J$277,'свод субъектов ИБ+смежные'!CE$1,'свод практик'!$G$6:$G$277,"суб")</f>
        <v>26</v>
      </c>
      <c r="CF191" s="208">
        <f>SUMIFS('свод практик'!$CK$6:$CK$277,'свод практик'!$J$6:$J$277,'свод субъектов ИБ+смежные'!CF$1,'свод практик'!$G$6:$G$277,"суб")</f>
        <v>352</v>
      </c>
      <c r="CG191" s="208">
        <f>SUMIFS('свод практик'!$CK$6:$CK$277,'свод практик'!$J$6:$J$277,'свод субъектов ИБ+смежные'!CG$1,'свод практик'!$G$6:$G$277,"суб")</f>
        <v>13</v>
      </c>
      <c r="CH191" s="208">
        <f>SUMIFS('свод практик'!$CK$6:$CK$277,'свод практик'!$J$6:$J$277,'свод субъектов ИБ+смежные'!CH$1,'свод практик'!$G$6:$G$277,"суб")</f>
        <v>6</v>
      </c>
      <c r="CI191" s="208">
        <f>SUMIFS('свод практик'!$CK$6:$CK$277,'свод практик'!$J$6:$J$277,'свод субъектов ИБ+смежные'!CI$1,'свод практик'!$G$6:$G$277,"суб")</f>
        <v>0</v>
      </c>
      <c r="CJ191" s="208">
        <f>SUMIFS('свод практик'!$CK$6:$CK$277,'свод практик'!$J$6:$J$277,'свод субъектов ИБ+смежные'!CJ$1,'свод практик'!$G$6:$G$277,"суб")</f>
        <v>0</v>
      </c>
      <c r="CK191" s="208">
        <f>SUMIFS('свод практик'!$CK$6:$CK$277,'свод практик'!$J$6:$J$277,'свод субъектов ИБ+смежные'!CK$1,'свод практик'!$G$6:$G$277,"суб")</f>
        <v>0</v>
      </c>
      <c r="CL191" s="208">
        <f>SUMIFS('свод практик'!$CK$6:$CK$277,'свод практик'!$J$6:$J$277,'свод субъектов ИБ+смежные'!CL$1,'свод практик'!$G$6:$G$277,"суб")</f>
        <v>5</v>
      </c>
      <c r="CM191" s="208">
        <f>SUMIFS('свод практик'!$CK$6:$CK$277,'свод практик'!$J$6:$J$277,'свод субъектов ИБ+смежные'!CM$1,'свод практик'!$G$6:$G$277,"суб")</f>
        <v>8</v>
      </c>
      <c r="CN191" s="208">
        <f>SUMIFS('свод практик'!$CK$6:$CK$277,'свод практик'!$J$6:$J$277,'свод субъектов ИБ+смежные'!CN$1,'свод практик'!$G$6:$G$277,"суб")</f>
        <v>9</v>
      </c>
      <c r="CO191" s="208">
        <f>SUMIFS('свод практик'!$CK$6:$CK$277,'свод практик'!$J$6:$J$277,'свод субъектов ИБ+смежные'!CO$1,'свод практик'!$G$6:$G$277,"суб")</f>
        <v>0</v>
      </c>
      <c r="CP191" s="208">
        <f>SUMIFS('свод практик'!$CK$6:$CK$277,'свод практик'!$J$6:$J$277,'свод субъектов ИБ+смежные'!CP$1,'свод практик'!$G$6:$G$277,"суб")</f>
        <v>0</v>
      </c>
      <c r="CQ191" s="208">
        <f>SUMIFS('свод практик'!$CK$6:$CK$277,'свод практик'!$J$6:$J$277,'свод субъектов ИБ+смежные'!CQ$1,'свод практик'!$G$6:$G$277,"суб")</f>
        <v>0</v>
      </c>
      <c r="CR191" s="208">
        <f>SUMIFS('свод практик'!$CK$6:$CK$277,'свод практик'!$J$6:$J$277,'свод субъектов ИБ+смежные'!CR$1,'свод практик'!$G$6:$G$277,"суб")</f>
        <v>0</v>
      </c>
      <c r="CS191" s="208">
        <f>SUMIFS('свод практик'!$CK$6:$CK$277,'свод практик'!$J$6:$J$277,'свод субъектов ИБ+смежные'!CS$1,'свод практик'!$G$6:$G$277,"суб")</f>
        <v>54</v>
      </c>
      <c r="CT191" s="208">
        <f>SUMIFS('свод практик'!$CK$6:$CK$277,'свод практик'!$J$6:$J$277,'свод субъектов ИБ+смежные'!CT$1,'свод практик'!$G$6:$G$277,"суб")</f>
        <v>0</v>
      </c>
      <c r="CU191" s="208">
        <f>SUMIFS('свод практик'!$CK$6:$CK$277,'свод практик'!$J$6:$J$277,'свод субъектов ИБ+смежные'!CU$1,'свод практик'!$G$6:$G$277,"суб")</f>
        <v>0</v>
      </c>
      <c r="CV191" s="208">
        <f>SUMIFS('свод практик'!$CK$6:$CK$277,'свод практик'!$J$6:$J$277,'свод субъектов ИБ+смежные'!CV$1,'свод практик'!$G$6:$G$277,"суб")</f>
        <v>0</v>
      </c>
    </row>
    <row r="192" spans="4:100" ht="15">
      <c r="D192" s="36" t="s">
        <v>4949</v>
      </c>
      <c r="E192" s="36">
        <v>73</v>
      </c>
      <c r="F192" s="36" t="s">
        <v>5595</v>
      </c>
      <c r="H192" s="36" t="s">
        <v>60</v>
      </c>
      <c r="M192" s="36" t="s">
        <v>5497</v>
      </c>
      <c r="N192" s="36">
        <v>4.9761455675135915E-2</v>
      </c>
      <c r="O192" s="224">
        <f t="shared" si="120"/>
        <v>0</v>
      </c>
      <c r="Q192" s="191"/>
      <c r="R192" s="191"/>
      <c r="S192" s="192"/>
      <c r="T192" s="194"/>
      <c r="U192" s="194"/>
    </row>
    <row r="193" spans="1:100" ht="28">
      <c r="D193" s="36" t="s">
        <v>4949</v>
      </c>
      <c r="E193" s="36">
        <v>74</v>
      </c>
      <c r="F193" s="36" t="s">
        <v>5596</v>
      </c>
      <c r="G193" s="36" t="s">
        <v>5178</v>
      </c>
      <c r="H193" s="36" t="s">
        <v>5140</v>
      </c>
      <c r="L193" s="36" t="s">
        <v>278</v>
      </c>
      <c r="M193" s="36" t="s">
        <v>5497</v>
      </c>
      <c r="N193" s="36">
        <v>578</v>
      </c>
      <c r="O193" s="224">
        <f t="shared" si="120"/>
        <v>750</v>
      </c>
      <c r="P193" s="208">
        <f>SUMIFS('свод практик'!$CL$6:$CL$277,'свод практик'!$J$6:$J$277,'свод субъектов ИБ+смежные'!P$1,'свод практик'!$G$6:$G$277,"суб")</f>
        <v>0</v>
      </c>
      <c r="Q193" s="208">
        <f>SUMIFS('свод практик'!$CL$6:$CL$277,'свод практик'!$J$6:$J$277,'свод субъектов ИБ+смежные'!Q$1,'свод практик'!$G$6:$G$277,"суб")</f>
        <v>0</v>
      </c>
      <c r="R193" s="208">
        <f>SUMIFS('свод практик'!$CL$6:$CL$277,'свод практик'!$J$6:$J$277,'свод субъектов ИБ+смежные'!R$1,'свод практик'!$G$6:$G$277,"суб")</f>
        <v>0</v>
      </c>
      <c r="S193" s="208">
        <f>SUMIFS('свод практик'!$CL$6:$CL$277,'свод практик'!$J$6:$J$277,'свод субъектов ИБ+смежные'!S$1,'свод практик'!$G$6:$G$277,"суб")</f>
        <v>0</v>
      </c>
      <c r="T193" s="208">
        <f>SUMIFS('свод практик'!$CL$6:$CL$277,'свод практик'!$J$6:$J$277,'свод субъектов ИБ+смежные'!T$1,'свод практик'!$G$6:$G$277,"суб")</f>
        <v>6</v>
      </c>
      <c r="U193" s="208">
        <f>SUMIFS('свод практик'!$CL$6:$CL$277,'свод практик'!$J$6:$J$277,'свод субъектов ИБ+смежные'!U$1,'свод практик'!$G$6:$G$277,"суб")</f>
        <v>0</v>
      </c>
      <c r="V193" s="208">
        <f>SUMIFS('свод практик'!$CL$6:$CL$277,'свод практик'!$J$6:$J$277,'свод субъектов ИБ+смежные'!V$1,'свод практик'!$G$6:$G$277,"суб")</f>
        <v>91</v>
      </c>
      <c r="W193" s="208">
        <f>SUMIFS('свод практик'!$CL$6:$CL$277,'свод практик'!$J$6:$J$277,'свод субъектов ИБ+смежные'!W$1,'свод практик'!$G$6:$G$277,"суб")</f>
        <v>1</v>
      </c>
      <c r="X193" s="208">
        <f>SUMIFS('свод практик'!$CL$6:$CL$277,'свод практик'!$J$6:$J$277,'свод субъектов ИБ+смежные'!X$1,'свод практик'!$G$6:$G$277,"суб")</f>
        <v>0</v>
      </c>
      <c r="Y193" s="208">
        <f>SUMIFS('свод практик'!$CL$6:$CL$277,'свод практик'!$J$6:$J$277,'свод субъектов ИБ+смежные'!Y$1,'свод практик'!$G$6:$G$277,"суб")</f>
        <v>0</v>
      </c>
      <c r="Z193" s="208">
        <f>SUMIFS('свод практик'!$CL$6:$CL$277,'свод практик'!$J$6:$J$277,'свод субъектов ИБ+смежные'!Z$1,'свод практик'!$G$6:$G$277,"суб")</f>
        <v>7</v>
      </c>
      <c r="AA193" s="208">
        <f>SUMIFS('свод практик'!$CL$6:$CL$277,'свод практик'!$J$6:$J$277,'свод субъектов ИБ+смежные'!AA$1,'свод практик'!$G$6:$G$277,"суб")</f>
        <v>0</v>
      </c>
      <c r="AB193" s="208">
        <f>SUMIFS('свод практик'!$CL$6:$CL$277,'свод практик'!$J$6:$J$277,'свод субъектов ИБ+смежные'!AB$1,'свод практик'!$G$6:$G$277,"суб")</f>
        <v>9</v>
      </c>
      <c r="AC193" s="208">
        <f>SUMIFS('свод практик'!$CL$6:$CL$277,'свод практик'!$J$6:$J$277,'свод субъектов ИБ+смежные'!AC$1,'свод практик'!$G$6:$G$277,"суб")</f>
        <v>0</v>
      </c>
      <c r="AD193" s="208">
        <f>SUMIFS('свод практик'!$CL$6:$CL$277,'свод практик'!$J$6:$J$277,'свод субъектов ИБ+смежные'!AD$1,'свод практик'!$G$6:$G$277,"суб")</f>
        <v>0</v>
      </c>
      <c r="AE193" s="208">
        <f>SUMIFS('свод практик'!$CL$6:$CL$277,'свод практик'!$J$6:$J$277,'свод субъектов ИБ+смежные'!AE$1,'свод практик'!$G$6:$G$277,"суб")</f>
        <v>0</v>
      </c>
      <c r="AF193" s="208">
        <f>SUMIFS('свод практик'!$CL$6:$CL$277,'свод практик'!$J$6:$J$277,'свод субъектов ИБ+смежные'!AF$1,'свод практик'!$G$6:$G$277,"суб")</f>
        <v>0</v>
      </c>
      <c r="AG193" s="208">
        <f>SUMIFS('свод практик'!$CL$6:$CL$277,'свод практик'!$J$6:$J$277,'свод субъектов ИБ+смежные'!AG$1,'свод практик'!$G$6:$G$277,"суб")</f>
        <v>0</v>
      </c>
      <c r="AH193" s="208">
        <f>SUMIFS('свод практик'!$CL$6:$CL$277,'свод практик'!$J$6:$J$277,'свод субъектов ИБ+смежные'!AH$1,'свод практик'!$G$6:$G$277,"суб")</f>
        <v>0</v>
      </c>
      <c r="AI193" s="208">
        <f>SUMIFS('свод практик'!$CL$6:$CL$277,'свод практик'!$J$6:$J$277,'свод субъектов ИБ+смежные'!AI$1,'свод практик'!$G$6:$G$277,"суб")</f>
        <v>31</v>
      </c>
      <c r="AJ193" s="208">
        <f>SUMIFS('свод практик'!$CL$6:$CL$277,'свод практик'!$J$6:$J$277,'свод субъектов ИБ+смежные'!AJ$1,'свод практик'!$G$6:$G$277,"суб")</f>
        <v>0</v>
      </c>
      <c r="AK193" s="208">
        <f>SUMIFS('свод практик'!$CL$6:$CL$277,'свод практик'!$J$6:$J$277,'свод субъектов ИБ+смежные'!AK$1,'свод практик'!$G$6:$G$277,"суб")</f>
        <v>152</v>
      </c>
      <c r="AL193" s="208">
        <f>SUMIFS('свод практик'!$CL$6:$CL$277,'свод практик'!$J$6:$J$277,'свод субъектов ИБ+смежные'!AL$1,'свод практик'!$G$6:$G$277,"суб")</f>
        <v>0</v>
      </c>
      <c r="AM193" s="208">
        <f>SUMIFS('свод практик'!$CL$6:$CL$277,'свод практик'!$J$6:$J$277,'свод субъектов ИБ+смежные'!AM$1,'свод практик'!$G$6:$G$277,"суб")</f>
        <v>0</v>
      </c>
      <c r="AN193" s="208">
        <f>SUMIFS('свод практик'!$CL$6:$CL$277,'свод практик'!$J$6:$J$277,'свод субъектов ИБ+смежные'!AN$1,'свод практик'!$G$6:$G$277,"суб")</f>
        <v>0</v>
      </c>
      <c r="AO193" s="208">
        <f>SUMIFS('свод практик'!$CL$6:$CL$277,'свод практик'!$J$6:$J$277,'свод субъектов ИБ+смежные'!AO$1,'свод практик'!$G$6:$G$277,"суб")</f>
        <v>0</v>
      </c>
      <c r="AP193" s="208">
        <f>SUMIFS('свод практик'!$CL$6:$CL$277,'свод практик'!$J$6:$J$277,'свод субъектов ИБ+смежные'!AP$1,'свод практик'!$G$6:$G$277,"суб")</f>
        <v>0</v>
      </c>
      <c r="AQ193" s="208">
        <f>SUMIFS('свод практик'!$CL$6:$CL$277,'свод практик'!$J$6:$J$277,'свод субъектов ИБ+смежные'!AQ$1,'свод практик'!$G$6:$G$277,"суб")</f>
        <v>0</v>
      </c>
      <c r="AR193" s="208">
        <f>SUMIFS('свод практик'!$CL$6:$CL$277,'свод практик'!$J$6:$J$277,'свод субъектов ИБ+смежные'!AR$1,'свод практик'!$G$6:$G$277,"суб")</f>
        <v>15</v>
      </c>
      <c r="AS193" s="208">
        <f>SUMIFS('свод практик'!$CL$6:$CL$277,'свод практик'!$J$6:$J$277,'свод субъектов ИБ+смежные'!AS$1,'свод практик'!$G$6:$G$277,"суб")</f>
        <v>5</v>
      </c>
      <c r="AT193" s="208">
        <f>SUMIFS('свод практик'!$CL$6:$CL$277,'свод практик'!$J$6:$J$277,'свод субъектов ИБ+смежные'!AT$1,'свод практик'!$G$6:$G$277,"суб")</f>
        <v>0</v>
      </c>
      <c r="AU193" s="208">
        <f>SUMIFS('свод практик'!$CL$6:$CL$277,'свод практик'!$J$6:$J$277,'свод субъектов ИБ+смежные'!AU$1,'свод практик'!$G$6:$G$277,"суб")</f>
        <v>0</v>
      </c>
      <c r="AV193" s="208">
        <f>SUMIFS('свод практик'!$CL$6:$CL$277,'свод практик'!$J$6:$J$277,'свод субъектов ИБ+смежные'!AV$1,'свод практик'!$G$6:$G$277,"суб")</f>
        <v>0</v>
      </c>
      <c r="AW193" s="208">
        <f>SUMIFS('свод практик'!$CL$6:$CL$277,'свод практик'!$J$6:$J$277,'свод субъектов ИБ+смежные'!AW$1,'свод практик'!$G$6:$G$277,"суб")</f>
        <v>0</v>
      </c>
      <c r="AX193" s="208">
        <f>SUMIFS('свод практик'!$CL$6:$CL$277,'свод практик'!$J$6:$J$277,'свод субъектов ИБ+смежные'!AX$1,'свод практик'!$G$6:$G$277,"суб")</f>
        <v>0</v>
      </c>
      <c r="AY193" s="208">
        <f>SUMIFS('свод практик'!$CL$6:$CL$277,'свод практик'!$J$6:$J$277,'свод субъектов ИБ+смежные'!AY$1,'свод практик'!$G$6:$G$277,"суб")</f>
        <v>0</v>
      </c>
      <c r="AZ193" s="208">
        <f>SUMIFS('свод практик'!$CL$6:$CL$277,'свод практик'!$J$6:$J$277,'свод субъектов ИБ+смежные'!AZ$1,'свод практик'!$G$6:$G$277,"суб")</f>
        <v>42</v>
      </c>
      <c r="BA193" s="208">
        <f>SUMIFS('свод практик'!$CL$6:$CL$277,'свод практик'!$J$6:$J$277,'свод субъектов ИБ+смежные'!BA$1,'свод практик'!$G$6:$G$277,"суб")</f>
        <v>0</v>
      </c>
      <c r="BB193" s="208">
        <f>SUMIFS('свод практик'!$CL$6:$CL$277,'свод практик'!$J$6:$J$277,'свод субъектов ИБ+смежные'!BB$1,'свод практик'!$G$6:$G$277,"суб")</f>
        <v>0</v>
      </c>
      <c r="BC193" s="208">
        <f>SUMIFS('свод практик'!$CL$6:$CL$277,'свод практик'!$J$6:$J$277,'свод субъектов ИБ+смежные'!BC$1,'свод практик'!$G$6:$G$277,"суб")</f>
        <v>0</v>
      </c>
      <c r="BD193" s="208">
        <f>SUMIFS('свод практик'!$CL$6:$CL$277,'свод практик'!$J$6:$J$277,'свод субъектов ИБ+смежные'!BD$1,'свод практик'!$G$6:$G$277,"суб")</f>
        <v>0</v>
      </c>
      <c r="BE193" s="208">
        <f>SUMIFS('свод практик'!$CL$6:$CL$277,'свод практик'!$J$6:$J$277,'свод субъектов ИБ+смежные'!BE$1,'свод практик'!$G$6:$G$277,"суб")</f>
        <v>0</v>
      </c>
      <c r="BF193" s="208">
        <f>SUMIFS('свод практик'!$CL$6:$CL$277,'свод практик'!$J$6:$J$277,'свод субъектов ИБ+смежные'!BF$1,'свод практик'!$G$6:$G$277,"суб")</f>
        <v>0</v>
      </c>
      <c r="BG193" s="208">
        <f>SUMIFS('свод практик'!$CL$6:$CL$277,'свод практик'!$J$6:$J$277,'свод субъектов ИБ+смежные'!BG$1,'свод практик'!$G$6:$G$277,"суб")</f>
        <v>0</v>
      </c>
      <c r="BH193" s="208">
        <f>SUMIFS('свод практик'!$CL$6:$CL$277,'свод практик'!$J$6:$J$277,'свод субъектов ИБ+смежные'!BH$1,'свод практик'!$G$6:$G$277,"суб")</f>
        <v>0</v>
      </c>
      <c r="BI193" s="208">
        <f>SUMIFS('свод практик'!$CL$6:$CL$277,'свод практик'!$J$6:$J$277,'свод субъектов ИБ+смежные'!BI$1,'свод практик'!$G$6:$G$277,"суб")</f>
        <v>0</v>
      </c>
      <c r="BJ193" s="208">
        <f>SUMIFS('свод практик'!$CL$6:$CL$277,'свод практик'!$J$6:$J$277,'свод субъектов ИБ+смежные'!BJ$1,'свод практик'!$G$6:$G$277,"суб")</f>
        <v>2</v>
      </c>
      <c r="BK193" s="208">
        <f>SUMIFS('свод практик'!$CL$6:$CL$277,'свод практик'!$J$6:$J$277,'свод субъектов ИБ+смежные'!BK$1,'свод практик'!$G$6:$G$277,"суб")</f>
        <v>1</v>
      </c>
      <c r="BL193" s="208">
        <f>SUMIFS('свод практик'!$CL$6:$CL$277,'свод практик'!$J$6:$J$277,'свод субъектов ИБ+смежные'!BL$1,'свод практик'!$G$6:$G$277,"суб")</f>
        <v>0</v>
      </c>
      <c r="BM193" s="208">
        <f>SUMIFS('свод практик'!$CL$6:$CL$277,'свод практик'!$J$6:$J$277,'свод субъектов ИБ+смежные'!BM$1,'свод практик'!$G$6:$G$277,"суб")</f>
        <v>0</v>
      </c>
      <c r="BN193" s="208">
        <f>SUMIFS('свод практик'!$CL$6:$CL$277,'свод практик'!$J$6:$J$277,'свод субъектов ИБ+смежные'!BN$1,'свод практик'!$G$6:$G$277,"суб")</f>
        <v>0</v>
      </c>
      <c r="BO193" s="208">
        <f>SUMIFS('свод практик'!$CL$6:$CL$277,'свод практик'!$J$6:$J$277,'свод субъектов ИБ+смежные'!BO$1,'свод практик'!$G$6:$G$277,"суб")</f>
        <v>0</v>
      </c>
      <c r="BP193" s="208">
        <f>SUMIFS('свод практик'!$CL$6:$CL$277,'свод практик'!$J$6:$J$277,'свод субъектов ИБ+смежные'!BP$1,'свод практик'!$G$6:$G$277,"суб")</f>
        <v>0</v>
      </c>
      <c r="BQ193" s="208">
        <f>SUMIFS('свод практик'!$CL$6:$CL$277,'свод практик'!$J$6:$J$277,'свод субъектов ИБ+смежные'!BQ$1,'свод практик'!$G$6:$G$277,"суб")</f>
        <v>0</v>
      </c>
      <c r="BR193" s="208">
        <f>SUMIFS('свод практик'!$CL$6:$CL$277,'свод практик'!$J$6:$J$277,'свод субъектов ИБ+смежные'!BR$1,'свод практик'!$G$6:$G$277,"суб")</f>
        <v>2</v>
      </c>
      <c r="BS193" s="208">
        <f>SUMIFS('свод практик'!$CL$6:$CL$277,'свод практик'!$J$6:$J$277,'свод субъектов ИБ+смежные'!BS$1,'свод практик'!$G$6:$G$277,"суб")</f>
        <v>0</v>
      </c>
      <c r="BT193" s="208">
        <f>SUMIFS('свод практик'!$CL$6:$CL$277,'свод практик'!$J$6:$J$277,'свод субъектов ИБ+смежные'!BT$1,'свод практик'!$G$6:$G$277,"суб")</f>
        <v>0</v>
      </c>
      <c r="BU193" s="208">
        <f>SUMIFS('свод практик'!$CL$6:$CL$277,'свод практик'!$J$6:$J$277,'свод субъектов ИБ+смежные'!BU$1,'свод практик'!$G$6:$G$277,"суб")</f>
        <v>2</v>
      </c>
      <c r="BV193" s="208">
        <f>SUMIFS('свод практик'!$CL$6:$CL$277,'свод практик'!$J$6:$J$277,'свод субъектов ИБ+смежные'!BV$1,'свод практик'!$G$6:$G$277,"суб")</f>
        <v>1</v>
      </c>
      <c r="BW193" s="208">
        <f>SUMIFS('свод практик'!$CL$6:$CL$277,'свод практик'!$J$6:$J$277,'свод субъектов ИБ+смежные'!BW$1,'свод практик'!$G$6:$G$277,"суб")</f>
        <v>0</v>
      </c>
      <c r="BX193" s="208">
        <f>SUMIFS('свод практик'!$CL$6:$CL$277,'свод практик'!$J$6:$J$277,'свод субъектов ИБ+смежные'!BX$1,'свод практик'!$G$6:$G$277,"суб")</f>
        <v>8</v>
      </c>
      <c r="BY193" s="208">
        <f>SUMIFS('свод практик'!$CL$6:$CL$277,'свод практик'!$J$6:$J$277,'свод субъектов ИБ+смежные'!BY$1,'свод практик'!$G$6:$G$277,"суб")</f>
        <v>0</v>
      </c>
      <c r="BZ193" s="208">
        <f>SUMIFS('свод практик'!$CL$6:$CL$277,'свод практик'!$J$6:$J$277,'свод субъектов ИБ+смежные'!BZ$1,'свод практик'!$G$6:$G$277,"суб")</f>
        <v>0</v>
      </c>
      <c r="CA193" s="208">
        <f>SUMIFS('свод практик'!$CL$6:$CL$277,'свод практик'!$J$6:$J$277,'свод субъектов ИБ+смежные'!CA$1,'свод практик'!$G$6:$G$277,"суб")</f>
        <v>0</v>
      </c>
      <c r="CB193" s="208">
        <f>SUMIFS('свод практик'!$CL$6:$CL$277,'свод практик'!$J$6:$J$277,'свод субъектов ИБ+смежные'!CB$1,'свод практик'!$G$6:$G$277,"суб")</f>
        <v>0</v>
      </c>
      <c r="CC193" s="208">
        <f>SUMIFS('свод практик'!$CL$6:$CL$277,'свод практик'!$J$6:$J$277,'свод субъектов ИБ+смежные'!CC$1,'свод практик'!$G$6:$G$277,"суб")</f>
        <v>0</v>
      </c>
      <c r="CD193" s="208">
        <f>SUMIFS('свод практик'!$CL$6:$CL$277,'свод практик'!$J$6:$J$277,'свод субъектов ИБ+смежные'!CD$1,'свод практик'!$G$6:$G$277,"суб")</f>
        <v>2</v>
      </c>
      <c r="CE193" s="208">
        <f>SUMIFS('свод практик'!$CL$6:$CL$277,'свод практик'!$J$6:$J$277,'свод субъектов ИБ+смежные'!CE$1,'свод практик'!$G$6:$G$277,"суб")</f>
        <v>21</v>
      </c>
      <c r="CF193" s="208">
        <f>SUMIFS('свод практик'!$CL$6:$CL$277,'свод практик'!$J$6:$J$277,'свод субъектов ИБ+смежные'!CF$1,'свод практик'!$G$6:$G$277,"суб")</f>
        <v>110</v>
      </c>
      <c r="CG193" s="208">
        <f>SUMIFS('свод практик'!$CL$6:$CL$277,'свод практик'!$J$6:$J$277,'свод субъектов ИБ+смежные'!CG$1,'свод практик'!$G$6:$G$277,"суб")</f>
        <v>8</v>
      </c>
      <c r="CH193" s="208">
        <f>SUMIFS('свод практик'!$CL$6:$CL$277,'свод практик'!$J$6:$J$277,'свод субъектов ИБ+смежные'!CH$1,'свод практик'!$G$6:$G$277,"суб")</f>
        <v>0</v>
      </c>
      <c r="CI193" s="208">
        <f>SUMIFS('свод практик'!$CL$6:$CL$277,'свод практик'!$J$6:$J$277,'свод субъектов ИБ+смежные'!CI$1,'свод практик'!$G$6:$G$277,"суб")</f>
        <v>0</v>
      </c>
      <c r="CJ193" s="208">
        <f>SUMIFS('свод практик'!$CL$6:$CL$277,'свод практик'!$J$6:$J$277,'свод субъектов ИБ+смежные'!CJ$1,'свод практик'!$G$6:$G$277,"суб")</f>
        <v>0</v>
      </c>
      <c r="CK193" s="208">
        <f>SUMIFS('свод практик'!$CL$6:$CL$277,'свод практик'!$J$6:$J$277,'свод субъектов ИБ+смежные'!CK$1,'свод практик'!$G$6:$G$277,"суб")</f>
        <v>0</v>
      </c>
      <c r="CL193" s="208">
        <f>SUMIFS('свод практик'!$CL$6:$CL$277,'свод практик'!$J$6:$J$277,'свод субъектов ИБ+смежные'!CL$1,'свод практик'!$G$6:$G$277,"суб")</f>
        <v>0</v>
      </c>
      <c r="CM193" s="208">
        <f>SUMIFS('свод практик'!$CL$6:$CL$277,'свод практик'!$J$6:$J$277,'свод субъектов ИБ+смежные'!CM$1,'свод практик'!$G$6:$G$277,"суб")</f>
        <v>0</v>
      </c>
      <c r="CN193" s="208">
        <f>SUMIFS('свод практик'!$CL$6:$CL$277,'свод практик'!$J$6:$J$277,'свод субъектов ИБ+смежные'!CN$1,'свод практик'!$G$6:$G$277,"суб")</f>
        <v>6</v>
      </c>
      <c r="CO193" s="208">
        <f>SUMIFS('свод практик'!$CL$6:$CL$277,'свод практик'!$J$6:$J$277,'свод субъектов ИБ+смежные'!CO$1,'свод практик'!$G$6:$G$277,"суб")</f>
        <v>0</v>
      </c>
      <c r="CP193" s="208">
        <f>SUMIFS('свод практик'!$CL$6:$CL$277,'свод практик'!$J$6:$J$277,'свод субъектов ИБ+смежные'!CP$1,'свод практик'!$G$6:$G$277,"суб")</f>
        <v>0</v>
      </c>
      <c r="CQ193" s="208">
        <f>SUMIFS('свод практик'!$CL$6:$CL$277,'свод практик'!$J$6:$J$277,'свод субъектов ИБ+смежные'!CQ$1,'свод практик'!$G$6:$G$277,"суб")</f>
        <v>0</v>
      </c>
      <c r="CR193" s="208">
        <f>SUMIFS('свод практик'!$CL$6:$CL$277,'свод практик'!$J$6:$J$277,'свод субъектов ИБ+смежные'!CR$1,'свод практик'!$G$6:$G$277,"суб")</f>
        <v>0</v>
      </c>
      <c r="CS193" s="208">
        <f>SUMIFS('свод практик'!$CL$6:$CL$277,'свод практик'!$J$6:$J$277,'свод субъектов ИБ+смежные'!CS$1,'свод практик'!$G$6:$G$277,"суб")</f>
        <v>228</v>
      </c>
      <c r="CT193" s="208">
        <f>SUMIFS('свод практик'!$CL$6:$CL$277,'свод практик'!$J$6:$J$277,'свод субъектов ИБ+смежные'!CT$1,'свод практик'!$G$6:$G$277,"суб")</f>
        <v>0</v>
      </c>
      <c r="CU193" s="208">
        <f>SUMIFS('свод практик'!$CL$6:$CL$277,'свод практик'!$J$6:$J$277,'свод субъектов ИБ+смежные'!CU$1,'свод практик'!$G$6:$G$277,"суб")</f>
        <v>0</v>
      </c>
      <c r="CV193" s="208">
        <f>SUMIFS('свод практик'!$CL$6:$CL$277,'свод практик'!$J$6:$J$277,'свод субъектов ИБ+смежные'!CV$1,'свод практик'!$G$6:$G$277,"суб")</f>
        <v>0</v>
      </c>
    </row>
    <row r="194" spans="1:100" ht="15">
      <c r="D194" s="36" t="s">
        <v>4949</v>
      </c>
      <c r="E194" s="36">
        <v>75</v>
      </c>
      <c r="F194" s="36" t="s">
        <v>5597</v>
      </c>
      <c r="H194" s="36" t="s">
        <v>60</v>
      </c>
      <c r="M194" s="36" t="s">
        <v>5497</v>
      </c>
      <c r="N194" s="36">
        <v>3.2064795295684012E-2</v>
      </c>
      <c r="O194" s="224">
        <f t="shared" si="120"/>
        <v>0</v>
      </c>
      <c r="Q194" s="191"/>
      <c r="R194" s="191"/>
      <c r="S194" s="192"/>
      <c r="T194" s="194"/>
      <c r="U194" s="194"/>
    </row>
    <row r="195" spans="1:100" ht="28">
      <c r="D195" s="36" t="s">
        <v>4949</v>
      </c>
      <c r="E195" s="36">
        <v>76</v>
      </c>
      <c r="F195" s="36" t="s">
        <v>5598</v>
      </c>
      <c r="G195" s="36" t="s">
        <v>5181</v>
      </c>
      <c r="H195" s="36" t="s">
        <v>5140</v>
      </c>
      <c r="L195" s="36" t="s">
        <v>278</v>
      </c>
      <c r="M195" s="36" t="s">
        <v>5497</v>
      </c>
      <c r="N195" s="36">
        <v>546</v>
      </c>
      <c r="O195" s="224">
        <f t="shared" si="120"/>
        <v>55</v>
      </c>
      <c r="P195" s="208">
        <f>SUMIFS('свод практик'!$CM$6:$CM$277,'свод практик'!$J$6:$J$277,'свод субъектов ИБ+смежные'!P$1,'свод практик'!$G$6:$G$277,"суб")</f>
        <v>0</v>
      </c>
      <c r="Q195" s="208">
        <f>SUMIFS('свод практик'!$CM$6:$CM$277,'свод практик'!$J$6:$J$277,'свод субъектов ИБ+смежные'!Q$1,'свод практик'!$G$6:$G$277,"суб")</f>
        <v>0</v>
      </c>
      <c r="R195" s="208">
        <f>SUMIFS('свод практик'!$CM$6:$CM$277,'свод практик'!$J$6:$J$277,'свод субъектов ИБ+смежные'!R$1,'свод практик'!$G$6:$G$277,"суб")</f>
        <v>0</v>
      </c>
      <c r="S195" s="208">
        <f>SUMIFS('свод практик'!$CM$6:$CM$277,'свод практик'!$J$6:$J$277,'свод субъектов ИБ+смежные'!S$1,'свод практик'!$G$6:$G$277,"суб")</f>
        <v>0</v>
      </c>
      <c r="T195" s="208">
        <f>SUMIFS('свод практик'!$CM$6:$CM$277,'свод практик'!$J$6:$J$277,'свод субъектов ИБ+смежные'!T$1,'свод практик'!$G$6:$G$277,"суб")</f>
        <v>0</v>
      </c>
      <c r="U195" s="208">
        <f>SUMIFS('свод практик'!$CM$6:$CM$277,'свод практик'!$J$6:$J$277,'свод субъектов ИБ+смежные'!U$1,'свод практик'!$G$6:$G$277,"суб")</f>
        <v>0</v>
      </c>
      <c r="V195" s="208">
        <f>SUMIFS('свод практик'!$CM$6:$CM$277,'свод практик'!$J$6:$J$277,'свод субъектов ИБ+смежные'!V$1,'свод практик'!$G$6:$G$277,"суб")</f>
        <v>0</v>
      </c>
      <c r="W195" s="208">
        <f>SUMIFS('свод практик'!$CM$6:$CM$277,'свод практик'!$J$6:$J$277,'свод субъектов ИБ+смежные'!W$1,'свод практик'!$G$6:$G$277,"суб")</f>
        <v>1</v>
      </c>
      <c r="X195" s="208">
        <f>SUMIFS('свод практик'!$CM$6:$CM$277,'свод практик'!$J$6:$J$277,'свод субъектов ИБ+смежные'!X$1,'свод практик'!$G$6:$G$277,"суб")</f>
        <v>0</v>
      </c>
      <c r="Y195" s="208">
        <f>SUMIFS('свод практик'!$CM$6:$CM$277,'свод практик'!$J$6:$J$277,'свод субъектов ИБ+смежные'!Y$1,'свод практик'!$G$6:$G$277,"суб")</f>
        <v>0</v>
      </c>
      <c r="Z195" s="208">
        <f>SUMIFS('свод практик'!$CM$6:$CM$277,'свод практик'!$J$6:$J$277,'свод субъектов ИБ+смежные'!Z$1,'свод практик'!$G$6:$G$277,"суб")</f>
        <v>0</v>
      </c>
      <c r="AA195" s="208">
        <f>SUMIFS('свод практик'!$CM$6:$CM$277,'свод практик'!$J$6:$J$277,'свод субъектов ИБ+смежные'!AA$1,'свод практик'!$G$6:$G$277,"суб")</f>
        <v>0</v>
      </c>
      <c r="AB195" s="208">
        <f>SUMIFS('свод практик'!$CM$6:$CM$277,'свод практик'!$J$6:$J$277,'свод субъектов ИБ+смежные'!AB$1,'свод практик'!$G$6:$G$277,"суб")</f>
        <v>0</v>
      </c>
      <c r="AC195" s="208">
        <f>SUMIFS('свод практик'!$CM$6:$CM$277,'свод практик'!$J$6:$J$277,'свод субъектов ИБ+смежные'!AC$1,'свод практик'!$G$6:$G$277,"суб")</f>
        <v>0</v>
      </c>
      <c r="AD195" s="208">
        <f>SUMIFS('свод практик'!$CM$6:$CM$277,'свод практик'!$J$6:$J$277,'свод субъектов ИБ+смежные'!AD$1,'свод практик'!$G$6:$G$277,"суб")</f>
        <v>0</v>
      </c>
      <c r="AE195" s="208">
        <f>SUMIFS('свод практик'!$CM$6:$CM$277,'свод практик'!$J$6:$J$277,'свод субъектов ИБ+смежные'!AE$1,'свод практик'!$G$6:$G$277,"суб")</f>
        <v>0</v>
      </c>
      <c r="AF195" s="208">
        <f>SUMIFS('свод практик'!$CM$6:$CM$277,'свод практик'!$J$6:$J$277,'свод субъектов ИБ+смежные'!AF$1,'свод практик'!$G$6:$G$277,"суб")</f>
        <v>0</v>
      </c>
      <c r="AG195" s="208">
        <f>SUMIFS('свод практик'!$CM$6:$CM$277,'свод практик'!$J$6:$J$277,'свод субъектов ИБ+смежные'!AG$1,'свод практик'!$G$6:$G$277,"суб")</f>
        <v>0</v>
      </c>
      <c r="AH195" s="208">
        <f>SUMIFS('свод практик'!$CM$6:$CM$277,'свод практик'!$J$6:$J$277,'свод субъектов ИБ+смежные'!AH$1,'свод практик'!$G$6:$G$277,"суб")</f>
        <v>0</v>
      </c>
      <c r="AI195" s="208">
        <f>SUMIFS('свод практик'!$CM$6:$CM$277,'свод практик'!$J$6:$J$277,'свод субъектов ИБ+смежные'!AI$1,'свод практик'!$G$6:$G$277,"суб")</f>
        <v>0</v>
      </c>
      <c r="AJ195" s="208">
        <f>SUMIFS('свод практик'!$CM$6:$CM$277,'свод практик'!$J$6:$J$277,'свод субъектов ИБ+смежные'!AJ$1,'свод практик'!$G$6:$G$277,"суб")</f>
        <v>0</v>
      </c>
      <c r="AK195" s="208">
        <f>SUMIFS('свод практик'!$CM$6:$CM$277,'свод практик'!$J$6:$J$277,'свод субъектов ИБ+смежные'!AK$1,'свод практик'!$G$6:$G$277,"суб")</f>
        <v>0</v>
      </c>
      <c r="AL195" s="208">
        <f>SUMIFS('свод практик'!$CM$6:$CM$277,'свод практик'!$J$6:$J$277,'свод субъектов ИБ+смежные'!AL$1,'свод практик'!$G$6:$G$277,"суб")</f>
        <v>0</v>
      </c>
      <c r="AM195" s="208">
        <f>SUMIFS('свод практик'!$CM$6:$CM$277,'свод практик'!$J$6:$J$277,'свод субъектов ИБ+смежные'!AM$1,'свод практик'!$G$6:$G$277,"суб")</f>
        <v>0</v>
      </c>
      <c r="AN195" s="208">
        <f>SUMIFS('свод практик'!$CM$6:$CM$277,'свод практик'!$J$6:$J$277,'свод субъектов ИБ+смежные'!AN$1,'свод практик'!$G$6:$G$277,"суб")</f>
        <v>0</v>
      </c>
      <c r="AO195" s="208">
        <f>SUMIFS('свод практик'!$CM$6:$CM$277,'свод практик'!$J$6:$J$277,'свод субъектов ИБ+смежные'!AO$1,'свод практик'!$G$6:$G$277,"суб")</f>
        <v>0</v>
      </c>
      <c r="AP195" s="208">
        <f>SUMIFS('свод практик'!$CM$6:$CM$277,'свод практик'!$J$6:$J$277,'свод субъектов ИБ+смежные'!AP$1,'свод практик'!$G$6:$G$277,"суб")</f>
        <v>7</v>
      </c>
      <c r="AQ195" s="208">
        <f>SUMIFS('свод практик'!$CM$6:$CM$277,'свод практик'!$J$6:$J$277,'свод субъектов ИБ+смежные'!AQ$1,'свод практик'!$G$6:$G$277,"суб")</f>
        <v>0</v>
      </c>
      <c r="AR195" s="208">
        <f>SUMIFS('свод практик'!$CM$6:$CM$277,'свод практик'!$J$6:$J$277,'свод субъектов ИБ+смежные'!AR$1,'свод практик'!$G$6:$G$277,"суб")</f>
        <v>0</v>
      </c>
      <c r="AS195" s="208">
        <f>SUMIFS('свод практик'!$CM$6:$CM$277,'свод практик'!$J$6:$J$277,'свод субъектов ИБ+смежные'!AS$1,'свод практик'!$G$6:$G$277,"суб")</f>
        <v>6</v>
      </c>
      <c r="AT195" s="208">
        <f>SUMIFS('свод практик'!$CM$6:$CM$277,'свод практик'!$J$6:$J$277,'свод субъектов ИБ+смежные'!AT$1,'свод практик'!$G$6:$G$277,"суб")</f>
        <v>0</v>
      </c>
      <c r="AU195" s="208">
        <f>SUMIFS('свод практик'!$CM$6:$CM$277,'свод практик'!$J$6:$J$277,'свод субъектов ИБ+смежные'!AU$1,'свод практик'!$G$6:$G$277,"суб")</f>
        <v>0</v>
      </c>
      <c r="AV195" s="208">
        <f>SUMIFS('свод практик'!$CM$6:$CM$277,'свод практик'!$J$6:$J$277,'свод субъектов ИБ+смежные'!AV$1,'свод практик'!$G$6:$G$277,"суб")</f>
        <v>0</v>
      </c>
      <c r="AW195" s="208">
        <f>SUMIFS('свод практик'!$CM$6:$CM$277,'свод практик'!$J$6:$J$277,'свод субъектов ИБ+смежные'!AW$1,'свод практик'!$G$6:$G$277,"суб")</f>
        <v>0</v>
      </c>
      <c r="AX195" s="208">
        <f>SUMIFS('свод практик'!$CM$6:$CM$277,'свод практик'!$J$6:$J$277,'свод субъектов ИБ+смежные'!AX$1,'свод практик'!$G$6:$G$277,"суб")</f>
        <v>0</v>
      </c>
      <c r="AY195" s="208">
        <f>SUMIFS('свод практик'!$CM$6:$CM$277,'свод практик'!$J$6:$J$277,'свод субъектов ИБ+смежные'!AY$1,'свод практик'!$G$6:$G$277,"суб")</f>
        <v>0</v>
      </c>
      <c r="AZ195" s="208">
        <f>SUMIFS('свод практик'!$CM$6:$CM$277,'свод практик'!$J$6:$J$277,'свод субъектов ИБ+смежные'!AZ$1,'свод практик'!$G$6:$G$277,"суб")</f>
        <v>0</v>
      </c>
      <c r="BA195" s="208">
        <f>SUMIFS('свод практик'!$CM$6:$CM$277,'свод практик'!$J$6:$J$277,'свод субъектов ИБ+смежные'!BA$1,'свод практик'!$G$6:$G$277,"суб")</f>
        <v>0</v>
      </c>
      <c r="BB195" s="208">
        <f>SUMIFS('свод практик'!$CM$6:$CM$277,'свод практик'!$J$6:$J$277,'свод субъектов ИБ+смежные'!BB$1,'свод практик'!$G$6:$G$277,"суб")</f>
        <v>0</v>
      </c>
      <c r="BC195" s="208">
        <f>SUMIFS('свод практик'!$CM$6:$CM$277,'свод практик'!$J$6:$J$277,'свод субъектов ИБ+смежные'!BC$1,'свод практик'!$G$6:$G$277,"суб")</f>
        <v>0</v>
      </c>
      <c r="BD195" s="208">
        <f>SUMIFS('свод практик'!$CM$6:$CM$277,'свод практик'!$J$6:$J$277,'свод субъектов ИБ+смежные'!BD$1,'свод практик'!$G$6:$G$277,"суб")</f>
        <v>0</v>
      </c>
      <c r="BE195" s="208">
        <f>SUMIFS('свод практик'!$CM$6:$CM$277,'свод практик'!$J$6:$J$277,'свод субъектов ИБ+смежные'!BE$1,'свод практик'!$G$6:$G$277,"суб")</f>
        <v>0</v>
      </c>
      <c r="BF195" s="208">
        <f>SUMIFS('свод практик'!$CM$6:$CM$277,'свод практик'!$J$6:$J$277,'свод субъектов ИБ+смежные'!BF$1,'свод практик'!$G$6:$G$277,"суб")</f>
        <v>0</v>
      </c>
      <c r="BG195" s="208">
        <f>SUMIFS('свод практик'!$CM$6:$CM$277,'свод практик'!$J$6:$J$277,'свод субъектов ИБ+смежные'!BG$1,'свод практик'!$G$6:$G$277,"суб")</f>
        <v>0</v>
      </c>
      <c r="BH195" s="208">
        <f>SUMIFS('свод практик'!$CM$6:$CM$277,'свод практик'!$J$6:$J$277,'свод субъектов ИБ+смежные'!BH$1,'свод практик'!$G$6:$G$277,"суб")</f>
        <v>0</v>
      </c>
      <c r="BI195" s="208">
        <f>SUMIFS('свод практик'!$CM$6:$CM$277,'свод практик'!$J$6:$J$277,'свод субъектов ИБ+смежные'!BI$1,'свод практик'!$G$6:$G$277,"суб")</f>
        <v>0</v>
      </c>
      <c r="BJ195" s="208">
        <f>SUMIFS('свод практик'!$CM$6:$CM$277,'свод практик'!$J$6:$J$277,'свод субъектов ИБ+смежные'!BJ$1,'свод практик'!$G$6:$G$277,"суб")</f>
        <v>0</v>
      </c>
      <c r="BK195" s="208">
        <f>SUMIFS('свод практик'!$CM$6:$CM$277,'свод практик'!$J$6:$J$277,'свод субъектов ИБ+смежные'!BK$1,'свод практик'!$G$6:$G$277,"суб")</f>
        <v>0</v>
      </c>
      <c r="BL195" s="208">
        <f>SUMIFS('свод практик'!$CM$6:$CM$277,'свод практик'!$J$6:$J$277,'свод субъектов ИБ+смежные'!BL$1,'свод практик'!$G$6:$G$277,"суб")</f>
        <v>0</v>
      </c>
      <c r="BM195" s="208">
        <f>SUMIFS('свод практик'!$CM$6:$CM$277,'свод практик'!$J$6:$J$277,'свод субъектов ИБ+смежные'!BM$1,'свод практик'!$G$6:$G$277,"суб")</f>
        <v>0</v>
      </c>
      <c r="BN195" s="208">
        <f>SUMIFS('свод практик'!$CM$6:$CM$277,'свод практик'!$J$6:$J$277,'свод субъектов ИБ+смежные'!BN$1,'свод практик'!$G$6:$G$277,"суб")</f>
        <v>0</v>
      </c>
      <c r="BO195" s="208">
        <f>SUMIFS('свод практик'!$CM$6:$CM$277,'свод практик'!$J$6:$J$277,'свод субъектов ИБ+смежные'!BO$1,'свод практик'!$G$6:$G$277,"суб")</f>
        <v>0</v>
      </c>
      <c r="BP195" s="208">
        <f>SUMIFS('свод практик'!$CM$6:$CM$277,'свод практик'!$J$6:$J$277,'свод субъектов ИБ+смежные'!BP$1,'свод практик'!$G$6:$G$277,"суб")</f>
        <v>0</v>
      </c>
      <c r="BQ195" s="208">
        <f>SUMIFS('свод практик'!$CM$6:$CM$277,'свод практик'!$J$6:$J$277,'свод субъектов ИБ+смежные'!BQ$1,'свод практик'!$G$6:$G$277,"суб")</f>
        <v>0</v>
      </c>
      <c r="BR195" s="208">
        <f>SUMIFS('свод практик'!$CM$6:$CM$277,'свод практик'!$J$6:$J$277,'свод субъектов ИБ+смежные'!BR$1,'свод практик'!$G$6:$G$277,"суб")</f>
        <v>1</v>
      </c>
      <c r="BS195" s="208">
        <f>SUMIFS('свод практик'!$CM$6:$CM$277,'свод практик'!$J$6:$J$277,'свод субъектов ИБ+смежные'!BS$1,'свод практик'!$G$6:$G$277,"суб")</f>
        <v>0</v>
      </c>
      <c r="BT195" s="208">
        <f>SUMIFS('свод практик'!$CM$6:$CM$277,'свод практик'!$J$6:$J$277,'свод субъектов ИБ+смежные'!BT$1,'свод практик'!$G$6:$G$277,"суб")</f>
        <v>0</v>
      </c>
      <c r="BU195" s="208">
        <f>SUMIFS('свод практик'!$CM$6:$CM$277,'свод практик'!$J$6:$J$277,'свод субъектов ИБ+смежные'!BU$1,'свод практик'!$G$6:$G$277,"суб")</f>
        <v>10</v>
      </c>
      <c r="BV195" s="208">
        <f>SUMIFS('свод практик'!$CM$6:$CM$277,'свод практик'!$J$6:$J$277,'свод субъектов ИБ+смежные'!BV$1,'свод практик'!$G$6:$G$277,"суб")</f>
        <v>0</v>
      </c>
      <c r="BW195" s="208">
        <f>SUMIFS('свод практик'!$CM$6:$CM$277,'свод практик'!$J$6:$J$277,'свод субъектов ИБ+смежные'!BW$1,'свод практик'!$G$6:$G$277,"суб")</f>
        <v>0</v>
      </c>
      <c r="BX195" s="208">
        <f>SUMIFS('свод практик'!$CM$6:$CM$277,'свод практик'!$J$6:$J$277,'свод субъектов ИБ+смежные'!BX$1,'свод практик'!$G$6:$G$277,"суб")</f>
        <v>0</v>
      </c>
      <c r="BY195" s="208">
        <f>SUMIFS('свод практик'!$CM$6:$CM$277,'свод практик'!$J$6:$J$277,'свод субъектов ИБ+смежные'!BY$1,'свод практик'!$G$6:$G$277,"суб")</f>
        <v>0</v>
      </c>
      <c r="BZ195" s="208">
        <f>SUMIFS('свод практик'!$CM$6:$CM$277,'свод практик'!$J$6:$J$277,'свод субъектов ИБ+смежные'!BZ$1,'свод практик'!$G$6:$G$277,"суб")</f>
        <v>0</v>
      </c>
      <c r="CA195" s="208">
        <f>SUMIFS('свод практик'!$CM$6:$CM$277,'свод практик'!$J$6:$J$277,'свод субъектов ИБ+смежные'!CA$1,'свод практик'!$G$6:$G$277,"суб")</f>
        <v>0</v>
      </c>
      <c r="CB195" s="208">
        <f>SUMIFS('свод практик'!$CM$6:$CM$277,'свод практик'!$J$6:$J$277,'свод субъектов ИБ+смежные'!CB$1,'свод практик'!$G$6:$G$277,"суб")</f>
        <v>0</v>
      </c>
      <c r="CC195" s="208">
        <f>SUMIFS('свод практик'!$CM$6:$CM$277,'свод практик'!$J$6:$J$277,'свод субъектов ИБ+смежные'!CC$1,'свод практик'!$G$6:$G$277,"суб")</f>
        <v>0</v>
      </c>
      <c r="CD195" s="208">
        <f>SUMIFS('свод практик'!$CM$6:$CM$277,'свод практик'!$J$6:$J$277,'свод субъектов ИБ+смежные'!CD$1,'свод практик'!$G$6:$G$277,"суб")</f>
        <v>0</v>
      </c>
      <c r="CE195" s="208">
        <f>SUMIFS('свод практик'!$CM$6:$CM$277,'свод практик'!$J$6:$J$277,'свод субъектов ИБ+смежные'!CE$1,'свод практик'!$G$6:$G$277,"суб")</f>
        <v>0</v>
      </c>
      <c r="CF195" s="208">
        <f>SUMIFS('свод практик'!$CM$6:$CM$277,'свод практик'!$J$6:$J$277,'свод субъектов ИБ+смежные'!CF$1,'свод практик'!$G$6:$G$277,"суб")</f>
        <v>24</v>
      </c>
      <c r="CG195" s="208">
        <f>SUMIFS('свод практик'!$CM$6:$CM$277,'свод практик'!$J$6:$J$277,'свод субъектов ИБ+смежные'!CG$1,'свод практик'!$G$6:$G$277,"суб")</f>
        <v>0</v>
      </c>
      <c r="CH195" s="208">
        <f>SUMIFS('свод практик'!$CM$6:$CM$277,'свод практик'!$J$6:$J$277,'свод субъектов ИБ+смежные'!CH$1,'свод практик'!$G$6:$G$277,"суб")</f>
        <v>0</v>
      </c>
      <c r="CI195" s="208">
        <f>SUMIFS('свод практик'!$CM$6:$CM$277,'свод практик'!$J$6:$J$277,'свод субъектов ИБ+смежные'!CI$1,'свод практик'!$G$6:$G$277,"суб")</f>
        <v>0</v>
      </c>
      <c r="CJ195" s="208">
        <f>SUMIFS('свод практик'!$CM$6:$CM$277,'свод практик'!$J$6:$J$277,'свод субъектов ИБ+смежные'!CJ$1,'свод практик'!$G$6:$G$277,"суб")</f>
        <v>0</v>
      </c>
      <c r="CK195" s="208">
        <f>SUMIFS('свод практик'!$CM$6:$CM$277,'свод практик'!$J$6:$J$277,'свод субъектов ИБ+смежные'!CK$1,'свод практик'!$G$6:$G$277,"суб")</f>
        <v>0</v>
      </c>
      <c r="CL195" s="208">
        <f>SUMIFS('свод практик'!$CM$6:$CM$277,'свод практик'!$J$6:$J$277,'свод субъектов ИБ+смежные'!CL$1,'свод практик'!$G$6:$G$277,"суб")</f>
        <v>0</v>
      </c>
      <c r="CM195" s="208">
        <f>SUMIFS('свод практик'!$CM$6:$CM$277,'свод практик'!$J$6:$J$277,'свод субъектов ИБ+смежные'!CM$1,'свод практик'!$G$6:$G$277,"суб")</f>
        <v>0</v>
      </c>
      <c r="CN195" s="208">
        <f>SUMIFS('свод практик'!$CM$6:$CM$277,'свод практик'!$J$6:$J$277,'свод субъектов ИБ+смежные'!CN$1,'свод практик'!$G$6:$G$277,"суб")</f>
        <v>6</v>
      </c>
      <c r="CO195" s="208">
        <f>SUMIFS('свод практик'!$CM$6:$CM$277,'свод практик'!$J$6:$J$277,'свод субъектов ИБ+смежные'!CO$1,'свод практик'!$G$6:$G$277,"суб")</f>
        <v>0</v>
      </c>
      <c r="CP195" s="208">
        <f>SUMIFS('свод практик'!$CM$6:$CM$277,'свод практик'!$J$6:$J$277,'свод субъектов ИБ+смежные'!CP$1,'свод практик'!$G$6:$G$277,"суб")</f>
        <v>0</v>
      </c>
      <c r="CQ195" s="208">
        <f>SUMIFS('свод практик'!$CM$6:$CM$277,'свод практик'!$J$6:$J$277,'свод субъектов ИБ+смежные'!CQ$1,'свод практик'!$G$6:$G$277,"суб")</f>
        <v>0</v>
      </c>
      <c r="CR195" s="208">
        <f>SUMIFS('свод практик'!$CM$6:$CM$277,'свод практик'!$J$6:$J$277,'свод субъектов ИБ+смежные'!CR$1,'свод практик'!$G$6:$G$277,"суб")</f>
        <v>0</v>
      </c>
      <c r="CS195" s="208">
        <f>SUMIFS('свод практик'!$CM$6:$CM$277,'свод практик'!$J$6:$J$277,'свод субъектов ИБ+смежные'!CS$1,'свод практик'!$G$6:$G$277,"суб")</f>
        <v>0</v>
      </c>
      <c r="CT195" s="208">
        <f>SUMIFS('свод практик'!$CM$6:$CM$277,'свод практик'!$J$6:$J$277,'свод субъектов ИБ+смежные'!CT$1,'свод практик'!$G$6:$G$277,"суб")</f>
        <v>0</v>
      </c>
      <c r="CU195" s="208">
        <f>SUMIFS('свод практик'!$CM$6:$CM$277,'свод практик'!$J$6:$J$277,'свод субъектов ИБ+смежные'!CU$1,'свод практик'!$G$6:$G$277,"суб")</f>
        <v>0</v>
      </c>
      <c r="CV195" s="208">
        <f>SUMIFS('свод практик'!$CM$6:$CM$277,'свод практик'!$J$6:$J$277,'свод субъектов ИБ+смежные'!CV$1,'свод практик'!$G$6:$G$277,"суб")</f>
        <v>0</v>
      </c>
    </row>
    <row r="196" spans="1:100" ht="15">
      <c r="D196" s="36" t="s">
        <v>4949</v>
      </c>
      <c r="E196" s="36">
        <v>77</v>
      </c>
      <c r="F196" s="36" t="s">
        <v>5599</v>
      </c>
      <c r="H196" s="36" t="s">
        <v>60</v>
      </c>
      <c r="M196" s="36" t="s">
        <v>5497</v>
      </c>
      <c r="N196" s="36">
        <v>3.0289581715300121E-2</v>
      </c>
      <c r="O196" s="224">
        <f t="shared" si="120"/>
        <v>0</v>
      </c>
      <c r="Q196" s="191"/>
      <c r="R196" s="191"/>
      <c r="S196" s="192"/>
      <c r="T196" s="194"/>
      <c r="U196" s="194"/>
    </row>
    <row r="197" spans="1:100" ht="42">
      <c r="D197" s="36" t="s">
        <v>4949</v>
      </c>
      <c r="E197" s="36">
        <v>78</v>
      </c>
      <c r="F197" s="36" t="s">
        <v>5600</v>
      </c>
      <c r="G197" s="36" t="s">
        <v>5184</v>
      </c>
      <c r="H197" s="36" t="s">
        <v>5140</v>
      </c>
      <c r="L197" s="36" t="s">
        <v>278</v>
      </c>
      <c r="M197" s="36" t="s">
        <v>5497</v>
      </c>
      <c r="N197" s="36">
        <v>323</v>
      </c>
      <c r="O197" s="224">
        <f t="shared" si="120"/>
        <v>167</v>
      </c>
      <c r="P197" s="208">
        <f>SUMIFS('свод практик'!$CN$6:$CN$277,'свод практик'!$J$6:$J$277,'свод субъектов ИБ+смежные'!P$1,'свод практик'!$G$6:$G$277,"суб")</f>
        <v>0</v>
      </c>
      <c r="Q197" s="208">
        <f>SUMIFS('свод практик'!$CN$6:$CN$277,'свод практик'!$J$6:$J$277,'свод субъектов ИБ+смежные'!Q$1,'свод практик'!$G$6:$G$277,"суб")</f>
        <v>0</v>
      </c>
      <c r="R197" s="208">
        <f>SUMIFS('свод практик'!$CN$6:$CN$277,'свод практик'!$J$6:$J$277,'свод субъектов ИБ+смежные'!R$1,'свод практик'!$G$6:$G$277,"суб")</f>
        <v>0</v>
      </c>
      <c r="S197" s="208">
        <f>SUMIFS('свод практик'!$CN$6:$CN$277,'свод практик'!$J$6:$J$277,'свод субъектов ИБ+смежные'!S$1,'свод практик'!$G$6:$G$277,"суб")</f>
        <v>0</v>
      </c>
      <c r="T197" s="208">
        <f>SUMIFS('свод практик'!$CN$6:$CN$277,'свод практик'!$J$6:$J$277,'свод субъектов ИБ+смежные'!T$1,'свод практик'!$G$6:$G$277,"суб")</f>
        <v>0</v>
      </c>
      <c r="U197" s="208">
        <f>SUMIFS('свод практик'!$CN$6:$CN$277,'свод практик'!$J$6:$J$277,'свод субъектов ИБ+смежные'!U$1,'свод практик'!$G$6:$G$277,"суб")</f>
        <v>0</v>
      </c>
      <c r="V197" s="208">
        <f>SUMIFS('свод практик'!$CN$6:$CN$277,'свод практик'!$J$6:$J$277,'свод субъектов ИБ+смежные'!V$1,'свод практик'!$G$6:$G$277,"суб")</f>
        <v>2</v>
      </c>
      <c r="W197" s="208">
        <f>SUMIFS('свод практик'!$CN$6:$CN$277,'свод практик'!$J$6:$J$277,'свод субъектов ИБ+смежные'!W$1,'свод практик'!$G$6:$G$277,"суб")</f>
        <v>3</v>
      </c>
      <c r="X197" s="208">
        <f>SUMIFS('свод практик'!$CN$6:$CN$277,'свод практик'!$J$6:$J$277,'свод субъектов ИБ+смежные'!X$1,'свод практик'!$G$6:$G$277,"суб")</f>
        <v>0</v>
      </c>
      <c r="Y197" s="208">
        <f>SUMIFS('свод практик'!$CN$6:$CN$277,'свод практик'!$J$6:$J$277,'свод субъектов ИБ+смежные'!Y$1,'свод практик'!$G$6:$G$277,"суб")</f>
        <v>0</v>
      </c>
      <c r="Z197" s="208">
        <f>SUMIFS('свод практик'!$CN$6:$CN$277,'свод практик'!$J$6:$J$277,'свод субъектов ИБ+смежные'!Z$1,'свод практик'!$G$6:$G$277,"суб")</f>
        <v>0</v>
      </c>
      <c r="AA197" s="208">
        <f>SUMIFS('свод практик'!$CN$6:$CN$277,'свод практик'!$J$6:$J$277,'свод субъектов ИБ+смежные'!AA$1,'свод практик'!$G$6:$G$277,"суб")</f>
        <v>0</v>
      </c>
      <c r="AB197" s="208">
        <f>SUMIFS('свод практик'!$CN$6:$CN$277,'свод практик'!$J$6:$J$277,'свод субъектов ИБ+смежные'!AB$1,'свод практик'!$G$6:$G$277,"суб")</f>
        <v>11</v>
      </c>
      <c r="AC197" s="208">
        <f>SUMIFS('свод практик'!$CN$6:$CN$277,'свод практик'!$J$6:$J$277,'свод субъектов ИБ+смежные'!AC$1,'свод практик'!$G$6:$G$277,"суб")</f>
        <v>0</v>
      </c>
      <c r="AD197" s="208">
        <f>SUMIFS('свод практик'!$CN$6:$CN$277,'свод практик'!$J$6:$J$277,'свод субъектов ИБ+смежные'!AD$1,'свод практик'!$G$6:$G$277,"суб")</f>
        <v>0</v>
      </c>
      <c r="AE197" s="208">
        <f>SUMIFS('свод практик'!$CN$6:$CN$277,'свод практик'!$J$6:$J$277,'свод субъектов ИБ+смежные'!AE$1,'свод практик'!$G$6:$G$277,"суб")</f>
        <v>0</v>
      </c>
      <c r="AF197" s="208">
        <f>SUMIFS('свод практик'!$CN$6:$CN$277,'свод практик'!$J$6:$J$277,'свод субъектов ИБ+смежные'!AF$1,'свод практик'!$G$6:$G$277,"суб")</f>
        <v>0</v>
      </c>
      <c r="AG197" s="208">
        <f>SUMIFS('свод практик'!$CN$6:$CN$277,'свод практик'!$J$6:$J$277,'свод субъектов ИБ+смежные'!AG$1,'свод практик'!$G$6:$G$277,"суб")</f>
        <v>0</v>
      </c>
      <c r="AH197" s="208">
        <f>SUMIFS('свод практик'!$CN$6:$CN$277,'свод практик'!$J$6:$J$277,'свод субъектов ИБ+смежные'!AH$1,'свод практик'!$G$6:$G$277,"суб")</f>
        <v>0</v>
      </c>
      <c r="AI197" s="208">
        <f>SUMIFS('свод практик'!$CN$6:$CN$277,'свод практик'!$J$6:$J$277,'свод субъектов ИБ+смежные'!AI$1,'свод практик'!$G$6:$G$277,"суб")</f>
        <v>0</v>
      </c>
      <c r="AJ197" s="208">
        <f>SUMIFS('свод практик'!$CN$6:$CN$277,'свод практик'!$J$6:$J$277,'свод субъектов ИБ+смежные'!AJ$1,'свод практик'!$G$6:$G$277,"суб")</f>
        <v>0</v>
      </c>
      <c r="AK197" s="208">
        <f>SUMIFS('свод практик'!$CN$6:$CN$277,'свод практик'!$J$6:$J$277,'свод субъектов ИБ+смежные'!AK$1,'свод практик'!$G$6:$G$277,"суб")</f>
        <v>12</v>
      </c>
      <c r="AL197" s="208">
        <f>SUMIFS('свод практик'!$CN$6:$CN$277,'свод практик'!$J$6:$J$277,'свод субъектов ИБ+смежные'!AL$1,'свод практик'!$G$6:$G$277,"суб")</f>
        <v>0</v>
      </c>
      <c r="AM197" s="208">
        <f>SUMIFS('свод практик'!$CN$6:$CN$277,'свод практик'!$J$6:$J$277,'свод субъектов ИБ+смежные'!AM$1,'свод практик'!$G$6:$G$277,"суб")</f>
        <v>0</v>
      </c>
      <c r="AN197" s="208">
        <f>SUMIFS('свод практик'!$CN$6:$CN$277,'свод практик'!$J$6:$J$277,'свод субъектов ИБ+смежные'!AN$1,'свод практик'!$G$6:$G$277,"суб")</f>
        <v>0</v>
      </c>
      <c r="AO197" s="208">
        <f>SUMIFS('свод практик'!$CN$6:$CN$277,'свод практик'!$J$6:$J$277,'свод субъектов ИБ+смежные'!AO$1,'свод практик'!$G$6:$G$277,"суб")</f>
        <v>0</v>
      </c>
      <c r="AP197" s="208">
        <f>SUMIFS('свод практик'!$CN$6:$CN$277,'свод практик'!$J$6:$J$277,'свод субъектов ИБ+смежные'!AP$1,'свод практик'!$G$6:$G$277,"суб")</f>
        <v>0</v>
      </c>
      <c r="AQ197" s="208">
        <f>SUMIFS('свод практик'!$CN$6:$CN$277,'свод практик'!$J$6:$J$277,'свод субъектов ИБ+смежные'!AQ$1,'свод практик'!$G$6:$G$277,"суб")</f>
        <v>0</v>
      </c>
      <c r="AR197" s="208">
        <f>SUMIFS('свод практик'!$CN$6:$CN$277,'свод практик'!$J$6:$J$277,'свод субъектов ИБ+смежные'!AR$1,'свод практик'!$G$6:$G$277,"суб")</f>
        <v>0</v>
      </c>
      <c r="AS197" s="208">
        <f>SUMIFS('свод практик'!$CN$6:$CN$277,'свод практик'!$J$6:$J$277,'свод субъектов ИБ+смежные'!AS$1,'свод практик'!$G$6:$G$277,"суб")</f>
        <v>0</v>
      </c>
      <c r="AT197" s="208">
        <f>SUMIFS('свод практик'!$CN$6:$CN$277,'свод практик'!$J$6:$J$277,'свод субъектов ИБ+смежные'!AT$1,'свод практик'!$G$6:$G$277,"суб")</f>
        <v>0</v>
      </c>
      <c r="AU197" s="208">
        <f>SUMIFS('свод практик'!$CN$6:$CN$277,'свод практик'!$J$6:$J$277,'свод субъектов ИБ+смежные'!AU$1,'свод практик'!$G$6:$G$277,"суб")</f>
        <v>0</v>
      </c>
      <c r="AV197" s="208">
        <f>SUMIFS('свод практик'!$CN$6:$CN$277,'свод практик'!$J$6:$J$277,'свод субъектов ИБ+смежные'!AV$1,'свод практик'!$G$6:$G$277,"суб")</f>
        <v>0</v>
      </c>
      <c r="AW197" s="208">
        <f>SUMIFS('свод практик'!$CN$6:$CN$277,'свод практик'!$J$6:$J$277,'свод субъектов ИБ+смежные'!AW$1,'свод практик'!$G$6:$G$277,"суб")</f>
        <v>0</v>
      </c>
      <c r="AX197" s="208">
        <f>SUMIFS('свод практик'!$CN$6:$CN$277,'свод практик'!$J$6:$J$277,'свод субъектов ИБ+смежные'!AX$1,'свод практик'!$G$6:$G$277,"суб")</f>
        <v>0</v>
      </c>
      <c r="AY197" s="208">
        <f>SUMIFS('свод практик'!$CN$6:$CN$277,'свод практик'!$J$6:$J$277,'свод субъектов ИБ+смежные'!AY$1,'свод практик'!$G$6:$G$277,"суб")</f>
        <v>0</v>
      </c>
      <c r="AZ197" s="208">
        <f>SUMIFS('свод практик'!$CN$6:$CN$277,'свод практик'!$J$6:$J$277,'свод субъектов ИБ+смежные'!AZ$1,'свод практик'!$G$6:$G$277,"суб")</f>
        <v>3</v>
      </c>
      <c r="BA197" s="208">
        <f>SUMIFS('свод практик'!$CN$6:$CN$277,'свод практик'!$J$6:$J$277,'свод субъектов ИБ+смежные'!BA$1,'свод практик'!$G$6:$G$277,"суб")</f>
        <v>0</v>
      </c>
      <c r="BB197" s="208">
        <f>SUMIFS('свод практик'!$CN$6:$CN$277,'свод практик'!$J$6:$J$277,'свод субъектов ИБ+смежные'!BB$1,'свод практик'!$G$6:$G$277,"суб")</f>
        <v>0</v>
      </c>
      <c r="BC197" s="208">
        <f>SUMIFS('свод практик'!$CN$6:$CN$277,'свод практик'!$J$6:$J$277,'свод субъектов ИБ+смежные'!BC$1,'свод практик'!$G$6:$G$277,"суб")</f>
        <v>0</v>
      </c>
      <c r="BD197" s="208">
        <f>SUMIFS('свод практик'!$CN$6:$CN$277,'свод практик'!$J$6:$J$277,'свод субъектов ИБ+смежные'!BD$1,'свод практик'!$G$6:$G$277,"суб")</f>
        <v>0</v>
      </c>
      <c r="BE197" s="208">
        <f>SUMIFS('свод практик'!$CN$6:$CN$277,'свод практик'!$J$6:$J$277,'свод субъектов ИБ+смежные'!BE$1,'свод практик'!$G$6:$G$277,"суб")</f>
        <v>0</v>
      </c>
      <c r="BF197" s="208">
        <f>SUMIFS('свод практик'!$CN$6:$CN$277,'свод практик'!$J$6:$J$277,'свод субъектов ИБ+смежные'!BF$1,'свод практик'!$G$6:$G$277,"суб")</f>
        <v>0</v>
      </c>
      <c r="BG197" s="208">
        <f>SUMIFS('свод практик'!$CN$6:$CN$277,'свод практик'!$J$6:$J$277,'свод субъектов ИБ+смежные'!BG$1,'свод практик'!$G$6:$G$277,"суб")</f>
        <v>0</v>
      </c>
      <c r="BH197" s="208">
        <f>SUMIFS('свод практик'!$CN$6:$CN$277,'свод практик'!$J$6:$J$277,'свод субъектов ИБ+смежные'!BH$1,'свод практик'!$G$6:$G$277,"суб")</f>
        <v>0</v>
      </c>
      <c r="BI197" s="208">
        <f>SUMIFS('свод практик'!$CN$6:$CN$277,'свод практик'!$J$6:$J$277,'свод субъектов ИБ+смежные'!BI$1,'свод практик'!$G$6:$G$277,"суб")</f>
        <v>8</v>
      </c>
      <c r="BJ197" s="208">
        <f>SUMIFS('свод практик'!$CN$6:$CN$277,'свод практик'!$J$6:$J$277,'свод субъектов ИБ+смежные'!BJ$1,'свод практик'!$G$6:$G$277,"суб")</f>
        <v>0</v>
      </c>
      <c r="BK197" s="208">
        <f>SUMIFS('свод практик'!$CN$6:$CN$277,'свод практик'!$J$6:$J$277,'свод субъектов ИБ+смежные'!BK$1,'свод практик'!$G$6:$G$277,"суб")</f>
        <v>2</v>
      </c>
      <c r="BL197" s="208">
        <f>SUMIFS('свод практик'!$CN$6:$CN$277,'свод практик'!$J$6:$J$277,'свод субъектов ИБ+смежные'!BL$1,'свод практик'!$G$6:$G$277,"суб")</f>
        <v>0</v>
      </c>
      <c r="BM197" s="208">
        <f>SUMIFS('свод практик'!$CN$6:$CN$277,'свод практик'!$J$6:$J$277,'свод субъектов ИБ+смежные'!BM$1,'свод практик'!$G$6:$G$277,"суб")</f>
        <v>0</v>
      </c>
      <c r="BN197" s="208">
        <f>SUMIFS('свод практик'!$CN$6:$CN$277,'свод практик'!$J$6:$J$277,'свод субъектов ИБ+смежные'!BN$1,'свод практик'!$G$6:$G$277,"суб")</f>
        <v>0</v>
      </c>
      <c r="BO197" s="208">
        <f>SUMIFS('свод практик'!$CN$6:$CN$277,'свод практик'!$J$6:$J$277,'свод субъектов ИБ+смежные'!BO$1,'свод практик'!$G$6:$G$277,"суб")</f>
        <v>0</v>
      </c>
      <c r="BP197" s="208">
        <f>SUMIFS('свод практик'!$CN$6:$CN$277,'свод практик'!$J$6:$J$277,'свод субъектов ИБ+смежные'!BP$1,'свод практик'!$G$6:$G$277,"суб")</f>
        <v>0</v>
      </c>
      <c r="BQ197" s="208">
        <f>SUMIFS('свод практик'!$CN$6:$CN$277,'свод практик'!$J$6:$J$277,'свод субъектов ИБ+смежные'!BQ$1,'свод практик'!$G$6:$G$277,"суб")</f>
        <v>0</v>
      </c>
      <c r="BR197" s="208">
        <f>SUMIFS('свод практик'!$CN$6:$CN$277,'свод практик'!$J$6:$J$277,'свод субъектов ИБ+смежные'!BR$1,'свод практик'!$G$6:$G$277,"суб")</f>
        <v>0</v>
      </c>
      <c r="BS197" s="208">
        <f>SUMIFS('свод практик'!$CN$6:$CN$277,'свод практик'!$J$6:$J$277,'свод субъектов ИБ+смежные'!BS$1,'свод практик'!$G$6:$G$277,"суб")</f>
        <v>0</v>
      </c>
      <c r="BT197" s="208">
        <f>SUMIFS('свод практик'!$CN$6:$CN$277,'свод практик'!$J$6:$J$277,'свод субъектов ИБ+смежные'!BT$1,'свод практик'!$G$6:$G$277,"суб")</f>
        <v>0</v>
      </c>
      <c r="BU197" s="208">
        <f>SUMIFS('свод практик'!$CN$6:$CN$277,'свод практик'!$J$6:$J$277,'свод субъектов ИБ+смежные'!BU$1,'свод практик'!$G$6:$G$277,"суб")</f>
        <v>0</v>
      </c>
      <c r="BV197" s="208">
        <f>SUMIFS('свод практик'!$CN$6:$CN$277,'свод практик'!$J$6:$J$277,'свод субъектов ИБ+смежные'!BV$1,'свод практик'!$G$6:$G$277,"суб")</f>
        <v>0</v>
      </c>
      <c r="BW197" s="208">
        <f>SUMIFS('свод практик'!$CN$6:$CN$277,'свод практик'!$J$6:$J$277,'свод субъектов ИБ+смежные'!BW$1,'свод практик'!$G$6:$G$277,"суб")</f>
        <v>0</v>
      </c>
      <c r="BX197" s="208">
        <f>SUMIFS('свод практик'!$CN$6:$CN$277,'свод практик'!$J$6:$J$277,'свод субъектов ИБ+смежные'!BX$1,'свод практик'!$G$6:$G$277,"суб")</f>
        <v>0</v>
      </c>
      <c r="BY197" s="208">
        <f>SUMIFS('свод практик'!$CN$6:$CN$277,'свод практик'!$J$6:$J$277,'свод субъектов ИБ+смежные'!BY$1,'свод практик'!$G$6:$G$277,"суб")</f>
        <v>0</v>
      </c>
      <c r="BZ197" s="208">
        <f>SUMIFS('свод практик'!$CN$6:$CN$277,'свод практик'!$J$6:$J$277,'свод субъектов ИБ+смежные'!BZ$1,'свод практик'!$G$6:$G$277,"суб")</f>
        <v>0</v>
      </c>
      <c r="CA197" s="208">
        <f>SUMIFS('свод практик'!$CN$6:$CN$277,'свод практик'!$J$6:$J$277,'свод субъектов ИБ+смежные'!CA$1,'свод практик'!$G$6:$G$277,"суб")</f>
        <v>0</v>
      </c>
      <c r="CB197" s="208">
        <f>SUMIFS('свод практик'!$CN$6:$CN$277,'свод практик'!$J$6:$J$277,'свод субъектов ИБ+смежные'!CB$1,'свод практик'!$G$6:$G$277,"суб")</f>
        <v>0</v>
      </c>
      <c r="CC197" s="208">
        <f>SUMIFS('свод практик'!$CN$6:$CN$277,'свод практик'!$J$6:$J$277,'свод субъектов ИБ+смежные'!CC$1,'свод практик'!$G$6:$G$277,"суб")</f>
        <v>0</v>
      </c>
      <c r="CD197" s="208">
        <f>SUMIFS('свод практик'!$CN$6:$CN$277,'свод практик'!$J$6:$J$277,'свод субъектов ИБ+смежные'!CD$1,'свод практик'!$G$6:$G$277,"суб")</f>
        <v>0</v>
      </c>
      <c r="CE197" s="208">
        <f>SUMIFS('свод практик'!$CN$6:$CN$277,'свод практик'!$J$6:$J$277,'свод субъектов ИБ+смежные'!CE$1,'свод практик'!$G$6:$G$277,"суб")</f>
        <v>3</v>
      </c>
      <c r="CF197" s="208">
        <f>SUMIFS('свод практик'!$CN$6:$CN$277,'свод практик'!$J$6:$J$277,'свод субъектов ИБ+смежные'!CF$1,'свод практик'!$G$6:$G$277,"суб")</f>
        <v>0</v>
      </c>
      <c r="CG197" s="208">
        <f>SUMIFS('свод практик'!$CN$6:$CN$277,'свод практик'!$J$6:$J$277,'свод субъектов ИБ+смежные'!CG$1,'свод практик'!$G$6:$G$277,"суб")</f>
        <v>0</v>
      </c>
      <c r="CH197" s="208">
        <f>SUMIFS('свод практик'!$CN$6:$CN$277,'свод практик'!$J$6:$J$277,'свод субъектов ИБ+смежные'!CH$1,'свод практик'!$G$6:$G$277,"суб")</f>
        <v>0</v>
      </c>
      <c r="CI197" s="208">
        <f>SUMIFS('свод практик'!$CN$6:$CN$277,'свод практик'!$J$6:$J$277,'свод субъектов ИБ+смежные'!CI$1,'свод практик'!$G$6:$G$277,"суб")</f>
        <v>123</v>
      </c>
      <c r="CJ197" s="208">
        <f>SUMIFS('свод практик'!$CN$6:$CN$277,'свод практик'!$J$6:$J$277,'свод субъектов ИБ+смежные'!CJ$1,'свод практик'!$G$6:$G$277,"суб")</f>
        <v>0</v>
      </c>
      <c r="CK197" s="208">
        <f>SUMIFS('свод практик'!$CN$6:$CN$277,'свод практик'!$J$6:$J$277,'свод субъектов ИБ+смежные'!CK$1,'свод практик'!$G$6:$G$277,"суб")</f>
        <v>0</v>
      </c>
      <c r="CL197" s="208">
        <f>SUMIFS('свод практик'!$CN$6:$CN$277,'свод практик'!$J$6:$J$277,'свод субъектов ИБ+смежные'!CL$1,'свод практик'!$G$6:$G$277,"суб")</f>
        <v>0</v>
      </c>
      <c r="CM197" s="208">
        <f>SUMIFS('свод практик'!$CN$6:$CN$277,'свод практик'!$J$6:$J$277,'свод субъектов ИБ+смежные'!CM$1,'свод практик'!$G$6:$G$277,"суб")</f>
        <v>0</v>
      </c>
      <c r="CN197" s="208">
        <f>SUMIFS('свод практик'!$CN$6:$CN$277,'свод практик'!$J$6:$J$277,'свод субъектов ИБ+смежные'!CN$1,'свод практик'!$G$6:$G$277,"суб")</f>
        <v>0</v>
      </c>
      <c r="CO197" s="208">
        <f>SUMIFS('свод практик'!$CN$6:$CN$277,'свод практик'!$J$6:$J$277,'свод субъектов ИБ+смежные'!CO$1,'свод практик'!$G$6:$G$277,"суб")</f>
        <v>0</v>
      </c>
      <c r="CP197" s="208">
        <f>SUMIFS('свод практик'!$CN$6:$CN$277,'свод практик'!$J$6:$J$277,'свод субъектов ИБ+смежные'!CP$1,'свод практик'!$G$6:$G$277,"суб")</f>
        <v>0</v>
      </c>
      <c r="CQ197" s="208">
        <f>SUMIFS('свод практик'!$CN$6:$CN$277,'свод практик'!$J$6:$J$277,'свод субъектов ИБ+смежные'!CQ$1,'свод практик'!$G$6:$G$277,"суб")</f>
        <v>0</v>
      </c>
      <c r="CR197" s="208">
        <f>SUMIFS('свод практик'!$CN$6:$CN$277,'свод практик'!$J$6:$J$277,'свод субъектов ИБ+смежные'!CR$1,'свод практик'!$G$6:$G$277,"суб")</f>
        <v>0</v>
      </c>
      <c r="CS197" s="208">
        <f>SUMIFS('свод практик'!$CN$6:$CN$277,'свод практик'!$J$6:$J$277,'свод субъектов ИБ+смежные'!CS$1,'свод практик'!$G$6:$G$277,"суб")</f>
        <v>0</v>
      </c>
      <c r="CT197" s="208">
        <f>SUMIFS('свод практик'!$CN$6:$CN$277,'свод практик'!$J$6:$J$277,'свод субъектов ИБ+смежные'!CT$1,'свод практик'!$G$6:$G$277,"суб")</f>
        <v>0</v>
      </c>
      <c r="CU197" s="208">
        <f>SUMIFS('свод практик'!$CN$6:$CN$277,'свод практик'!$J$6:$J$277,'свод субъектов ИБ+смежные'!CU$1,'свод практик'!$G$6:$G$277,"суб")</f>
        <v>0</v>
      </c>
      <c r="CV197" s="208">
        <f>SUMIFS('свод практик'!$CN$6:$CN$277,'свод практик'!$J$6:$J$277,'свод субъектов ИБ+смежные'!CV$1,'свод практик'!$G$6:$G$277,"суб")</f>
        <v>0</v>
      </c>
    </row>
    <row r="198" spans="1:100" ht="15">
      <c r="D198" s="36" t="s">
        <v>4949</v>
      </c>
      <c r="E198" s="36">
        <v>79</v>
      </c>
      <c r="F198" s="36" t="s">
        <v>5601</v>
      </c>
      <c r="H198" s="36" t="s">
        <v>60</v>
      </c>
      <c r="M198" s="36" t="s">
        <v>5497</v>
      </c>
      <c r="N198" s="36">
        <v>1.7918562076999888E-2</v>
      </c>
      <c r="O198" s="224">
        <f t="shared" si="120"/>
        <v>0</v>
      </c>
      <c r="Q198" s="191"/>
      <c r="R198" s="193"/>
      <c r="S198" s="192"/>
      <c r="T198" s="194"/>
      <c r="U198" s="194"/>
    </row>
    <row r="199" spans="1:100" ht="42">
      <c r="D199" s="36" t="s">
        <v>4949</v>
      </c>
      <c r="E199" s="36">
        <v>80</v>
      </c>
      <c r="F199" s="36" t="s">
        <v>5602</v>
      </c>
      <c r="G199" s="36" t="s">
        <v>5187</v>
      </c>
      <c r="H199" s="36" t="s">
        <v>5140</v>
      </c>
      <c r="L199" s="36" t="s">
        <v>278</v>
      </c>
      <c r="M199" s="36" t="s">
        <v>5497</v>
      </c>
      <c r="N199" s="36">
        <v>41</v>
      </c>
      <c r="O199" s="224">
        <f t="shared" si="120"/>
        <v>58</v>
      </c>
      <c r="P199" s="208">
        <f>SUMIFS('свод практик'!$CO$6:$CO$277,'свод практик'!$J$6:$J$277,'свод субъектов ИБ+смежные'!P$1,'свод практик'!$G$6:$G$277,"суб")</f>
        <v>0</v>
      </c>
      <c r="Q199" s="208">
        <f>SUMIFS('свод практик'!$CO$6:$CO$277,'свод практик'!$J$6:$J$277,'свод субъектов ИБ+смежные'!Q$1,'свод практик'!$G$6:$G$277,"суб")</f>
        <v>0</v>
      </c>
      <c r="R199" s="208">
        <f>SUMIFS('свод практик'!$CO$6:$CO$277,'свод практик'!$J$6:$J$277,'свод субъектов ИБ+смежные'!R$1,'свод практик'!$G$6:$G$277,"суб")</f>
        <v>0</v>
      </c>
      <c r="S199" s="208">
        <f>SUMIFS('свод практик'!$CO$6:$CO$277,'свод практик'!$J$6:$J$277,'свод субъектов ИБ+смежные'!S$1,'свод практик'!$G$6:$G$277,"суб")</f>
        <v>0</v>
      </c>
      <c r="T199" s="208">
        <f>SUMIFS('свод практик'!$CO$6:$CO$277,'свод практик'!$J$6:$J$277,'свод субъектов ИБ+смежные'!T$1,'свод практик'!$G$6:$G$277,"суб")</f>
        <v>20</v>
      </c>
      <c r="U199" s="208">
        <f>SUMIFS('свод практик'!$CO$6:$CO$277,'свод практик'!$J$6:$J$277,'свод субъектов ИБ+смежные'!U$1,'свод практик'!$G$6:$G$277,"суб")</f>
        <v>0</v>
      </c>
      <c r="V199" s="208">
        <f>SUMIFS('свод практик'!$CO$6:$CO$277,'свод практик'!$J$6:$J$277,'свод субъектов ИБ+смежные'!V$1,'свод практик'!$G$6:$G$277,"суб")</f>
        <v>0</v>
      </c>
      <c r="W199" s="208">
        <f>SUMIFS('свод практик'!$CO$6:$CO$277,'свод практик'!$J$6:$J$277,'свод субъектов ИБ+смежные'!W$1,'свод практик'!$G$6:$G$277,"суб")</f>
        <v>2</v>
      </c>
      <c r="X199" s="208">
        <f>SUMIFS('свод практик'!$CO$6:$CO$277,'свод практик'!$J$6:$J$277,'свод субъектов ИБ+смежные'!X$1,'свод практик'!$G$6:$G$277,"суб")</f>
        <v>0</v>
      </c>
      <c r="Y199" s="208">
        <f>SUMIFS('свод практик'!$CO$6:$CO$277,'свод практик'!$J$6:$J$277,'свод субъектов ИБ+смежные'!Y$1,'свод практик'!$G$6:$G$277,"суб")</f>
        <v>0</v>
      </c>
      <c r="Z199" s="208">
        <f>SUMIFS('свод практик'!$CO$6:$CO$277,'свод практик'!$J$6:$J$277,'свод субъектов ИБ+смежные'!Z$1,'свод практик'!$G$6:$G$277,"суб")</f>
        <v>0</v>
      </c>
      <c r="AA199" s="208">
        <f>SUMIFS('свод практик'!$CO$6:$CO$277,'свод практик'!$J$6:$J$277,'свод субъектов ИБ+смежные'!AA$1,'свод практик'!$G$6:$G$277,"суб")</f>
        <v>0</v>
      </c>
      <c r="AB199" s="208">
        <f>SUMIFS('свод практик'!$CO$6:$CO$277,'свод практик'!$J$6:$J$277,'свод субъектов ИБ+смежные'!AB$1,'свод практик'!$G$6:$G$277,"суб")</f>
        <v>0</v>
      </c>
      <c r="AC199" s="208">
        <f>SUMIFS('свод практик'!$CO$6:$CO$277,'свод практик'!$J$6:$J$277,'свод субъектов ИБ+смежные'!AC$1,'свод практик'!$G$6:$G$277,"суб")</f>
        <v>0</v>
      </c>
      <c r="AD199" s="208">
        <f>SUMIFS('свод практик'!$CO$6:$CO$277,'свод практик'!$J$6:$J$277,'свод субъектов ИБ+смежные'!AD$1,'свод практик'!$G$6:$G$277,"суб")</f>
        <v>0</v>
      </c>
      <c r="AE199" s="208">
        <f>SUMIFS('свод практик'!$CO$6:$CO$277,'свод практик'!$J$6:$J$277,'свод субъектов ИБ+смежные'!AE$1,'свод практик'!$G$6:$G$277,"суб")</f>
        <v>0</v>
      </c>
      <c r="AF199" s="208">
        <f>SUMIFS('свод практик'!$CO$6:$CO$277,'свод практик'!$J$6:$J$277,'свод субъектов ИБ+смежные'!AF$1,'свод практик'!$G$6:$G$277,"суб")</f>
        <v>0</v>
      </c>
      <c r="AG199" s="208">
        <f>SUMIFS('свод практик'!$CO$6:$CO$277,'свод практик'!$J$6:$J$277,'свод субъектов ИБ+смежные'!AG$1,'свод практик'!$G$6:$G$277,"суб")</f>
        <v>0</v>
      </c>
      <c r="AH199" s="208">
        <f>SUMIFS('свод практик'!$CO$6:$CO$277,'свод практик'!$J$6:$J$277,'свод субъектов ИБ+смежные'!AH$1,'свод практик'!$G$6:$G$277,"суб")</f>
        <v>0</v>
      </c>
      <c r="AI199" s="208">
        <f>SUMIFS('свод практик'!$CO$6:$CO$277,'свод практик'!$J$6:$J$277,'свод субъектов ИБ+смежные'!AI$1,'свод практик'!$G$6:$G$277,"суб")</f>
        <v>0</v>
      </c>
      <c r="AJ199" s="208">
        <f>SUMIFS('свод практик'!$CO$6:$CO$277,'свод практик'!$J$6:$J$277,'свод субъектов ИБ+смежные'!AJ$1,'свод практик'!$G$6:$G$277,"суб")</f>
        <v>0</v>
      </c>
      <c r="AK199" s="208">
        <f>SUMIFS('свод практик'!$CO$6:$CO$277,'свод практик'!$J$6:$J$277,'свод субъектов ИБ+смежные'!AK$1,'свод практик'!$G$6:$G$277,"суб")</f>
        <v>1</v>
      </c>
      <c r="AL199" s="208">
        <f>SUMIFS('свод практик'!$CO$6:$CO$277,'свод практик'!$J$6:$J$277,'свод субъектов ИБ+смежные'!AL$1,'свод практик'!$G$6:$G$277,"суб")</f>
        <v>0</v>
      </c>
      <c r="AM199" s="208">
        <f>SUMIFS('свод практик'!$CO$6:$CO$277,'свод практик'!$J$6:$J$277,'свод субъектов ИБ+смежные'!AM$1,'свод практик'!$G$6:$G$277,"суб")</f>
        <v>0</v>
      </c>
      <c r="AN199" s="208">
        <f>SUMIFS('свод практик'!$CO$6:$CO$277,'свод практик'!$J$6:$J$277,'свод субъектов ИБ+смежные'!AN$1,'свод практик'!$G$6:$G$277,"суб")</f>
        <v>0</v>
      </c>
      <c r="AO199" s="208">
        <f>SUMIFS('свод практик'!$CO$6:$CO$277,'свод практик'!$J$6:$J$277,'свод субъектов ИБ+смежные'!AO$1,'свод практик'!$G$6:$G$277,"суб")</f>
        <v>0</v>
      </c>
      <c r="AP199" s="208">
        <f>SUMIFS('свод практик'!$CO$6:$CO$277,'свод практик'!$J$6:$J$277,'свод субъектов ИБ+смежные'!AP$1,'свод практик'!$G$6:$G$277,"суб")</f>
        <v>0</v>
      </c>
      <c r="AQ199" s="208">
        <f>SUMIFS('свод практик'!$CO$6:$CO$277,'свод практик'!$J$6:$J$277,'свод субъектов ИБ+смежные'!AQ$1,'свод практик'!$G$6:$G$277,"суб")</f>
        <v>0</v>
      </c>
      <c r="AR199" s="208">
        <f>SUMIFS('свод практик'!$CO$6:$CO$277,'свод практик'!$J$6:$J$277,'свод субъектов ИБ+смежные'!AR$1,'свод практик'!$G$6:$G$277,"суб")</f>
        <v>0</v>
      </c>
      <c r="AS199" s="208">
        <f>SUMIFS('свод практик'!$CO$6:$CO$277,'свод практик'!$J$6:$J$277,'свод субъектов ИБ+смежные'!AS$1,'свод практик'!$G$6:$G$277,"суб")</f>
        <v>0</v>
      </c>
      <c r="AT199" s="208">
        <f>SUMIFS('свод практик'!$CO$6:$CO$277,'свод практик'!$J$6:$J$277,'свод субъектов ИБ+смежные'!AT$1,'свод практик'!$G$6:$G$277,"суб")</f>
        <v>0</v>
      </c>
      <c r="AU199" s="208">
        <f>SUMIFS('свод практик'!$CO$6:$CO$277,'свод практик'!$J$6:$J$277,'свод субъектов ИБ+смежные'!AU$1,'свод практик'!$G$6:$G$277,"суб")</f>
        <v>0</v>
      </c>
      <c r="AV199" s="208">
        <f>SUMIFS('свод практик'!$CO$6:$CO$277,'свод практик'!$J$6:$J$277,'свод субъектов ИБ+смежные'!AV$1,'свод практик'!$G$6:$G$277,"суб")</f>
        <v>0</v>
      </c>
      <c r="AW199" s="208">
        <f>SUMIFS('свод практик'!$CO$6:$CO$277,'свод практик'!$J$6:$J$277,'свод субъектов ИБ+смежные'!AW$1,'свод практик'!$G$6:$G$277,"суб")</f>
        <v>0</v>
      </c>
      <c r="AX199" s="208">
        <f>SUMIFS('свод практик'!$CO$6:$CO$277,'свод практик'!$J$6:$J$277,'свод субъектов ИБ+смежные'!AX$1,'свод практик'!$G$6:$G$277,"суб")</f>
        <v>0</v>
      </c>
      <c r="AY199" s="208">
        <f>SUMIFS('свод практик'!$CO$6:$CO$277,'свод практик'!$J$6:$J$277,'свод субъектов ИБ+смежные'!AY$1,'свод практик'!$G$6:$G$277,"суб")</f>
        <v>0</v>
      </c>
      <c r="AZ199" s="208">
        <f>SUMIFS('свод практик'!$CO$6:$CO$277,'свод практик'!$J$6:$J$277,'свод субъектов ИБ+смежные'!AZ$1,'свод практик'!$G$6:$G$277,"суб")</f>
        <v>6</v>
      </c>
      <c r="BA199" s="208">
        <f>SUMIFS('свод практик'!$CO$6:$CO$277,'свод практик'!$J$6:$J$277,'свод субъектов ИБ+смежные'!BA$1,'свод практик'!$G$6:$G$277,"суб")</f>
        <v>0</v>
      </c>
      <c r="BB199" s="208">
        <f>SUMIFS('свод практик'!$CO$6:$CO$277,'свод практик'!$J$6:$J$277,'свод субъектов ИБ+смежные'!BB$1,'свод практик'!$G$6:$G$277,"суб")</f>
        <v>0</v>
      </c>
      <c r="BC199" s="208">
        <f>SUMIFS('свод практик'!$CO$6:$CO$277,'свод практик'!$J$6:$J$277,'свод субъектов ИБ+смежные'!BC$1,'свод практик'!$G$6:$G$277,"суб")</f>
        <v>0</v>
      </c>
      <c r="BD199" s="208">
        <f>SUMIFS('свод практик'!$CO$6:$CO$277,'свод практик'!$J$6:$J$277,'свод субъектов ИБ+смежные'!BD$1,'свод практик'!$G$6:$G$277,"суб")</f>
        <v>0</v>
      </c>
      <c r="BE199" s="208">
        <f>SUMIFS('свод практик'!$CO$6:$CO$277,'свод практик'!$J$6:$J$277,'свод субъектов ИБ+смежные'!BE$1,'свод практик'!$G$6:$G$277,"суб")</f>
        <v>0</v>
      </c>
      <c r="BF199" s="208">
        <f>SUMIFS('свод практик'!$CO$6:$CO$277,'свод практик'!$J$6:$J$277,'свод субъектов ИБ+смежные'!BF$1,'свод практик'!$G$6:$G$277,"суб")</f>
        <v>0</v>
      </c>
      <c r="BG199" s="208">
        <f>SUMIFS('свод практик'!$CO$6:$CO$277,'свод практик'!$J$6:$J$277,'свод субъектов ИБ+смежные'!BG$1,'свод практик'!$G$6:$G$277,"суб")</f>
        <v>0</v>
      </c>
      <c r="BH199" s="208">
        <f>SUMIFS('свод практик'!$CO$6:$CO$277,'свод практик'!$J$6:$J$277,'свод субъектов ИБ+смежные'!BH$1,'свод практик'!$G$6:$G$277,"суб")</f>
        <v>0</v>
      </c>
      <c r="BI199" s="208">
        <f>SUMIFS('свод практик'!$CO$6:$CO$277,'свод практик'!$J$6:$J$277,'свод субъектов ИБ+смежные'!BI$1,'свод практик'!$G$6:$G$277,"суб")</f>
        <v>2</v>
      </c>
      <c r="BJ199" s="208">
        <f>SUMIFS('свод практик'!$CO$6:$CO$277,'свод практик'!$J$6:$J$277,'свод субъектов ИБ+смежные'!BJ$1,'свод практик'!$G$6:$G$277,"суб")</f>
        <v>0</v>
      </c>
      <c r="BK199" s="208">
        <f>SUMIFS('свод практик'!$CO$6:$CO$277,'свод практик'!$J$6:$J$277,'свод субъектов ИБ+смежные'!BK$1,'свод практик'!$G$6:$G$277,"суб")</f>
        <v>0</v>
      </c>
      <c r="BL199" s="208">
        <f>SUMIFS('свод практик'!$CO$6:$CO$277,'свод практик'!$J$6:$J$277,'свод субъектов ИБ+смежные'!BL$1,'свод практик'!$G$6:$G$277,"суб")</f>
        <v>0</v>
      </c>
      <c r="BM199" s="208">
        <f>SUMIFS('свод практик'!$CO$6:$CO$277,'свод практик'!$J$6:$J$277,'свод субъектов ИБ+смежные'!BM$1,'свод практик'!$G$6:$G$277,"суб")</f>
        <v>0</v>
      </c>
      <c r="BN199" s="208">
        <f>SUMIFS('свод практик'!$CO$6:$CO$277,'свод практик'!$J$6:$J$277,'свод субъектов ИБ+смежные'!BN$1,'свод практик'!$G$6:$G$277,"суб")</f>
        <v>0</v>
      </c>
      <c r="BO199" s="208">
        <f>SUMIFS('свод практик'!$CO$6:$CO$277,'свод практик'!$J$6:$J$277,'свод субъектов ИБ+смежные'!BO$1,'свод практик'!$G$6:$G$277,"суб")</f>
        <v>0</v>
      </c>
      <c r="BP199" s="208">
        <f>SUMIFS('свод практик'!$CO$6:$CO$277,'свод практик'!$J$6:$J$277,'свод субъектов ИБ+смежные'!BP$1,'свод практик'!$G$6:$G$277,"суб")</f>
        <v>0</v>
      </c>
      <c r="BQ199" s="208">
        <f>SUMIFS('свод практик'!$CO$6:$CO$277,'свод практик'!$J$6:$J$277,'свод субъектов ИБ+смежные'!BQ$1,'свод практик'!$G$6:$G$277,"суб")</f>
        <v>0</v>
      </c>
      <c r="BR199" s="208">
        <f>SUMIFS('свод практик'!$CO$6:$CO$277,'свод практик'!$J$6:$J$277,'свод субъектов ИБ+смежные'!BR$1,'свод практик'!$G$6:$G$277,"суб")</f>
        <v>0</v>
      </c>
      <c r="BS199" s="208">
        <f>SUMIFS('свод практик'!$CO$6:$CO$277,'свод практик'!$J$6:$J$277,'свод субъектов ИБ+смежные'!BS$1,'свод практик'!$G$6:$G$277,"суб")</f>
        <v>0</v>
      </c>
      <c r="BT199" s="208">
        <f>SUMIFS('свод практик'!$CO$6:$CO$277,'свод практик'!$J$6:$J$277,'свод субъектов ИБ+смежные'!BT$1,'свод практик'!$G$6:$G$277,"суб")</f>
        <v>0</v>
      </c>
      <c r="BU199" s="208">
        <f>SUMIFS('свод практик'!$CO$6:$CO$277,'свод практик'!$J$6:$J$277,'свод субъектов ИБ+смежные'!BU$1,'свод практик'!$G$6:$G$277,"суб")</f>
        <v>1</v>
      </c>
      <c r="BV199" s="208">
        <f>SUMIFS('свод практик'!$CO$6:$CO$277,'свод практик'!$J$6:$J$277,'свод субъектов ИБ+смежные'!BV$1,'свод практик'!$G$6:$G$277,"суб")</f>
        <v>0</v>
      </c>
      <c r="BW199" s="208">
        <f>SUMIFS('свод практик'!$CO$6:$CO$277,'свод практик'!$J$6:$J$277,'свод субъектов ИБ+смежные'!BW$1,'свод практик'!$G$6:$G$277,"суб")</f>
        <v>0</v>
      </c>
      <c r="BX199" s="208">
        <f>SUMIFS('свод практик'!$CO$6:$CO$277,'свод практик'!$J$6:$J$277,'свод субъектов ИБ+смежные'!BX$1,'свод практик'!$G$6:$G$277,"суб")</f>
        <v>0</v>
      </c>
      <c r="BY199" s="208">
        <f>SUMIFS('свод практик'!$CO$6:$CO$277,'свод практик'!$J$6:$J$277,'свод субъектов ИБ+смежные'!BY$1,'свод практик'!$G$6:$G$277,"суб")</f>
        <v>0</v>
      </c>
      <c r="BZ199" s="208">
        <f>SUMIFS('свод практик'!$CO$6:$CO$277,'свод практик'!$J$6:$J$277,'свод субъектов ИБ+смежные'!BZ$1,'свод практик'!$G$6:$G$277,"суб")</f>
        <v>0</v>
      </c>
      <c r="CA199" s="208">
        <f>SUMIFS('свод практик'!$CO$6:$CO$277,'свод практик'!$J$6:$J$277,'свод субъектов ИБ+смежные'!CA$1,'свод практик'!$G$6:$G$277,"суб")</f>
        <v>0</v>
      </c>
      <c r="CB199" s="208">
        <f>SUMIFS('свод практик'!$CO$6:$CO$277,'свод практик'!$J$6:$J$277,'свод субъектов ИБ+смежные'!CB$1,'свод практик'!$G$6:$G$277,"суб")</f>
        <v>0</v>
      </c>
      <c r="CC199" s="208">
        <f>SUMIFS('свод практик'!$CO$6:$CO$277,'свод практик'!$J$6:$J$277,'свод субъектов ИБ+смежные'!CC$1,'свод практик'!$G$6:$G$277,"суб")</f>
        <v>0</v>
      </c>
      <c r="CD199" s="208">
        <f>SUMIFS('свод практик'!$CO$6:$CO$277,'свод практик'!$J$6:$J$277,'свод субъектов ИБ+смежные'!CD$1,'свод практик'!$G$6:$G$277,"суб")</f>
        <v>0</v>
      </c>
      <c r="CE199" s="208">
        <f>SUMIFS('свод практик'!$CO$6:$CO$277,'свод практик'!$J$6:$J$277,'свод субъектов ИБ+смежные'!CE$1,'свод практик'!$G$6:$G$277,"суб")</f>
        <v>17</v>
      </c>
      <c r="CF199" s="208">
        <f>SUMIFS('свод практик'!$CO$6:$CO$277,'свод практик'!$J$6:$J$277,'свод субъектов ИБ+смежные'!CF$1,'свод практик'!$G$6:$G$277,"суб")</f>
        <v>3</v>
      </c>
      <c r="CG199" s="208">
        <f>SUMIFS('свод практик'!$CO$6:$CO$277,'свод практик'!$J$6:$J$277,'свод субъектов ИБ+смежные'!CG$1,'свод практик'!$G$6:$G$277,"суб")</f>
        <v>0</v>
      </c>
      <c r="CH199" s="208">
        <f>SUMIFS('свод практик'!$CO$6:$CO$277,'свод практик'!$J$6:$J$277,'свод субъектов ИБ+смежные'!CH$1,'свод практик'!$G$6:$G$277,"суб")</f>
        <v>0</v>
      </c>
      <c r="CI199" s="208">
        <f>SUMIFS('свод практик'!$CO$6:$CO$277,'свод практик'!$J$6:$J$277,'свод субъектов ИБ+смежные'!CI$1,'свод практик'!$G$6:$G$277,"суб")</f>
        <v>0</v>
      </c>
      <c r="CJ199" s="208">
        <f>SUMIFS('свод практик'!$CO$6:$CO$277,'свод практик'!$J$6:$J$277,'свод субъектов ИБ+смежные'!CJ$1,'свод практик'!$G$6:$G$277,"суб")</f>
        <v>0</v>
      </c>
      <c r="CK199" s="208">
        <f>SUMIFS('свод практик'!$CO$6:$CO$277,'свод практик'!$J$6:$J$277,'свод субъектов ИБ+смежные'!CK$1,'свод практик'!$G$6:$G$277,"суб")</f>
        <v>0</v>
      </c>
      <c r="CL199" s="208">
        <f>SUMIFS('свод практик'!$CO$6:$CO$277,'свод практик'!$J$6:$J$277,'свод субъектов ИБ+смежные'!CL$1,'свод практик'!$G$6:$G$277,"суб")</f>
        <v>0</v>
      </c>
      <c r="CM199" s="208">
        <f>SUMIFS('свод практик'!$CO$6:$CO$277,'свод практик'!$J$6:$J$277,'свод субъектов ИБ+смежные'!CM$1,'свод практик'!$G$6:$G$277,"суб")</f>
        <v>1</v>
      </c>
      <c r="CN199" s="208">
        <f>SUMIFS('свод практик'!$CO$6:$CO$277,'свод практик'!$J$6:$J$277,'свод субъектов ИБ+смежные'!CN$1,'свод практик'!$G$6:$G$277,"суб")</f>
        <v>5</v>
      </c>
      <c r="CO199" s="208">
        <f>SUMIFS('свод практик'!$CO$6:$CO$277,'свод практик'!$J$6:$J$277,'свод субъектов ИБ+смежные'!CO$1,'свод практик'!$G$6:$G$277,"суб")</f>
        <v>0</v>
      </c>
      <c r="CP199" s="208">
        <f>SUMIFS('свод практик'!$CO$6:$CO$277,'свод практик'!$J$6:$J$277,'свод субъектов ИБ+смежные'!CP$1,'свод практик'!$G$6:$G$277,"суб")</f>
        <v>0</v>
      </c>
      <c r="CQ199" s="208">
        <f>SUMIFS('свод практик'!$CO$6:$CO$277,'свод практик'!$J$6:$J$277,'свод субъектов ИБ+смежные'!CQ$1,'свод практик'!$G$6:$G$277,"суб")</f>
        <v>0</v>
      </c>
      <c r="CR199" s="208">
        <f>SUMIFS('свод практик'!$CO$6:$CO$277,'свод практик'!$J$6:$J$277,'свод субъектов ИБ+смежные'!CR$1,'свод практик'!$G$6:$G$277,"суб")</f>
        <v>0</v>
      </c>
      <c r="CS199" s="208">
        <f>SUMIFS('свод практик'!$CO$6:$CO$277,'свод практик'!$J$6:$J$277,'свод субъектов ИБ+смежные'!CS$1,'свод практик'!$G$6:$G$277,"суб")</f>
        <v>0</v>
      </c>
      <c r="CT199" s="208">
        <f>SUMIFS('свод практик'!$CO$6:$CO$277,'свод практик'!$J$6:$J$277,'свод субъектов ИБ+смежные'!CT$1,'свод практик'!$G$6:$G$277,"суб")</f>
        <v>0</v>
      </c>
      <c r="CU199" s="208">
        <f>SUMIFS('свод практик'!$CO$6:$CO$277,'свод практик'!$J$6:$J$277,'свод субъектов ИБ+смежные'!CU$1,'свод практик'!$G$6:$G$277,"суб")</f>
        <v>0</v>
      </c>
      <c r="CV199" s="208">
        <f>SUMIFS('свод практик'!$CO$6:$CO$277,'свод практик'!$J$6:$J$277,'свод субъектов ИБ+смежные'!CV$1,'свод практик'!$G$6:$G$277,"суб")</f>
        <v>0</v>
      </c>
    </row>
    <row r="200" spans="1:100" ht="15">
      <c r="D200" s="36" t="s">
        <v>4949</v>
      </c>
      <c r="E200" s="36">
        <v>81</v>
      </c>
      <c r="F200" s="36" t="s">
        <v>5603</v>
      </c>
      <c r="H200" s="36" t="s">
        <v>60</v>
      </c>
      <c r="M200" s="36" t="s">
        <v>5497</v>
      </c>
      <c r="N200" s="36">
        <v>2.2744923998668592E-3</v>
      </c>
      <c r="O200" s="224">
        <f t="shared" si="120"/>
        <v>0</v>
      </c>
      <c r="Q200" s="191"/>
      <c r="R200" s="191"/>
      <c r="S200" s="192"/>
      <c r="T200" s="194"/>
      <c r="U200" s="194"/>
    </row>
    <row r="201" spans="1:100" ht="28">
      <c r="D201" s="36" t="s">
        <v>4949</v>
      </c>
      <c r="E201" s="36">
        <v>82</v>
      </c>
      <c r="F201" s="36" t="s">
        <v>5604</v>
      </c>
      <c r="G201" s="36" t="s">
        <v>5190</v>
      </c>
      <c r="H201" s="36" t="s">
        <v>5140</v>
      </c>
      <c r="L201" s="36" t="s">
        <v>278</v>
      </c>
      <c r="M201" s="36" t="s">
        <v>5497</v>
      </c>
      <c r="N201" s="36">
        <v>300</v>
      </c>
      <c r="O201" s="224">
        <f t="shared" si="120"/>
        <v>408</v>
      </c>
      <c r="P201" s="208">
        <f>SUMIFS('свод практик'!$CP$6:$CP$277,'свод практик'!$J$6:$J$277,'свод субъектов ИБ+смежные'!P$1,'свод практик'!$G$6:$G$277,"суб")</f>
        <v>0</v>
      </c>
      <c r="Q201" s="208">
        <f>SUMIFS('свод практик'!$CP$6:$CP$277,'свод практик'!$J$6:$J$277,'свод субъектов ИБ+смежные'!Q$1,'свод практик'!$G$6:$G$277,"суб")</f>
        <v>0</v>
      </c>
      <c r="R201" s="208">
        <f>SUMIFS('свод практик'!$CP$6:$CP$277,'свод практик'!$J$6:$J$277,'свод субъектов ИБ+смежные'!R$1,'свод практик'!$G$6:$G$277,"суб")</f>
        <v>0</v>
      </c>
      <c r="S201" s="208">
        <f>SUMIFS('свод практик'!$CP$6:$CP$277,'свод практик'!$J$6:$J$277,'свод субъектов ИБ+смежные'!S$1,'свод практик'!$G$6:$G$277,"суб")</f>
        <v>0</v>
      </c>
      <c r="T201" s="208">
        <f>SUMIFS('свод практик'!$CP$6:$CP$277,'свод практик'!$J$6:$J$277,'свод субъектов ИБ+смежные'!T$1,'свод практик'!$G$6:$G$277,"суб")</f>
        <v>0</v>
      </c>
      <c r="U201" s="208">
        <f>SUMIFS('свод практик'!$CP$6:$CP$277,'свод практик'!$J$6:$J$277,'свод субъектов ИБ+смежные'!U$1,'свод практик'!$G$6:$G$277,"суб")</f>
        <v>0</v>
      </c>
      <c r="V201" s="208">
        <f>SUMIFS('свод практик'!$CP$6:$CP$277,'свод практик'!$J$6:$J$277,'свод субъектов ИБ+смежные'!V$1,'свод практик'!$G$6:$G$277,"суб")</f>
        <v>114</v>
      </c>
      <c r="W201" s="208">
        <f>SUMIFS('свод практик'!$CP$6:$CP$277,'свод практик'!$J$6:$J$277,'свод субъектов ИБ+смежные'!W$1,'свод практик'!$G$6:$G$277,"суб")</f>
        <v>1</v>
      </c>
      <c r="X201" s="208">
        <f>SUMIFS('свод практик'!$CP$6:$CP$277,'свод практик'!$J$6:$J$277,'свод субъектов ИБ+смежные'!X$1,'свод практик'!$G$6:$G$277,"суб")</f>
        <v>0</v>
      </c>
      <c r="Y201" s="208">
        <f>SUMIFS('свод практик'!$CP$6:$CP$277,'свод практик'!$J$6:$J$277,'свод субъектов ИБ+смежные'!Y$1,'свод практик'!$G$6:$G$277,"суб")</f>
        <v>0</v>
      </c>
      <c r="Z201" s="208">
        <f>SUMIFS('свод практик'!$CP$6:$CP$277,'свод практик'!$J$6:$J$277,'свод субъектов ИБ+смежные'!Z$1,'свод практик'!$G$6:$G$277,"суб")</f>
        <v>0</v>
      </c>
      <c r="AA201" s="208">
        <f>SUMIFS('свод практик'!$CP$6:$CP$277,'свод практик'!$J$6:$J$277,'свод субъектов ИБ+смежные'!AA$1,'свод практик'!$G$6:$G$277,"суб")</f>
        <v>1</v>
      </c>
      <c r="AB201" s="208">
        <f>SUMIFS('свод практик'!$CP$6:$CP$277,'свод практик'!$J$6:$J$277,'свод субъектов ИБ+смежные'!AB$1,'свод практик'!$G$6:$G$277,"суб")</f>
        <v>0</v>
      </c>
      <c r="AC201" s="208">
        <f>SUMIFS('свод практик'!$CP$6:$CP$277,'свод практик'!$J$6:$J$277,'свод субъектов ИБ+смежные'!AC$1,'свод практик'!$G$6:$G$277,"суб")</f>
        <v>0</v>
      </c>
      <c r="AD201" s="208">
        <f>SUMIFS('свод практик'!$CP$6:$CP$277,'свод практик'!$J$6:$J$277,'свод субъектов ИБ+смежные'!AD$1,'свод практик'!$G$6:$G$277,"суб")</f>
        <v>0</v>
      </c>
      <c r="AE201" s="208">
        <f>SUMIFS('свод практик'!$CP$6:$CP$277,'свод практик'!$J$6:$J$277,'свод субъектов ИБ+смежные'!AE$1,'свод практик'!$G$6:$G$277,"суб")</f>
        <v>0</v>
      </c>
      <c r="AF201" s="208">
        <f>SUMIFS('свод практик'!$CP$6:$CP$277,'свод практик'!$J$6:$J$277,'свод субъектов ИБ+смежные'!AF$1,'свод практик'!$G$6:$G$277,"суб")</f>
        <v>1</v>
      </c>
      <c r="AG201" s="208">
        <f>SUMIFS('свод практик'!$CP$6:$CP$277,'свод практик'!$J$6:$J$277,'свод субъектов ИБ+смежные'!AG$1,'свод практик'!$G$6:$G$277,"суб")</f>
        <v>0</v>
      </c>
      <c r="AH201" s="208">
        <f>SUMIFS('свод практик'!$CP$6:$CP$277,'свод практик'!$J$6:$J$277,'свод субъектов ИБ+смежные'!AH$1,'свод практик'!$G$6:$G$277,"суб")</f>
        <v>0</v>
      </c>
      <c r="AI201" s="208">
        <f>SUMIFS('свод практик'!$CP$6:$CP$277,'свод практик'!$J$6:$J$277,'свод субъектов ИБ+смежные'!AI$1,'свод практик'!$G$6:$G$277,"суб")</f>
        <v>151</v>
      </c>
      <c r="AJ201" s="208">
        <f>SUMIFS('свод практик'!$CP$6:$CP$277,'свод практик'!$J$6:$J$277,'свод субъектов ИБ+смежные'!AJ$1,'свод практик'!$G$6:$G$277,"суб")</f>
        <v>0</v>
      </c>
      <c r="AK201" s="208">
        <f>SUMIFS('свод практик'!$CP$6:$CP$277,'свод практик'!$J$6:$J$277,'свод субъектов ИБ+смежные'!AK$1,'свод практик'!$G$6:$G$277,"суб")</f>
        <v>0</v>
      </c>
      <c r="AL201" s="208">
        <f>SUMIFS('свод практик'!$CP$6:$CP$277,'свод практик'!$J$6:$J$277,'свод субъектов ИБ+смежные'!AL$1,'свод практик'!$G$6:$G$277,"суб")</f>
        <v>0</v>
      </c>
      <c r="AM201" s="208">
        <f>SUMIFS('свод практик'!$CP$6:$CP$277,'свод практик'!$J$6:$J$277,'свод субъектов ИБ+смежные'!AM$1,'свод практик'!$G$6:$G$277,"суб")</f>
        <v>0</v>
      </c>
      <c r="AN201" s="208">
        <f>SUMIFS('свод практик'!$CP$6:$CP$277,'свод практик'!$J$6:$J$277,'свод субъектов ИБ+смежные'!AN$1,'свод практик'!$G$6:$G$277,"суб")</f>
        <v>0</v>
      </c>
      <c r="AO201" s="208">
        <f>SUMIFS('свод практик'!$CP$6:$CP$277,'свод практик'!$J$6:$J$277,'свод субъектов ИБ+смежные'!AO$1,'свод практик'!$G$6:$G$277,"суб")</f>
        <v>0</v>
      </c>
      <c r="AP201" s="208">
        <f>SUMIFS('свод практик'!$CP$6:$CP$277,'свод практик'!$J$6:$J$277,'свод субъектов ИБ+смежные'!AP$1,'свод практик'!$G$6:$G$277,"суб")</f>
        <v>1</v>
      </c>
      <c r="AQ201" s="208">
        <f>SUMIFS('свод практик'!$CP$6:$CP$277,'свод практик'!$J$6:$J$277,'свод субъектов ИБ+смежные'!AQ$1,'свод практик'!$G$6:$G$277,"суб")</f>
        <v>0</v>
      </c>
      <c r="AR201" s="208">
        <f>SUMIFS('свод практик'!$CP$6:$CP$277,'свод практик'!$J$6:$J$277,'свод субъектов ИБ+смежные'!AR$1,'свод практик'!$G$6:$G$277,"суб")</f>
        <v>0</v>
      </c>
      <c r="AS201" s="208">
        <f>SUMIFS('свод практик'!$CP$6:$CP$277,'свод практик'!$J$6:$J$277,'свод субъектов ИБ+смежные'!AS$1,'свод практик'!$G$6:$G$277,"суб")</f>
        <v>16</v>
      </c>
      <c r="AT201" s="208">
        <f>SUMIFS('свод практик'!$CP$6:$CP$277,'свод практик'!$J$6:$J$277,'свод субъектов ИБ+смежные'!AT$1,'свод практик'!$G$6:$G$277,"суб")</f>
        <v>0</v>
      </c>
      <c r="AU201" s="208">
        <f>SUMIFS('свод практик'!$CP$6:$CP$277,'свод практик'!$J$6:$J$277,'свод субъектов ИБ+смежные'!AU$1,'свод практик'!$G$6:$G$277,"суб")</f>
        <v>0</v>
      </c>
      <c r="AV201" s="208">
        <f>SUMIFS('свод практик'!$CP$6:$CP$277,'свод практик'!$J$6:$J$277,'свод субъектов ИБ+смежные'!AV$1,'свод практик'!$G$6:$G$277,"суб")</f>
        <v>0</v>
      </c>
      <c r="AW201" s="208">
        <f>SUMIFS('свод практик'!$CP$6:$CP$277,'свод практик'!$J$6:$J$277,'свод субъектов ИБ+смежные'!AW$1,'свод практик'!$G$6:$G$277,"суб")</f>
        <v>0</v>
      </c>
      <c r="AX201" s="208">
        <f>SUMIFS('свод практик'!$CP$6:$CP$277,'свод практик'!$J$6:$J$277,'свод субъектов ИБ+смежные'!AX$1,'свод практик'!$G$6:$G$277,"суб")</f>
        <v>0</v>
      </c>
      <c r="AY201" s="208">
        <f>SUMIFS('свод практик'!$CP$6:$CP$277,'свод практик'!$J$6:$J$277,'свод субъектов ИБ+смежные'!AY$1,'свод практик'!$G$6:$G$277,"суб")</f>
        <v>0</v>
      </c>
      <c r="AZ201" s="208">
        <f>SUMIFS('свод практик'!$CP$6:$CP$277,'свод практик'!$J$6:$J$277,'свод субъектов ИБ+смежные'!AZ$1,'свод практик'!$G$6:$G$277,"суб")</f>
        <v>3</v>
      </c>
      <c r="BA201" s="208">
        <f>SUMIFS('свод практик'!$CP$6:$CP$277,'свод практик'!$J$6:$J$277,'свод субъектов ИБ+смежные'!BA$1,'свод практик'!$G$6:$G$277,"суб")</f>
        <v>0</v>
      </c>
      <c r="BB201" s="208">
        <f>SUMIFS('свод практик'!$CP$6:$CP$277,'свод практик'!$J$6:$J$277,'свод субъектов ИБ+смежные'!BB$1,'свод практик'!$G$6:$G$277,"суб")</f>
        <v>0</v>
      </c>
      <c r="BC201" s="208">
        <f>SUMIFS('свод практик'!$CP$6:$CP$277,'свод практик'!$J$6:$J$277,'свод субъектов ИБ+смежные'!BC$1,'свод практик'!$G$6:$G$277,"суб")</f>
        <v>0</v>
      </c>
      <c r="BD201" s="208">
        <f>SUMIFS('свод практик'!$CP$6:$CP$277,'свод практик'!$J$6:$J$277,'свод субъектов ИБ+смежные'!BD$1,'свод практик'!$G$6:$G$277,"суб")</f>
        <v>0</v>
      </c>
      <c r="BE201" s="208">
        <f>SUMIFS('свод практик'!$CP$6:$CP$277,'свод практик'!$J$6:$J$277,'свод субъектов ИБ+смежные'!BE$1,'свод практик'!$G$6:$G$277,"суб")</f>
        <v>0</v>
      </c>
      <c r="BF201" s="208">
        <f>SUMIFS('свод практик'!$CP$6:$CP$277,'свод практик'!$J$6:$J$277,'свод субъектов ИБ+смежные'!BF$1,'свод практик'!$G$6:$G$277,"суб")</f>
        <v>0</v>
      </c>
      <c r="BG201" s="208">
        <f>SUMIFS('свод практик'!$CP$6:$CP$277,'свод практик'!$J$6:$J$277,'свод субъектов ИБ+смежные'!BG$1,'свод практик'!$G$6:$G$277,"суб")</f>
        <v>1</v>
      </c>
      <c r="BH201" s="208">
        <f>SUMIFS('свод практик'!$CP$6:$CP$277,'свод практик'!$J$6:$J$277,'свод субъектов ИБ+смежные'!BH$1,'свод практик'!$G$6:$G$277,"суб")</f>
        <v>0</v>
      </c>
      <c r="BI201" s="208">
        <f>SUMIFS('свод практик'!$CP$6:$CP$277,'свод практик'!$J$6:$J$277,'свод субъектов ИБ+смежные'!BI$1,'свод практик'!$G$6:$G$277,"суб")</f>
        <v>0</v>
      </c>
      <c r="BJ201" s="208">
        <f>SUMIFS('свод практик'!$CP$6:$CP$277,'свод практик'!$J$6:$J$277,'свод субъектов ИБ+смежные'!BJ$1,'свод практик'!$G$6:$G$277,"суб")</f>
        <v>5</v>
      </c>
      <c r="BK201" s="208">
        <f>SUMIFS('свод практик'!$CP$6:$CP$277,'свод практик'!$J$6:$J$277,'свод субъектов ИБ+смежные'!BK$1,'свод практик'!$G$6:$G$277,"суб")</f>
        <v>1</v>
      </c>
      <c r="BL201" s="208">
        <f>SUMIFS('свод практик'!$CP$6:$CP$277,'свод практик'!$J$6:$J$277,'свод субъектов ИБ+смежные'!BL$1,'свод практик'!$G$6:$G$277,"суб")</f>
        <v>0</v>
      </c>
      <c r="BM201" s="208">
        <f>SUMIFS('свод практик'!$CP$6:$CP$277,'свод практик'!$J$6:$J$277,'свод субъектов ИБ+смежные'!BM$1,'свод практик'!$G$6:$G$277,"суб")</f>
        <v>0</v>
      </c>
      <c r="BN201" s="208">
        <f>SUMIFS('свод практик'!$CP$6:$CP$277,'свод практик'!$J$6:$J$277,'свод субъектов ИБ+смежные'!BN$1,'свод практик'!$G$6:$G$277,"суб")</f>
        <v>0</v>
      </c>
      <c r="BO201" s="208">
        <f>SUMIFS('свод практик'!$CP$6:$CP$277,'свод практик'!$J$6:$J$277,'свод субъектов ИБ+смежные'!BO$1,'свод практик'!$G$6:$G$277,"суб")</f>
        <v>0</v>
      </c>
      <c r="BP201" s="208">
        <f>SUMIFS('свод практик'!$CP$6:$CP$277,'свод практик'!$J$6:$J$277,'свод субъектов ИБ+смежные'!BP$1,'свод практик'!$G$6:$G$277,"суб")</f>
        <v>5</v>
      </c>
      <c r="BQ201" s="208">
        <f>SUMIFS('свод практик'!$CP$6:$CP$277,'свод практик'!$J$6:$J$277,'свод субъектов ИБ+смежные'!BQ$1,'свод практик'!$G$6:$G$277,"суб")</f>
        <v>0</v>
      </c>
      <c r="BR201" s="208">
        <f>SUMIFS('свод практик'!$CP$6:$CP$277,'свод практик'!$J$6:$J$277,'свод субъектов ИБ+смежные'!BR$1,'свод практик'!$G$6:$G$277,"суб")</f>
        <v>2</v>
      </c>
      <c r="BS201" s="208">
        <f>SUMIFS('свод практик'!$CP$6:$CP$277,'свод практик'!$J$6:$J$277,'свод субъектов ИБ+смежные'!BS$1,'свод практик'!$G$6:$G$277,"суб")</f>
        <v>0</v>
      </c>
      <c r="BT201" s="208">
        <f>SUMIFS('свод практик'!$CP$6:$CP$277,'свод практик'!$J$6:$J$277,'свод субъектов ИБ+смежные'!BT$1,'свод практик'!$G$6:$G$277,"суб")</f>
        <v>0</v>
      </c>
      <c r="BU201" s="208">
        <f>SUMIFS('свод практик'!$CP$6:$CP$277,'свод практик'!$J$6:$J$277,'свод субъектов ИБ+смежные'!BU$1,'свод практик'!$G$6:$G$277,"суб")</f>
        <v>1</v>
      </c>
      <c r="BV201" s="208">
        <f>SUMIFS('свод практик'!$CP$6:$CP$277,'свод практик'!$J$6:$J$277,'свод субъектов ИБ+смежные'!BV$1,'свод практик'!$G$6:$G$277,"суб")</f>
        <v>0</v>
      </c>
      <c r="BW201" s="208">
        <f>SUMIFS('свод практик'!$CP$6:$CP$277,'свод практик'!$J$6:$J$277,'свод субъектов ИБ+смежные'!BW$1,'свод практик'!$G$6:$G$277,"суб")</f>
        <v>0</v>
      </c>
      <c r="BX201" s="208">
        <f>SUMIFS('свод практик'!$CP$6:$CP$277,'свод практик'!$J$6:$J$277,'свод субъектов ИБ+смежные'!BX$1,'свод практик'!$G$6:$G$277,"суб")</f>
        <v>16</v>
      </c>
      <c r="BY201" s="208">
        <f>SUMIFS('свод практик'!$CP$6:$CP$277,'свод практик'!$J$6:$J$277,'свод субъектов ИБ+смежные'!BY$1,'свод практик'!$G$6:$G$277,"суб")</f>
        <v>0</v>
      </c>
      <c r="BZ201" s="208">
        <f>SUMIFS('свод практик'!$CP$6:$CP$277,'свод практик'!$J$6:$J$277,'свод субъектов ИБ+смежные'!BZ$1,'свод практик'!$G$6:$G$277,"суб")</f>
        <v>0</v>
      </c>
      <c r="CA201" s="208">
        <f>SUMIFS('свод практик'!$CP$6:$CP$277,'свод практик'!$J$6:$J$277,'свод субъектов ИБ+смежные'!CA$1,'свод практик'!$G$6:$G$277,"суб")</f>
        <v>0</v>
      </c>
      <c r="CB201" s="208">
        <f>SUMIFS('свод практик'!$CP$6:$CP$277,'свод практик'!$J$6:$J$277,'свод субъектов ИБ+смежные'!CB$1,'свод практик'!$G$6:$G$277,"суб")</f>
        <v>0</v>
      </c>
      <c r="CC201" s="208">
        <f>SUMIFS('свод практик'!$CP$6:$CP$277,'свод практик'!$J$6:$J$277,'свод субъектов ИБ+смежные'!CC$1,'свод практик'!$G$6:$G$277,"суб")</f>
        <v>0</v>
      </c>
      <c r="CD201" s="208">
        <f>SUMIFS('свод практик'!$CP$6:$CP$277,'свод практик'!$J$6:$J$277,'свод субъектов ИБ+смежные'!CD$1,'свод практик'!$G$6:$G$277,"суб")</f>
        <v>0</v>
      </c>
      <c r="CE201" s="208">
        <f>SUMIFS('свод практик'!$CP$6:$CP$277,'свод практик'!$J$6:$J$277,'свод субъектов ИБ+смежные'!CE$1,'свод практик'!$G$6:$G$277,"суб")</f>
        <v>8</v>
      </c>
      <c r="CF201" s="208">
        <f>SUMIFS('свод практик'!$CP$6:$CP$277,'свод практик'!$J$6:$J$277,'свод субъектов ИБ+смежные'!CF$1,'свод практик'!$G$6:$G$277,"суб")</f>
        <v>1</v>
      </c>
      <c r="CG201" s="208">
        <f>SUMIFS('свод практик'!$CP$6:$CP$277,'свод практик'!$J$6:$J$277,'свод субъектов ИБ+смежные'!CG$1,'свод практик'!$G$6:$G$277,"суб")</f>
        <v>17</v>
      </c>
      <c r="CH201" s="208">
        <f>SUMIFS('свод практик'!$CP$6:$CP$277,'свод практик'!$J$6:$J$277,'свод субъектов ИБ+смежные'!CH$1,'свод практик'!$G$6:$G$277,"суб")</f>
        <v>0</v>
      </c>
      <c r="CI201" s="208">
        <f>SUMIFS('свод практик'!$CP$6:$CP$277,'свод практик'!$J$6:$J$277,'свод субъектов ИБ+смежные'!CI$1,'свод практик'!$G$6:$G$277,"суб")</f>
        <v>0</v>
      </c>
      <c r="CJ201" s="208">
        <f>SUMIFS('свод практик'!$CP$6:$CP$277,'свод практик'!$J$6:$J$277,'свод субъектов ИБ+смежные'!CJ$1,'свод практик'!$G$6:$G$277,"суб")</f>
        <v>0</v>
      </c>
      <c r="CK201" s="208">
        <f>SUMIFS('свод практик'!$CP$6:$CP$277,'свод практик'!$J$6:$J$277,'свод субъектов ИБ+смежные'!CK$1,'свод практик'!$G$6:$G$277,"суб")</f>
        <v>0</v>
      </c>
      <c r="CL201" s="208">
        <f>SUMIFS('свод практик'!$CP$6:$CP$277,'свод практик'!$J$6:$J$277,'свод субъектов ИБ+смежные'!CL$1,'свод практик'!$G$6:$G$277,"суб")</f>
        <v>0</v>
      </c>
      <c r="CM201" s="208">
        <f>SUMIFS('свод практик'!$CP$6:$CP$277,'свод практик'!$J$6:$J$277,'свод субъектов ИБ+смежные'!CM$1,'свод практик'!$G$6:$G$277,"суб")</f>
        <v>0</v>
      </c>
      <c r="CN201" s="208">
        <f>SUMIFS('свод практик'!$CP$6:$CP$277,'свод практик'!$J$6:$J$277,'свод субъектов ИБ+смежные'!CN$1,'свод практик'!$G$6:$G$277,"суб")</f>
        <v>0</v>
      </c>
      <c r="CO201" s="208">
        <f>SUMIFS('свод практик'!$CP$6:$CP$277,'свод практик'!$J$6:$J$277,'свод субъектов ИБ+смежные'!CO$1,'свод практик'!$G$6:$G$277,"суб")</f>
        <v>0</v>
      </c>
      <c r="CP201" s="208">
        <f>SUMIFS('свод практик'!$CP$6:$CP$277,'свод практик'!$J$6:$J$277,'свод субъектов ИБ+смежные'!CP$1,'свод практик'!$G$6:$G$277,"суб")</f>
        <v>0</v>
      </c>
      <c r="CQ201" s="208">
        <f>SUMIFS('свод практик'!$CP$6:$CP$277,'свод практик'!$J$6:$J$277,'свод субъектов ИБ+смежные'!CQ$1,'свод практик'!$G$6:$G$277,"суб")</f>
        <v>0</v>
      </c>
      <c r="CR201" s="208">
        <f>SUMIFS('свод практик'!$CP$6:$CP$277,'свод практик'!$J$6:$J$277,'свод субъектов ИБ+смежные'!CR$1,'свод практик'!$G$6:$G$277,"суб")</f>
        <v>0</v>
      </c>
      <c r="CS201" s="208">
        <f>SUMIFS('свод практик'!$CP$6:$CP$277,'свод практик'!$J$6:$J$277,'свод субъектов ИБ+смежные'!CS$1,'свод практик'!$G$6:$G$277,"суб")</f>
        <v>2</v>
      </c>
      <c r="CT201" s="208">
        <f>SUMIFS('свод практик'!$CP$6:$CP$277,'свод практик'!$J$6:$J$277,'свод субъектов ИБ+смежные'!CT$1,'свод практик'!$G$6:$G$277,"суб")</f>
        <v>0</v>
      </c>
      <c r="CU201" s="208">
        <f>SUMIFS('свод практик'!$CP$6:$CP$277,'свод практик'!$J$6:$J$277,'свод субъектов ИБ+смежные'!CU$1,'свод практик'!$G$6:$G$277,"суб")</f>
        <v>0</v>
      </c>
      <c r="CV201" s="208">
        <f>SUMIFS('свод практик'!$CP$6:$CP$277,'свод практик'!$J$6:$J$277,'свод субъектов ИБ+смежные'!CV$1,'свод практик'!$G$6:$G$277,"суб")</f>
        <v>61</v>
      </c>
    </row>
    <row r="202" spans="1:100" ht="15">
      <c r="D202" s="36" t="s">
        <v>4949</v>
      </c>
      <c r="E202" s="36">
        <v>83</v>
      </c>
      <c r="F202" s="36" t="s">
        <v>5605</v>
      </c>
      <c r="H202" s="36" t="s">
        <v>60</v>
      </c>
      <c r="M202" s="36" t="s">
        <v>5497</v>
      </c>
      <c r="N202" s="36">
        <v>1.6642627316098967E-2</v>
      </c>
      <c r="O202" s="224">
        <f t="shared" si="120"/>
        <v>0</v>
      </c>
      <c r="Q202" s="191"/>
      <c r="R202" s="191"/>
      <c r="S202" s="192"/>
      <c r="T202" s="194"/>
      <c r="U202" s="194"/>
    </row>
    <row r="203" spans="1:100" ht="42">
      <c r="D203" s="36" t="s">
        <v>4949</v>
      </c>
      <c r="E203" s="36">
        <v>91</v>
      </c>
      <c r="F203" s="36" t="s">
        <v>5606</v>
      </c>
      <c r="G203" s="36" t="s">
        <v>39</v>
      </c>
      <c r="H203" s="36" t="s">
        <v>5140</v>
      </c>
      <c r="M203" s="36" t="s">
        <v>5497</v>
      </c>
      <c r="N203" s="36">
        <v>536</v>
      </c>
      <c r="O203" s="224">
        <f t="shared" si="120"/>
        <v>76</v>
      </c>
      <c r="P203" s="208">
        <f>SUMIFS('свод практик'!$CQ$6:$CQ$277,'свод практик'!$J$6:$J$277,'свод субъектов ИБ+смежные'!P$1,'свод практик'!$G$6:$G$277,"суб")</f>
        <v>0</v>
      </c>
      <c r="Q203" s="208">
        <f>SUMIFS('свод практик'!$CQ$6:$CQ$277,'свод практик'!$J$6:$J$277,'свод субъектов ИБ+смежные'!Q$1,'свод практик'!$G$6:$G$277,"суб")</f>
        <v>0</v>
      </c>
      <c r="R203" s="208">
        <f>SUMIFS('свод практик'!$CQ$6:$CQ$277,'свод практик'!$J$6:$J$277,'свод субъектов ИБ+смежные'!R$1,'свод практик'!$G$6:$G$277,"суб")</f>
        <v>0</v>
      </c>
      <c r="S203" s="208">
        <f>SUMIFS('свод практик'!$CQ$6:$CQ$277,'свод практик'!$J$6:$J$277,'свод субъектов ИБ+смежные'!S$1,'свод практик'!$G$6:$G$277,"суб")</f>
        <v>0</v>
      </c>
      <c r="T203" s="208">
        <f>SUMIFS('свод практик'!$CQ$6:$CQ$277,'свод практик'!$J$6:$J$277,'свод субъектов ИБ+смежные'!T$1,'свод практик'!$G$6:$G$277,"суб")</f>
        <v>37</v>
      </c>
      <c r="U203" s="208">
        <f>SUMIFS('свод практик'!$CQ$6:$CQ$277,'свод практик'!$J$6:$J$277,'свод субъектов ИБ+смежные'!U$1,'свод практик'!$G$6:$G$277,"суб")</f>
        <v>0</v>
      </c>
      <c r="V203" s="208">
        <f>SUMIFS('свод практик'!$CQ$6:$CQ$277,'свод практик'!$J$6:$J$277,'свод субъектов ИБ+смежные'!V$1,'свод практик'!$G$6:$G$277,"суб")</f>
        <v>0</v>
      </c>
      <c r="W203" s="208">
        <f>SUMIFS('свод практик'!$CQ$6:$CQ$277,'свод практик'!$J$6:$J$277,'свод субъектов ИБ+смежные'!W$1,'свод практик'!$G$6:$G$277,"суб")</f>
        <v>0</v>
      </c>
      <c r="X203" s="208">
        <f>SUMIFS('свод практик'!$CQ$6:$CQ$277,'свод практик'!$J$6:$J$277,'свод субъектов ИБ+смежные'!X$1,'свод практик'!$G$6:$G$277,"суб")</f>
        <v>0</v>
      </c>
      <c r="Y203" s="208">
        <f>SUMIFS('свод практик'!$CQ$6:$CQ$277,'свод практик'!$J$6:$J$277,'свод субъектов ИБ+смежные'!Y$1,'свод практик'!$G$6:$G$277,"суб")</f>
        <v>0</v>
      </c>
      <c r="Z203" s="208">
        <f>SUMIFS('свод практик'!$CQ$6:$CQ$277,'свод практик'!$J$6:$J$277,'свод субъектов ИБ+смежные'!Z$1,'свод практик'!$G$6:$G$277,"суб")</f>
        <v>0</v>
      </c>
      <c r="AA203" s="208">
        <f>SUMIFS('свод практик'!$CQ$6:$CQ$277,'свод практик'!$J$6:$J$277,'свод субъектов ИБ+смежные'!AA$1,'свод практик'!$G$6:$G$277,"суб")</f>
        <v>0</v>
      </c>
      <c r="AB203" s="208">
        <f>SUMIFS('свод практик'!$CQ$6:$CQ$277,'свод практик'!$J$6:$J$277,'свод субъектов ИБ+смежные'!AB$1,'свод практик'!$G$6:$G$277,"суб")</f>
        <v>0</v>
      </c>
      <c r="AC203" s="208">
        <f>SUMIFS('свод практик'!$CQ$6:$CQ$277,'свод практик'!$J$6:$J$277,'свод субъектов ИБ+смежные'!AC$1,'свод практик'!$G$6:$G$277,"суб")</f>
        <v>0</v>
      </c>
      <c r="AD203" s="208">
        <f>SUMIFS('свод практик'!$CQ$6:$CQ$277,'свод практик'!$J$6:$J$277,'свод субъектов ИБ+смежные'!AD$1,'свод практик'!$G$6:$G$277,"суб")</f>
        <v>0</v>
      </c>
      <c r="AE203" s="208">
        <f>SUMIFS('свод практик'!$CQ$6:$CQ$277,'свод практик'!$J$6:$J$277,'свод субъектов ИБ+смежные'!AE$1,'свод практик'!$G$6:$G$277,"суб")</f>
        <v>0</v>
      </c>
      <c r="AF203" s="208">
        <f>SUMIFS('свод практик'!$CQ$6:$CQ$277,'свод практик'!$J$6:$J$277,'свод субъектов ИБ+смежные'!AF$1,'свод практик'!$G$6:$G$277,"суб")</f>
        <v>0</v>
      </c>
      <c r="AG203" s="208">
        <f>SUMIFS('свод практик'!$CQ$6:$CQ$277,'свод практик'!$J$6:$J$277,'свод субъектов ИБ+смежные'!AG$1,'свод практик'!$G$6:$G$277,"суб")</f>
        <v>0</v>
      </c>
      <c r="AH203" s="208">
        <f>SUMIFS('свод практик'!$CQ$6:$CQ$277,'свод практик'!$J$6:$J$277,'свод субъектов ИБ+смежные'!AH$1,'свод практик'!$G$6:$G$277,"суб")</f>
        <v>0</v>
      </c>
      <c r="AI203" s="208">
        <f>SUMIFS('свод практик'!$CQ$6:$CQ$277,'свод практик'!$J$6:$J$277,'свод субъектов ИБ+смежные'!AI$1,'свод практик'!$G$6:$G$277,"суб")</f>
        <v>0</v>
      </c>
      <c r="AJ203" s="208">
        <f>SUMIFS('свод практик'!$CQ$6:$CQ$277,'свод практик'!$J$6:$J$277,'свод субъектов ИБ+смежные'!AJ$1,'свод практик'!$G$6:$G$277,"суб")</f>
        <v>0</v>
      </c>
      <c r="AK203" s="208">
        <f>SUMIFS('свод практик'!$CQ$6:$CQ$277,'свод практик'!$J$6:$J$277,'свод субъектов ИБ+смежные'!AK$1,'свод практик'!$G$6:$G$277,"суб")</f>
        <v>0</v>
      </c>
      <c r="AL203" s="208">
        <f>SUMIFS('свод практик'!$CQ$6:$CQ$277,'свод практик'!$J$6:$J$277,'свод субъектов ИБ+смежные'!AL$1,'свод практик'!$G$6:$G$277,"суб")</f>
        <v>0</v>
      </c>
      <c r="AM203" s="208">
        <f>SUMIFS('свод практик'!$CQ$6:$CQ$277,'свод практик'!$J$6:$J$277,'свод субъектов ИБ+смежные'!AM$1,'свод практик'!$G$6:$G$277,"суб")</f>
        <v>0</v>
      </c>
      <c r="AN203" s="208">
        <f>SUMIFS('свод практик'!$CQ$6:$CQ$277,'свод практик'!$J$6:$J$277,'свод субъектов ИБ+смежные'!AN$1,'свод практик'!$G$6:$G$277,"суб")</f>
        <v>0</v>
      </c>
      <c r="AO203" s="208">
        <f>SUMIFS('свод практик'!$CQ$6:$CQ$277,'свод практик'!$J$6:$J$277,'свод субъектов ИБ+смежные'!AO$1,'свод практик'!$G$6:$G$277,"суб")</f>
        <v>0</v>
      </c>
      <c r="AP203" s="208">
        <f>SUMIFS('свод практик'!$CQ$6:$CQ$277,'свод практик'!$J$6:$J$277,'свод субъектов ИБ+смежные'!AP$1,'свод практик'!$G$6:$G$277,"суб")</f>
        <v>0</v>
      </c>
      <c r="AQ203" s="208">
        <f>SUMIFS('свод практик'!$CQ$6:$CQ$277,'свод практик'!$J$6:$J$277,'свод субъектов ИБ+смежные'!AQ$1,'свод практик'!$G$6:$G$277,"суб")</f>
        <v>0</v>
      </c>
      <c r="AR203" s="208">
        <f>SUMIFS('свод практик'!$CQ$6:$CQ$277,'свод практик'!$J$6:$J$277,'свод субъектов ИБ+смежные'!AR$1,'свод практик'!$G$6:$G$277,"суб")</f>
        <v>0</v>
      </c>
      <c r="AS203" s="208">
        <f>SUMIFS('свод практик'!$CQ$6:$CQ$277,'свод практик'!$J$6:$J$277,'свод субъектов ИБ+смежные'!AS$1,'свод практик'!$G$6:$G$277,"суб")</f>
        <v>0</v>
      </c>
      <c r="AT203" s="208">
        <f>SUMIFS('свод практик'!$CQ$6:$CQ$277,'свод практик'!$J$6:$J$277,'свод субъектов ИБ+смежные'!AT$1,'свод практик'!$G$6:$G$277,"суб")</f>
        <v>0</v>
      </c>
      <c r="AU203" s="208">
        <f>SUMIFS('свод практик'!$CQ$6:$CQ$277,'свод практик'!$J$6:$J$277,'свод субъектов ИБ+смежные'!AU$1,'свод практик'!$G$6:$G$277,"суб")</f>
        <v>0</v>
      </c>
      <c r="AV203" s="208">
        <f>SUMIFS('свод практик'!$CQ$6:$CQ$277,'свод практик'!$J$6:$J$277,'свод субъектов ИБ+смежные'!AV$1,'свод практик'!$G$6:$G$277,"суб")</f>
        <v>0</v>
      </c>
      <c r="AW203" s="208">
        <f>SUMIFS('свод практик'!$CQ$6:$CQ$277,'свод практик'!$J$6:$J$277,'свод субъектов ИБ+смежные'!AW$1,'свод практик'!$G$6:$G$277,"суб")</f>
        <v>0</v>
      </c>
      <c r="AX203" s="208">
        <f>SUMIFS('свод практик'!$CQ$6:$CQ$277,'свод практик'!$J$6:$J$277,'свод субъектов ИБ+смежные'!AX$1,'свод практик'!$G$6:$G$277,"суб")</f>
        <v>0</v>
      </c>
      <c r="AY203" s="208">
        <f>SUMIFS('свод практик'!$CQ$6:$CQ$277,'свод практик'!$J$6:$J$277,'свод субъектов ИБ+смежные'!AY$1,'свод практик'!$G$6:$G$277,"суб")</f>
        <v>0</v>
      </c>
      <c r="AZ203" s="208">
        <f>SUMIFS('свод практик'!$CQ$6:$CQ$277,'свод практик'!$J$6:$J$277,'свод субъектов ИБ+смежные'!AZ$1,'свод практик'!$G$6:$G$277,"суб")</f>
        <v>1</v>
      </c>
      <c r="BA203" s="208">
        <f>SUMIFS('свод практик'!$CQ$6:$CQ$277,'свод практик'!$J$6:$J$277,'свод субъектов ИБ+смежные'!BA$1,'свод практик'!$G$6:$G$277,"суб")</f>
        <v>0</v>
      </c>
      <c r="BB203" s="208">
        <f>SUMIFS('свод практик'!$CQ$6:$CQ$277,'свод практик'!$J$6:$J$277,'свод субъектов ИБ+смежные'!BB$1,'свод практик'!$G$6:$G$277,"суб")</f>
        <v>0</v>
      </c>
      <c r="BC203" s="208">
        <f>SUMIFS('свод практик'!$CQ$6:$CQ$277,'свод практик'!$J$6:$J$277,'свод субъектов ИБ+смежные'!BC$1,'свод практик'!$G$6:$G$277,"суб")</f>
        <v>0</v>
      </c>
      <c r="BD203" s="208">
        <f>SUMIFS('свод практик'!$CQ$6:$CQ$277,'свод практик'!$J$6:$J$277,'свод субъектов ИБ+смежные'!BD$1,'свод практик'!$G$6:$G$277,"суб")</f>
        <v>0</v>
      </c>
      <c r="BE203" s="208">
        <f>SUMIFS('свод практик'!$CQ$6:$CQ$277,'свод практик'!$J$6:$J$277,'свод субъектов ИБ+смежные'!BE$1,'свод практик'!$G$6:$G$277,"суб")</f>
        <v>0</v>
      </c>
      <c r="BF203" s="208">
        <f>SUMIFS('свод практик'!$CQ$6:$CQ$277,'свод практик'!$J$6:$J$277,'свод субъектов ИБ+смежные'!BF$1,'свод практик'!$G$6:$G$277,"суб")</f>
        <v>0</v>
      </c>
      <c r="BG203" s="208">
        <f>SUMIFS('свод практик'!$CQ$6:$CQ$277,'свод практик'!$J$6:$J$277,'свод субъектов ИБ+смежные'!BG$1,'свод практик'!$G$6:$G$277,"суб")</f>
        <v>0</v>
      </c>
      <c r="BH203" s="208">
        <f>SUMIFS('свод практик'!$CQ$6:$CQ$277,'свод практик'!$J$6:$J$277,'свод субъектов ИБ+смежные'!BH$1,'свод практик'!$G$6:$G$277,"суб")</f>
        <v>0</v>
      </c>
      <c r="BI203" s="208">
        <f>SUMIFS('свод практик'!$CQ$6:$CQ$277,'свод практик'!$J$6:$J$277,'свод субъектов ИБ+смежные'!BI$1,'свод практик'!$G$6:$G$277,"суб")</f>
        <v>0</v>
      </c>
      <c r="BJ203" s="208">
        <f>SUMIFS('свод практик'!$CQ$6:$CQ$277,'свод практик'!$J$6:$J$277,'свод субъектов ИБ+смежные'!BJ$1,'свод практик'!$G$6:$G$277,"суб")</f>
        <v>0</v>
      </c>
      <c r="BK203" s="208">
        <f>SUMIFS('свод практик'!$CQ$6:$CQ$277,'свод практик'!$J$6:$J$277,'свод субъектов ИБ+смежные'!BK$1,'свод практик'!$G$6:$G$277,"суб")</f>
        <v>3</v>
      </c>
      <c r="BL203" s="208">
        <f>SUMIFS('свод практик'!$CQ$6:$CQ$277,'свод практик'!$J$6:$J$277,'свод субъектов ИБ+смежные'!BL$1,'свод практик'!$G$6:$G$277,"суб")</f>
        <v>0</v>
      </c>
      <c r="BM203" s="208">
        <f>SUMIFS('свод практик'!$CQ$6:$CQ$277,'свод практик'!$J$6:$J$277,'свод субъектов ИБ+смежные'!BM$1,'свод практик'!$G$6:$G$277,"суб")</f>
        <v>0</v>
      </c>
      <c r="BN203" s="208">
        <f>SUMIFS('свод практик'!$CQ$6:$CQ$277,'свод практик'!$J$6:$J$277,'свод субъектов ИБ+смежные'!BN$1,'свод практик'!$G$6:$G$277,"суб")</f>
        <v>0</v>
      </c>
      <c r="BO203" s="208">
        <f>SUMIFS('свод практик'!$CQ$6:$CQ$277,'свод практик'!$J$6:$J$277,'свод субъектов ИБ+смежные'!BO$1,'свод практик'!$G$6:$G$277,"суб")</f>
        <v>0</v>
      </c>
      <c r="BP203" s="208">
        <f>SUMIFS('свод практик'!$CQ$6:$CQ$277,'свод практик'!$J$6:$J$277,'свод субъектов ИБ+смежные'!BP$1,'свод практик'!$G$6:$G$277,"суб")</f>
        <v>0</v>
      </c>
      <c r="BQ203" s="208">
        <f>SUMIFS('свод практик'!$CQ$6:$CQ$277,'свод практик'!$J$6:$J$277,'свод субъектов ИБ+смежные'!BQ$1,'свод практик'!$G$6:$G$277,"суб")</f>
        <v>0</v>
      </c>
      <c r="BR203" s="208">
        <f>SUMIFS('свод практик'!$CQ$6:$CQ$277,'свод практик'!$J$6:$J$277,'свод субъектов ИБ+смежные'!BR$1,'свод практик'!$G$6:$G$277,"суб")</f>
        <v>0</v>
      </c>
      <c r="BS203" s="208">
        <f>SUMIFS('свод практик'!$CQ$6:$CQ$277,'свод практик'!$J$6:$J$277,'свод субъектов ИБ+смежные'!BS$1,'свод практик'!$G$6:$G$277,"суб")</f>
        <v>0</v>
      </c>
      <c r="BT203" s="208">
        <f>SUMIFS('свод практик'!$CQ$6:$CQ$277,'свод практик'!$J$6:$J$277,'свод субъектов ИБ+смежные'!BT$1,'свод практик'!$G$6:$G$277,"суб")</f>
        <v>1</v>
      </c>
      <c r="BU203" s="208">
        <f>SUMIFS('свод практик'!$CQ$6:$CQ$277,'свод практик'!$J$6:$J$277,'свод субъектов ИБ+смежные'!BU$1,'свод практик'!$G$6:$G$277,"суб")</f>
        <v>0</v>
      </c>
      <c r="BV203" s="208">
        <f>SUMIFS('свод практик'!$CQ$6:$CQ$277,'свод практик'!$J$6:$J$277,'свод субъектов ИБ+смежные'!BV$1,'свод практик'!$G$6:$G$277,"суб")</f>
        <v>3</v>
      </c>
      <c r="BW203" s="208">
        <f>SUMIFS('свод практик'!$CQ$6:$CQ$277,'свод практик'!$J$6:$J$277,'свод субъектов ИБ+смежные'!BW$1,'свод практик'!$G$6:$G$277,"суб")</f>
        <v>0</v>
      </c>
      <c r="BX203" s="208">
        <f>SUMIFS('свод практик'!$CQ$6:$CQ$277,'свод практик'!$J$6:$J$277,'свод субъектов ИБ+смежные'!BX$1,'свод практик'!$G$6:$G$277,"суб")</f>
        <v>0</v>
      </c>
      <c r="BY203" s="208">
        <f>SUMIFS('свод практик'!$CQ$6:$CQ$277,'свод практик'!$J$6:$J$277,'свод субъектов ИБ+смежные'!BY$1,'свод практик'!$G$6:$G$277,"суб")</f>
        <v>0</v>
      </c>
      <c r="BZ203" s="208">
        <f>SUMIFS('свод практик'!$CQ$6:$CQ$277,'свод практик'!$J$6:$J$277,'свод субъектов ИБ+смежные'!BZ$1,'свод практик'!$G$6:$G$277,"суб")</f>
        <v>0</v>
      </c>
      <c r="CA203" s="208">
        <f>SUMIFS('свод практик'!$CQ$6:$CQ$277,'свод практик'!$J$6:$J$277,'свод субъектов ИБ+смежные'!CA$1,'свод практик'!$G$6:$G$277,"суб")</f>
        <v>0</v>
      </c>
      <c r="CB203" s="208">
        <f>SUMIFS('свод практик'!$CQ$6:$CQ$277,'свод практик'!$J$6:$J$277,'свод субъектов ИБ+смежные'!CB$1,'свод практик'!$G$6:$G$277,"суб")</f>
        <v>0</v>
      </c>
      <c r="CC203" s="208">
        <f>SUMIFS('свод практик'!$CQ$6:$CQ$277,'свод практик'!$J$6:$J$277,'свод субъектов ИБ+смежные'!CC$1,'свод практик'!$G$6:$G$277,"суб")</f>
        <v>0</v>
      </c>
      <c r="CD203" s="208">
        <f>SUMIFS('свод практик'!$CQ$6:$CQ$277,'свод практик'!$J$6:$J$277,'свод субъектов ИБ+смежные'!CD$1,'свод практик'!$G$6:$G$277,"суб")</f>
        <v>0</v>
      </c>
      <c r="CE203" s="208">
        <f>SUMIFS('свод практик'!$CQ$6:$CQ$277,'свод практик'!$J$6:$J$277,'свод субъектов ИБ+смежные'!CE$1,'свод практик'!$G$6:$G$277,"суб")</f>
        <v>0</v>
      </c>
      <c r="CF203" s="208">
        <f>SUMIFS('свод практик'!$CQ$6:$CQ$277,'свод практик'!$J$6:$J$277,'свод субъектов ИБ+смежные'!CF$1,'свод практик'!$G$6:$G$277,"суб")</f>
        <v>29</v>
      </c>
      <c r="CG203" s="208">
        <f>SUMIFS('свод практик'!$CQ$6:$CQ$277,'свод практик'!$J$6:$J$277,'свод субъектов ИБ+смежные'!CG$1,'свод практик'!$G$6:$G$277,"суб")</f>
        <v>0</v>
      </c>
      <c r="CH203" s="208">
        <f>SUMIFS('свод практик'!$CQ$6:$CQ$277,'свод практик'!$J$6:$J$277,'свод субъектов ИБ+смежные'!CH$1,'свод практик'!$G$6:$G$277,"суб")</f>
        <v>0</v>
      </c>
      <c r="CI203" s="208">
        <f>SUMIFS('свод практик'!$CQ$6:$CQ$277,'свод практик'!$J$6:$J$277,'свод субъектов ИБ+смежные'!CI$1,'свод практик'!$G$6:$G$277,"суб")</f>
        <v>0</v>
      </c>
      <c r="CJ203" s="208">
        <f>SUMIFS('свод практик'!$CQ$6:$CQ$277,'свод практик'!$J$6:$J$277,'свод субъектов ИБ+смежные'!CJ$1,'свод практик'!$G$6:$G$277,"суб")</f>
        <v>0</v>
      </c>
      <c r="CK203" s="208">
        <f>SUMIFS('свод практик'!$CQ$6:$CQ$277,'свод практик'!$J$6:$J$277,'свод субъектов ИБ+смежные'!CK$1,'свод практик'!$G$6:$G$277,"суб")</f>
        <v>0</v>
      </c>
      <c r="CL203" s="208">
        <f>SUMIFS('свод практик'!$CQ$6:$CQ$277,'свод практик'!$J$6:$J$277,'свод субъектов ИБ+смежные'!CL$1,'свод практик'!$G$6:$G$277,"суб")</f>
        <v>0</v>
      </c>
      <c r="CM203" s="208">
        <f>SUMIFS('свод практик'!$CQ$6:$CQ$277,'свод практик'!$J$6:$J$277,'свод субъектов ИБ+смежные'!CM$1,'свод практик'!$G$6:$G$277,"суб")</f>
        <v>0</v>
      </c>
      <c r="CN203" s="208">
        <f>SUMIFS('свод практик'!$CQ$6:$CQ$277,'свод практик'!$J$6:$J$277,'свод субъектов ИБ+смежные'!CN$1,'свод практик'!$G$6:$G$277,"суб")</f>
        <v>0</v>
      </c>
      <c r="CO203" s="208">
        <f>SUMIFS('свод практик'!$CQ$6:$CQ$277,'свод практик'!$J$6:$J$277,'свод субъектов ИБ+смежные'!CO$1,'свод практик'!$G$6:$G$277,"суб")</f>
        <v>0</v>
      </c>
      <c r="CP203" s="208">
        <f>SUMIFS('свод практик'!$CQ$6:$CQ$277,'свод практик'!$J$6:$J$277,'свод субъектов ИБ+смежные'!CP$1,'свод практик'!$G$6:$G$277,"суб")</f>
        <v>0</v>
      </c>
      <c r="CQ203" s="208">
        <f>SUMIFS('свод практик'!$CQ$6:$CQ$277,'свод практик'!$J$6:$J$277,'свод субъектов ИБ+смежные'!CQ$1,'свод практик'!$G$6:$G$277,"суб")</f>
        <v>0</v>
      </c>
      <c r="CR203" s="208">
        <f>SUMIFS('свод практик'!$CQ$6:$CQ$277,'свод практик'!$J$6:$J$277,'свод субъектов ИБ+смежные'!CR$1,'свод практик'!$G$6:$G$277,"суб")</f>
        <v>0</v>
      </c>
      <c r="CS203" s="208">
        <f>SUMIFS('свод практик'!$CQ$6:$CQ$277,'свод практик'!$J$6:$J$277,'свод субъектов ИБ+смежные'!CS$1,'свод практик'!$G$6:$G$277,"суб")</f>
        <v>0</v>
      </c>
      <c r="CT203" s="208">
        <f>SUMIFS('свод практик'!$CQ$6:$CQ$277,'свод практик'!$J$6:$J$277,'свод субъектов ИБ+смежные'!CT$1,'свод практик'!$G$6:$G$277,"суб")</f>
        <v>0</v>
      </c>
      <c r="CU203" s="208">
        <f>SUMIFS('свод практик'!$CQ$6:$CQ$277,'свод практик'!$J$6:$J$277,'свод субъектов ИБ+смежные'!CU$1,'свод практик'!$G$6:$G$277,"суб")</f>
        <v>0</v>
      </c>
      <c r="CV203" s="208">
        <f>SUMIFS('свод практик'!$CQ$6:$CQ$277,'свод практик'!$J$6:$J$277,'свод субъектов ИБ+смежные'!CV$1,'свод практик'!$G$6:$G$277,"суб")</f>
        <v>2</v>
      </c>
    </row>
    <row r="204" spans="1:100" ht="15">
      <c r="D204" s="36" t="s">
        <v>4949</v>
      </c>
      <c r="E204" s="36">
        <v>92</v>
      </c>
      <c r="F204" s="36" t="s">
        <v>5607</v>
      </c>
      <c r="H204" s="36" t="s">
        <v>60</v>
      </c>
      <c r="M204" s="36" t="s">
        <v>5497</v>
      </c>
      <c r="N204" s="36">
        <v>2.9734827471430157E-2</v>
      </c>
      <c r="O204" s="224">
        <f t="shared" si="120"/>
        <v>0</v>
      </c>
      <c r="Q204" s="191"/>
      <c r="R204" s="191"/>
      <c r="S204" s="192"/>
      <c r="T204" s="194"/>
      <c r="U204" s="194"/>
    </row>
    <row r="205" spans="1:100" ht="14">
      <c r="D205" s="36" t="s">
        <v>4949</v>
      </c>
      <c r="E205" s="36">
        <v>84</v>
      </c>
      <c r="F205" s="36" t="s">
        <v>5608</v>
      </c>
      <c r="G205" s="36" t="s">
        <v>5195</v>
      </c>
      <c r="H205" s="36" t="s">
        <v>5140</v>
      </c>
      <c r="L205" s="36" t="s">
        <v>278</v>
      </c>
      <c r="M205" s="36" t="s">
        <v>5497</v>
      </c>
      <c r="N205" s="36">
        <v>200</v>
      </c>
      <c r="O205" s="224">
        <f t="shared" si="120"/>
        <v>660</v>
      </c>
      <c r="P205" s="208">
        <f>SUMIFS('свод практик'!$CR$6:$CR$277,'свод практик'!$J$6:$J$277,'свод субъектов ИБ+смежные'!P$1,'свод практик'!$G$6:$G$277,"суб")</f>
        <v>0</v>
      </c>
      <c r="Q205" s="208">
        <f>SUMIFS('свод практик'!$CR$6:$CR$277,'свод практик'!$J$6:$J$277,'свод субъектов ИБ+смежные'!Q$1,'свод практик'!$G$6:$G$277,"суб")</f>
        <v>9</v>
      </c>
      <c r="R205" s="208">
        <f>SUMIFS('свод практик'!$CR$6:$CR$277,'свод практик'!$J$6:$J$277,'свод субъектов ИБ+смежные'!R$1,'свод практик'!$G$6:$G$277,"суб")</f>
        <v>0</v>
      </c>
      <c r="S205" s="208">
        <f>SUMIFS('свод практик'!$CR$6:$CR$277,'свод практик'!$J$6:$J$277,'свод субъектов ИБ+смежные'!S$1,'свод практик'!$G$6:$G$277,"суб")</f>
        <v>0</v>
      </c>
      <c r="T205" s="208">
        <f>SUMIFS('свод практик'!$CR$6:$CR$277,'свод практик'!$J$6:$J$277,'свод субъектов ИБ+смежные'!T$1,'свод практик'!$G$6:$G$277,"суб")</f>
        <v>20</v>
      </c>
      <c r="U205" s="208">
        <f>SUMIFS('свод практик'!$CR$6:$CR$277,'свод практик'!$J$6:$J$277,'свод субъектов ИБ+смежные'!U$1,'свод практик'!$G$6:$G$277,"суб")</f>
        <v>0</v>
      </c>
      <c r="V205" s="208">
        <f>SUMIFS('свод практик'!$CR$6:$CR$277,'свод практик'!$J$6:$J$277,'свод субъектов ИБ+смежные'!V$1,'свод практик'!$G$6:$G$277,"суб")</f>
        <v>20</v>
      </c>
      <c r="W205" s="208">
        <f>SUMIFS('свод практик'!$CR$6:$CR$277,'свод практик'!$J$6:$J$277,'свод субъектов ИБ+смежные'!W$1,'свод практик'!$G$6:$G$277,"суб")</f>
        <v>2</v>
      </c>
      <c r="X205" s="208">
        <f>SUMIFS('свод практик'!$CR$6:$CR$277,'свод практик'!$J$6:$J$277,'свод субъектов ИБ+смежные'!X$1,'свод практик'!$G$6:$G$277,"суб")</f>
        <v>0</v>
      </c>
      <c r="Y205" s="208">
        <f>SUMIFS('свод практик'!$CR$6:$CR$277,'свод практик'!$J$6:$J$277,'свод субъектов ИБ+смежные'!Y$1,'свод практик'!$G$6:$G$277,"суб")</f>
        <v>0</v>
      </c>
      <c r="Z205" s="208">
        <f>SUMIFS('свод практик'!$CR$6:$CR$277,'свод практик'!$J$6:$J$277,'свод субъектов ИБ+смежные'!Z$1,'свод практик'!$G$6:$G$277,"суб")</f>
        <v>8</v>
      </c>
      <c r="AA205" s="208">
        <f>SUMIFS('свод практик'!$CR$6:$CR$277,'свод практик'!$J$6:$J$277,'свод субъектов ИБ+смежные'!AA$1,'свод практик'!$G$6:$G$277,"суб")</f>
        <v>0</v>
      </c>
      <c r="AB205" s="208">
        <f>SUMIFS('свод практик'!$CR$6:$CR$277,'свод практик'!$J$6:$J$277,'свод субъектов ИБ+смежные'!AB$1,'свод практик'!$G$6:$G$277,"суб")</f>
        <v>0</v>
      </c>
      <c r="AC205" s="208">
        <f>SUMIFS('свод практик'!$CR$6:$CR$277,'свод практик'!$J$6:$J$277,'свод субъектов ИБ+смежные'!AC$1,'свод практик'!$G$6:$G$277,"суб")</f>
        <v>17</v>
      </c>
      <c r="AD205" s="208">
        <f>SUMIFS('свод практик'!$CR$6:$CR$277,'свод практик'!$J$6:$J$277,'свод субъектов ИБ+смежные'!AD$1,'свод практик'!$G$6:$G$277,"суб")</f>
        <v>0</v>
      </c>
      <c r="AE205" s="208">
        <f>SUMIFS('свод практик'!$CR$6:$CR$277,'свод практик'!$J$6:$J$277,'свод субъектов ИБ+смежные'!AE$1,'свод практик'!$G$6:$G$277,"суб")</f>
        <v>0</v>
      </c>
      <c r="AF205" s="208">
        <f>SUMIFS('свод практик'!$CR$6:$CR$277,'свод практик'!$J$6:$J$277,'свод субъектов ИБ+смежные'!AF$1,'свод практик'!$G$6:$G$277,"суб")</f>
        <v>0</v>
      </c>
      <c r="AG205" s="208">
        <f>SUMIFS('свод практик'!$CR$6:$CR$277,'свод практик'!$J$6:$J$277,'свод субъектов ИБ+смежные'!AG$1,'свод практик'!$G$6:$G$277,"суб")</f>
        <v>0</v>
      </c>
      <c r="AH205" s="208">
        <f>SUMIFS('свод практик'!$CR$6:$CR$277,'свод практик'!$J$6:$J$277,'свод субъектов ИБ+смежные'!AH$1,'свод практик'!$G$6:$G$277,"суб")</f>
        <v>0</v>
      </c>
      <c r="AI205" s="208">
        <f>SUMIFS('свод практик'!$CR$6:$CR$277,'свод практик'!$J$6:$J$277,'свод субъектов ИБ+смежные'!AI$1,'свод практик'!$G$6:$G$277,"суб")</f>
        <v>0</v>
      </c>
      <c r="AJ205" s="208">
        <f>SUMIFS('свод практик'!$CR$6:$CR$277,'свод практик'!$J$6:$J$277,'свод субъектов ИБ+смежные'!AJ$1,'свод практик'!$G$6:$G$277,"суб")</f>
        <v>0</v>
      </c>
      <c r="AK205" s="208">
        <f>SUMIFS('свод практик'!$CR$6:$CR$277,'свод практик'!$J$6:$J$277,'свод субъектов ИБ+смежные'!AK$1,'свод практик'!$G$6:$G$277,"суб")</f>
        <v>0</v>
      </c>
      <c r="AL205" s="208">
        <f>SUMIFS('свод практик'!$CR$6:$CR$277,'свод практик'!$J$6:$J$277,'свод субъектов ИБ+смежные'!AL$1,'свод практик'!$G$6:$G$277,"суб")</f>
        <v>0</v>
      </c>
      <c r="AM205" s="208">
        <f>SUMIFS('свод практик'!$CR$6:$CR$277,'свод практик'!$J$6:$J$277,'свод субъектов ИБ+смежные'!AM$1,'свод практик'!$G$6:$G$277,"суб")</f>
        <v>19</v>
      </c>
      <c r="AN205" s="208">
        <f>SUMIFS('свод практик'!$CR$6:$CR$277,'свод практик'!$J$6:$J$277,'свод субъектов ИБ+смежные'!AN$1,'свод практик'!$G$6:$G$277,"суб")</f>
        <v>0</v>
      </c>
      <c r="AO205" s="208">
        <f>SUMIFS('свод практик'!$CR$6:$CR$277,'свод практик'!$J$6:$J$277,'свод субъектов ИБ+смежные'!AO$1,'свод практик'!$G$6:$G$277,"суб")</f>
        <v>0</v>
      </c>
      <c r="AP205" s="208">
        <f>SUMIFS('свод практик'!$CR$6:$CR$277,'свод практик'!$J$6:$J$277,'свод субъектов ИБ+смежные'!AP$1,'свод практик'!$G$6:$G$277,"суб")</f>
        <v>0</v>
      </c>
      <c r="AQ205" s="208">
        <f>SUMIFS('свод практик'!$CR$6:$CR$277,'свод практик'!$J$6:$J$277,'свод субъектов ИБ+смежные'!AQ$1,'свод практик'!$G$6:$G$277,"суб")</f>
        <v>8</v>
      </c>
      <c r="AR205" s="208">
        <f>SUMIFS('свод практик'!$CR$6:$CR$277,'свод практик'!$J$6:$J$277,'свод субъектов ИБ+смежные'!AR$1,'свод практик'!$G$6:$G$277,"суб")</f>
        <v>0</v>
      </c>
      <c r="AS205" s="208">
        <f>SUMIFS('свод практик'!$CR$6:$CR$277,'свод практик'!$J$6:$J$277,'свод субъектов ИБ+смежные'!AS$1,'свод практик'!$G$6:$G$277,"суб")</f>
        <v>10</v>
      </c>
      <c r="AT205" s="208">
        <f>SUMIFS('свод практик'!$CR$6:$CR$277,'свод практик'!$J$6:$J$277,'свод субъектов ИБ+смежные'!AT$1,'свод практик'!$G$6:$G$277,"суб")</f>
        <v>0</v>
      </c>
      <c r="AU205" s="208">
        <f>SUMIFS('свод практик'!$CR$6:$CR$277,'свод практик'!$J$6:$J$277,'свод субъектов ИБ+смежные'!AU$1,'свод практик'!$G$6:$G$277,"суб")</f>
        <v>0</v>
      </c>
      <c r="AV205" s="208">
        <f>SUMIFS('свод практик'!$CR$6:$CR$277,'свод практик'!$J$6:$J$277,'свод субъектов ИБ+смежные'!AV$1,'свод практик'!$G$6:$G$277,"суб")</f>
        <v>0</v>
      </c>
      <c r="AW205" s="208">
        <f>SUMIFS('свод практик'!$CR$6:$CR$277,'свод практик'!$J$6:$J$277,'свод субъектов ИБ+смежные'!AW$1,'свод практик'!$G$6:$G$277,"суб")</f>
        <v>19</v>
      </c>
      <c r="AX205" s="208">
        <f>SUMIFS('свод практик'!$CR$6:$CR$277,'свод практик'!$J$6:$J$277,'свод субъектов ИБ+смежные'!AX$1,'свод практик'!$G$6:$G$277,"суб")</f>
        <v>1</v>
      </c>
      <c r="AY205" s="208">
        <f>SUMIFS('свод практик'!$CR$6:$CR$277,'свод практик'!$J$6:$J$277,'свод субъектов ИБ+смежные'!AY$1,'свод практик'!$G$6:$G$277,"суб")</f>
        <v>0</v>
      </c>
      <c r="AZ205" s="208">
        <f>SUMIFS('свод практик'!$CR$6:$CR$277,'свод практик'!$J$6:$J$277,'свод субъектов ИБ+смежные'!AZ$1,'свод практик'!$G$6:$G$277,"суб")</f>
        <v>0</v>
      </c>
      <c r="BA205" s="208">
        <f>SUMIFS('свод практик'!$CR$6:$CR$277,'свод практик'!$J$6:$J$277,'свод субъектов ИБ+смежные'!BA$1,'свод практик'!$G$6:$G$277,"суб")</f>
        <v>0</v>
      </c>
      <c r="BB205" s="208">
        <f>SUMIFS('свод практик'!$CR$6:$CR$277,'свод практик'!$J$6:$J$277,'свод субъектов ИБ+смежные'!BB$1,'свод практик'!$G$6:$G$277,"суб")</f>
        <v>0</v>
      </c>
      <c r="BC205" s="208">
        <f>SUMIFS('свод практик'!$CR$6:$CR$277,'свод практик'!$J$6:$J$277,'свод субъектов ИБ+смежные'!BC$1,'свод практик'!$G$6:$G$277,"суб")</f>
        <v>3</v>
      </c>
      <c r="BD205" s="208">
        <f>SUMIFS('свод практик'!$CR$6:$CR$277,'свод практик'!$J$6:$J$277,'свод субъектов ИБ+смежные'!BD$1,'свод практик'!$G$6:$G$277,"суб")</f>
        <v>0</v>
      </c>
      <c r="BE205" s="208">
        <f>SUMIFS('свод практик'!$CR$6:$CR$277,'свод практик'!$J$6:$J$277,'свод субъектов ИБ+смежные'!BE$1,'свод практик'!$G$6:$G$277,"суб")</f>
        <v>0</v>
      </c>
      <c r="BF205" s="208">
        <f>SUMIFS('свод практик'!$CR$6:$CR$277,'свод практик'!$J$6:$J$277,'свод субъектов ИБ+смежные'!BF$1,'свод практик'!$G$6:$G$277,"суб")</f>
        <v>0</v>
      </c>
      <c r="BG205" s="208">
        <f>SUMIFS('свод практик'!$CR$6:$CR$277,'свод практик'!$J$6:$J$277,'свод субъектов ИБ+смежные'!BG$1,'свод практик'!$G$6:$G$277,"суб")</f>
        <v>0</v>
      </c>
      <c r="BH205" s="208">
        <f>SUMIFS('свод практик'!$CR$6:$CR$277,'свод практик'!$J$6:$J$277,'свод субъектов ИБ+смежные'!BH$1,'свод практик'!$G$6:$G$277,"суб")</f>
        <v>0</v>
      </c>
      <c r="BI205" s="208">
        <f>SUMIFS('свод практик'!$CR$6:$CR$277,'свод практик'!$J$6:$J$277,'свод субъектов ИБ+смежные'!BI$1,'свод практик'!$G$6:$G$277,"суб")</f>
        <v>1</v>
      </c>
      <c r="BJ205" s="208">
        <f>SUMIFS('свод практик'!$CR$6:$CR$277,'свод практик'!$J$6:$J$277,'свод субъектов ИБ+смежные'!BJ$1,'свод практик'!$G$6:$G$277,"суб")</f>
        <v>9</v>
      </c>
      <c r="BK205" s="208">
        <f>SUMIFS('свод практик'!$CR$6:$CR$277,'свод практик'!$J$6:$J$277,'свод субъектов ИБ+смежные'!BK$1,'свод практик'!$G$6:$G$277,"суб")</f>
        <v>0</v>
      </c>
      <c r="BL205" s="208">
        <f>SUMIFS('свод практик'!$CR$6:$CR$277,'свод практик'!$J$6:$J$277,'свод субъектов ИБ+смежные'!BL$1,'свод практик'!$G$6:$G$277,"суб")</f>
        <v>0</v>
      </c>
      <c r="BM205" s="208">
        <f>SUMIFS('свод практик'!$CR$6:$CR$277,'свод практик'!$J$6:$J$277,'свод субъектов ИБ+смежные'!BM$1,'свод практик'!$G$6:$G$277,"суб")</f>
        <v>0</v>
      </c>
      <c r="BN205" s="208">
        <f>SUMIFS('свод практик'!$CR$6:$CR$277,'свод практик'!$J$6:$J$277,'свод субъектов ИБ+смежные'!BN$1,'свод практик'!$G$6:$G$277,"суб")</f>
        <v>0</v>
      </c>
      <c r="BO205" s="208">
        <f>SUMIFS('свод практик'!$CR$6:$CR$277,'свод практик'!$J$6:$J$277,'свод субъектов ИБ+смежные'!BO$1,'свод практик'!$G$6:$G$277,"суб")</f>
        <v>0</v>
      </c>
      <c r="BP205" s="208">
        <f>SUMIFS('свод практик'!$CR$6:$CR$277,'свод практик'!$J$6:$J$277,'свод субъектов ИБ+смежные'!BP$1,'свод практик'!$G$6:$G$277,"суб")</f>
        <v>1</v>
      </c>
      <c r="BQ205" s="208">
        <f>SUMIFS('свод практик'!$CR$6:$CR$277,'свод практик'!$J$6:$J$277,'свод субъектов ИБ+смежные'!BQ$1,'свод практик'!$G$6:$G$277,"суб")</f>
        <v>0</v>
      </c>
      <c r="BR205" s="208">
        <f>SUMIFS('свод практик'!$CR$6:$CR$277,'свод практик'!$J$6:$J$277,'свод субъектов ИБ+смежные'!BR$1,'свод практик'!$G$6:$G$277,"суб")</f>
        <v>0</v>
      </c>
      <c r="BS205" s="208">
        <f>SUMIFS('свод практик'!$CR$6:$CR$277,'свод практик'!$J$6:$J$277,'свод субъектов ИБ+смежные'!BS$1,'свод практик'!$G$6:$G$277,"суб")</f>
        <v>0</v>
      </c>
      <c r="BT205" s="208">
        <f>SUMIFS('свод практик'!$CR$6:$CR$277,'свод практик'!$J$6:$J$277,'свод субъектов ИБ+смежные'!BT$1,'свод практик'!$G$6:$G$277,"суб")</f>
        <v>0</v>
      </c>
      <c r="BU205" s="208">
        <f>SUMIFS('свод практик'!$CR$6:$CR$277,'свод практик'!$J$6:$J$277,'свод субъектов ИБ+смежные'!BU$1,'свод практик'!$G$6:$G$277,"суб")</f>
        <v>4</v>
      </c>
      <c r="BV205" s="208">
        <f>SUMIFS('свод практик'!$CR$6:$CR$277,'свод практик'!$J$6:$J$277,'свод субъектов ИБ+смежные'!BV$1,'свод практик'!$G$6:$G$277,"суб")</f>
        <v>2</v>
      </c>
      <c r="BW205" s="208">
        <f>SUMIFS('свод практик'!$CR$6:$CR$277,'свод практик'!$J$6:$J$277,'свод субъектов ИБ+смежные'!BW$1,'свод практик'!$G$6:$G$277,"суб")</f>
        <v>0</v>
      </c>
      <c r="BX205" s="208">
        <f>SUMIFS('свод практик'!$CR$6:$CR$277,'свод практик'!$J$6:$J$277,'свод субъектов ИБ+смежные'!BX$1,'свод практик'!$G$6:$G$277,"суб")</f>
        <v>4</v>
      </c>
      <c r="BY205" s="208">
        <f>SUMIFS('свод практик'!$CR$6:$CR$277,'свод практик'!$J$6:$J$277,'свод субъектов ИБ+смежные'!BY$1,'свод практик'!$G$6:$G$277,"суб")</f>
        <v>1</v>
      </c>
      <c r="BZ205" s="208">
        <f>SUMIFS('свод практик'!$CR$6:$CR$277,'свод практик'!$J$6:$J$277,'свод субъектов ИБ+смежные'!BZ$1,'свод практик'!$G$6:$G$277,"суб")</f>
        <v>0</v>
      </c>
      <c r="CA205" s="208">
        <f>SUMIFS('свод практик'!$CR$6:$CR$277,'свод практик'!$J$6:$J$277,'свод субъектов ИБ+смежные'!CA$1,'свод практик'!$G$6:$G$277,"суб")</f>
        <v>0</v>
      </c>
      <c r="CB205" s="208">
        <f>SUMIFS('свод практик'!$CR$6:$CR$277,'свод практик'!$J$6:$J$277,'свод субъектов ИБ+смежные'!CB$1,'свод практик'!$G$6:$G$277,"суб")</f>
        <v>0</v>
      </c>
      <c r="CC205" s="208">
        <f>SUMIFS('свод практик'!$CR$6:$CR$277,'свод практик'!$J$6:$J$277,'свод субъектов ИБ+смежные'!CC$1,'свод практик'!$G$6:$G$277,"суб")</f>
        <v>0</v>
      </c>
      <c r="CD205" s="208">
        <f>SUMIFS('свод практик'!$CR$6:$CR$277,'свод практик'!$J$6:$J$277,'свод субъектов ИБ+смежные'!CD$1,'свод практик'!$G$6:$G$277,"суб")</f>
        <v>0</v>
      </c>
      <c r="CE205" s="208">
        <f>SUMIFS('свод практик'!$CR$6:$CR$277,'свод практик'!$J$6:$J$277,'свод субъектов ИБ+смежные'!CE$1,'свод практик'!$G$6:$G$277,"суб")</f>
        <v>8</v>
      </c>
      <c r="CF205" s="208">
        <f>SUMIFS('свод практик'!$CR$6:$CR$277,'свод практик'!$J$6:$J$277,'свод субъектов ИБ+смежные'!CF$1,'свод практик'!$G$6:$G$277,"суб")</f>
        <v>477</v>
      </c>
      <c r="CG205" s="208">
        <f>SUMIFS('свод практик'!$CR$6:$CR$277,'свод практик'!$J$6:$J$277,'свод субъектов ИБ+смежные'!CG$1,'свод практик'!$G$6:$G$277,"суб")</f>
        <v>0</v>
      </c>
      <c r="CH205" s="208">
        <f>SUMIFS('свод практик'!$CR$6:$CR$277,'свод практик'!$J$6:$J$277,'свод субъектов ИБ+смежные'!CH$1,'свод практик'!$G$6:$G$277,"суб")</f>
        <v>0</v>
      </c>
      <c r="CI205" s="208">
        <f>SUMIFS('свод практик'!$CR$6:$CR$277,'свод практик'!$J$6:$J$277,'свод субъектов ИБ+смежные'!CI$1,'свод практик'!$G$6:$G$277,"суб")</f>
        <v>0</v>
      </c>
      <c r="CJ205" s="208">
        <f>SUMIFS('свод практик'!$CR$6:$CR$277,'свод практик'!$J$6:$J$277,'свод субъектов ИБ+смежные'!CJ$1,'свод практик'!$G$6:$G$277,"суб")</f>
        <v>0</v>
      </c>
      <c r="CK205" s="208">
        <f>SUMIFS('свод практик'!$CR$6:$CR$277,'свод практик'!$J$6:$J$277,'свод субъектов ИБ+смежные'!CK$1,'свод практик'!$G$6:$G$277,"суб")</f>
        <v>0</v>
      </c>
      <c r="CL205" s="208">
        <f>SUMIFS('свод практик'!$CR$6:$CR$277,'свод практик'!$J$6:$J$277,'свод субъектов ИБ+смежные'!CL$1,'свод практик'!$G$6:$G$277,"суб")</f>
        <v>0</v>
      </c>
      <c r="CM205" s="208">
        <f>SUMIFS('свод практик'!$CR$6:$CR$277,'свод практик'!$J$6:$J$277,'свод субъектов ИБ+смежные'!CM$1,'свод практик'!$G$6:$G$277,"суб")</f>
        <v>1</v>
      </c>
      <c r="CN205" s="208">
        <f>SUMIFS('свод практик'!$CR$6:$CR$277,'свод практик'!$J$6:$J$277,'свод субъектов ИБ+смежные'!CN$1,'свод практик'!$G$6:$G$277,"суб")</f>
        <v>0</v>
      </c>
      <c r="CO205" s="208">
        <f>SUMIFS('свод практик'!$CR$6:$CR$277,'свод практик'!$J$6:$J$277,'свод субъектов ИБ+смежные'!CO$1,'свод практик'!$G$6:$G$277,"суб")</f>
        <v>0</v>
      </c>
      <c r="CP205" s="208">
        <f>SUMIFS('свод практик'!$CR$6:$CR$277,'свод практик'!$J$6:$J$277,'свод субъектов ИБ+смежные'!CP$1,'свод практик'!$G$6:$G$277,"суб")</f>
        <v>0</v>
      </c>
      <c r="CQ205" s="208">
        <f>SUMIFS('свод практик'!$CR$6:$CR$277,'свод практик'!$J$6:$J$277,'свод субъектов ИБ+смежные'!CQ$1,'свод практик'!$G$6:$G$277,"суб")</f>
        <v>0</v>
      </c>
      <c r="CR205" s="208">
        <f>SUMIFS('свод практик'!$CR$6:$CR$277,'свод практик'!$J$6:$J$277,'свод субъектов ИБ+смежные'!CR$1,'свод практик'!$G$6:$G$277,"суб")</f>
        <v>0</v>
      </c>
      <c r="CS205" s="208">
        <f>SUMIFS('свод практик'!$CR$6:$CR$277,'свод практик'!$J$6:$J$277,'свод субъектов ИБ+смежные'!CS$1,'свод практик'!$G$6:$G$277,"суб")</f>
        <v>7</v>
      </c>
      <c r="CT205" s="208">
        <f>SUMIFS('свод практик'!$CR$6:$CR$277,'свод практик'!$J$6:$J$277,'свод субъектов ИБ+смежные'!CT$1,'свод практик'!$G$6:$G$277,"суб")</f>
        <v>0</v>
      </c>
      <c r="CU205" s="208">
        <f>SUMIFS('свод практик'!$CR$6:$CR$277,'свод практик'!$J$6:$J$277,'свод субъектов ИБ+смежные'!CU$1,'свод практик'!$G$6:$G$277,"суб")</f>
        <v>0</v>
      </c>
      <c r="CV205" s="208">
        <f>SUMIFS('свод практик'!$CR$6:$CR$277,'свод практик'!$J$6:$J$277,'свод субъектов ИБ+смежные'!CV$1,'свод практик'!$G$6:$G$277,"суб")</f>
        <v>9</v>
      </c>
    </row>
    <row r="206" spans="1:100" ht="15">
      <c r="D206" s="36" t="s">
        <v>4949</v>
      </c>
      <c r="E206" s="36">
        <v>85</v>
      </c>
      <c r="F206" s="36" t="s">
        <v>5609</v>
      </c>
      <c r="H206" s="36" t="s">
        <v>60</v>
      </c>
      <c r="M206" s="36" t="s">
        <v>5497</v>
      </c>
      <c r="N206" s="36">
        <v>1.1095084877399313E-2</v>
      </c>
      <c r="P206" s="194"/>
      <c r="Q206" s="191"/>
      <c r="R206" s="191"/>
      <c r="S206" s="192"/>
      <c r="T206" s="194"/>
      <c r="U206" s="194"/>
    </row>
    <row r="207" spans="1:100" ht="42">
      <c r="A207" s="36" t="s">
        <v>5610</v>
      </c>
      <c r="B207" s="36" t="s">
        <v>4990</v>
      </c>
      <c r="C207" s="36" t="s">
        <v>5198</v>
      </c>
      <c r="D207" s="36" t="s">
        <v>4949</v>
      </c>
      <c r="E207" s="36">
        <v>86</v>
      </c>
      <c r="F207" s="36" t="s">
        <v>5611</v>
      </c>
      <c r="G207" s="36" t="s">
        <v>5612</v>
      </c>
      <c r="H207" s="36" t="s">
        <v>5140</v>
      </c>
      <c r="I207" s="36" t="s">
        <v>5090</v>
      </c>
      <c r="L207" s="36" t="s">
        <v>278</v>
      </c>
      <c r="M207" s="36" t="s">
        <v>5497</v>
      </c>
      <c r="N207" s="36">
        <v>18026</v>
      </c>
      <c r="O207" s="224">
        <f>SUM(O167:O205)</f>
        <v>20133</v>
      </c>
      <c r="P207" s="224">
        <f>SUM(P167:P205)</f>
        <v>6</v>
      </c>
      <c r="Q207" s="224">
        <f t="shared" ref="Q207:CB207" si="121">SUM(Q167:Q205)</f>
        <v>36</v>
      </c>
      <c r="R207" s="224">
        <f t="shared" si="121"/>
        <v>204</v>
      </c>
      <c r="S207" s="224">
        <f t="shared" si="121"/>
        <v>82</v>
      </c>
      <c r="T207" s="224">
        <f t="shared" si="121"/>
        <v>365</v>
      </c>
      <c r="U207" s="224">
        <f t="shared" si="121"/>
        <v>12</v>
      </c>
      <c r="V207" s="224">
        <f t="shared" si="121"/>
        <v>2528</v>
      </c>
      <c r="W207" s="224">
        <f t="shared" si="121"/>
        <v>49</v>
      </c>
      <c r="X207" s="224">
        <f t="shared" si="121"/>
        <v>89</v>
      </c>
      <c r="Y207" s="224">
        <f t="shared" si="121"/>
        <v>1054</v>
      </c>
      <c r="Z207" s="224">
        <f t="shared" si="121"/>
        <v>453</v>
      </c>
      <c r="AA207" s="224">
        <f t="shared" si="121"/>
        <v>93</v>
      </c>
      <c r="AB207" s="224">
        <f t="shared" si="121"/>
        <v>818</v>
      </c>
      <c r="AC207" s="224">
        <f t="shared" si="121"/>
        <v>325</v>
      </c>
      <c r="AD207" s="224">
        <f t="shared" si="121"/>
        <v>0</v>
      </c>
      <c r="AE207" s="224">
        <f t="shared" si="121"/>
        <v>0</v>
      </c>
      <c r="AF207" s="224">
        <f t="shared" si="121"/>
        <v>1</v>
      </c>
      <c r="AG207" s="224">
        <f t="shared" si="121"/>
        <v>0</v>
      </c>
      <c r="AH207" s="224">
        <f t="shared" si="121"/>
        <v>0</v>
      </c>
      <c r="AI207" s="224">
        <f t="shared" si="121"/>
        <v>1700</v>
      </c>
      <c r="AJ207" s="224">
        <f t="shared" si="121"/>
        <v>0</v>
      </c>
      <c r="AK207" s="224">
        <f t="shared" si="121"/>
        <v>570</v>
      </c>
      <c r="AL207" s="224">
        <f t="shared" si="121"/>
        <v>9</v>
      </c>
      <c r="AM207" s="224">
        <f t="shared" si="121"/>
        <v>148</v>
      </c>
      <c r="AN207" s="224">
        <f t="shared" si="121"/>
        <v>0</v>
      </c>
      <c r="AO207" s="224">
        <f t="shared" si="121"/>
        <v>0</v>
      </c>
      <c r="AP207" s="224">
        <f t="shared" si="121"/>
        <v>151</v>
      </c>
      <c r="AQ207" s="224">
        <f t="shared" si="121"/>
        <v>107</v>
      </c>
      <c r="AR207" s="224">
        <f t="shared" si="121"/>
        <v>357</v>
      </c>
      <c r="AS207" s="224">
        <f t="shared" si="121"/>
        <v>276</v>
      </c>
      <c r="AT207" s="224">
        <f t="shared" si="121"/>
        <v>320</v>
      </c>
      <c r="AU207" s="224">
        <f t="shared" si="121"/>
        <v>0</v>
      </c>
      <c r="AV207" s="224">
        <f t="shared" si="121"/>
        <v>111</v>
      </c>
      <c r="AW207" s="224">
        <f t="shared" si="121"/>
        <v>138</v>
      </c>
      <c r="AX207" s="224">
        <f t="shared" si="121"/>
        <v>293</v>
      </c>
      <c r="AY207" s="224">
        <f t="shared" si="121"/>
        <v>0</v>
      </c>
      <c r="AZ207" s="224">
        <f t="shared" si="121"/>
        <v>599</v>
      </c>
      <c r="BA207" s="224">
        <f t="shared" si="121"/>
        <v>81</v>
      </c>
      <c r="BB207" s="224">
        <f t="shared" si="121"/>
        <v>0</v>
      </c>
      <c r="BC207" s="224">
        <f t="shared" si="121"/>
        <v>42</v>
      </c>
      <c r="BD207" s="224">
        <f t="shared" si="121"/>
        <v>0</v>
      </c>
      <c r="BE207" s="224">
        <f t="shared" si="121"/>
        <v>0</v>
      </c>
      <c r="BF207" s="224">
        <f t="shared" si="121"/>
        <v>0</v>
      </c>
      <c r="BG207" s="224">
        <f t="shared" si="121"/>
        <v>36</v>
      </c>
      <c r="BH207" s="224">
        <f t="shared" si="121"/>
        <v>23</v>
      </c>
      <c r="BI207" s="224">
        <f t="shared" si="121"/>
        <v>593</v>
      </c>
      <c r="BJ207" s="224">
        <f t="shared" si="121"/>
        <v>436</v>
      </c>
      <c r="BK207" s="224">
        <f t="shared" si="121"/>
        <v>203</v>
      </c>
      <c r="BL207" s="224">
        <f t="shared" si="121"/>
        <v>0</v>
      </c>
      <c r="BM207" s="224">
        <f t="shared" si="121"/>
        <v>110</v>
      </c>
      <c r="BN207" s="224">
        <f t="shared" si="121"/>
        <v>9</v>
      </c>
      <c r="BO207" s="224">
        <f t="shared" si="121"/>
        <v>105</v>
      </c>
      <c r="BP207" s="224">
        <f t="shared" si="121"/>
        <v>130</v>
      </c>
      <c r="BQ207" s="224">
        <f t="shared" si="121"/>
        <v>0</v>
      </c>
      <c r="BR207" s="224">
        <f t="shared" si="121"/>
        <v>25</v>
      </c>
      <c r="BS207" s="224">
        <f t="shared" si="121"/>
        <v>0</v>
      </c>
      <c r="BT207" s="224">
        <f t="shared" si="121"/>
        <v>191</v>
      </c>
      <c r="BU207" s="224">
        <f t="shared" si="121"/>
        <v>172</v>
      </c>
      <c r="BV207" s="224">
        <f t="shared" si="121"/>
        <v>17</v>
      </c>
      <c r="BW207" s="224">
        <f t="shared" si="121"/>
        <v>110</v>
      </c>
      <c r="BX207" s="224">
        <f t="shared" si="121"/>
        <v>443</v>
      </c>
      <c r="BY207" s="224">
        <f t="shared" si="121"/>
        <v>176</v>
      </c>
      <c r="BZ207" s="224">
        <f t="shared" si="121"/>
        <v>158</v>
      </c>
      <c r="CA207" s="224">
        <f t="shared" si="121"/>
        <v>0</v>
      </c>
      <c r="CB207" s="224">
        <f t="shared" si="121"/>
        <v>0</v>
      </c>
      <c r="CC207" s="224">
        <f t="shared" ref="CC207:CV207" si="122">SUM(CC167:CC205)</f>
        <v>6</v>
      </c>
      <c r="CD207" s="224">
        <f t="shared" si="122"/>
        <v>241</v>
      </c>
      <c r="CE207" s="224">
        <f t="shared" si="122"/>
        <v>543</v>
      </c>
      <c r="CF207" s="224">
        <f t="shared" si="122"/>
        <v>2858</v>
      </c>
      <c r="CG207" s="224">
        <f t="shared" si="122"/>
        <v>271</v>
      </c>
      <c r="CH207" s="224">
        <f t="shared" si="122"/>
        <v>72</v>
      </c>
      <c r="CI207" s="224">
        <f t="shared" si="122"/>
        <v>506</v>
      </c>
      <c r="CJ207" s="224">
        <f t="shared" si="122"/>
        <v>0</v>
      </c>
      <c r="CK207" s="224">
        <f t="shared" si="122"/>
        <v>17</v>
      </c>
      <c r="CL207" s="224">
        <f t="shared" si="122"/>
        <v>84</v>
      </c>
      <c r="CM207" s="224">
        <f t="shared" si="122"/>
        <v>104</v>
      </c>
      <c r="CN207" s="224">
        <f t="shared" si="122"/>
        <v>249</v>
      </c>
      <c r="CO207" s="224">
        <f t="shared" si="122"/>
        <v>0</v>
      </c>
      <c r="CP207" s="224">
        <f t="shared" si="122"/>
        <v>78</v>
      </c>
      <c r="CQ207" s="224">
        <f t="shared" si="122"/>
        <v>0</v>
      </c>
      <c r="CR207" s="224">
        <f t="shared" si="122"/>
        <v>0</v>
      </c>
      <c r="CS207" s="224">
        <f t="shared" si="122"/>
        <v>643</v>
      </c>
      <c r="CT207" s="224">
        <f t="shared" si="122"/>
        <v>10</v>
      </c>
      <c r="CU207" s="224">
        <f t="shared" si="122"/>
        <v>0</v>
      </c>
      <c r="CV207" s="224">
        <f t="shared" si="122"/>
        <v>497</v>
      </c>
    </row>
    <row r="208" spans="1:100" ht="84.5" customHeight="1">
      <c r="A208" s="36" t="s">
        <v>5613</v>
      </c>
      <c r="B208" s="36" t="s">
        <v>4947</v>
      </c>
      <c r="C208" s="36" t="s">
        <v>5201</v>
      </c>
      <c r="D208" s="36" t="s">
        <v>4949</v>
      </c>
      <c r="E208" s="36">
        <v>87</v>
      </c>
      <c r="F208" s="36" t="s">
        <v>5614</v>
      </c>
      <c r="G208" s="36" t="s">
        <v>5615</v>
      </c>
      <c r="H208" s="36" t="s">
        <v>5082</v>
      </c>
      <c r="I208" s="36" t="s">
        <v>5203</v>
      </c>
      <c r="M208" s="36" t="s">
        <v>5497</v>
      </c>
      <c r="N208" s="232">
        <v>1.030088202487518</v>
      </c>
      <c r="O208" s="233">
        <f>O61/O207</f>
        <v>1.1488628836129737</v>
      </c>
      <c r="P208" s="233">
        <f>P61/P207</f>
        <v>1.1943333333333335</v>
      </c>
      <c r="Q208" s="233">
        <f t="shared" ref="Q208:CB208" si="123">Q61/Q207</f>
        <v>2.1103406833333334</v>
      </c>
      <c r="R208" s="233">
        <f t="shared" si="123"/>
        <v>0.85392156862745094</v>
      </c>
      <c r="S208" s="233">
        <f t="shared" si="123"/>
        <v>1.0929512195121951</v>
      </c>
      <c r="T208" s="233">
        <f t="shared" si="123"/>
        <v>0.13799999999999998</v>
      </c>
      <c r="U208" s="233">
        <f t="shared" si="123"/>
        <v>9.9999999999999992E-2</v>
      </c>
      <c r="V208" s="233">
        <f t="shared" si="123"/>
        <v>1.2432476265822785</v>
      </c>
      <c r="W208" s="233">
        <f t="shared" si="123"/>
        <v>0.23806122448979594</v>
      </c>
      <c r="X208" s="233">
        <f t="shared" si="123"/>
        <v>1.2247191011235956</v>
      </c>
      <c r="Y208" s="233">
        <f t="shared" si="123"/>
        <v>5.6925996204933584E-2</v>
      </c>
      <c r="Z208" s="233">
        <f t="shared" si="123"/>
        <v>1.5747704194260488</v>
      </c>
      <c r="AA208" s="233">
        <f t="shared" si="123"/>
        <v>1.2303333333333335</v>
      </c>
      <c r="AB208" s="233">
        <f t="shared" si="123"/>
        <v>0.20951100244498777</v>
      </c>
      <c r="AC208" s="233">
        <f t="shared" si="123"/>
        <v>0.89876000000000011</v>
      </c>
      <c r="AD208" s="233" t="e">
        <f t="shared" si="123"/>
        <v>#DIV/0!</v>
      </c>
      <c r="AE208" s="233" t="e">
        <f t="shared" si="123"/>
        <v>#DIV/0!</v>
      </c>
      <c r="AF208" s="233">
        <f t="shared" si="123"/>
        <v>25.139099999999999</v>
      </c>
      <c r="AG208" s="233" t="e">
        <f t="shared" si="123"/>
        <v>#DIV/0!</v>
      </c>
      <c r="AH208" s="233" t="e">
        <f t="shared" si="123"/>
        <v>#DIV/0!</v>
      </c>
      <c r="AI208" s="233">
        <f t="shared" si="123"/>
        <v>0.44076470588235289</v>
      </c>
      <c r="AJ208" s="233" t="e">
        <f t="shared" si="123"/>
        <v>#DIV/0!</v>
      </c>
      <c r="AK208" s="233">
        <f t="shared" si="123"/>
        <v>3.1324205369122811</v>
      </c>
      <c r="AL208" s="233">
        <f t="shared" si="123"/>
        <v>0.83368811111111107</v>
      </c>
      <c r="AM208" s="233">
        <f t="shared" si="123"/>
        <v>0.93346621621621617</v>
      </c>
      <c r="AN208" s="233" t="e">
        <f t="shared" si="123"/>
        <v>#DIV/0!</v>
      </c>
      <c r="AO208" s="233" t="e">
        <f t="shared" si="123"/>
        <v>#DIV/0!</v>
      </c>
      <c r="AP208" s="233">
        <f t="shared" si="123"/>
        <v>0.79867549668874172</v>
      </c>
      <c r="AQ208" s="233">
        <f t="shared" si="123"/>
        <v>1.1448598130841121</v>
      </c>
      <c r="AR208" s="233">
        <f t="shared" si="123"/>
        <v>1.1795518207282913</v>
      </c>
      <c r="AS208" s="233">
        <f t="shared" si="123"/>
        <v>0.42841304347826087</v>
      </c>
      <c r="AT208" s="233">
        <f t="shared" si="123"/>
        <v>1.5782281250000001</v>
      </c>
      <c r="AU208" s="233" t="e">
        <f t="shared" si="123"/>
        <v>#DIV/0!</v>
      </c>
      <c r="AV208" s="233">
        <f t="shared" si="123"/>
        <v>1.0837837837837838</v>
      </c>
      <c r="AW208" s="233">
        <f t="shared" si="123"/>
        <v>2.1498753260869563</v>
      </c>
      <c r="AX208" s="233">
        <f t="shared" si="123"/>
        <v>1.9349454095563139</v>
      </c>
      <c r="AY208" s="233" t="e">
        <f t="shared" si="123"/>
        <v>#DIV/0!</v>
      </c>
      <c r="AZ208" s="233">
        <f t="shared" si="123"/>
        <v>0.91243238731218701</v>
      </c>
      <c r="BA208" s="233">
        <f t="shared" si="123"/>
        <v>1.0192716049382717</v>
      </c>
      <c r="BB208" s="233" t="e">
        <f t="shared" si="123"/>
        <v>#DIV/0!</v>
      </c>
      <c r="BC208" s="233">
        <f t="shared" si="123"/>
        <v>0.7702336904761905</v>
      </c>
      <c r="BD208" s="233" t="e">
        <f t="shared" si="123"/>
        <v>#DIV/0!</v>
      </c>
      <c r="BE208" s="233" t="e">
        <f t="shared" si="123"/>
        <v>#DIV/0!</v>
      </c>
      <c r="BF208" s="233" t="e">
        <f t="shared" si="123"/>
        <v>#DIV/0!</v>
      </c>
      <c r="BG208" s="233">
        <f t="shared" si="123"/>
        <v>1.0351111111111111</v>
      </c>
      <c r="BH208" s="233">
        <f t="shared" si="123"/>
        <v>1.0122608695652173</v>
      </c>
      <c r="BI208" s="233">
        <f t="shared" si="123"/>
        <v>1.1727386172006744</v>
      </c>
      <c r="BJ208" s="233">
        <f t="shared" si="123"/>
        <v>1.3051048165137615</v>
      </c>
      <c r="BK208" s="233">
        <f t="shared" si="123"/>
        <v>0.77635467980295558</v>
      </c>
      <c r="BL208" s="233" t="e">
        <f t="shared" si="123"/>
        <v>#DIV/0!</v>
      </c>
      <c r="BM208" s="233">
        <f t="shared" si="123"/>
        <v>0.92363636363636359</v>
      </c>
      <c r="BN208" s="233">
        <f t="shared" si="123"/>
        <v>2.7881111111111117</v>
      </c>
      <c r="BO208" s="233">
        <f t="shared" si="123"/>
        <v>4.637142857142857</v>
      </c>
      <c r="BP208" s="233">
        <f t="shared" si="123"/>
        <v>1.0018822552307693</v>
      </c>
      <c r="BQ208" s="233" t="e">
        <f t="shared" si="123"/>
        <v>#DIV/0!</v>
      </c>
      <c r="BR208" s="233">
        <f t="shared" si="123"/>
        <v>0.18384</v>
      </c>
      <c r="BS208" s="233" t="e">
        <f t="shared" si="123"/>
        <v>#DIV/0!</v>
      </c>
      <c r="BT208" s="233">
        <f t="shared" si="123"/>
        <v>1.0992879581151833</v>
      </c>
      <c r="BU208" s="233">
        <f t="shared" si="123"/>
        <v>1.335593023255814</v>
      </c>
      <c r="BV208" s="233">
        <f t="shared" si="123"/>
        <v>10.676425882352941</v>
      </c>
      <c r="BW208" s="233">
        <f t="shared" si="123"/>
        <v>0.98387545454545455</v>
      </c>
      <c r="BX208" s="233">
        <f t="shared" si="123"/>
        <v>1.8218284424379234</v>
      </c>
      <c r="BY208" s="233">
        <f t="shared" si="123"/>
        <v>4.896590909090909</v>
      </c>
      <c r="BZ208" s="233">
        <f t="shared" si="123"/>
        <v>13.09122924050633</v>
      </c>
      <c r="CA208" s="233" t="e">
        <f t="shared" si="123"/>
        <v>#DIV/0!</v>
      </c>
      <c r="CB208" s="233" t="e">
        <f t="shared" si="123"/>
        <v>#DIV/0!</v>
      </c>
      <c r="CC208" s="233">
        <f t="shared" ref="CC208:CV208" si="124">CC61/CC207</f>
        <v>0.13666666666666666</v>
      </c>
      <c r="CD208" s="233">
        <f t="shared" si="124"/>
        <v>2.676182572614108</v>
      </c>
      <c r="CE208" s="233">
        <f t="shared" si="124"/>
        <v>0.25460957642725596</v>
      </c>
      <c r="CF208" s="233">
        <f t="shared" si="124"/>
        <v>0.47118719384184743</v>
      </c>
      <c r="CG208" s="233">
        <f t="shared" si="124"/>
        <v>0.82730627306273063</v>
      </c>
      <c r="CH208" s="233">
        <f t="shared" si="124"/>
        <v>0.749525055</v>
      </c>
      <c r="CI208" s="233">
        <f t="shared" si="124"/>
        <v>1.3794466403162056</v>
      </c>
      <c r="CJ208" s="233" t="e">
        <f t="shared" si="124"/>
        <v>#DIV/0!</v>
      </c>
      <c r="CK208" s="233">
        <f t="shared" si="124"/>
        <v>25.574058823529409</v>
      </c>
      <c r="CL208" s="233">
        <f t="shared" si="124"/>
        <v>0.90571428571428569</v>
      </c>
      <c r="CM208" s="233">
        <f t="shared" si="124"/>
        <v>1.4125000000000001</v>
      </c>
      <c r="CN208" s="233">
        <f t="shared" si="124"/>
        <v>0.80467871485943776</v>
      </c>
      <c r="CO208" s="233" t="e">
        <f t="shared" si="124"/>
        <v>#DIV/0!</v>
      </c>
      <c r="CP208" s="233">
        <f t="shared" si="124"/>
        <v>7.8611487179487174</v>
      </c>
      <c r="CQ208" s="233" t="e">
        <f t="shared" si="124"/>
        <v>#DIV/0!</v>
      </c>
      <c r="CR208" s="233" t="e">
        <f t="shared" si="124"/>
        <v>#DIV/0!</v>
      </c>
      <c r="CS208" s="233">
        <f t="shared" si="124"/>
        <v>0.67840124416796266</v>
      </c>
      <c r="CT208" s="233">
        <f t="shared" si="124"/>
        <v>2.6659999999999999</v>
      </c>
      <c r="CU208" s="233" t="e">
        <f t="shared" si="124"/>
        <v>#DIV/0!</v>
      </c>
      <c r="CV208" s="233">
        <f t="shared" si="124"/>
        <v>1.487927565392354</v>
      </c>
    </row>
    <row r="209" spans="1:100" ht="47" customHeight="1">
      <c r="A209" s="36" t="s">
        <v>5616</v>
      </c>
      <c r="B209" s="36" t="s">
        <v>4947</v>
      </c>
      <c r="C209" s="36" t="s">
        <v>5205</v>
      </c>
      <c r="D209" s="36" t="s">
        <v>4949</v>
      </c>
      <c r="E209" s="36">
        <v>88</v>
      </c>
      <c r="F209" s="36" t="s">
        <v>5617</v>
      </c>
      <c r="G209" s="36" t="s">
        <v>5618</v>
      </c>
      <c r="H209" s="36" t="s">
        <v>5082</v>
      </c>
      <c r="I209" s="36" t="s">
        <v>5208</v>
      </c>
      <c r="M209" s="36" t="s">
        <v>5497</v>
      </c>
      <c r="N209" s="232">
        <v>0.58245389634084099</v>
      </c>
      <c r="O209" s="233">
        <f>O149/O207</f>
        <v>0.65120381885461687</v>
      </c>
      <c r="P209" s="233">
        <f t="shared" ref="P209:CA209" si="125">P149/P207</f>
        <v>0.82583333333333331</v>
      </c>
      <c r="Q209" s="233">
        <f t="shared" si="125"/>
        <v>7.1697018888888894E-2</v>
      </c>
      <c r="R209" s="233">
        <f t="shared" si="125"/>
        <v>0.57794117647058829</v>
      </c>
      <c r="S209" s="233">
        <f t="shared" si="125"/>
        <v>0.86984146341463409</v>
      </c>
      <c r="T209" s="233">
        <f t="shared" si="125"/>
        <v>5.704109589041096E-2</v>
      </c>
      <c r="U209" s="233">
        <f t="shared" si="125"/>
        <v>9.9999999999999992E-2</v>
      </c>
      <c r="V209" s="233">
        <f t="shared" si="125"/>
        <v>1.0677464398734178</v>
      </c>
      <c r="W209" s="233">
        <f t="shared" si="125"/>
        <v>0.18365306122448977</v>
      </c>
      <c r="X209" s="233">
        <f t="shared" si="125"/>
        <v>1.0786516853932584</v>
      </c>
      <c r="Y209" s="233">
        <f t="shared" si="125"/>
        <v>5.6925996204933584E-2</v>
      </c>
      <c r="Z209" s="233">
        <f t="shared" si="125"/>
        <v>0.13673068432671082</v>
      </c>
      <c r="AA209" s="233">
        <f t="shared" si="125"/>
        <v>0.56112903225806454</v>
      </c>
      <c r="AB209" s="233">
        <f t="shared" si="125"/>
        <v>0.1003154034229829</v>
      </c>
      <c r="AC209" s="233">
        <f t="shared" si="125"/>
        <v>0.6269015384615384</v>
      </c>
      <c r="AD209" s="233" t="e">
        <f t="shared" si="125"/>
        <v>#DIV/0!</v>
      </c>
      <c r="AE209" s="233" t="e">
        <f t="shared" si="125"/>
        <v>#DIV/0!</v>
      </c>
      <c r="AF209" s="233">
        <f t="shared" si="125"/>
        <v>25.139099999999999</v>
      </c>
      <c r="AG209" s="233" t="e">
        <f t="shared" si="125"/>
        <v>#DIV/0!</v>
      </c>
      <c r="AH209" s="233" t="e">
        <f t="shared" si="125"/>
        <v>#DIV/0!</v>
      </c>
      <c r="AI209" s="233">
        <f t="shared" si="125"/>
        <v>0.38235294117647056</v>
      </c>
      <c r="AJ209" s="233" t="e">
        <f t="shared" si="125"/>
        <v>#DIV/0!</v>
      </c>
      <c r="AK209" s="233">
        <f t="shared" si="125"/>
        <v>1.5855398351578947</v>
      </c>
      <c r="AL209" s="233">
        <f t="shared" si="125"/>
        <v>0.59752144444444444</v>
      </c>
      <c r="AM209" s="233">
        <f t="shared" si="125"/>
        <v>0.62521621621621615</v>
      </c>
      <c r="AN209" s="233" t="e">
        <f t="shared" si="125"/>
        <v>#DIV/0!</v>
      </c>
      <c r="AO209" s="233" t="e">
        <f t="shared" si="125"/>
        <v>#DIV/0!</v>
      </c>
      <c r="AP209" s="233">
        <f t="shared" si="125"/>
        <v>0.50198675496688738</v>
      </c>
      <c r="AQ209" s="233">
        <f t="shared" si="125"/>
        <v>0.81869158878504666</v>
      </c>
      <c r="AR209" s="233">
        <f t="shared" si="125"/>
        <v>0.72711484593837528</v>
      </c>
      <c r="AS209" s="233">
        <f t="shared" si="125"/>
        <v>0.32623913043478259</v>
      </c>
      <c r="AT209" s="233">
        <f t="shared" si="125"/>
        <v>0.289728125</v>
      </c>
      <c r="AU209" s="233" t="e">
        <f t="shared" si="125"/>
        <v>#DIV/0!</v>
      </c>
      <c r="AV209" s="233">
        <f t="shared" si="125"/>
        <v>0.88828828828828821</v>
      </c>
      <c r="AW209" s="233">
        <f t="shared" si="125"/>
        <v>8.2580398550724646E-2</v>
      </c>
      <c r="AX209" s="233">
        <f t="shared" si="125"/>
        <v>0.38375255972696248</v>
      </c>
      <c r="AY209" s="233" t="e">
        <f t="shared" si="125"/>
        <v>#DIV/0!</v>
      </c>
      <c r="AZ209" s="233">
        <f t="shared" si="125"/>
        <v>0.73688981636060102</v>
      </c>
      <c r="BA209" s="233">
        <f t="shared" si="125"/>
        <v>0.87230562419753077</v>
      </c>
      <c r="BB209" s="233" t="e">
        <f t="shared" si="125"/>
        <v>#DIV/0!</v>
      </c>
      <c r="BC209" s="233">
        <f t="shared" si="125"/>
        <v>0.5190933333333333</v>
      </c>
      <c r="BD209" s="233" t="e">
        <f t="shared" si="125"/>
        <v>#DIV/0!</v>
      </c>
      <c r="BE209" s="233" t="e">
        <f t="shared" si="125"/>
        <v>#DIV/0!</v>
      </c>
      <c r="BF209" s="233" t="e">
        <f t="shared" si="125"/>
        <v>#DIV/0!</v>
      </c>
      <c r="BG209" s="233">
        <f t="shared" si="125"/>
        <v>0.62777777777777777</v>
      </c>
      <c r="BH209" s="233">
        <f t="shared" si="125"/>
        <v>0.84700000000000009</v>
      </c>
      <c r="BI209" s="233">
        <f t="shared" si="125"/>
        <v>0.61401180438448566</v>
      </c>
      <c r="BJ209" s="233">
        <f t="shared" si="125"/>
        <v>0.64350068807339456</v>
      </c>
      <c r="BK209" s="233">
        <f t="shared" si="125"/>
        <v>0.5556650246305419</v>
      </c>
      <c r="BL209" s="233" t="e">
        <f t="shared" si="125"/>
        <v>#DIV/0!</v>
      </c>
      <c r="BM209" s="233">
        <f t="shared" si="125"/>
        <v>0.63636363636363635</v>
      </c>
      <c r="BN209" s="233">
        <f t="shared" si="125"/>
        <v>1.8904444444444444</v>
      </c>
      <c r="BO209" s="233">
        <f t="shared" si="125"/>
        <v>3.9047619047619046E-2</v>
      </c>
      <c r="BP209" s="233">
        <f t="shared" si="125"/>
        <v>0.89030848653846162</v>
      </c>
      <c r="BQ209" s="233" t="e">
        <f t="shared" si="125"/>
        <v>#DIV/0!</v>
      </c>
      <c r="BR209" s="233">
        <f t="shared" si="125"/>
        <v>0.14000000000000001</v>
      </c>
      <c r="BS209" s="233" t="e">
        <f t="shared" si="125"/>
        <v>#DIV/0!</v>
      </c>
      <c r="BT209" s="233">
        <f t="shared" si="125"/>
        <v>0.75684293193717267</v>
      </c>
      <c r="BU209" s="233">
        <f t="shared" si="125"/>
        <v>0.95991860465116274</v>
      </c>
      <c r="BV209" s="233">
        <f t="shared" si="125"/>
        <v>10.676425882352941</v>
      </c>
      <c r="BW209" s="233">
        <f t="shared" si="125"/>
        <v>0.69081909090909088</v>
      </c>
      <c r="BX209" s="233">
        <f t="shared" si="125"/>
        <v>1.1274266365688488</v>
      </c>
      <c r="BY209" s="233">
        <f t="shared" si="125"/>
        <v>4.6289772727272727</v>
      </c>
      <c r="BZ209" s="233">
        <f t="shared" si="125"/>
        <v>0.88270316455696218</v>
      </c>
      <c r="CA209" s="233" t="e">
        <f t="shared" si="125"/>
        <v>#DIV/0!</v>
      </c>
      <c r="CB209" s="233" t="e">
        <f t="shared" ref="CB209:CV209" si="126">CB149/CB207</f>
        <v>#DIV/0!</v>
      </c>
      <c r="CC209" s="233">
        <f t="shared" si="126"/>
        <v>8.3333333333333329E-2</v>
      </c>
      <c r="CD209" s="233">
        <f t="shared" si="126"/>
        <v>1.6438174273858923</v>
      </c>
      <c r="CE209" s="233">
        <f t="shared" si="126"/>
        <v>0.23103683241252301</v>
      </c>
      <c r="CF209" s="233">
        <f t="shared" si="126"/>
        <v>0.37142407277816653</v>
      </c>
      <c r="CG209" s="233">
        <f t="shared" si="126"/>
        <v>0.43394833948339484</v>
      </c>
      <c r="CH209" s="233">
        <f t="shared" si="126"/>
        <v>0.54750824166666667</v>
      </c>
      <c r="CI209" s="233">
        <f t="shared" si="126"/>
        <v>0.88537549407114624</v>
      </c>
      <c r="CJ209" s="233" t="e">
        <f t="shared" si="126"/>
        <v>#DIV/0!</v>
      </c>
      <c r="CK209" s="233">
        <f t="shared" si="126"/>
        <v>18.618529411764708</v>
      </c>
      <c r="CL209" s="233">
        <f t="shared" si="126"/>
        <v>0.57916666666666661</v>
      </c>
      <c r="CM209" s="233">
        <f t="shared" si="126"/>
        <v>1.0865384615384615</v>
      </c>
      <c r="CN209" s="233">
        <f t="shared" si="126"/>
        <v>0.4823293172690763</v>
      </c>
      <c r="CO209" s="233" t="e">
        <f t="shared" si="126"/>
        <v>#DIV/0!</v>
      </c>
      <c r="CP209" s="233">
        <f t="shared" si="126"/>
        <v>4.0580128205128201</v>
      </c>
      <c r="CQ209" s="233" t="e">
        <f t="shared" si="126"/>
        <v>#DIV/0!</v>
      </c>
      <c r="CR209" s="233" t="e">
        <f t="shared" si="126"/>
        <v>#DIV/0!</v>
      </c>
      <c r="CS209" s="233">
        <f t="shared" si="126"/>
        <v>0.40982737169517885</v>
      </c>
      <c r="CT209" s="233">
        <f t="shared" si="126"/>
        <v>2.1331186070000001</v>
      </c>
      <c r="CU209" s="233" t="e">
        <f t="shared" si="126"/>
        <v>#DIV/0!</v>
      </c>
      <c r="CV209" s="233">
        <f t="shared" si="126"/>
        <v>0.34185110663983903</v>
      </c>
    </row>
    <row r="210" spans="1:100" ht="55.5" customHeight="1">
      <c r="D210" s="36" t="s">
        <v>4949</v>
      </c>
      <c r="E210" s="36">
        <v>89</v>
      </c>
      <c r="F210" s="36" t="s">
        <v>5619</v>
      </c>
      <c r="G210" s="36" t="s">
        <v>5620</v>
      </c>
      <c r="H210" s="36" t="s">
        <v>5082</v>
      </c>
      <c r="I210" s="36" t="s">
        <v>5211</v>
      </c>
      <c r="M210" s="36" t="s">
        <v>5497</v>
      </c>
      <c r="N210" s="232">
        <v>9.2966009656052354E-2</v>
      </c>
      <c r="O210" s="233">
        <f>O159/O207</f>
        <v>9.8352383949734265E-2</v>
      </c>
      <c r="P210" s="233">
        <f t="shared" ref="P210:CA210" si="127">P159/P207</f>
        <v>0.20550000000000002</v>
      </c>
      <c r="Q210" s="233">
        <f t="shared" si="127"/>
        <v>0.12777777777777777</v>
      </c>
      <c r="R210" s="233">
        <f t="shared" si="127"/>
        <v>0.1122549019607843</v>
      </c>
      <c r="S210" s="233">
        <f t="shared" si="127"/>
        <v>7.5634146341463412E-2</v>
      </c>
      <c r="T210" s="233">
        <f t="shared" si="127"/>
        <v>4.1506849315068498E-2</v>
      </c>
      <c r="U210" s="233">
        <f t="shared" si="127"/>
        <v>2.0833333333333333E-3</v>
      </c>
      <c r="V210" s="233">
        <f t="shared" si="127"/>
        <v>8.3735759493670889E-2</v>
      </c>
      <c r="W210" s="233">
        <f t="shared" si="127"/>
        <v>0</v>
      </c>
      <c r="X210" s="233">
        <f t="shared" si="127"/>
        <v>5.6179775280898875E-2</v>
      </c>
      <c r="Y210" s="233">
        <f t="shared" si="127"/>
        <v>0</v>
      </c>
      <c r="Z210" s="233">
        <f t="shared" si="127"/>
        <v>0.14956953642384105</v>
      </c>
      <c r="AA210" s="233">
        <f t="shared" si="127"/>
        <v>1.6863516129032256E-2</v>
      </c>
      <c r="AB210" s="233">
        <f t="shared" si="127"/>
        <v>3.4050122249388755E-2</v>
      </c>
      <c r="AC210" s="233">
        <f t="shared" si="127"/>
        <v>0.15135384615384617</v>
      </c>
      <c r="AD210" s="233" t="e">
        <f t="shared" si="127"/>
        <v>#DIV/0!</v>
      </c>
      <c r="AE210" s="233" t="e">
        <f t="shared" si="127"/>
        <v>#DIV/0!</v>
      </c>
      <c r="AF210" s="233">
        <f t="shared" si="127"/>
        <v>0</v>
      </c>
      <c r="AG210" s="233" t="e">
        <f t="shared" si="127"/>
        <v>#DIV/0!</v>
      </c>
      <c r="AH210" s="233" t="e">
        <f t="shared" si="127"/>
        <v>#DIV/0!</v>
      </c>
      <c r="AI210" s="233">
        <f t="shared" si="127"/>
        <v>0</v>
      </c>
      <c r="AJ210" s="233" t="e">
        <f t="shared" si="127"/>
        <v>#DIV/0!</v>
      </c>
      <c r="AK210" s="233">
        <f t="shared" si="127"/>
        <v>0.28464385964912281</v>
      </c>
      <c r="AL210" s="233">
        <f t="shared" si="127"/>
        <v>0.12200000000000001</v>
      </c>
      <c r="AM210" s="233">
        <f t="shared" si="127"/>
        <v>7.9216216216216218E-2</v>
      </c>
      <c r="AN210" s="233" t="e">
        <f t="shared" si="127"/>
        <v>#DIV/0!</v>
      </c>
      <c r="AO210" s="233" t="e">
        <f t="shared" si="127"/>
        <v>#DIV/0!</v>
      </c>
      <c r="AP210" s="233">
        <f t="shared" si="127"/>
        <v>0.1</v>
      </c>
      <c r="AQ210" s="233">
        <f t="shared" si="127"/>
        <v>8.9719626168224292E-2</v>
      </c>
      <c r="AR210" s="233">
        <f t="shared" si="127"/>
        <v>0.24207282913165268</v>
      </c>
      <c r="AS210" s="233">
        <f t="shared" si="127"/>
        <v>3.0442028985507245E-2</v>
      </c>
      <c r="AT210" s="233">
        <f t="shared" si="127"/>
        <v>9.4034374999999989E-2</v>
      </c>
      <c r="AU210" s="233" t="e">
        <f t="shared" si="127"/>
        <v>#DIV/0!</v>
      </c>
      <c r="AV210" s="233">
        <f t="shared" si="127"/>
        <v>0.11621621621621622</v>
      </c>
      <c r="AW210" s="233">
        <f t="shared" si="127"/>
        <v>3.8833333333333331E-2</v>
      </c>
      <c r="AX210" s="233">
        <f t="shared" si="127"/>
        <v>5.0991126279863484E-2</v>
      </c>
      <c r="AY210" s="233" t="e">
        <f t="shared" si="127"/>
        <v>#DIV/0!</v>
      </c>
      <c r="AZ210" s="233">
        <f t="shared" si="127"/>
        <v>1.8013355592654424E-3</v>
      </c>
      <c r="BA210" s="233">
        <f t="shared" si="127"/>
        <v>6.9854595432098765E-2</v>
      </c>
      <c r="BB210" s="233" t="e">
        <f t="shared" si="127"/>
        <v>#DIV/0!</v>
      </c>
      <c r="BC210" s="233">
        <f t="shared" si="127"/>
        <v>0.1220050238095238</v>
      </c>
      <c r="BD210" s="233" t="e">
        <f t="shared" si="127"/>
        <v>#DIV/0!</v>
      </c>
      <c r="BE210" s="233" t="e">
        <f t="shared" si="127"/>
        <v>#DIV/0!</v>
      </c>
      <c r="BF210" s="233" t="e">
        <f t="shared" si="127"/>
        <v>#DIV/0!</v>
      </c>
      <c r="BG210" s="233">
        <f t="shared" si="127"/>
        <v>0.26580555555555552</v>
      </c>
      <c r="BH210" s="233">
        <f t="shared" si="127"/>
        <v>1.373913043478261E-2</v>
      </c>
      <c r="BI210" s="233">
        <f t="shared" si="127"/>
        <v>0.17413490725126476</v>
      </c>
      <c r="BJ210" s="233">
        <f t="shared" si="127"/>
        <v>4.5169954128440368E-2</v>
      </c>
      <c r="BK210" s="233">
        <f t="shared" si="127"/>
        <v>6.8965517241379309E-2</v>
      </c>
      <c r="BL210" s="233" t="e">
        <f t="shared" si="127"/>
        <v>#DIV/0!</v>
      </c>
      <c r="BM210" s="233">
        <f t="shared" si="127"/>
        <v>0.13636363636363635</v>
      </c>
      <c r="BN210" s="233">
        <f t="shared" si="127"/>
        <v>0.33923333333333328</v>
      </c>
      <c r="BO210" s="233">
        <f t="shared" si="127"/>
        <v>1.9047619047619048E-3</v>
      </c>
      <c r="BP210" s="233">
        <f t="shared" si="127"/>
        <v>0.10622657976923078</v>
      </c>
      <c r="BQ210" s="233" t="e">
        <f t="shared" si="127"/>
        <v>#DIV/0!</v>
      </c>
      <c r="BR210" s="233">
        <f t="shared" si="127"/>
        <v>4.2399999999999998E-3</v>
      </c>
      <c r="BS210" s="233" t="e">
        <f t="shared" si="127"/>
        <v>#DIV/0!</v>
      </c>
      <c r="BT210" s="233">
        <f t="shared" si="127"/>
        <v>0.10640314136125655</v>
      </c>
      <c r="BU210" s="233">
        <f t="shared" si="127"/>
        <v>0.16801162790697674</v>
      </c>
      <c r="BV210" s="233">
        <f t="shared" si="127"/>
        <v>0</v>
      </c>
      <c r="BW210" s="233">
        <f t="shared" si="127"/>
        <v>0.13264181818181819</v>
      </c>
      <c r="BX210" s="233">
        <f t="shared" si="127"/>
        <v>0.38492099322799095</v>
      </c>
      <c r="BY210" s="233">
        <f t="shared" si="127"/>
        <v>1.9886363636363636E-2</v>
      </c>
      <c r="BZ210" s="233">
        <f t="shared" si="127"/>
        <v>0.51676913924050638</v>
      </c>
      <c r="CA210" s="233" t="e">
        <f t="shared" si="127"/>
        <v>#DIV/0!</v>
      </c>
      <c r="CB210" s="233" t="e">
        <f t="shared" ref="CB210:CV210" si="128">CB159/CB207</f>
        <v>#DIV/0!</v>
      </c>
      <c r="CC210" s="233">
        <f t="shared" si="128"/>
        <v>3.3333333333333332E-4</v>
      </c>
      <c r="CD210" s="233">
        <f t="shared" si="128"/>
        <v>0.37004149377593365</v>
      </c>
      <c r="CE210" s="233">
        <f t="shared" si="128"/>
        <v>4.0515653775322286E-3</v>
      </c>
      <c r="CF210" s="233">
        <f t="shared" si="128"/>
        <v>9.976312106368089E-2</v>
      </c>
      <c r="CG210" s="233">
        <f t="shared" si="128"/>
        <v>0.13099630996309963</v>
      </c>
      <c r="CH210" s="233">
        <f t="shared" si="128"/>
        <v>8.4769228611111108E-2</v>
      </c>
      <c r="CI210" s="233">
        <f t="shared" si="128"/>
        <v>0.23715415019762845</v>
      </c>
      <c r="CJ210" s="233" t="e">
        <f t="shared" si="128"/>
        <v>#DIV/0!</v>
      </c>
      <c r="CK210" s="233">
        <f t="shared" si="128"/>
        <v>7.0411764705882354E-2</v>
      </c>
      <c r="CL210" s="233">
        <f t="shared" si="128"/>
        <v>0.16357142857142856</v>
      </c>
      <c r="CM210" s="233">
        <f t="shared" si="128"/>
        <v>0.15192307692307694</v>
      </c>
      <c r="CN210" s="233">
        <f t="shared" si="128"/>
        <v>0.25732931726907632</v>
      </c>
      <c r="CO210" s="233" t="e">
        <f t="shared" si="128"/>
        <v>#DIV/0!</v>
      </c>
      <c r="CP210" s="233">
        <f t="shared" si="128"/>
        <v>6.767948717948718E-3</v>
      </c>
      <c r="CQ210" s="233" t="e">
        <f t="shared" si="128"/>
        <v>#DIV/0!</v>
      </c>
      <c r="CR210" s="233" t="e">
        <f t="shared" si="128"/>
        <v>#DIV/0!</v>
      </c>
      <c r="CS210" s="233">
        <f t="shared" si="128"/>
        <v>9.4468118195956463E-2</v>
      </c>
      <c r="CT210" s="233">
        <f t="shared" si="128"/>
        <v>4.3341999999999999E-3</v>
      </c>
      <c r="CU210" s="233" t="e">
        <f t="shared" si="128"/>
        <v>#DIV/0!</v>
      </c>
      <c r="CV210" s="233">
        <f t="shared" si="128"/>
        <v>9.0543259557344068E-3</v>
      </c>
    </row>
    <row r="211" spans="1:100" ht="15">
      <c r="P211" s="194"/>
      <c r="Q211" s="191"/>
      <c r="R211" s="191"/>
      <c r="S211" s="192"/>
      <c r="T211" s="194"/>
      <c r="U211" s="194"/>
    </row>
    <row r="212" spans="1:100" ht="15">
      <c r="P212" s="194"/>
      <c r="Q212" s="191"/>
      <c r="R212" s="191"/>
      <c r="S212" s="192"/>
      <c r="T212" s="194"/>
      <c r="U212" s="194"/>
    </row>
    <row r="213" spans="1:100" ht="15">
      <c r="P213" s="194"/>
      <c r="Q213" s="191"/>
      <c r="R213" s="191"/>
      <c r="S213" s="192"/>
      <c r="T213" s="194"/>
      <c r="U213" s="194"/>
    </row>
    <row r="214" spans="1:100" ht="15">
      <c r="P214" s="194"/>
      <c r="Q214" s="191"/>
      <c r="R214" s="191"/>
      <c r="S214" s="192"/>
      <c r="T214" s="194"/>
      <c r="U214" s="194"/>
    </row>
    <row r="215" spans="1:100" s="208" customFormat="1" ht="15">
      <c r="G215" s="208" t="s">
        <v>5621</v>
      </c>
      <c r="O215" s="226"/>
      <c r="P215" s="277"/>
      <c r="Q215" s="278"/>
      <c r="R215" s="279"/>
      <c r="S215" s="280"/>
      <c r="T215" s="277"/>
      <c r="U215" s="277"/>
    </row>
    <row r="216" spans="1:100" s="178" customFormat="1" ht="70">
      <c r="A216" s="178" t="s">
        <v>5529</v>
      </c>
      <c r="B216" s="178" t="s">
        <v>4990</v>
      </c>
      <c r="C216" s="225" t="s">
        <v>5086</v>
      </c>
      <c r="D216" s="178" t="s">
        <v>4949</v>
      </c>
      <c r="E216" s="178">
        <v>26</v>
      </c>
      <c r="F216" s="178" t="s">
        <v>5530</v>
      </c>
      <c r="G216" s="178" t="s">
        <v>5622</v>
      </c>
      <c r="H216" s="178" t="s">
        <v>5082</v>
      </c>
      <c r="I216" s="178" t="s">
        <v>4961</v>
      </c>
      <c r="L216" s="178" t="s">
        <v>278</v>
      </c>
      <c r="M216" s="178" t="s">
        <v>5497</v>
      </c>
      <c r="N216" s="178">
        <v>0</v>
      </c>
      <c r="O216" s="225">
        <f>SUM(P216:CV216)</f>
        <v>0</v>
      </c>
      <c r="P216" s="276">
        <f>SUMIFS('свод практик'!$AK$6:$AK$277,'свод практик'!$J$6:$J$277,'свод субъектов ИБ+смежные'!P$1,'свод практик'!$H$6:$H$277,"мун")</f>
        <v>0</v>
      </c>
      <c r="Q216" s="276">
        <f>SUMIFS('свод практик'!$AK$6:$AK$277,'свод практик'!$J$6:$J$277,'свод субъектов ИБ+смежные'!Q$1,'свод практик'!$H$6:$H$277,"мун")</f>
        <v>0</v>
      </c>
      <c r="R216" s="276">
        <f>SUMIFS('свод практик'!$AK$6:$AK$277,'свод практик'!$J$6:$J$277,'свод субъектов ИБ+смежные'!R$1,'свод практик'!$H$6:$H$277,"мун")</f>
        <v>0</v>
      </c>
      <c r="S216" s="276">
        <f>SUMIFS('свод практик'!$AK$6:$AK$277,'свод практик'!$J$6:$J$277,'свод субъектов ИБ+смежные'!S$1,'свод практик'!$H$6:$H$277,"мун")</f>
        <v>0</v>
      </c>
      <c r="T216" s="276">
        <f>SUMIFS('свод практик'!$AK$6:$AK$277,'свод практик'!$J$6:$J$277,'свод субъектов ИБ+смежные'!T$1,'свод практик'!$H$6:$H$277,"мун")</f>
        <v>0</v>
      </c>
      <c r="U216" s="276">
        <f>SUMIFS('свод практик'!$AK$6:$AK$277,'свод практик'!$J$6:$J$277,'свод субъектов ИБ+смежные'!U$1,'свод практик'!$H$6:$H$277,"мун")</f>
        <v>0</v>
      </c>
      <c r="V216" s="276">
        <f>SUMIFS('свод практик'!$AK$6:$AK$277,'свод практик'!$J$6:$J$277,'свод субъектов ИБ+смежные'!V$1,'свод практик'!$H$6:$H$277,"мун")</f>
        <v>0</v>
      </c>
      <c r="W216" s="276">
        <f>SUMIFS('свод практик'!$AK$6:$AK$277,'свод практик'!$J$6:$J$277,'свод субъектов ИБ+смежные'!W$1,'свод практик'!$H$6:$H$277,"мун")</f>
        <v>0</v>
      </c>
      <c r="X216" s="276">
        <f>SUMIFS('свод практик'!$AK$6:$AK$277,'свод практик'!$J$6:$J$277,'свод субъектов ИБ+смежные'!X$1,'свод практик'!$H$6:$H$277,"мун")</f>
        <v>0</v>
      </c>
      <c r="Y216" s="276">
        <f>SUMIFS('свод практик'!$AK$6:$AK$277,'свод практик'!$J$6:$J$277,'свод субъектов ИБ+смежные'!Y$1,'свод практик'!$H$6:$H$277,"мун")</f>
        <v>0</v>
      </c>
      <c r="Z216" s="276">
        <f>SUMIFS('свод практик'!$AK$6:$AK$277,'свод практик'!$J$6:$J$277,'свод субъектов ИБ+смежные'!Z$1,'свод практик'!$H$6:$H$277,"мун")</f>
        <v>0</v>
      </c>
      <c r="AA216" s="276">
        <f>SUMIFS('свод практик'!$AK$6:$AK$277,'свод практик'!$J$6:$J$277,'свод субъектов ИБ+смежные'!AA$1,'свод практик'!$H$6:$H$277,"мун")</f>
        <v>0</v>
      </c>
      <c r="AB216" s="276">
        <f>SUMIFS('свод практик'!$AK$6:$AK$277,'свод практик'!$J$6:$J$277,'свод субъектов ИБ+смежные'!AB$1,'свод практик'!$H$6:$H$277,"мун")</f>
        <v>0</v>
      </c>
      <c r="AC216" s="276">
        <f>SUMIFS('свод практик'!$AK$6:$AK$277,'свод практик'!$J$6:$J$277,'свод субъектов ИБ+смежные'!AC$1,'свод практик'!$H$6:$H$277,"мун")</f>
        <v>0</v>
      </c>
      <c r="AD216" s="276">
        <f>SUMIFS('свод практик'!$AK$6:$AK$277,'свод практик'!$J$6:$J$277,'свод субъектов ИБ+смежные'!AD$1,'свод практик'!$H$6:$H$277,"мун")</f>
        <v>0</v>
      </c>
      <c r="AE216" s="276">
        <f>SUMIFS('свод практик'!$AK$6:$AK$277,'свод практик'!$J$6:$J$277,'свод субъектов ИБ+смежные'!AE$1,'свод практик'!$H$6:$H$277,"мун")</f>
        <v>0</v>
      </c>
      <c r="AF216" s="276">
        <f>SUMIFS('свод практик'!$AK$6:$AK$277,'свод практик'!$J$6:$J$277,'свод субъектов ИБ+смежные'!AF$1,'свод практик'!$H$6:$H$277,"мун")</f>
        <v>0</v>
      </c>
      <c r="AG216" s="276">
        <f>SUMIFS('свод практик'!$AK$6:$AK$277,'свод практик'!$J$6:$J$277,'свод субъектов ИБ+смежные'!AG$1,'свод практик'!$H$6:$H$277,"мун")</f>
        <v>0</v>
      </c>
      <c r="AH216" s="276">
        <f>SUMIFS('свод практик'!$AK$6:$AK$277,'свод практик'!$J$6:$J$277,'свод субъектов ИБ+смежные'!AH$1,'свод практик'!$H$6:$H$277,"мун")</f>
        <v>0</v>
      </c>
      <c r="AI216" s="276">
        <f>SUMIFS('свод практик'!$AK$6:$AK$277,'свод практик'!$J$6:$J$277,'свод субъектов ИБ+смежные'!AI$1,'свод практик'!$H$6:$H$277,"мун")</f>
        <v>0</v>
      </c>
      <c r="AJ216" s="276">
        <f>SUMIFS('свод практик'!$AK$6:$AK$277,'свод практик'!$J$6:$J$277,'свод субъектов ИБ+смежные'!AJ$1,'свод практик'!$H$6:$H$277,"мун")</f>
        <v>0</v>
      </c>
      <c r="AK216" s="276">
        <f>SUMIFS('свод практик'!$AK$6:$AK$277,'свод практик'!$J$6:$J$277,'свод субъектов ИБ+смежные'!AK$1,'свод практик'!$H$6:$H$277,"мун")</f>
        <v>0</v>
      </c>
      <c r="AL216" s="276">
        <f>SUMIFS('свод практик'!$AK$6:$AK$277,'свод практик'!$J$6:$J$277,'свод субъектов ИБ+смежные'!AL$1,'свод практик'!$H$6:$H$277,"мун")</f>
        <v>0</v>
      </c>
      <c r="AM216" s="276">
        <f>SUMIFS('свод практик'!$AK$6:$AK$277,'свод практик'!$J$6:$J$277,'свод субъектов ИБ+смежные'!AM$1,'свод практик'!$H$6:$H$277,"мун")</f>
        <v>0</v>
      </c>
      <c r="AN216" s="276">
        <f>SUMIFS('свод практик'!$AK$6:$AK$277,'свод практик'!$J$6:$J$277,'свод субъектов ИБ+смежные'!AN$1,'свод практик'!$H$6:$H$277,"мун")</f>
        <v>0</v>
      </c>
      <c r="AO216" s="276">
        <f>SUMIFS('свод практик'!$AK$6:$AK$277,'свод практик'!$J$6:$J$277,'свод субъектов ИБ+смежные'!AO$1,'свод практик'!$H$6:$H$277,"мун")</f>
        <v>0</v>
      </c>
      <c r="AP216" s="276">
        <f>SUMIFS('свод практик'!$AK$6:$AK$277,'свод практик'!$J$6:$J$277,'свод субъектов ИБ+смежные'!AP$1,'свод практик'!$H$6:$H$277,"мун")</f>
        <v>0</v>
      </c>
      <c r="AQ216" s="276">
        <f>SUMIFS('свод практик'!$AK$6:$AK$277,'свод практик'!$J$6:$J$277,'свод субъектов ИБ+смежные'!AQ$1,'свод практик'!$H$6:$H$277,"мун")</f>
        <v>0</v>
      </c>
      <c r="AR216" s="276">
        <f>SUMIFS('свод практик'!$AK$6:$AK$277,'свод практик'!$J$6:$J$277,'свод субъектов ИБ+смежные'!AR$1,'свод практик'!$H$6:$H$277,"мун")</f>
        <v>0</v>
      </c>
      <c r="AS216" s="276">
        <f>SUMIFS('свод практик'!$AK$6:$AK$277,'свод практик'!$J$6:$J$277,'свод субъектов ИБ+смежные'!AS$1,'свод практик'!$H$6:$H$277,"мун")</f>
        <v>0</v>
      </c>
      <c r="AT216" s="276">
        <f>SUMIFS('свод практик'!$AK$6:$AK$277,'свод практик'!$J$6:$J$277,'свод субъектов ИБ+смежные'!AT$1,'свод практик'!$H$6:$H$277,"мун")</f>
        <v>0</v>
      </c>
      <c r="AU216" s="276">
        <f>SUMIFS('свод практик'!$AK$6:$AK$277,'свод практик'!$J$6:$J$277,'свод субъектов ИБ+смежные'!AU$1,'свод практик'!$H$6:$H$277,"мун")</f>
        <v>0</v>
      </c>
      <c r="AV216" s="276">
        <f>SUMIFS('свод практик'!$AK$6:$AK$277,'свод практик'!$J$6:$J$277,'свод субъектов ИБ+смежные'!AV$1,'свод практик'!$H$6:$H$277,"мун")</f>
        <v>0</v>
      </c>
      <c r="AW216" s="276">
        <f>SUMIFS('свод практик'!$AK$6:$AK$277,'свод практик'!$J$6:$J$277,'свод субъектов ИБ+смежные'!AW$1,'свод практик'!$H$6:$H$277,"мун")</f>
        <v>0</v>
      </c>
      <c r="AX216" s="276">
        <f>SUMIFS('свод практик'!$AK$6:$AK$277,'свод практик'!$J$6:$J$277,'свод субъектов ИБ+смежные'!AX$1,'свод практик'!$H$6:$H$277,"мун")</f>
        <v>0</v>
      </c>
      <c r="AY216" s="276">
        <f>SUMIFS('свод практик'!$AK$6:$AK$277,'свод практик'!$J$6:$J$277,'свод субъектов ИБ+смежные'!AY$1,'свод практик'!$H$6:$H$277,"мун")</f>
        <v>0</v>
      </c>
      <c r="AZ216" s="276">
        <f>SUMIFS('свод практик'!$AK$6:$AK$277,'свод практик'!$J$6:$J$277,'свод субъектов ИБ+смежные'!AZ$1,'свод практик'!$H$6:$H$277,"мун")</f>
        <v>0</v>
      </c>
      <c r="BA216" s="276">
        <f>SUMIFS('свод практик'!$AK$6:$AK$277,'свод практик'!$J$6:$J$277,'свод субъектов ИБ+смежные'!BA$1,'свод практик'!$H$6:$H$277,"мун")</f>
        <v>0</v>
      </c>
      <c r="BB216" s="276">
        <f>SUMIFS('свод практик'!$AK$6:$AK$277,'свод практик'!$J$6:$J$277,'свод субъектов ИБ+смежные'!BB$1,'свод практик'!$H$6:$H$277,"мун")</f>
        <v>0</v>
      </c>
      <c r="BC216" s="276">
        <f>SUMIFS('свод практик'!$AK$6:$AK$277,'свод практик'!$J$6:$J$277,'свод субъектов ИБ+смежные'!BC$1,'свод практик'!$H$6:$H$277,"мун")</f>
        <v>0</v>
      </c>
      <c r="BD216" s="276">
        <f>SUMIFS('свод практик'!$AK$6:$AK$277,'свод практик'!$J$6:$J$277,'свод субъектов ИБ+смежные'!BD$1,'свод практик'!$H$6:$H$277,"мун")</f>
        <v>0</v>
      </c>
      <c r="BE216" s="276">
        <f>SUMIFS('свод практик'!$AK$6:$AK$277,'свод практик'!$J$6:$J$277,'свод субъектов ИБ+смежные'!BE$1,'свод практик'!$H$6:$H$277,"мун")</f>
        <v>0</v>
      </c>
      <c r="BF216" s="276">
        <f>SUMIFS('свод практик'!$AK$6:$AK$277,'свод практик'!$J$6:$J$277,'свод субъектов ИБ+смежные'!BF$1,'свод практик'!$H$6:$H$277,"мун")</f>
        <v>0</v>
      </c>
      <c r="BG216" s="276">
        <f>SUMIFS('свод практик'!$AK$6:$AK$277,'свод практик'!$J$6:$J$277,'свод субъектов ИБ+смежные'!BG$1,'свод практик'!$H$6:$H$277,"мун")</f>
        <v>0</v>
      </c>
      <c r="BH216" s="276">
        <f>SUMIFS('свод практик'!$AK$6:$AK$277,'свод практик'!$J$6:$J$277,'свод субъектов ИБ+смежные'!BH$1,'свод практик'!$H$6:$H$277,"мун")</f>
        <v>0</v>
      </c>
      <c r="BI216" s="276">
        <f>SUMIFS('свод практик'!$AK$6:$AK$277,'свод практик'!$J$6:$J$277,'свод субъектов ИБ+смежные'!BI$1,'свод практик'!$H$6:$H$277,"мун")</f>
        <v>0</v>
      </c>
      <c r="BJ216" s="276">
        <f>SUMIFS('свод практик'!$AK$6:$AK$277,'свод практик'!$J$6:$J$277,'свод субъектов ИБ+смежные'!BJ$1,'свод практик'!$H$6:$H$277,"мун")</f>
        <v>0</v>
      </c>
      <c r="BK216" s="276">
        <f>SUMIFS('свод практик'!$AK$6:$AK$277,'свод практик'!$J$6:$J$277,'свод субъектов ИБ+смежные'!BK$1,'свод практик'!$H$6:$H$277,"мун")</f>
        <v>0</v>
      </c>
      <c r="BL216" s="276">
        <f>SUMIFS('свод практик'!$AK$6:$AK$277,'свод практик'!$J$6:$J$277,'свод субъектов ИБ+смежные'!BL$1,'свод практик'!$H$6:$H$277,"мун")</f>
        <v>0</v>
      </c>
      <c r="BM216" s="276">
        <f>SUMIFS('свод практик'!$AK$6:$AK$277,'свод практик'!$J$6:$J$277,'свод субъектов ИБ+смежные'!BM$1,'свод практик'!$H$6:$H$277,"мун")</f>
        <v>0</v>
      </c>
      <c r="BN216" s="276">
        <f>SUMIFS('свод практик'!$AK$6:$AK$277,'свод практик'!$J$6:$J$277,'свод субъектов ИБ+смежные'!BN$1,'свод практик'!$H$6:$H$277,"мун")</f>
        <v>0</v>
      </c>
      <c r="BO216" s="276">
        <f>SUMIFS('свод практик'!$AK$6:$AK$277,'свод практик'!$J$6:$J$277,'свод субъектов ИБ+смежные'!BO$1,'свод практик'!$H$6:$H$277,"мун")</f>
        <v>0</v>
      </c>
      <c r="BP216" s="276">
        <f>SUMIFS('свод практик'!$AK$6:$AK$277,'свод практик'!$J$6:$J$277,'свод субъектов ИБ+смежные'!BP$1,'свод практик'!$H$6:$H$277,"мун")</f>
        <v>0</v>
      </c>
      <c r="BQ216" s="276">
        <f>SUMIFS('свод практик'!$AK$6:$AK$277,'свод практик'!$J$6:$J$277,'свод субъектов ИБ+смежные'!BQ$1,'свод практик'!$H$6:$H$277,"мун")</f>
        <v>0</v>
      </c>
      <c r="BR216" s="276">
        <f>SUMIFS('свод практик'!$AK$6:$AK$277,'свод практик'!$J$6:$J$277,'свод субъектов ИБ+смежные'!BR$1,'свод практик'!$H$6:$H$277,"мун")</f>
        <v>0</v>
      </c>
      <c r="BS216" s="276">
        <f>SUMIFS('свод практик'!$AK$6:$AK$277,'свод практик'!$J$6:$J$277,'свод субъектов ИБ+смежные'!BS$1,'свод практик'!$H$6:$H$277,"мун")</f>
        <v>0</v>
      </c>
      <c r="BT216" s="276">
        <f>SUMIFS('свод практик'!$AK$6:$AK$277,'свод практик'!$J$6:$J$277,'свод субъектов ИБ+смежные'!BT$1,'свод практик'!$H$6:$H$277,"мун")</f>
        <v>0</v>
      </c>
      <c r="BU216" s="276">
        <f>SUMIFS('свод практик'!$AK$6:$AK$277,'свод практик'!$J$6:$J$277,'свод субъектов ИБ+смежные'!BU$1,'свод практик'!$H$6:$H$277,"мун")</f>
        <v>0</v>
      </c>
      <c r="BV216" s="276">
        <f>SUMIFS('свод практик'!$AK$6:$AK$277,'свод практик'!$J$6:$J$277,'свод субъектов ИБ+смежные'!BV$1,'свод практик'!$H$6:$H$277,"мун")</f>
        <v>0</v>
      </c>
      <c r="BW216" s="276">
        <f>SUMIFS('свод практик'!$AK$6:$AK$277,'свод практик'!$J$6:$J$277,'свод субъектов ИБ+смежные'!BW$1,'свод практик'!$H$6:$H$277,"мун")</f>
        <v>0</v>
      </c>
      <c r="BX216" s="276">
        <f>SUMIFS('свод практик'!$AK$6:$AK$277,'свод практик'!$J$6:$J$277,'свод субъектов ИБ+смежные'!BX$1,'свод практик'!$H$6:$H$277,"мун")</f>
        <v>0</v>
      </c>
      <c r="BY216" s="276">
        <f>SUMIFS('свод практик'!$AK$6:$AK$277,'свод практик'!$J$6:$J$277,'свод субъектов ИБ+смежные'!BY$1,'свод практик'!$H$6:$H$277,"мун")</f>
        <v>0</v>
      </c>
      <c r="BZ216" s="276">
        <f>SUMIFS('свод практик'!$AK$6:$AK$277,'свод практик'!$J$6:$J$277,'свод субъектов ИБ+смежные'!BZ$1,'свод практик'!$H$6:$H$277,"мун")</f>
        <v>0</v>
      </c>
      <c r="CA216" s="276">
        <f>SUMIFS('свод практик'!$AK$6:$AK$277,'свод практик'!$J$6:$J$277,'свод субъектов ИБ+смежные'!CA$1,'свод практик'!$H$6:$H$277,"мун")</f>
        <v>0</v>
      </c>
      <c r="CB216" s="276">
        <f>SUMIFS('свод практик'!$AK$6:$AK$277,'свод практик'!$J$6:$J$277,'свод субъектов ИБ+смежные'!CB$1,'свод практик'!$H$6:$H$277,"мун")</f>
        <v>0</v>
      </c>
      <c r="CC216" s="276">
        <f>SUMIFS('свод практик'!$AK$6:$AK$277,'свод практик'!$J$6:$J$277,'свод субъектов ИБ+смежные'!CC$1,'свод практик'!$H$6:$H$277,"мун")</f>
        <v>0</v>
      </c>
      <c r="CD216" s="276">
        <f>SUMIFS('свод практик'!$AK$6:$AK$277,'свод практик'!$J$6:$J$277,'свод субъектов ИБ+смежные'!CD$1,'свод практик'!$H$6:$H$277,"мун")</f>
        <v>0</v>
      </c>
      <c r="CE216" s="276">
        <f>SUMIFS('свод практик'!$AK$6:$AK$277,'свод практик'!$J$6:$J$277,'свод субъектов ИБ+смежные'!CE$1,'свод практик'!$H$6:$H$277,"мун")</f>
        <v>0</v>
      </c>
      <c r="CF216" s="276">
        <f>SUMIFS('свод практик'!$AK$6:$AK$277,'свод практик'!$J$6:$J$277,'свод субъектов ИБ+смежные'!CF$1,'свод практик'!$H$6:$H$277,"мун")</f>
        <v>0</v>
      </c>
      <c r="CG216" s="276">
        <f>SUMIFS('свод практик'!$AK$6:$AK$277,'свод практик'!$J$6:$J$277,'свод субъектов ИБ+смежные'!CG$1,'свод практик'!$H$6:$H$277,"мун")</f>
        <v>0</v>
      </c>
      <c r="CH216" s="276">
        <f>SUMIFS('свод практик'!$AK$6:$AK$277,'свод практик'!$J$6:$J$277,'свод субъектов ИБ+смежные'!CH$1,'свод практик'!$H$6:$H$277,"мун")</f>
        <v>0</v>
      </c>
      <c r="CI216" s="276">
        <f>SUMIFS('свод практик'!$AK$6:$AK$277,'свод практик'!$J$6:$J$277,'свод субъектов ИБ+смежные'!CI$1,'свод практик'!$H$6:$H$277,"мун")</f>
        <v>0</v>
      </c>
      <c r="CJ216" s="276">
        <f>SUMIFS('свод практик'!$AK$6:$AK$277,'свод практик'!$J$6:$J$277,'свод субъектов ИБ+смежные'!CJ$1,'свод практик'!$H$6:$H$277,"мун")</f>
        <v>0</v>
      </c>
      <c r="CK216" s="276">
        <f>SUMIFS('свод практик'!$AK$6:$AK$277,'свод практик'!$J$6:$J$277,'свод субъектов ИБ+смежные'!CK$1,'свод практик'!$H$6:$H$277,"мун")</f>
        <v>0</v>
      </c>
      <c r="CL216" s="276">
        <f>SUMIFS('свод практик'!$AK$6:$AK$277,'свод практик'!$J$6:$J$277,'свод субъектов ИБ+смежные'!CL$1,'свод практик'!$H$6:$H$277,"мун")</f>
        <v>0</v>
      </c>
      <c r="CM216" s="276">
        <f>SUMIFS('свод практик'!$AK$6:$AK$277,'свод практик'!$J$6:$J$277,'свод субъектов ИБ+смежные'!CM$1,'свод практик'!$H$6:$H$277,"мун")</f>
        <v>0</v>
      </c>
      <c r="CN216" s="276">
        <f>SUMIFS('свод практик'!$AK$6:$AK$277,'свод практик'!$J$6:$J$277,'свод субъектов ИБ+смежные'!CN$1,'свод практик'!$H$6:$H$277,"мун")</f>
        <v>0</v>
      </c>
      <c r="CO216" s="276">
        <f>SUMIFS('свод практик'!$AK$6:$AK$277,'свод практик'!$J$6:$J$277,'свод субъектов ИБ+смежные'!CO$1,'свод практик'!$H$6:$H$277,"мун")</f>
        <v>0</v>
      </c>
      <c r="CP216" s="276">
        <f>SUMIFS('свод практик'!$AK$6:$AK$277,'свод практик'!$J$6:$J$277,'свод субъектов ИБ+смежные'!CP$1,'свод практик'!$H$6:$H$277,"мун")</f>
        <v>0</v>
      </c>
      <c r="CQ216" s="276">
        <f>SUMIFS('свод практик'!$AK$6:$AK$277,'свод практик'!$J$6:$J$277,'свод субъектов ИБ+смежные'!CQ$1,'свод практик'!$H$6:$H$277,"мун")</f>
        <v>0</v>
      </c>
      <c r="CR216" s="276">
        <f>SUMIFS('свод практик'!$AK$6:$AK$277,'свод практик'!$J$6:$J$277,'свод субъектов ИБ+смежные'!CR$1,'свод практик'!$H$6:$H$277,"мун")</f>
        <v>0</v>
      </c>
      <c r="CS216" s="276">
        <f>SUMIFS('свод практик'!$AK$6:$AK$277,'свод практик'!$J$6:$J$277,'свод субъектов ИБ+смежные'!CS$1,'свод практик'!$H$6:$H$277,"мун")</f>
        <v>0</v>
      </c>
      <c r="CT216" s="276">
        <f>SUMIFS('свод практик'!$AK$6:$AK$277,'свод практик'!$J$6:$J$277,'свод субъектов ИБ+смежные'!CT$1,'свод практик'!$H$6:$H$277,"мун")</f>
        <v>0</v>
      </c>
      <c r="CU216" s="276">
        <f>SUMIFS('свод практик'!$AK$6:$AK$277,'свод практик'!$J$6:$J$277,'свод субъектов ИБ+смежные'!CU$1,'свод практик'!$H$6:$H$277,"мун")</f>
        <v>0</v>
      </c>
      <c r="CV216" s="276">
        <f>SUMIFS('свод практик'!$AK$6:$AK$277,'свод практик'!$J$6:$J$277,'свод субъектов ИБ+смежные'!CV$1,'свод практик'!$H$6:$H$277,"мун")</f>
        <v>0</v>
      </c>
    </row>
    <row r="217" spans="1:100" ht="29">
      <c r="D217" s="36" t="s">
        <v>4949</v>
      </c>
      <c r="E217" s="36">
        <v>27</v>
      </c>
      <c r="F217" s="36" t="s">
        <v>5532</v>
      </c>
      <c r="G217" s="36" t="s">
        <v>5623</v>
      </c>
      <c r="H217" s="36" t="s">
        <v>60</v>
      </c>
      <c r="I217" s="36" t="s">
        <v>5090</v>
      </c>
      <c r="M217" s="36" t="s">
        <v>5497</v>
      </c>
      <c r="N217" s="36">
        <v>0</v>
      </c>
      <c r="P217" s="194"/>
      <c r="Q217" s="191"/>
      <c r="R217" s="191"/>
      <c r="S217" s="192"/>
      <c r="T217" s="194"/>
      <c r="U217" s="194"/>
    </row>
    <row r="218" spans="1:100" s="178" customFormat="1" ht="70">
      <c r="A218" s="178" t="s">
        <v>5534</v>
      </c>
      <c r="B218" s="178" t="s">
        <v>4990</v>
      </c>
      <c r="C218" s="225" t="s">
        <v>5092</v>
      </c>
      <c r="D218" s="178" t="s">
        <v>4949</v>
      </c>
      <c r="E218" s="178">
        <v>28</v>
      </c>
      <c r="F218" s="178" t="s">
        <v>5535</v>
      </c>
      <c r="G218" s="178" t="s">
        <v>5624</v>
      </c>
      <c r="H218" s="178" t="s">
        <v>5082</v>
      </c>
      <c r="I218" s="178" t="s">
        <v>4961</v>
      </c>
      <c r="L218" s="178" t="s">
        <v>278</v>
      </c>
      <c r="M218" s="178" t="s">
        <v>5497</v>
      </c>
      <c r="N218" s="178">
        <v>478.54404999999997</v>
      </c>
      <c r="O218" s="225">
        <f>SUM(P218:CV218)</f>
        <v>736.40348783999991</v>
      </c>
      <c r="P218" s="276">
        <f>SUMIFS('свод практик'!$AU$6:$AU$277,'свод практик'!$J$6:$J$277,'свод субъектов ИБ+смежные'!P$1,'свод практик'!$H$6:$H$277,"мун")</f>
        <v>0</v>
      </c>
      <c r="Q218" s="276">
        <f>SUMIFS('свод практик'!$AU$6:$AU$277,'свод практик'!$J$6:$J$277,'свод субъектов ИБ+смежные'!Q$1,'свод практик'!$H$6:$H$277,"мун")</f>
        <v>0</v>
      </c>
      <c r="R218" s="276">
        <f>SUMIFS('свод практик'!$AU$6:$AU$277,'свод практик'!$J$6:$J$277,'свод субъектов ИБ+смежные'!R$1,'свод практик'!$H$6:$H$277,"мун")</f>
        <v>0</v>
      </c>
      <c r="S218" s="276">
        <f>SUMIFS('свод практик'!$AU$6:$AU$277,'свод практик'!$J$6:$J$277,'свод субъектов ИБ+смежные'!S$1,'свод практик'!$H$6:$H$277,"мун")</f>
        <v>0</v>
      </c>
      <c r="T218" s="276">
        <f>SUMIFS('свод практик'!$AU$6:$AU$277,'свод практик'!$J$6:$J$277,'свод субъектов ИБ+смежные'!T$1,'свод практик'!$H$6:$H$277,"мун")</f>
        <v>6</v>
      </c>
      <c r="U218" s="276">
        <f>SUMIFS('свод практик'!$AU$6:$AU$277,'свод практик'!$J$6:$J$277,'свод субъектов ИБ+смежные'!U$1,'свод практик'!$H$6:$H$277,"мун")</f>
        <v>0.3</v>
      </c>
      <c r="V218" s="276">
        <f>SUMIFS('свод практик'!$AU$6:$AU$277,'свод практик'!$J$6:$J$277,'свод субъектов ИБ+смежные'!V$1,'свод практик'!$H$6:$H$277,"мун")</f>
        <v>7.6370000000000005</v>
      </c>
      <c r="W218" s="276">
        <f>SUMIFS('свод практик'!$AU$6:$AU$277,'свод практик'!$J$6:$J$277,'свод субъектов ИБ+смежные'!W$1,'свод практик'!$H$6:$H$277,"мун")</f>
        <v>95.963000000000008</v>
      </c>
      <c r="X218" s="276">
        <f>SUMIFS('свод практик'!$AU$6:$AU$277,'свод практик'!$J$6:$J$277,'свод субъектов ИБ+смежные'!X$1,'свод практик'!$H$6:$H$277,"мун")</f>
        <v>0</v>
      </c>
      <c r="Y218" s="276">
        <f>SUMIFS('свод практик'!$AU$6:$AU$277,'свод практик'!$J$6:$J$277,'свод субъектов ИБ+смежные'!Y$1,'свод практик'!$H$6:$H$277,"мун")</f>
        <v>0</v>
      </c>
      <c r="Z218" s="276">
        <f>SUMIFS('свод практик'!$AU$6:$AU$277,'свод практик'!$J$6:$J$277,'свод субъектов ИБ+смежные'!Z$1,'свод практик'!$H$6:$H$277,"мун")</f>
        <v>0</v>
      </c>
      <c r="AA218" s="276">
        <f>SUMIFS('свод практик'!$AU$6:$AU$277,'свод практик'!$J$6:$J$277,'свод субъектов ИБ+смежные'!AA$1,'свод практик'!$H$6:$H$277,"мун")</f>
        <v>0</v>
      </c>
      <c r="AB218" s="276">
        <f>SUMIFS('свод практик'!$AU$6:$AU$277,'свод практик'!$J$6:$J$277,'свод субъектов ИБ+смежные'!AB$1,'свод практик'!$H$6:$H$277,"мун")</f>
        <v>79.486000000000004</v>
      </c>
      <c r="AC218" s="276">
        <f>SUMIFS('свод практик'!$AU$6:$AU$277,'свод практик'!$J$6:$J$277,'свод субъектов ИБ+смежные'!AC$1,'свод практик'!$H$6:$H$277,"мун")</f>
        <v>0</v>
      </c>
      <c r="AD218" s="276">
        <f>SUMIFS('свод практик'!$AU$6:$AU$277,'свод практик'!$J$6:$J$277,'свод субъектов ИБ+смежные'!AD$1,'свод практик'!$H$6:$H$277,"мун")</f>
        <v>0</v>
      </c>
      <c r="AE218" s="276">
        <f>SUMIFS('свод практик'!$AU$6:$AU$277,'свод практик'!$J$6:$J$277,'свод субъектов ИБ+смежные'!AE$1,'свод практик'!$H$6:$H$277,"мун")</f>
        <v>0</v>
      </c>
      <c r="AF218" s="276">
        <f>SUMIFS('свод практик'!$AU$6:$AU$277,'свод практик'!$J$6:$J$277,'свод субъектов ИБ+смежные'!AF$1,'свод практик'!$H$6:$H$277,"мун")</f>
        <v>0</v>
      </c>
      <c r="AG218" s="276">
        <f>SUMIFS('свод практик'!$AU$6:$AU$277,'свод практик'!$J$6:$J$277,'свод субъектов ИБ+смежные'!AG$1,'свод практик'!$H$6:$H$277,"мун")</f>
        <v>0</v>
      </c>
      <c r="AH218" s="276">
        <f>SUMIFS('свод практик'!$AU$6:$AU$277,'свод практик'!$J$6:$J$277,'свод субъектов ИБ+смежные'!AH$1,'свод практик'!$H$6:$H$277,"мун")</f>
        <v>0</v>
      </c>
      <c r="AI218" s="276">
        <f>SUMIFS('свод практик'!$AU$6:$AU$277,'свод практик'!$J$6:$J$277,'свод субъектов ИБ+смежные'!AI$1,'свод практик'!$H$6:$H$277,"мун")</f>
        <v>0</v>
      </c>
      <c r="AJ218" s="276">
        <f>SUMIFS('свод практик'!$AU$6:$AU$277,'свод практик'!$J$6:$J$277,'свод субъектов ИБ+смежные'!AJ$1,'свод практик'!$H$6:$H$277,"мун")</f>
        <v>1</v>
      </c>
      <c r="AK218" s="276">
        <f>SUMIFS('свод практик'!$AU$6:$AU$277,'свод практик'!$J$6:$J$277,'свод субъектов ИБ+смежные'!AK$1,'свод практик'!$H$6:$H$277,"мун")</f>
        <v>0</v>
      </c>
      <c r="AL218" s="276">
        <f>SUMIFS('свод практик'!$AU$6:$AU$277,'свод практик'!$J$6:$J$277,'свод субъектов ИБ+смежные'!AL$1,'свод практик'!$H$6:$H$277,"мун")</f>
        <v>0</v>
      </c>
      <c r="AM218" s="276">
        <f>SUMIFS('свод практик'!$AU$6:$AU$277,'свод практик'!$J$6:$J$277,'свод субъектов ИБ+смежные'!AM$1,'свод практик'!$H$6:$H$277,"мун")</f>
        <v>21.487000000000002</v>
      </c>
      <c r="AN218" s="276">
        <f>SUMIFS('свод практик'!$AU$6:$AU$277,'свод практик'!$J$6:$J$277,'свод субъектов ИБ+смежные'!AN$1,'свод практик'!$H$6:$H$277,"мун")</f>
        <v>0</v>
      </c>
      <c r="AO218" s="276">
        <f>SUMIFS('свод практик'!$AU$6:$AU$277,'свод практик'!$J$6:$J$277,'свод субъектов ИБ+смежные'!AO$1,'свод практик'!$H$6:$H$277,"мун")</f>
        <v>0</v>
      </c>
      <c r="AP218" s="276">
        <f>SUMIFS('свод практик'!$AU$6:$AU$277,'свод практик'!$J$6:$J$277,'свод субъектов ИБ+смежные'!AP$1,'свод практик'!$H$6:$H$277,"мун")</f>
        <v>0</v>
      </c>
      <c r="AQ218" s="276">
        <f>SUMIFS('свод практик'!$AU$6:$AU$277,'свод практик'!$J$6:$J$277,'свод субъектов ИБ+смежные'!AQ$1,'свод практик'!$H$6:$H$277,"мун")</f>
        <v>0</v>
      </c>
      <c r="AR218" s="276">
        <f>SUMIFS('свод практик'!$AU$6:$AU$277,'свод практик'!$J$6:$J$277,'свод субъектов ИБ+смежные'!AR$1,'свод практик'!$H$6:$H$277,"мун")</f>
        <v>0</v>
      </c>
      <c r="AS218" s="276">
        <f>SUMIFS('свод практик'!$AU$6:$AU$277,'свод практик'!$J$6:$J$277,'свод субъектов ИБ+смежные'!AS$1,'свод практик'!$H$6:$H$277,"мун")</f>
        <v>0</v>
      </c>
      <c r="AT218" s="276">
        <f>SUMIFS('свод практик'!$AU$6:$AU$277,'свод практик'!$J$6:$J$277,'свод субъектов ИБ+смежные'!AT$1,'свод практик'!$H$6:$H$277,"мун")</f>
        <v>0</v>
      </c>
      <c r="AU218" s="276">
        <f>SUMIFS('свод практик'!$AU$6:$AU$277,'свод практик'!$J$6:$J$277,'свод субъектов ИБ+смежные'!AU$1,'свод практик'!$H$6:$H$277,"мун")</f>
        <v>11.882999999999999</v>
      </c>
      <c r="AV218" s="276">
        <f>SUMIFS('свод практик'!$AU$6:$AU$277,'свод практик'!$J$6:$J$277,'свод субъектов ИБ+смежные'!AV$1,'свод практик'!$H$6:$H$277,"мун")</f>
        <v>32.520000000000003</v>
      </c>
      <c r="AW218" s="276">
        <f>SUMIFS('свод практик'!$AU$6:$AU$277,'свод практик'!$J$6:$J$277,'свод субъектов ИБ+смежные'!AW$1,'свод практик'!$H$6:$H$277,"мун")</f>
        <v>0</v>
      </c>
      <c r="AX218" s="276">
        <f>SUMIFS('свод практик'!$AU$6:$AU$277,'свод практик'!$J$6:$J$277,'свод субъектов ИБ+смежные'!AX$1,'свод практик'!$H$6:$H$277,"мун")</f>
        <v>0</v>
      </c>
      <c r="AY218" s="276">
        <f>SUMIFS('свод практик'!$AU$6:$AU$277,'свод практик'!$J$6:$J$277,'свод субъектов ИБ+смежные'!AY$1,'свод практик'!$H$6:$H$277,"мун")</f>
        <v>0</v>
      </c>
      <c r="AZ218" s="276">
        <f>SUMIFS('свод практик'!$AU$6:$AU$277,'свод практик'!$J$6:$J$277,'свод субъектов ИБ+смежные'!AZ$1,'свод практик'!$H$6:$H$277,"мун")</f>
        <v>10.6</v>
      </c>
      <c r="BA218" s="276">
        <f>SUMIFS('свод практик'!$AU$6:$AU$277,'свод практик'!$J$6:$J$277,'свод субъектов ИБ+смежные'!BA$1,'свод практик'!$H$6:$H$277,"мун")</f>
        <v>0</v>
      </c>
      <c r="BB218" s="276">
        <f>SUMIFS('свод практик'!$AU$6:$AU$277,'свод практик'!$J$6:$J$277,'свод субъектов ИБ+смежные'!BB$1,'свод практик'!$H$6:$H$277,"мун")</f>
        <v>0</v>
      </c>
      <c r="BC218" s="276">
        <f>SUMIFS('свод практик'!$AU$6:$AU$277,'свод практик'!$J$6:$J$277,'свод субъектов ИБ+смежные'!BC$1,'свод практик'!$H$6:$H$277,"мун")</f>
        <v>0</v>
      </c>
      <c r="BD218" s="276">
        <f>SUMIFS('свод практик'!$AU$6:$AU$277,'свод практик'!$J$6:$J$277,'свод субъектов ИБ+смежные'!BD$1,'свод практик'!$H$6:$H$277,"мун")</f>
        <v>0</v>
      </c>
      <c r="BE218" s="276">
        <f>SUMIFS('свод практик'!$AU$6:$AU$277,'свод практик'!$J$6:$J$277,'свод субъектов ИБ+смежные'!BE$1,'свод практик'!$H$6:$H$277,"мун")</f>
        <v>0</v>
      </c>
      <c r="BF218" s="276">
        <f>SUMIFS('свод практик'!$AU$6:$AU$277,'свод практик'!$J$6:$J$277,'свод субъектов ИБ+смежные'!BF$1,'свод практик'!$H$6:$H$277,"мун")</f>
        <v>7.4</v>
      </c>
      <c r="BG218" s="276">
        <f>SUMIFS('свод практик'!$AU$6:$AU$277,'свод практик'!$J$6:$J$277,'свод субъектов ИБ+смежные'!BG$1,'свод практик'!$H$6:$H$277,"мун")</f>
        <v>0</v>
      </c>
      <c r="BH218" s="276">
        <f>SUMIFS('свод практик'!$AU$6:$AU$277,'свод практик'!$J$6:$J$277,'свод субъектов ИБ+смежные'!BH$1,'свод практик'!$H$6:$H$277,"мун")</f>
        <v>0</v>
      </c>
      <c r="BI218" s="276">
        <f>SUMIFS('свод практик'!$AU$6:$AU$277,'свод практик'!$J$6:$J$277,'свод субъектов ИБ+смежные'!BI$1,'свод практик'!$H$6:$H$277,"мун")</f>
        <v>0</v>
      </c>
      <c r="BJ218" s="276">
        <f>SUMIFS('свод практик'!$AU$6:$AU$277,'свод практик'!$J$6:$J$277,'свод субъектов ИБ+смежные'!BJ$1,'свод практик'!$H$6:$H$277,"мун")</f>
        <v>0</v>
      </c>
      <c r="BK218" s="276">
        <f>SUMIFS('свод практик'!$AU$6:$AU$277,'свод практик'!$J$6:$J$277,'свод субъектов ИБ+смежные'!BK$1,'свод практик'!$H$6:$H$277,"мун")</f>
        <v>0</v>
      </c>
      <c r="BL218" s="276">
        <f>SUMIFS('свод практик'!$AU$6:$AU$277,'свод практик'!$J$6:$J$277,'свод субъектов ИБ+смежные'!BL$1,'свод практик'!$H$6:$H$277,"мун")</f>
        <v>25</v>
      </c>
      <c r="BM218" s="276">
        <f>SUMIFS('свод практик'!$AU$6:$AU$277,'свод практик'!$J$6:$J$277,'свод субъектов ИБ+смежные'!BM$1,'свод практик'!$H$6:$H$277,"мун")</f>
        <v>12.03</v>
      </c>
      <c r="BN218" s="276">
        <f>SUMIFS('свод практик'!$AU$6:$AU$277,'свод практик'!$J$6:$J$277,'свод субъектов ИБ+смежные'!BN$1,'свод практик'!$H$6:$H$277,"мун")</f>
        <v>0</v>
      </c>
      <c r="BO218" s="276">
        <f>SUMIFS('свод практик'!$AU$6:$AU$277,'свод практик'!$J$6:$J$277,'свод субъектов ИБ+смежные'!BO$1,'свод практик'!$H$6:$H$277,"мун")</f>
        <v>17.728000000000002</v>
      </c>
      <c r="BP218" s="276">
        <f>SUMIFS('свод практик'!$AU$6:$AU$277,'свод практик'!$J$6:$J$277,'свод субъектов ИБ+смежные'!BP$1,'свод практик'!$H$6:$H$277,"мун")</f>
        <v>0</v>
      </c>
      <c r="BQ218" s="276">
        <f>SUMIFS('свод практик'!$AU$6:$AU$277,'свод практик'!$J$6:$J$277,'свод субъектов ИБ+смежные'!BQ$1,'свод практик'!$H$6:$H$277,"мун")</f>
        <v>0</v>
      </c>
      <c r="BR218" s="276">
        <f>SUMIFS('свод практик'!$AU$6:$AU$277,'свод практик'!$J$6:$J$277,'свод субъектов ИБ+смежные'!BR$1,'свод практик'!$H$6:$H$277,"мун")</f>
        <v>0</v>
      </c>
      <c r="BS218" s="276">
        <f>SUMIFS('свод практик'!$AU$6:$AU$277,'свод практик'!$J$6:$J$277,'свод субъектов ИБ+смежные'!BS$1,'свод практик'!$H$6:$H$277,"мун")</f>
        <v>0.80100000000000005</v>
      </c>
      <c r="BT218" s="276">
        <f>SUMIFS('свод практик'!$AU$6:$AU$277,'свод практик'!$J$6:$J$277,'свод субъектов ИБ+смежные'!BT$1,'свод практик'!$H$6:$H$277,"мун")</f>
        <v>0</v>
      </c>
      <c r="BU218" s="276">
        <f>SUMIFS('свод практик'!$AU$6:$AU$277,'свод практик'!$J$6:$J$277,'свод субъектов ИБ+смежные'!BU$1,'свод практик'!$H$6:$H$277,"мун")</f>
        <v>45.370999999999995</v>
      </c>
      <c r="BV218" s="276">
        <f>SUMIFS('свод практик'!$AU$6:$AU$277,'свод практик'!$J$6:$J$277,'свод субъектов ИБ+смежные'!BV$1,'свод практик'!$H$6:$H$277,"мун")</f>
        <v>0</v>
      </c>
      <c r="BW218" s="276">
        <f>SUMIFS('свод практик'!$AU$6:$AU$277,'свод практик'!$J$6:$J$277,'свод субъектов ИБ+смежные'!BW$1,'свод практик'!$H$6:$H$277,"мун")</f>
        <v>0</v>
      </c>
      <c r="BX218" s="276">
        <f>SUMIFS('свод практик'!$AU$6:$AU$277,'свод практик'!$J$6:$J$277,'свод субъектов ИБ+смежные'!BX$1,'свод практик'!$H$6:$H$277,"мун")</f>
        <v>0</v>
      </c>
      <c r="BY218" s="276">
        <f>SUMIFS('свод практик'!$AU$6:$AU$277,'свод практик'!$J$6:$J$277,'свод субъектов ИБ+смежные'!BY$1,'свод практик'!$H$6:$H$277,"мун")</f>
        <v>0</v>
      </c>
      <c r="BZ218" s="276">
        <f>SUMIFS('свод практик'!$AU$6:$AU$277,'свод практик'!$J$6:$J$277,'свод субъектов ИБ+смежные'!BZ$1,'свод практик'!$H$6:$H$277,"мун")</f>
        <v>66.597750000000005</v>
      </c>
      <c r="CA218" s="276">
        <f>SUMIFS('свод практик'!$AU$6:$AU$277,'свод практик'!$J$6:$J$277,'свод субъектов ИБ+смежные'!CA$1,'свод практик'!$H$6:$H$277,"мун")</f>
        <v>0</v>
      </c>
      <c r="CB218" s="276">
        <f>SUMIFS('свод практик'!$AU$6:$AU$277,'свод практик'!$J$6:$J$277,'свод субъектов ИБ+смежные'!CB$1,'свод практик'!$H$6:$H$277,"мун")</f>
        <v>0</v>
      </c>
      <c r="CC218" s="276">
        <f>SUMIFS('свод практик'!$AU$6:$AU$277,'свод практик'!$J$6:$J$277,'свод субъектов ИБ+смежные'!CC$1,'свод практик'!$H$6:$H$277,"мун")</f>
        <v>0</v>
      </c>
      <c r="CD218" s="276">
        <f>SUMIFS('свод практик'!$AU$6:$AU$277,'свод практик'!$J$6:$J$277,'свод субъектов ИБ+смежные'!CD$1,'свод практик'!$H$6:$H$277,"мун")</f>
        <v>2.5790000000000002</v>
      </c>
      <c r="CE218" s="276">
        <f>SUMIFS('свод практик'!$AU$6:$AU$277,'свод практик'!$J$6:$J$277,'свод субъектов ИБ+смежные'!CE$1,'свод практик'!$H$6:$H$277,"мун")</f>
        <v>0</v>
      </c>
      <c r="CF218" s="276">
        <f>SUMIFS('свод практик'!$AU$6:$AU$277,'свод практик'!$J$6:$J$277,'свод субъектов ИБ+смежные'!CF$1,'свод практик'!$H$6:$H$277,"мун")</f>
        <v>0</v>
      </c>
      <c r="CG218" s="276">
        <f>SUMIFS('свод практик'!$AU$6:$AU$277,'свод практик'!$J$6:$J$277,'свод субъектов ИБ+смежные'!CG$1,'свод практик'!$H$6:$H$277,"мун")</f>
        <v>0</v>
      </c>
      <c r="CH218" s="276">
        <f>SUMIFS('свод практик'!$AU$6:$AU$277,'свод практик'!$J$6:$J$277,'свод субъектов ИБ+смежные'!CH$1,'свод практик'!$H$6:$H$277,"мун")</f>
        <v>0</v>
      </c>
      <c r="CI218" s="276">
        <f>SUMIFS('свод практик'!$AU$6:$AU$277,'свод практик'!$J$6:$J$277,'свод субъектов ИБ+смежные'!CI$1,'свод практик'!$H$6:$H$277,"мун")</f>
        <v>0</v>
      </c>
      <c r="CJ218" s="276">
        <f>SUMIFS('свод практик'!$AU$6:$AU$277,'свод практик'!$J$6:$J$277,'свод субъектов ИБ+смежные'!CJ$1,'свод практик'!$H$6:$H$277,"мун")</f>
        <v>0</v>
      </c>
      <c r="CK218" s="276">
        <f>SUMIFS('свод практик'!$AU$6:$AU$277,'свод практик'!$J$6:$J$277,'свод субъектов ИБ+смежные'!CK$1,'свод практик'!$H$6:$H$277,"мун")</f>
        <v>0</v>
      </c>
      <c r="CL218" s="276">
        <f>SUMIFS('свод практик'!$AU$6:$AU$277,'свод практик'!$J$6:$J$277,'свод субъектов ИБ+смежные'!CL$1,'свод практик'!$H$6:$H$277,"мун")</f>
        <v>11.383000000000001</v>
      </c>
      <c r="CM218" s="276">
        <f>SUMIFS('свод практик'!$AU$6:$AU$277,'свод практик'!$J$6:$J$277,'свод субъектов ИБ+смежные'!CM$1,'свод практик'!$H$6:$H$277,"мун")</f>
        <v>44.313632500000004</v>
      </c>
      <c r="CN218" s="276">
        <f>SUMIFS('свод практик'!$AU$6:$AU$277,'свод практик'!$J$6:$J$277,'свод субъектов ИБ+смежные'!CN$1,'свод практик'!$H$6:$H$277,"мун")</f>
        <v>0</v>
      </c>
      <c r="CO218" s="276">
        <f>SUMIFS('свод практик'!$AU$6:$AU$277,'свод практик'!$J$6:$J$277,'свод субъектов ИБ+смежные'!CO$1,'свод практик'!$H$6:$H$277,"мун")</f>
        <v>0</v>
      </c>
      <c r="CP218" s="276">
        <f>SUMIFS('свод практик'!$AU$6:$AU$277,'свод практик'!$J$6:$J$277,'свод субъектов ИБ+смежные'!CP$1,'свод практик'!$H$6:$H$277,"мун")</f>
        <v>148.40800533999999</v>
      </c>
      <c r="CQ218" s="276">
        <f>SUMIFS('свод практик'!$AU$6:$AU$277,'свод практик'!$J$6:$J$277,'свод субъектов ИБ+смежные'!CQ$1,'свод практик'!$H$6:$H$277,"мун")</f>
        <v>17.8</v>
      </c>
      <c r="CR218" s="276">
        <f>SUMIFS('свод практик'!$AU$6:$AU$277,'свод практик'!$J$6:$J$277,'свод субъектов ИБ+смежные'!CR$1,'свод практик'!$H$6:$H$277,"мун")</f>
        <v>0</v>
      </c>
      <c r="CS218" s="276">
        <f>SUMIFS('свод практик'!$AU$6:$AU$277,'свод практик'!$J$6:$J$277,'свод субъектов ИБ+смежные'!CS$1,'свод практик'!$H$6:$H$277,"мун")</f>
        <v>8.6229999999999993</v>
      </c>
      <c r="CT218" s="276">
        <f>SUMIFS('свод практик'!$AU$6:$AU$277,'свод практик'!$J$6:$J$277,'свод субъектов ИБ+смежные'!CT$1,'свод практик'!$H$6:$H$277,"мун")</f>
        <v>0</v>
      </c>
      <c r="CU218" s="276">
        <f>SUMIFS('свод практик'!$AU$6:$AU$277,'свод практик'!$J$6:$J$277,'свод субъектов ИБ+смежные'!CU$1,'свод практик'!$H$6:$H$277,"мун")</f>
        <v>61.493100000000005</v>
      </c>
      <c r="CV218" s="276">
        <f>SUMIFS('свод практик'!$AU$6:$AU$277,'свод практик'!$J$6:$J$277,'свод субъектов ИБ+смежные'!CV$1,'свод практик'!$H$6:$H$277,"мун")</f>
        <v>0</v>
      </c>
    </row>
    <row r="219" spans="1:100" ht="28">
      <c r="D219" s="36" t="s">
        <v>4949</v>
      </c>
      <c r="E219" s="36">
        <v>29</v>
      </c>
      <c r="F219" s="36" t="s">
        <v>5537</v>
      </c>
      <c r="G219" s="36" t="s">
        <v>5623</v>
      </c>
      <c r="H219" s="36" t="s">
        <v>60</v>
      </c>
      <c r="I219" s="36" t="s">
        <v>5090</v>
      </c>
      <c r="M219" s="36" t="s">
        <v>5497</v>
      </c>
      <c r="N219" s="232">
        <v>0.64154385617763277</v>
      </c>
      <c r="O219" s="233">
        <f>O218/O62</f>
        <v>0.78833100866037853</v>
      </c>
      <c r="P219" s="233" t="e">
        <f t="shared" ref="P219:CA219" si="129">P218/P62</f>
        <v>#DIV/0!</v>
      </c>
      <c r="Q219" s="233" t="e">
        <f t="shared" si="129"/>
        <v>#DIV/0!</v>
      </c>
      <c r="R219" s="233" t="e">
        <f t="shared" si="129"/>
        <v>#DIV/0!</v>
      </c>
      <c r="S219" s="233" t="e">
        <f t="shared" si="129"/>
        <v>#DIV/0!</v>
      </c>
      <c r="T219" s="233">
        <f t="shared" si="129"/>
        <v>1</v>
      </c>
      <c r="U219" s="233">
        <f t="shared" si="129"/>
        <v>1</v>
      </c>
      <c r="V219" s="233">
        <f t="shared" si="129"/>
        <v>0.76615168539325851</v>
      </c>
      <c r="W219" s="233">
        <f t="shared" si="129"/>
        <v>0.99779568494931115</v>
      </c>
      <c r="X219" s="233" t="e">
        <f t="shared" si="129"/>
        <v>#DIV/0!</v>
      </c>
      <c r="Y219" s="233" t="e">
        <f t="shared" si="129"/>
        <v>#DIV/0!</v>
      </c>
      <c r="Z219" s="233" t="e">
        <f t="shared" si="129"/>
        <v>#DIV/0!</v>
      </c>
      <c r="AA219" s="233" t="e">
        <f t="shared" si="129"/>
        <v>#DIV/0!</v>
      </c>
      <c r="AB219" s="233">
        <f t="shared" si="129"/>
        <v>1</v>
      </c>
      <c r="AC219" s="233" t="e">
        <f t="shared" si="129"/>
        <v>#DIV/0!</v>
      </c>
      <c r="AD219" s="233" t="e">
        <f t="shared" si="129"/>
        <v>#DIV/0!</v>
      </c>
      <c r="AE219" s="233" t="e">
        <f t="shared" si="129"/>
        <v>#DIV/0!</v>
      </c>
      <c r="AF219" s="233" t="e">
        <f t="shared" si="129"/>
        <v>#DIV/0!</v>
      </c>
      <c r="AG219" s="233" t="e">
        <f t="shared" si="129"/>
        <v>#DIV/0!</v>
      </c>
      <c r="AH219" s="233" t="e">
        <f t="shared" si="129"/>
        <v>#DIV/0!</v>
      </c>
      <c r="AI219" s="233" t="e">
        <f t="shared" si="129"/>
        <v>#DIV/0!</v>
      </c>
      <c r="AJ219" s="233">
        <f t="shared" si="129"/>
        <v>0.5</v>
      </c>
      <c r="AK219" s="233" t="e">
        <f t="shared" si="129"/>
        <v>#DIV/0!</v>
      </c>
      <c r="AL219" s="233" t="e">
        <f t="shared" si="129"/>
        <v>#DIV/0!</v>
      </c>
      <c r="AM219" s="233">
        <f t="shared" si="129"/>
        <v>0.7958720719150405</v>
      </c>
      <c r="AN219" s="233" t="e">
        <f t="shared" si="129"/>
        <v>#DIV/0!</v>
      </c>
      <c r="AO219" s="233" t="e">
        <f t="shared" si="129"/>
        <v>#DIV/0!</v>
      </c>
      <c r="AP219" s="233" t="e">
        <f t="shared" si="129"/>
        <v>#DIV/0!</v>
      </c>
      <c r="AQ219" s="233" t="e">
        <f t="shared" si="129"/>
        <v>#DIV/0!</v>
      </c>
      <c r="AR219" s="233" t="e">
        <f t="shared" si="129"/>
        <v>#DIV/0!</v>
      </c>
      <c r="AS219" s="233" t="e">
        <f t="shared" si="129"/>
        <v>#DIV/0!</v>
      </c>
      <c r="AT219" s="233" t="e">
        <f t="shared" si="129"/>
        <v>#DIV/0!</v>
      </c>
      <c r="AU219" s="233">
        <f t="shared" si="129"/>
        <v>0.16644488955499837</v>
      </c>
      <c r="AV219" s="233">
        <f t="shared" si="129"/>
        <v>0.95675198587819954</v>
      </c>
      <c r="AW219" s="233" t="e">
        <f t="shared" si="129"/>
        <v>#DIV/0!</v>
      </c>
      <c r="AX219" s="233" t="e">
        <f t="shared" si="129"/>
        <v>#DIV/0!</v>
      </c>
      <c r="AY219" s="233" t="e">
        <f t="shared" si="129"/>
        <v>#DIV/0!</v>
      </c>
      <c r="AZ219" s="233">
        <f t="shared" si="129"/>
        <v>1</v>
      </c>
      <c r="BA219" s="233" t="e">
        <f t="shared" si="129"/>
        <v>#DIV/0!</v>
      </c>
      <c r="BB219" s="233" t="e">
        <f t="shared" si="129"/>
        <v>#DIV/0!</v>
      </c>
      <c r="BC219" s="233" t="e">
        <f t="shared" si="129"/>
        <v>#DIV/0!</v>
      </c>
      <c r="BD219" s="233" t="e">
        <f t="shared" si="129"/>
        <v>#DIV/0!</v>
      </c>
      <c r="BE219" s="233" t="e">
        <f t="shared" si="129"/>
        <v>#DIV/0!</v>
      </c>
      <c r="BF219" s="233">
        <f t="shared" si="129"/>
        <v>0.93552465233881166</v>
      </c>
      <c r="BG219" s="233" t="e">
        <f t="shared" si="129"/>
        <v>#DIV/0!</v>
      </c>
      <c r="BH219" s="233" t="e">
        <f t="shared" si="129"/>
        <v>#DIV/0!</v>
      </c>
      <c r="BI219" s="233" t="e">
        <f t="shared" si="129"/>
        <v>#DIV/0!</v>
      </c>
      <c r="BJ219" s="233" t="e">
        <f t="shared" si="129"/>
        <v>#DIV/0!</v>
      </c>
      <c r="BK219" s="233" t="e">
        <f t="shared" si="129"/>
        <v>#DIV/0!</v>
      </c>
      <c r="BL219" s="233">
        <f t="shared" si="129"/>
        <v>0.35625222657641614</v>
      </c>
      <c r="BM219" s="233">
        <f t="shared" si="129"/>
        <v>0.88763290513469439</v>
      </c>
      <c r="BN219" s="233" t="e">
        <f t="shared" si="129"/>
        <v>#DIV/0!</v>
      </c>
      <c r="BO219" s="233">
        <f t="shared" si="129"/>
        <v>0.52758764359264343</v>
      </c>
      <c r="BP219" s="233" t="e">
        <f t="shared" si="129"/>
        <v>#DIV/0!</v>
      </c>
      <c r="BQ219" s="233" t="e">
        <f t="shared" si="129"/>
        <v>#DIV/0!</v>
      </c>
      <c r="BR219" s="233" t="e">
        <f t="shared" si="129"/>
        <v>#DIV/0!</v>
      </c>
      <c r="BS219" s="233">
        <f t="shared" si="129"/>
        <v>6.9767441860465115E-2</v>
      </c>
      <c r="BT219" s="233" t="e">
        <f t="shared" si="129"/>
        <v>#DIV/0!</v>
      </c>
      <c r="BU219" s="233">
        <f t="shared" si="129"/>
        <v>0.99662775137442394</v>
      </c>
      <c r="BV219" s="233" t="e">
        <f t="shared" si="129"/>
        <v>#DIV/0!</v>
      </c>
      <c r="BW219" s="233" t="e">
        <f t="shared" si="129"/>
        <v>#DIV/0!</v>
      </c>
      <c r="BX219" s="233" t="e">
        <f t="shared" si="129"/>
        <v>#DIV/0!</v>
      </c>
      <c r="BY219" s="233" t="e">
        <f t="shared" si="129"/>
        <v>#DIV/0!</v>
      </c>
      <c r="BZ219" s="233">
        <f t="shared" si="129"/>
        <v>0.87727889453855679</v>
      </c>
      <c r="CA219" s="233" t="e">
        <f t="shared" si="129"/>
        <v>#DIV/0!</v>
      </c>
      <c r="CB219" s="233" t="e">
        <f t="shared" ref="CB219:CV219" si="130">CB218/CB62</f>
        <v>#DIV/0!</v>
      </c>
      <c r="CC219" s="233" t="e">
        <f t="shared" si="130"/>
        <v>#DIV/0!</v>
      </c>
      <c r="CD219" s="233">
        <f t="shared" si="130"/>
        <v>0.71321902654867264</v>
      </c>
      <c r="CE219" s="233" t="e">
        <f t="shared" si="130"/>
        <v>#DIV/0!</v>
      </c>
      <c r="CF219" s="233" t="e">
        <f t="shared" si="130"/>
        <v>#DIV/0!</v>
      </c>
      <c r="CG219" s="233" t="e">
        <f t="shared" si="130"/>
        <v>#DIV/0!</v>
      </c>
      <c r="CH219" s="233" t="e">
        <f t="shared" si="130"/>
        <v>#DIV/0!</v>
      </c>
      <c r="CI219" s="233" t="e">
        <f t="shared" si="130"/>
        <v>#DIV/0!</v>
      </c>
      <c r="CJ219" s="233" t="e">
        <f t="shared" si="130"/>
        <v>#DIV/0!</v>
      </c>
      <c r="CK219" s="233" t="e">
        <f t="shared" si="130"/>
        <v>#DIV/0!</v>
      </c>
      <c r="CL219" s="233">
        <f t="shared" si="130"/>
        <v>0.69691573186765077</v>
      </c>
      <c r="CM219" s="233">
        <f t="shared" si="130"/>
        <v>0.9703106222950717</v>
      </c>
      <c r="CN219" s="233" t="e">
        <f t="shared" si="130"/>
        <v>#DIV/0!</v>
      </c>
      <c r="CO219" s="233" t="e">
        <f t="shared" si="130"/>
        <v>#DIV/0!</v>
      </c>
      <c r="CP219" s="233">
        <f t="shared" si="130"/>
        <v>0.87237044707892897</v>
      </c>
      <c r="CQ219" s="233">
        <f t="shared" si="130"/>
        <v>1</v>
      </c>
      <c r="CR219" s="233" t="e">
        <f t="shared" si="130"/>
        <v>#DIV/0!</v>
      </c>
      <c r="CS219" s="233">
        <f t="shared" si="130"/>
        <v>0.8192874109263657</v>
      </c>
      <c r="CT219" s="233" t="e">
        <f t="shared" si="130"/>
        <v>#DIV/0!</v>
      </c>
      <c r="CU219" s="233">
        <f t="shared" si="130"/>
        <v>0.8199517307589741</v>
      </c>
      <c r="CV219" s="233" t="e">
        <f t="shared" si="130"/>
        <v>#DIV/0!</v>
      </c>
    </row>
    <row r="220" spans="1:100" s="178" customFormat="1" ht="42">
      <c r="A220" s="178" t="s">
        <v>5538</v>
      </c>
      <c r="B220" s="178" t="s">
        <v>4990</v>
      </c>
      <c r="C220" s="225" t="s">
        <v>5096</v>
      </c>
      <c r="D220" s="178" t="s">
        <v>4949</v>
      </c>
      <c r="E220" s="178">
        <v>30</v>
      </c>
      <c r="F220" s="178" t="s">
        <v>5539</v>
      </c>
      <c r="G220" s="178" t="s">
        <v>5625</v>
      </c>
      <c r="H220" s="178" t="s">
        <v>5082</v>
      </c>
      <c r="I220" s="178" t="s">
        <v>4961</v>
      </c>
      <c r="L220" s="178" t="s">
        <v>278</v>
      </c>
      <c r="M220" s="178" t="s">
        <v>5497</v>
      </c>
      <c r="N220" s="333">
        <v>103.2469</v>
      </c>
      <c r="O220" s="334">
        <f>SUM(P220:CV220)</f>
        <v>112.27286693000001</v>
      </c>
      <c r="P220" s="225">
        <f>SUMIFS('свод практик'!$AY$6:$AY$277,'свод практик'!$J$6:$J$277,'свод субъектов ИБ+смежные'!Q$1,'свод практик'!$H$6:$H$277,"мун")</f>
        <v>0</v>
      </c>
      <c r="Q220" s="225">
        <f>SUMIFS('свод практик'!$AY$6:$AY$277,'свод практик'!$J$6:$J$277,'свод субъектов ИБ+смежные'!R$1,'свод практик'!$H$6:$H$277,"мун")</f>
        <v>0</v>
      </c>
      <c r="R220" s="225">
        <f>SUMIFS('свод практик'!$AY$6:$AY$277,'свод практик'!$J$6:$J$277,'свод субъектов ИБ+смежные'!S$1,'свод практик'!$H$6:$H$277,"мун")</f>
        <v>0</v>
      </c>
      <c r="S220" s="225">
        <f>SUMIFS('свод практик'!$AY$6:$AY$277,'свод практик'!$J$6:$J$277,'свод субъектов ИБ+смежные'!T$1,'свод практик'!$H$6:$H$277,"мун")</f>
        <v>0</v>
      </c>
      <c r="T220" s="225">
        <f>SUMIFS('свод практик'!$AY$6:$AY$277,'свод практик'!$J$6:$J$277,'свод субъектов ИБ+смежные'!U$1,'свод практик'!$H$6:$H$277,"мун")</f>
        <v>0</v>
      </c>
      <c r="U220" s="225">
        <f>SUMIFS('свод практик'!$AY$6:$AY$277,'свод практик'!$J$6:$J$277,'свод субъектов ИБ+смежные'!V$1,'свод практик'!$H$6:$H$277,"мун")</f>
        <v>1.3599999999999999</v>
      </c>
      <c r="V220" s="225">
        <f>SUMIFS('свод практик'!$AY$6:$AY$277,'свод практик'!$J$6:$J$277,'свод субъектов ИБ+смежные'!W$1,'свод практик'!$H$6:$H$277,"мун")</f>
        <v>0.21199999999999999</v>
      </c>
      <c r="W220" s="225">
        <f>SUMIFS('свод практик'!$AY$6:$AY$277,'свод практик'!$J$6:$J$277,'свод субъектов ИБ+смежные'!X$1,'свод практик'!$H$6:$H$277,"мун")</f>
        <v>0</v>
      </c>
      <c r="X220" s="225">
        <f>SUMIFS('свод практик'!$AY$6:$AY$277,'свод практик'!$J$6:$J$277,'свод субъектов ИБ+смежные'!Y$1,'свод практик'!$H$6:$H$277,"мун")</f>
        <v>0</v>
      </c>
      <c r="Y220" s="225">
        <f>SUMIFS('свод практик'!$AY$6:$AY$277,'свод практик'!$J$6:$J$277,'свод субъектов ИБ+смежные'!Z$1,'свод практик'!$H$6:$H$277,"мун")</f>
        <v>0</v>
      </c>
      <c r="Z220" s="225">
        <f>SUMIFS('свод практик'!$AY$6:$AY$277,'свод практик'!$J$6:$J$277,'свод субъектов ИБ+смежные'!AA$1,'свод практик'!$H$6:$H$277,"мун")</f>
        <v>0</v>
      </c>
      <c r="AA220" s="225">
        <f>SUMIFS('свод практик'!$AY$6:$AY$277,'свод практик'!$J$6:$J$277,'свод субъектов ИБ+смежные'!AB$1,'свод практик'!$H$6:$H$277,"мун")</f>
        <v>0</v>
      </c>
      <c r="AB220" s="225">
        <f>SUMIFS('свод практик'!$AY$6:$AY$277,'свод практик'!$J$6:$J$277,'свод субъектов ИБ+смежные'!AC$1,'свод практик'!$H$6:$H$277,"мун")</f>
        <v>0</v>
      </c>
      <c r="AC220" s="225">
        <f>SUMIFS('свод практик'!$AY$6:$AY$277,'свод практик'!$J$6:$J$277,'свод субъектов ИБ+смежные'!AD$1,'свод практик'!$H$6:$H$277,"мун")</f>
        <v>0</v>
      </c>
      <c r="AD220" s="225">
        <f>SUMIFS('свод практик'!$AY$6:$AY$277,'свод практик'!$J$6:$J$277,'свод субъектов ИБ+смежные'!AE$1,'свод практик'!$H$6:$H$277,"мун")</f>
        <v>0</v>
      </c>
      <c r="AE220" s="225">
        <f>SUMIFS('свод практик'!$AY$6:$AY$277,'свод практик'!$J$6:$J$277,'свод субъектов ИБ+смежные'!AF$1,'свод практик'!$H$6:$H$277,"мун")</f>
        <v>0</v>
      </c>
      <c r="AF220" s="225">
        <f>SUMIFS('свод практик'!$AY$6:$AY$277,'свод практик'!$J$6:$J$277,'свод субъектов ИБ+смежные'!AG$1,'свод практик'!$H$6:$H$277,"мун")</f>
        <v>0</v>
      </c>
      <c r="AG220" s="225">
        <f>SUMIFS('свод практик'!$AY$6:$AY$277,'свод практик'!$J$6:$J$277,'свод субъектов ИБ+смежные'!AH$1,'свод практик'!$H$6:$H$277,"мун")</f>
        <v>0</v>
      </c>
      <c r="AH220" s="225">
        <f>SUMIFS('свод практик'!$AY$6:$AY$277,'свод практик'!$J$6:$J$277,'свод субъектов ИБ+смежные'!AI$1,'свод практик'!$H$6:$H$277,"мун")</f>
        <v>0</v>
      </c>
      <c r="AI220" s="225">
        <f>SUMIFS('свод практик'!$AY$6:$AY$277,'свод практик'!$J$6:$J$277,'свод субъектов ИБ+смежные'!AJ$1,'свод практик'!$H$6:$H$277,"мун")</f>
        <v>1</v>
      </c>
      <c r="AJ220" s="225">
        <f>SUMIFS('свод практик'!$AY$6:$AY$277,'свод практик'!$J$6:$J$277,'свод субъектов ИБ+смежные'!AK$1,'свод практик'!$H$6:$H$277,"мун")</f>
        <v>0</v>
      </c>
      <c r="AK220" s="225">
        <f>SUMIFS('свод практик'!$AY$6:$AY$277,'свод практик'!$J$6:$J$277,'свод субъектов ИБ+смежные'!AL$1,'свод практик'!$H$6:$H$277,"мун")</f>
        <v>0</v>
      </c>
      <c r="AL220" s="225">
        <f>SUMIFS('свод практик'!$AY$6:$AY$277,'свод практик'!$J$6:$J$277,'свод субъектов ИБ+смежные'!AM$1,'свод практик'!$H$6:$H$277,"мун")</f>
        <v>4.1472269300000004</v>
      </c>
      <c r="AM220" s="225">
        <f>SUMIFS('свод практик'!$AY$6:$AY$277,'свод практик'!$J$6:$J$277,'свод субъектов ИБ+смежные'!AN$1,'свод практик'!$H$6:$H$277,"мун")</f>
        <v>0</v>
      </c>
      <c r="AN220" s="225">
        <f>SUMIFS('свод практик'!$AY$6:$AY$277,'свод практик'!$J$6:$J$277,'свод субъектов ИБ+смежные'!AO$1,'свод практик'!$H$6:$H$277,"мун")</f>
        <v>0</v>
      </c>
      <c r="AO220" s="225">
        <f>SUMIFS('свод практик'!$AY$6:$AY$277,'свод практик'!$J$6:$J$277,'свод субъектов ИБ+смежные'!AP$1,'свод практик'!$H$6:$H$277,"мун")</f>
        <v>0</v>
      </c>
      <c r="AP220" s="225">
        <f>SUMIFS('свод практик'!$AY$6:$AY$277,'свод практик'!$J$6:$J$277,'свод субъектов ИБ+смежные'!AQ$1,'свод практик'!$H$6:$H$277,"мун")</f>
        <v>0</v>
      </c>
      <c r="AQ220" s="225">
        <f>SUMIFS('свод практик'!$AY$6:$AY$277,'свод практик'!$J$6:$J$277,'свод субъектов ИБ+смежные'!AR$1,'свод практик'!$H$6:$H$277,"мун")</f>
        <v>0</v>
      </c>
      <c r="AR220" s="225">
        <f>SUMIFS('свод практик'!$AY$6:$AY$277,'свод практик'!$J$6:$J$277,'свод субъектов ИБ+смежные'!AS$1,'свод практик'!$H$6:$H$277,"мун")</f>
        <v>0</v>
      </c>
      <c r="AS220" s="225">
        <f>SUMIFS('свод практик'!$AY$6:$AY$277,'свод практик'!$J$6:$J$277,'свод субъектов ИБ+смежные'!AT$1,'свод практик'!$H$6:$H$277,"мун")</f>
        <v>0</v>
      </c>
      <c r="AT220" s="225">
        <f>SUMIFS('свод практик'!$AY$6:$AY$277,'свод практик'!$J$6:$J$277,'свод субъектов ИБ+смежные'!AU$1,'свод практик'!$H$6:$H$277,"мун")</f>
        <v>21.074000000000002</v>
      </c>
      <c r="AU220" s="225">
        <f>SUMIFS('свод практик'!$AY$6:$AY$277,'свод практик'!$J$6:$J$277,'свод субъектов ИБ+смежные'!AV$1,'свод практик'!$H$6:$H$277,"мун")</f>
        <v>0.56000000000000005</v>
      </c>
      <c r="AV220" s="225">
        <f>SUMIFS('свод практик'!$AY$6:$AY$277,'свод практик'!$J$6:$J$277,'свод субъектов ИБ+смежные'!AW$1,'свод практик'!$H$6:$H$277,"мун")</f>
        <v>0</v>
      </c>
      <c r="AW220" s="225">
        <f>SUMIFS('свод практик'!$AY$6:$AY$277,'свод практик'!$J$6:$J$277,'свод субъектов ИБ+смежные'!AX$1,'свод практик'!$H$6:$H$277,"мун")</f>
        <v>0</v>
      </c>
      <c r="AX220" s="225">
        <f>SUMIFS('свод практик'!$AY$6:$AY$277,'свод практик'!$J$6:$J$277,'свод субъектов ИБ+смежные'!AY$1,'свод практик'!$H$6:$H$277,"мун")</f>
        <v>0</v>
      </c>
      <c r="AY220" s="225">
        <f>SUMIFS('свод практик'!$AY$6:$AY$277,'свод практик'!$J$6:$J$277,'свод субъектов ИБ+смежные'!AZ$1,'свод практик'!$H$6:$H$277,"мун")</f>
        <v>0</v>
      </c>
      <c r="AZ220" s="225">
        <f>SUMIFS('свод практик'!$AY$6:$AY$277,'свод практик'!$J$6:$J$277,'свод субъектов ИБ+смежные'!BA$1,'свод практик'!$H$6:$H$277,"мун")</f>
        <v>0</v>
      </c>
      <c r="BA220" s="225">
        <f>SUMIFS('свод практик'!$AY$6:$AY$277,'свод практик'!$J$6:$J$277,'свод субъектов ИБ+смежные'!BB$1,'свод практик'!$H$6:$H$277,"мун")</f>
        <v>0</v>
      </c>
      <c r="BB220" s="225">
        <f>SUMIFS('свод практик'!$AY$6:$AY$277,'свод практик'!$J$6:$J$277,'свод субъектов ИБ+смежные'!BC$1,'свод практик'!$H$6:$H$277,"мун")</f>
        <v>0</v>
      </c>
      <c r="BC220" s="225">
        <f>SUMIFS('свод практик'!$AY$6:$AY$277,'свод практик'!$J$6:$J$277,'свод субъектов ИБ+смежные'!BD$1,'свод практик'!$H$6:$H$277,"мун")</f>
        <v>0</v>
      </c>
      <c r="BD220" s="225">
        <f>SUMIFS('свод практик'!$AY$6:$AY$277,'свод практик'!$J$6:$J$277,'свод субъектов ИБ+смежные'!BE$1,'свод практик'!$H$6:$H$277,"мун")</f>
        <v>0</v>
      </c>
      <c r="BE220" s="225">
        <f>SUMIFS('свод практик'!$AY$6:$AY$277,'свод практик'!$J$6:$J$277,'свод субъектов ИБ+смежные'!BF$1,'свод практик'!$H$6:$H$277,"мун")</f>
        <v>0</v>
      </c>
      <c r="BF220" s="225">
        <f>SUMIFS('свод практик'!$AY$6:$AY$277,'свод практик'!$J$6:$J$277,'свод субъектов ИБ+смежные'!BG$1,'свод практик'!$H$6:$H$277,"мун")</f>
        <v>0</v>
      </c>
      <c r="BG220" s="225">
        <f>SUMIFS('свод практик'!$AY$6:$AY$277,'свод практик'!$J$6:$J$277,'свод субъектов ИБ+смежные'!BH$1,'свод практик'!$H$6:$H$277,"мун")</f>
        <v>0</v>
      </c>
      <c r="BH220" s="225">
        <f>SUMIFS('свод практик'!$AY$6:$AY$277,'свод практик'!$J$6:$J$277,'свод субъектов ИБ+смежные'!BI$1,'свод практик'!$H$6:$H$277,"мун")</f>
        <v>0</v>
      </c>
      <c r="BI220" s="225">
        <f>SUMIFS('свод практик'!$AY$6:$AY$277,'свод практик'!$J$6:$J$277,'свод субъектов ИБ+смежные'!BJ$1,'свод практик'!$H$6:$H$277,"мун")</f>
        <v>0</v>
      </c>
      <c r="BJ220" s="225">
        <f>SUMIFS('свод практик'!$AY$6:$AY$277,'свод практик'!$J$6:$J$277,'свод субъектов ИБ+смежные'!BK$1,'свод практик'!$H$6:$H$277,"мун")</f>
        <v>0</v>
      </c>
      <c r="BK220" s="225">
        <f>SUMIFS('свод практик'!$AY$6:$AY$277,'свод практик'!$J$6:$J$277,'свод субъектов ИБ+смежные'!BL$1,'свод практик'!$H$6:$H$277,"мун")</f>
        <v>45.174999999999997</v>
      </c>
      <c r="BL220" s="225">
        <f>SUMIFS('свод практик'!$AY$6:$AY$277,'свод практик'!$J$6:$J$277,'свод субъектов ИБ+смежные'!BM$1,'свод практик'!$H$6:$H$277,"мун")</f>
        <v>0.97319999999999995</v>
      </c>
      <c r="BM220" s="225">
        <f>SUMIFS('свод практик'!$AY$6:$AY$277,'свод практик'!$J$6:$J$277,'свод субъектов ИБ+смежные'!BN$1,'свод практик'!$H$6:$H$277,"мун")</f>
        <v>0</v>
      </c>
      <c r="BN220" s="225">
        <f>SUMIFS('свод практик'!$AY$6:$AY$277,'свод практик'!$J$6:$J$277,'свод субъектов ИБ+смежные'!BO$1,'свод практик'!$H$6:$H$277,"мун")</f>
        <v>15.874000000000001</v>
      </c>
      <c r="BO220" s="225">
        <f>SUMIFS('свод практик'!$AY$6:$AY$277,'свод практик'!$J$6:$J$277,'свод субъектов ИБ+смежные'!BP$1,'свод практик'!$H$6:$H$277,"мун")</f>
        <v>0</v>
      </c>
      <c r="BP220" s="225">
        <f>SUMIFS('свод практик'!$AY$6:$AY$277,'свод практик'!$J$6:$J$277,'свод субъектов ИБ+смежные'!BQ$1,'свод практик'!$H$6:$H$277,"мун")</f>
        <v>0</v>
      </c>
      <c r="BQ220" s="225">
        <f>SUMIFS('свод практик'!$AY$6:$AY$277,'свод практик'!$J$6:$J$277,'свод субъектов ИБ+смежные'!BR$1,'свод практик'!$H$6:$H$277,"мун")</f>
        <v>0</v>
      </c>
      <c r="BR220" s="225">
        <f>SUMIFS('свод практик'!$AY$6:$AY$277,'свод практик'!$J$6:$J$277,'свод субъектов ИБ+смежные'!BS$1,'свод практик'!$H$6:$H$277,"мун")</f>
        <v>3.9119999999999999</v>
      </c>
      <c r="BS220" s="225">
        <f>SUMIFS('свод практик'!$AY$6:$AY$277,'свод практик'!$J$6:$J$277,'свод субъектов ИБ+смежные'!BT$1,'свод практик'!$H$6:$H$277,"мун")</f>
        <v>0</v>
      </c>
      <c r="BT220" s="225">
        <f>SUMIFS('свод практик'!$AY$6:$AY$277,'свод практик'!$J$6:$J$277,'свод субъектов ИБ+смежные'!BU$1,'свод практик'!$H$6:$H$277,"мун")</f>
        <v>0.57499999999999996</v>
      </c>
      <c r="BU220" s="225">
        <f>SUMIFS('свод практик'!$AY$6:$AY$277,'свод практик'!$J$6:$J$277,'свод субъектов ИБ+смежные'!BV$1,'свод практик'!$H$6:$H$277,"мун")</f>
        <v>0</v>
      </c>
      <c r="BV220" s="225">
        <f>SUMIFS('свод практик'!$AY$6:$AY$277,'свод практик'!$J$6:$J$277,'свод субъектов ИБ+смежные'!BW$1,'свод практик'!$H$6:$H$277,"мун")</f>
        <v>0</v>
      </c>
      <c r="BW220" s="225">
        <f>SUMIFS('свод практик'!$AY$6:$AY$277,'свод практик'!$J$6:$J$277,'свод субъектов ИБ+смежные'!BX$1,'свод практик'!$H$6:$H$277,"мун")</f>
        <v>0</v>
      </c>
      <c r="BX220" s="225">
        <f>SUMIFS('свод практик'!$AY$6:$AY$277,'свод практик'!$J$6:$J$277,'свод субъектов ИБ+смежные'!BY$1,'свод практик'!$H$6:$H$277,"мун")</f>
        <v>0</v>
      </c>
      <c r="BY220" s="225">
        <f>SUMIFS('свод практик'!$AY$6:$AY$277,'свод практик'!$J$6:$J$277,'свод субъектов ИБ+смежные'!BZ$1,'свод практик'!$H$6:$H$277,"мун")</f>
        <v>1.2477500000000001</v>
      </c>
      <c r="BZ220" s="225">
        <f>SUMIFS('свод практик'!$AY$6:$AY$277,'свод практик'!$J$6:$J$277,'свод субъектов ИБ+смежные'!CA$1,'свод практик'!$H$6:$H$277,"мун")</f>
        <v>0</v>
      </c>
      <c r="CA220" s="225">
        <f>SUMIFS('свод практик'!$AY$6:$AY$277,'свод практик'!$J$6:$J$277,'свод субъектов ИБ+смежные'!CB$1,'свод практик'!$H$6:$H$277,"мун")</f>
        <v>0</v>
      </c>
      <c r="CB220" s="225">
        <f>SUMIFS('свод практик'!$AY$6:$AY$277,'свод практик'!$J$6:$J$277,'свод субъектов ИБ+смежные'!CC$1,'свод практик'!$H$6:$H$277,"мун")</f>
        <v>0</v>
      </c>
      <c r="CC220" s="225">
        <f>SUMIFS('свод практик'!$AY$6:$AY$277,'свод практик'!$J$6:$J$277,'свод субъектов ИБ+смежные'!CD$1,'свод практик'!$H$6:$H$277,"мун")</f>
        <v>9.7000000000000003E-2</v>
      </c>
      <c r="CD220" s="225">
        <f>SUMIFS('свод практик'!$AY$6:$AY$277,'свод практик'!$J$6:$J$277,'свод субъектов ИБ+смежные'!CE$1,'свод практик'!$H$6:$H$277,"мун")</f>
        <v>0</v>
      </c>
      <c r="CE220" s="225">
        <f>SUMIFS('свод практик'!$AY$6:$AY$277,'свод практик'!$J$6:$J$277,'свод субъектов ИБ+смежные'!CF$1,'свод практик'!$H$6:$H$277,"мун")</f>
        <v>0</v>
      </c>
      <c r="CF220" s="225">
        <f>SUMIFS('свод практик'!$AY$6:$AY$277,'свод практик'!$J$6:$J$277,'свод субъектов ИБ+смежные'!CG$1,'свод практик'!$H$6:$H$277,"мун")</f>
        <v>0</v>
      </c>
      <c r="CG220" s="225">
        <f>SUMIFS('свод практик'!$AY$6:$AY$277,'свод практик'!$J$6:$J$277,'свод субъектов ИБ+смежные'!CH$1,'свод практик'!$H$6:$H$277,"мун")</f>
        <v>0</v>
      </c>
      <c r="CH220" s="225">
        <f>SUMIFS('свод практик'!$AY$6:$AY$277,'свод практик'!$J$6:$J$277,'свод субъектов ИБ+смежные'!CI$1,'свод практик'!$H$6:$H$277,"мун")</f>
        <v>0</v>
      </c>
      <c r="CI220" s="225">
        <f>SUMIFS('свод практик'!$AY$6:$AY$277,'свод практик'!$J$6:$J$277,'свод субъектов ИБ+смежные'!CJ$1,'свод практик'!$H$6:$H$277,"мун")</f>
        <v>0</v>
      </c>
      <c r="CJ220" s="225">
        <f>SUMIFS('свод практик'!$AY$6:$AY$277,'свод практик'!$J$6:$J$277,'свод субъектов ИБ+смежные'!CK$1,'свод практик'!$H$6:$H$277,"мун")</f>
        <v>0</v>
      </c>
      <c r="CK220" s="225">
        <f>SUMIFS('свод практик'!$AY$6:$AY$277,'свод практик'!$J$6:$J$277,'свод субъектов ИБ+смежные'!CL$1,'свод практик'!$H$6:$H$277,"мун")</f>
        <v>2.661</v>
      </c>
      <c r="CL220" s="225">
        <f>SUMIFS('свод практик'!$AY$6:$AY$277,'свод практик'!$J$6:$J$277,'свод субъектов ИБ+смежные'!CM$1,'свод практик'!$H$6:$H$277,"мун")</f>
        <v>1.2989999999999999</v>
      </c>
      <c r="CM220" s="225">
        <f>SUMIFS('свод практик'!$AY$6:$AY$277,'свод практик'!$J$6:$J$277,'свод субъектов ИБ+смежные'!CN$1,'свод практик'!$H$6:$H$277,"мун")</f>
        <v>0</v>
      </c>
      <c r="CN220" s="225">
        <f>SUMIFS('свод практик'!$AY$6:$AY$277,'свод практик'!$J$6:$J$277,'свод субъектов ИБ+смежные'!CO$1,'свод практик'!$H$6:$H$277,"мун")</f>
        <v>0</v>
      </c>
      <c r="CO220" s="225">
        <f>SUMIFS('свод практик'!$AY$6:$AY$277,'свод практик'!$J$6:$J$277,'свод субъектов ИБ+смежные'!CP$1,'свод практик'!$H$6:$H$277,"мун")</f>
        <v>7.7443899999999992</v>
      </c>
      <c r="CP220" s="225">
        <f>SUMIFS('свод практик'!$AY$6:$AY$277,'свод практик'!$J$6:$J$277,'свод субъектов ИБ+смежные'!CQ$1,'свод практик'!$H$6:$H$277,"мун")</f>
        <v>0</v>
      </c>
      <c r="CQ220" s="225">
        <f>SUMIFS('свод практик'!$AY$6:$AY$277,'свод практик'!$J$6:$J$277,'свод субъектов ИБ+смежные'!CR$1,'свод практик'!$H$6:$H$277,"мун")</f>
        <v>0</v>
      </c>
      <c r="CR220" s="225">
        <f>SUMIFS('свод практик'!$AY$6:$AY$277,'свод практик'!$J$6:$J$277,'свод субъектов ИБ+смежные'!CS$1,'свод практик'!$H$6:$H$277,"мун")</f>
        <v>1.9019999999999999</v>
      </c>
      <c r="CS220" s="225">
        <f>SUMIFS('свод практик'!$AY$6:$AY$277,'свод практик'!$J$6:$J$277,'свод субъектов ИБ+смежные'!CT$1,'свод практик'!$H$6:$H$277,"мун")</f>
        <v>0</v>
      </c>
      <c r="CT220" s="225">
        <f>SUMIFS('свод практик'!$AY$6:$AY$277,'свод практик'!$J$6:$J$277,'свод субъектов ИБ+смежные'!CU$1,'свод практик'!$H$6:$H$277,"мун")</f>
        <v>2.4593000000000003</v>
      </c>
      <c r="CU220" s="225">
        <f>SUMIFS('свод практик'!$AY$6:$AY$277,'свод практик'!$J$6:$J$277,'свод субъектов ИБ+смежные'!CV$1,'свод практик'!$H$6:$H$277,"мун")</f>
        <v>0</v>
      </c>
      <c r="CV220" s="225">
        <f>SUMIFS('свод практик'!$AY$6:$AY$277,'свод практик'!$J$6:$J$277,'свод субъектов ИБ+смежные'!CW$1,'свод практик'!$H$6:$H$277,"мун")</f>
        <v>0</v>
      </c>
    </row>
    <row r="221" spans="1:100" ht="28">
      <c r="D221" s="36" t="s">
        <v>4949</v>
      </c>
      <c r="E221" s="36">
        <v>31</v>
      </c>
      <c r="F221" s="36" t="s">
        <v>5541</v>
      </c>
      <c r="G221" s="36" t="s">
        <v>5623</v>
      </c>
      <c r="H221" s="36" t="s">
        <v>60</v>
      </c>
      <c r="I221" s="36" t="s">
        <v>5090</v>
      </c>
      <c r="M221" s="36" t="s">
        <v>5497</v>
      </c>
      <c r="N221" s="232">
        <v>0.13841445602423944</v>
      </c>
      <c r="O221" s="233">
        <f>O220/O62</f>
        <v>0.12018979254393447</v>
      </c>
      <c r="P221" s="224" t="e">
        <f t="shared" ref="P221:CA221" si="131">P220/P62</f>
        <v>#DIV/0!</v>
      </c>
      <c r="Q221" s="224" t="e">
        <f t="shared" si="131"/>
        <v>#DIV/0!</v>
      </c>
      <c r="R221" s="224" t="e">
        <f t="shared" si="131"/>
        <v>#DIV/0!</v>
      </c>
      <c r="S221" s="224" t="e">
        <f t="shared" si="131"/>
        <v>#DIV/0!</v>
      </c>
      <c r="T221" s="224">
        <f t="shared" si="131"/>
        <v>0</v>
      </c>
      <c r="U221" s="224">
        <f t="shared" si="131"/>
        <v>4.5333333333333332</v>
      </c>
      <c r="V221" s="224">
        <f t="shared" si="131"/>
        <v>2.1268057784911715E-2</v>
      </c>
      <c r="W221" s="224">
        <f t="shared" si="131"/>
        <v>0</v>
      </c>
      <c r="X221" s="224" t="e">
        <f t="shared" si="131"/>
        <v>#DIV/0!</v>
      </c>
      <c r="Y221" s="224" t="e">
        <f t="shared" si="131"/>
        <v>#DIV/0!</v>
      </c>
      <c r="Z221" s="224" t="e">
        <f t="shared" si="131"/>
        <v>#DIV/0!</v>
      </c>
      <c r="AA221" s="224" t="e">
        <f t="shared" si="131"/>
        <v>#DIV/0!</v>
      </c>
      <c r="AB221" s="224">
        <f t="shared" si="131"/>
        <v>0</v>
      </c>
      <c r="AC221" s="224" t="e">
        <f t="shared" si="131"/>
        <v>#DIV/0!</v>
      </c>
      <c r="AD221" s="224" t="e">
        <f t="shared" si="131"/>
        <v>#DIV/0!</v>
      </c>
      <c r="AE221" s="224" t="e">
        <f t="shared" si="131"/>
        <v>#DIV/0!</v>
      </c>
      <c r="AF221" s="224" t="e">
        <f t="shared" si="131"/>
        <v>#DIV/0!</v>
      </c>
      <c r="AG221" s="224" t="e">
        <f t="shared" si="131"/>
        <v>#DIV/0!</v>
      </c>
      <c r="AH221" s="224" t="e">
        <f t="shared" si="131"/>
        <v>#DIV/0!</v>
      </c>
      <c r="AI221" s="224" t="e">
        <f t="shared" si="131"/>
        <v>#DIV/0!</v>
      </c>
      <c r="AJ221" s="224">
        <f t="shared" si="131"/>
        <v>0</v>
      </c>
      <c r="AK221" s="224" t="e">
        <f t="shared" si="131"/>
        <v>#DIV/0!</v>
      </c>
      <c r="AL221" s="224" t="e">
        <f t="shared" si="131"/>
        <v>#DIV/0!</v>
      </c>
      <c r="AM221" s="224">
        <f t="shared" si="131"/>
        <v>0</v>
      </c>
      <c r="AN221" s="224" t="e">
        <f t="shared" si="131"/>
        <v>#DIV/0!</v>
      </c>
      <c r="AO221" s="224" t="e">
        <f t="shared" si="131"/>
        <v>#DIV/0!</v>
      </c>
      <c r="AP221" s="224" t="e">
        <f t="shared" si="131"/>
        <v>#DIV/0!</v>
      </c>
      <c r="AQ221" s="224" t="e">
        <f t="shared" si="131"/>
        <v>#DIV/0!</v>
      </c>
      <c r="AR221" s="224" t="e">
        <f t="shared" si="131"/>
        <v>#DIV/0!</v>
      </c>
      <c r="AS221" s="224" t="e">
        <f t="shared" si="131"/>
        <v>#DIV/0!</v>
      </c>
      <c r="AT221" s="224" t="e">
        <f t="shared" si="131"/>
        <v>#DIV/0!</v>
      </c>
      <c r="AU221" s="224">
        <f t="shared" si="131"/>
        <v>7.8439062653201299E-3</v>
      </c>
      <c r="AV221" s="224">
        <f t="shared" si="131"/>
        <v>0</v>
      </c>
      <c r="AW221" s="224" t="e">
        <f t="shared" si="131"/>
        <v>#DIV/0!</v>
      </c>
      <c r="AX221" s="224" t="e">
        <f t="shared" si="131"/>
        <v>#DIV/0!</v>
      </c>
      <c r="AY221" s="224" t="e">
        <f t="shared" si="131"/>
        <v>#DIV/0!</v>
      </c>
      <c r="AZ221" s="224">
        <f t="shared" si="131"/>
        <v>0</v>
      </c>
      <c r="BA221" s="224" t="e">
        <f t="shared" si="131"/>
        <v>#DIV/0!</v>
      </c>
      <c r="BB221" s="224" t="e">
        <f t="shared" si="131"/>
        <v>#DIV/0!</v>
      </c>
      <c r="BC221" s="224" t="e">
        <f t="shared" si="131"/>
        <v>#DIV/0!</v>
      </c>
      <c r="BD221" s="224" t="e">
        <f t="shared" si="131"/>
        <v>#DIV/0!</v>
      </c>
      <c r="BE221" s="224" t="e">
        <f t="shared" si="131"/>
        <v>#DIV/0!</v>
      </c>
      <c r="BF221" s="224">
        <f t="shared" si="131"/>
        <v>0</v>
      </c>
      <c r="BG221" s="224" t="e">
        <f t="shared" si="131"/>
        <v>#DIV/0!</v>
      </c>
      <c r="BH221" s="224" t="e">
        <f t="shared" si="131"/>
        <v>#DIV/0!</v>
      </c>
      <c r="BI221" s="224" t="e">
        <f t="shared" si="131"/>
        <v>#DIV/0!</v>
      </c>
      <c r="BJ221" s="224" t="e">
        <f t="shared" si="131"/>
        <v>#DIV/0!</v>
      </c>
      <c r="BK221" s="224" t="e">
        <f t="shared" si="131"/>
        <v>#DIV/0!</v>
      </c>
      <c r="BL221" s="224">
        <f t="shared" si="131"/>
        <v>1.3868186676166726E-2</v>
      </c>
      <c r="BM221" s="224">
        <f t="shared" si="131"/>
        <v>0</v>
      </c>
      <c r="BN221" s="224" t="e">
        <f t="shared" si="131"/>
        <v>#DIV/0!</v>
      </c>
      <c r="BO221" s="224">
        <f t="shared" si="131"/>
        <v>0</v>
      </c>
      <c r="BP221" s="224" t="e">
        <f t="shared" si="131"/>
        <v>#DIV/0!</v>
      </c>
      <c r="BQ221" s="224" t="e">
        <f t="shared" si="131"/>
        <v>#DIV/0!</v>
      </c>
      <c r="BR221" s="224" t="e">
        <f t="shared" si="131"/>
        <v>#DIV/0!</v>
      </c>
      <c r="BS221" s="224">
        <f t="shared" si="131"/>
        <v>0</v>
      </c>
      <c r="BT221" s="224" t="e">
        <f t="shared" si="131"/>
        <v>#DIV/0!</v>
      </c>
      <c r="BU221" s="224">
        <f t="shared" si="131"/>
        <v>0</v>
      </c>
      <c r="BV221" s="224" t="e">
        <f t="shared" si="131"/>
        <v>#DIV/0!</v>
      </c>
      <c r="BW221" s="224" t="e">
        <f t="shared" si="131"/>
        <v>#DIV/0!</v>
      </c>
      <c r="BX221" s="224" t="e">
        <f t="shared" si="131"/>
        <v>#DIV/0!</v>
      </c>
      <c r="BY221" s="224" t="e">
        <f t="shared" si="131"/>
        <v>#DIV/0!</v>
      </c>
      <c r="BZ221" s="224">
        <f t="shared" si="131"/>
        <v>0</v>
      </c>
      <c r="CA221" s="224" t="e">
        <f t="shared" si="131"/>
        <v>#DIV/0!</v>
      </c>
      <c r="CB221" s="224" t="e">
        <f t="shared" ref="CB221:CV221" si="132">CB220/CB62</f>
        <v>#DIV/0!</v>
      </c>
      <c r="CC221" s="224" t="e">
        <f t="shared" si="132"/>
        <v>#DIV/0!</v>
      </c>
      <c r="CD221" s="224">
        <f t="shared" si="132"/>
        <v>0</v>
      </c>
      <c r="CE221" s="224" t="e">
        <f t="shared" si="132"/>
        <v>#DIV/0!</v>
      </c>
      <c r="CF221" s="224" t="e">
        <f t="shared" si="132"/>
        <v>#DIV/0!</v>
      </c>
      <c r="CG221" s="224" t="e">
        <f t="shared" si="132"/>
        <v>#DIV/0!</v>
      </c>
      <c r="CH221" s="224" t="e">
        <f t="shared" si="132"/>
        <v>#DIV/0!</v>
      </c>
      <c r="CI221" s="224" t="e">
        <f t="shared" si="132"/>
        <v>#DIV/0!</v>
      </c>
      <c r="CJ221" s="224" t="e">
        <f t="shared" si="132"/>
        <v>#DIV/0!</v>
      </c>
      <c r="CK221" s="224" t="e">
        <f t="shared" si="132"/>
        <v>#DIV/0!</v>
      </c>
      <c r="CL221" s="224">
        <f t="shared" si="132"/>
        <v>7.9530311490475111E-2</v>
      </c>
      <c r="CM221" s="224">
        <f t="shared" si="132"/>
        <v>0</v>
      </c>
      <c r="CN221" s="224" t="e">
        <f t="shared" si="132"/>
        <v>#DIV/0!</v>
      </c>
      <c r="CO221" s="224" t="e">
        <f t="shared" si="132"/>
        <v>#DIV/0!</v>
      </c>
      <c r="CP221" s="224">
        <f t="shared" si="132"/>
        <v>0</v>
      </c>
      <c r="CQ221" s="224">
        <f t="shared" si="132"/>
        <v>0</v>
      </c>
      <c r="CR221" s="224" t="e">
        <f t="shared" si="132"/>
        <v>#DIV/0!</v>
      </c>
      <c r="CS221" s="224">
        <f t="shared" si="132"/>
        <v>0</v>
      </c>
      <c r="CT221" s="224" t="e">
        <f t="shared" si="132"/>
        <v>#DIV/0!</v>
      </c>
      <c r="CU221" s="224">
        <f t="shared" si="132"/>
        <v>0</v>
      </c>
      <c r="CV221" s="224" t="e">
        <f t="shared" si="132"/>
        <v>#DIV/0!</v>
      </c>
    </row>
    <row r="222" spans="1:100" s="178" customFormat="1" ht="70">
      <c r="A222" s="178" t="s">
        <v>5542</v>
      </c>
      <c r="B222" s="178" t="s">
        <v>4990</v>
      </c>
      <c r="C222" s="178" t="s">
        <v>5100</v>
      </c>
      <c r="D222" s="178" t="s">
        <v>4949</v>
      </c>
      <c r="E222" s="178">
        <v>32</v>
      </c>
      <c r="F222" s="178" t="s">
        <v>5543</v>
      </c>
      <c r="G222" s="225" t="s">
        <v>5626</v>
      </c>
      <c r="H222" s="178" t="s">
        <v>5082</v>
      </c>
      <c r="I222" s="178" t="s">
        <v>4961</v>
      </c>
      <c r="L222" s="178" t="s">
        <v>278</v>
      </c>
      <c r="M222" s="178" t="s">
        <v>5497</v>
      </c>
      <c r="N222" s="333">
        <v>136.98660000000001</v>
      </c>
      <c r="O222" s="334">
        <f>SUM(P222:CV222)</f>
        <v>67.55206475</v>
      </c>
      <c r="P222" s="178">
        <f>SUMIFS('свод практик'!$BC$6:$BC$277,'свод практик'!$J$6:$J$277,'свод субъектов ИБ+смежные'!P$1,'свод практик'!$H$6:$H$277,"мун")</f>
        <v>0</v>
      </c>
      <c r="Q222" s="178">
        <f>SUMIFS('свод практик'!$BC$6:$BC$277,'свод практик'!$J$6:$J$277,'свод субъектов ИБ+смежные'!Q$1,'свод практик'!$H$6:$H$277,"мун")</f>
        <v>0</v>
      </c>
      <c r="R222" s="178">
        <f>SUMIFS('свод практик'!$BC$6:$BC$277,'свод практик'!$J$6:$J$277,'свод субъектов ИБ+смежные'!R$1,'свод практик'!$H$6:$H$277,"мун")</f>
        <v>0</v>
      </c>
      <c r="S222" s="178">
        <f>SUMIFS('свод практик'!$BC$6:$BC$277,'свод практик'!$J$6:$J$277,'свод субъектов ИБ+смежные'!S$1,'свод практик'!$H$6:$H$277,"мун")</f>
        <v>0</v>
      </c>
      <c r="T222" s="178">
        <f>SUMIFS('свод практик'!$BC$6:$BC$277,'свод практик'!$J$6:$J$277,'свод субъектов ИБ+смежные'!T$1,'свод практик'!$H$6:$H$277,"мун")</f>
        <v>0</v>
      </c>
      <c r="U222" s="178">
        <f>SUMIFS('свод практик'!$BC$6:$BC$277,'свод практик'!$J$6:$J$277,'свод субъектов ИБ+смежные'!U$1,'свод практик'!$H$6:$H$277,"мун")</f>
        <v>0</v>
      </c>
      <c r="V222" s="178">
        <f>SUMIFS('свод практик'!$BC$6:$BC$277,'свод практик'!$J$6:$J$277,'свод субъектов ИБ+смежные'!V$1,'свод практик'!$H$6:$H$277,"мун")</f>
        <v>0.97099999999999997</v>
      </c>
      <c r="W222" s="178">
        <f>SUMIFS('свод практик'!$BC$6:$BC$277,'свод практик'!$J$6:$J$277,'свод субъектов ИБ+смежные'!W$1,'свод практик'!$H$6:$H$277,"мун")</f>
        <v>0</v>
      </c>
      <c r="X222" s="178">
        <f>SUMIFS('свод практик'!$BC$6:$BC$277,'свод практик'!$J$6:$J$277,'свод субъектов ИБ+смежные'!X$1,'свод практик'!$H$6:$H$277,"мун")</f>
        <v>0</v>
      </c>
      <c r="Y222" s="178">
        <f>SUMIFS('свод практик'!$BC$6:$BC$277,'свод практик'!$J$6:$J$277,'свод субъектов ИБ+смежные'!Y$1,'свод практик'!$H$6:$H$277,"мун")</f>
        <v>0</v>
      </c>
      <c r="Z222" s="178">
        <f>SUMIFS('свод практик'!$BC$6:$BC$277,'свод практик'!$J$6:$J$277,'свод субъектов ИБ+смежные'!Z$1,'свод практик'!$H$6:$H$277,"мун")</f>
        <v>0</v>
      </c>
      <c r="AA222" s="178">
        <f>SUMIFS('свод практик'!$BC$6:$BC$277,'свод практик'!$J$6:$J$277,'свод субъектов ИБ+смежные'!AA$1,'свод практик'!$H$6:$H$277,"мун")</f>
        <v>0</v>
      </c>
      <c r="AB222" s="178">
        <f>SUMIFS('свод практик'!$BC$6:$BC$277,'свод практик'!$J$6:$J$277,'свод субъектов ИБ+смежные'!AB$1,'свод практик'!$H$6:$H$277,"мун")</f>
        <v>0</v>
      </c>
      <c r="AC222" s="178">
        <f>SUMIFS('свод практик'!$BC$6:$BC$277,'свод практик'!$J$6:$J$277,'свод субъектов ИБ+смежные'!AC$1,'свод практик'!$H$6:$H$277,"мун")</f>
        <v>0</v>
      </c>
      <c r="AD222" s="178">
        <f>SUMIFS('свод практик'!$BC$6:$BC$277,'свод практик'!$J$6:$J$277,'свод субъектов ИБ+смежные'!AD$1,'свод практик'!$H$6:$H$277,"мун")</f>
        <v>0</v>
      </c>
      <c r="AE222" s="178">
        <f>SUMIFS('свод практик'!$BC$6:$BC$277,'свод практик'!$J$6:$J$277,'свод субъектов ИБ+смежные'!AE$1,'свод практик'!$H$6:$H$277,"мун")</f>
        <v>0</v>
      </c>
      <c r="AF222" s="178">
        <f>SUMIFS('свод практик'!$BC$6:$BC$277,'свод практик'!$J$6:$J$277,'свод субъектов ИБ+смежные'!AF$1,'свод практик'!$H$6:$H$277,"мун")</f>
        <v>0</v>
      </c>
      <c r="AG222" s="178">
        <f>SUMIFS('свод практик'!$BC$6:$BC$277,'свод практик'!$J$6:$J$277,'свод субъектов ИБ+смежные'!AG$1,'свод практик'!$H$6:$H$277,"мун")</f>
        <v>0</v>
      </c>
      <c r="AH222" s="178">
        <f>SUMIFS('свод практик'!$BC$6:$BC$277,'свод практик'!$J$6:$J$277,'свод субъектов ИБ+смежные'!AH$1,'свод практик'!$H$6:$H$277,"мун")</f>
        <v>0</v>
      </c>
      <c r="AI222" s="178">
        <f>SUMIFS('свод практик'!$BC$6:$BC$277,'свод практик'!$J$6:$J$277,'свод субъектов ИБ+смежные'!AI$1,'свод практик'!$H$6:$H$277,"мун")</f>
        <v>0</v>
      </c>
      <c r="AJ222" s="178">
        <f>SUMIFS('свод практик'!$BC$6:$BC$277,'свод практик'!$J$6:$J$277,'свод субъектов ИБ+смежные'!AJ$1,'свод практик'!$H$6:$H$277,"мун")</f>
        <v>0</v>
      </c>
      <c r="AK222" s="178">
        <f>SUMIFS('свод практик'!$BC$6:$BC$277,'свод практик'!$J$6:$J$277,'свод субъектов ИБ+смежные'!AK$1,'свод практик'!$H$6:$H$277,"мун")</f>
        <v>0</v>
      </c>
      <c r="AL222" s="178">
        <f>SUMIFS('свод практик'!$BC$6:$BC$277,'свод практик'!$J$6:$J$277,'свод субъектов ИБ+смежные'!AL$1,'свод практик'!$H$6:$H$277,"мун")</f>
        <v>0</v>
      </c>
      <c r="AM222" s="178">
        <f>SUMIFS('свод практик'!$BC$6:$BC$277,'свод практик'!$J$6:$J$277,'свод субъектов ИБ+смежные'!AM$1,'свод практик'!$H$6:$H$277,"мун")</f>
        <v>1.3639647500000001</v>
      </c>
      <c r="AN222" s="178">
        <f>SUMIFS('свод практик'!$BC$6:$BC$277,'свод практик'!$J$6:$J$277,'свод субъектов ИБ+смежные'!AN$1,'свод практик'!$H$6:$H$277,"мун")</f>
        <v>0</v>
      </c>
      <c r="AO222" s="178">
        <f>SUMIFS('свод практик'!$BC$6:$BC$277,'свод практик'!$J$6:$J$277,'свод субъектов ИБ+смежные'!AO$1,'свод практик'!$H$6:$H$277,"мун")</f>
        <v>0</v>
      </c>
      <c r="AP222" s="178">
        <f>SUMIFS('свод практик'!$BC$6:$BC$277,'свод практик'!$J$6:$J$277,'свод субъектов ИБ+смежные'!AP$1,'свод практик'!$H$6:$H$277,"мун")</f>
        <v>0</v>
      </c>
      <c r="AQ222" s="178">
        <f>SUMIFS('свод практик'!$BC$6:$BC$277,'свод практик'!$J$6:$J$277,'свод субъектов ИБ+смежные'!AQ$1,'свод практик'!$H$6:$H$277,"мун")</f>
        <v>0</v>
      </c>
      <c r="AR222" s="178">
        <f>SUMIFS('свод практик'!$BC$6:$BC$277,'свод практик'!$J$6:$J$277,'свод субъектов ИБ+смежные'!AR$1,'свод практик'!$H$6:$H$277,"мун")</f>
        <v>0</v>
      </c>
      <c r="AS222" s="178">
        <f>SUMIFS('свод практик'!$BC$6:$BC$277,'свод практик'!$J$6:$J$277,'свод субъектов ИБ+смежные'!AS$1,'свод практик'!$H$6:$H$277,"мун")</f>
        <v>0</v>
      </c>
      <c r="AT222" s="178">
        <f>SUMIFS('свод практик'!$BC$6:$BC$277,'свод практик'!$J$6:$J$277,'свод субъектов ИБ+смежные'!AT$1,'свод практик'!$H$6:$H$277,"мун")</f>
        <v>0</v>
      </c>
      <c r="AU222" s="178">
        <f>SUMIFS('свод практик'!$BC$6:$BC$277,'свод практик'!$J$6:$J$277,'свод субъектов ИБ+смежные'!AU$1,'свод практик'!$H$6:$H$277,"мун")</f>
        <v>38.436</v>
      </c>
      <c r="AV222" s="178">
        <f>SUMIFS('свод практик'!$BC$6:$BC$277,'свод практик'!$J$6:$J$277,'свод субъектов ИБ+смежные'!AV$1,'свод практик'!$H$6:$H$277,"мун")</f>
        <v>0.91</v>
      </c>
      <c r="AW222" s="178">
        <f>SUMIFS('свод практик'!$BC$6:$BC$277,'свод практик'!$J$6:$J$277,'свод субъектов ИБ+смежные'!AW$1,'свод практик'!$H$6:$H$277,"мун")</f>
        <v>0</v>
      </c>
      <c r="AX222" s="178">
        <f>SUMIFS('свод практик'!$BC$6:$BC$277,'свод практик'!$J$6:$J$277,'свод субъектов ИБ+смежные'!AX$1,'свод практик'!$H$6:$H$277,"мун")</f>
        <v>0</v>
      </c>
      <c r="AY222" s="178">
        <f>SUMIFS('свод практик'!$BC$6:$BC$277,'свод практик'!$J$6:$J$277,'свод субъектов ИБ+смежные'!AY$1,'свод практик'!$H$6:$H$277,"мун")</f>
        <v>0</v>
      </c>
      <c r="AZ222" s="178">
        <f>SUMIFS('свод практик'!$BC$6:$BC$277,'свод практик'!$J$6:$J$277,'свод субъектов ИБ+смежные'!AZ$1,'свод практик'!$H$6:$H$277,"мун")</f>
        <v>0</v>
      </c>
      <c r="BA222" s="178">
        <f>SUMIFS('свод практик'!$BC$6:$BC$277,'свод практик'!$J$6:$J$277,'свод субъектов ИБ+смежные'!BA$1,'свод практик'!$H$6:$H$277,"мун")</f>
        <v>0</v>
      </c>
      <c r="BB222" s="178">
        <f>SUMIFS('свод практик'!$BC$6:$BC$277,'свод практик'!$J$6:$J$277,'свод субъектов ИБ+смежные'!BB$1,'свод практик'!$H$6:$H$277,"мун")</f>
        <v>0</v>
      </c>
      <c r="BC222" s="178">
        <f>SUMIFS('свод практик'!$BC$6:$BC$277,'свод практик'!$J$6:$J$277,'свод субъектов ИБ+смежные'!BC$1,'свод практик'!$H$6:$H$277,"мун")</f>
        <v>0</v>
      </c>
      <c r="BD222" s="178">
        <f>SUMIFS('свод практик'!$BC$6:$BC$277,'свод практик'!$J$6:$J$277,'свод субъектов ИБ+смежные'!BD$1,'свод практик'!$H$6:$H$277,"мун")</f>
        <v>0</v>
      </c>
      <c r="BE222" s="178">
        <f>SUMIFS('свод практик'!$BC$6:$BC$277,'свод практик'!$J$6:$J$277,'свод субъектов ИБ+смежные'!BE$1,'свод практик'!$H$6:$H$277,"мун")</f>
        <v>0</v>
      </c>
      <c r="BF222" s="178">
        <f>SUMIFS('свод практик'!$BC$6:$BC$277,'свод практик'!$J$6:$J$277,'свод субъектов ИБ+смежные'!BF$1,'свод практик'!$H$6:$H$277,"мун")</f>
        <v>0.5</v>
      </c>
      <c r="BG222" s="178">
        <f>SUMIFS('свод практик'!$BC$6:$BC$277,'свод практик'!$J$6:$J$277,'свод субъектов ИБ+смежные'!BG$1,'свод практик'!$H$6:$H$277,"мун")</f>
        <v>0</v>
      </c>
      <c r="BH222" s="178">
        <f>SUMIFS('свод практик'!$BC$6:$BC$277,'свод практик'!$J$6:$J$277,'свод субъектов ИБ+смежные'!BH$1,'свод практик'!$H$6:$H$277,"мун")</f>
        <v>0</v>
      </c>
      <c r="BI222" s="178">
        <f>SUMIFS('свод практик'!$BC$6:$BC$277,'свод практик'!$J$6:$J$277,'свод субъектов ИБ+смежные'!BI$1,'свод практик'!$H$6:$H$277,"мун")</f>
        <v>0</v>
      </c>
      <c r="BJ222" s="178">
        <f>SUMIFS('свод практик'!$BC$6:$BC$277,'свод практик'!$J$6:$J$277,'свод субъектов ИБ+смежные'!BJ$1,'свод практик'!$H$6:$H$277,"мун")</f>
        <v>0</v>
      </c>
      <c r="BK222" s="178">
        <f>SUMIFS('свод практик'!$BC$6:$BC$277,'свод практик'!$J$6:$J$277,'свод субъектов ИБ+смежные'!BK$1,'свод практик'!$H$6:$H$277,"мун")</f>
        <v>0</v>
      </c>
      <c r="BL222" s="178">
        <f>SUMIFS('свод практик'!$BC$6:$BC$277,'свод практик'!$J$6:$J$277,'свод субъектов ИБ+смежные'!BL$1,'свод практик'!$H$6:$H$277,"мун")</f>
        <v>0</v>
      </c>
      <c r="BM222" s="178">
        <f>SUMIFS('свод практик'!$BC$6:$BC$277,'свод практик'!$J$6:$J$277,'свод субъектов ИБ+смежные'!BM$1,'свод практик'!$H$6:$H$277,"мун")</f>
        <v>0.55010000000000003</v>
      </c>
      <c r="BN222" s="178">
        <f>SUMIFS('свод практик'!$BC$6:$BC$277,'свод практик'!$J$6:$J$277,'свод субъектов ИБ+смежные'!BN$1,'свод практик'!$H$6:$H$277,"мун")</f>
        <v>0</v>
      </c>
      <c r="BO222" s="178">
        <f>SUMIFS('свод практик'!$BC$6:$BC$277,'свод практик'!$J$6:$J$277,'свод субъектов ИБ+смежные'!BO$1,'свод практик'!$H$6:$H$277,"мун")</f>
        <v>0</v>
      </c>
      <c r="BP222" s="178">
        <f>SUMIFS('свод практик'!$BC$6:$BC$277,'свод практик'!$J$6:$J$277,'свод субъектов ИБ+смежные'!BP$1,'свод практик'!$H$6:$H$277,"мун")</f>
        <v>0</v>
      </c>
      <c r="BQ222" s="178">
        <f>SUMIFS('свод практик'!$BC$6:$BC$277,'свод практик'!$J$6:$J$277,'свод субъектов ИБ+смежные'!BQ$1,'свод практик'!$H$6:$H$277,"мун")</f>
        <v>0</v>
      </c>
      <c r="BR222" s="178">
        <f>SUMIFS('свод практик'!$BC$6:$BC$277,'свод практик'!$J$6:$J$277,'свод субъектов ИБ+смежные'!BR$1,'свод практик'!$H$6:$H$277,"мун")</f>
        <v>0</v>
      </c>
      <c r="BS222" s="178">
        <f>SUMIFS('свод практик'!$BC$6:$BC$277,'свод практик'!$J$6:$J$277,'свод субъектов ИБ+смежные'!BS$1,'свод практик'!$H$6:$H$277,"мун")</f>
        <v>3.2679999999999998</v>
      </c>
      <c r="BT222" s="178">
        <f>SUMIFS('свод практик'!$BC$6:$BC$277,'свод практик'!$J$6:$J$277,'свод субъектов ИБ+смежные'!BT$1,'свод практик'!$H$6:$H$277,"мун")</f>
        <v>0</v>
      </c>
      <c r="BU222" s="178">
        <f>SUMIFS('свод практик'!$BC$6:$BC$277,'свод практик'!$J$6:$J$277,'свод субъектов ИБ+смежные'!BU$1,'свод практик'!$H$6:$H$277,"мун")</f>
        <v>7.2999999999999995E-2</v>
      </c>
      <c r="BV222" s="178">
        <f>SUMIFS('свод практик'!$BC$6:$BC$277,'свод практик'!$J$6:$J$277,'свод субъектов ИБ+смежные'!BV$1,'свод практик'!$H$6:$H$277,"мун")</f>
        <v>0</v>
      </c>
      <c r="BW222" s="178">
        <f>SUMIFS('свод практик'!$BC$6:$BC$277,'свод практик'!$J$6:$J$277,'свод субъектов ИБ+смежные'!BW$1,'свод практик'!$H$6:$H$277,"мун")</f>
        <v>0</v>
      </c>
      <c r="BX222" s="178">
        <f>SUMIFS('свод практик'!$BC$6:$BC$277,'свод практик'!$J$6:$J$277,'свод субъектов ИБ+смежные'!BX$1,'свод практик'!$H$6:$H$277,"мун")</f>
        <v>0</v>
      </c>
      <c r="BY222" s="178">
        <f>SUMIFS('свод практик'!$BC$6:$BC$277,'свод практик'!$J$6:$J$277,'свод субъектов ИБ+смежные'!BY$1,'свод практик'!$H$6:$H$277,"мун")</f>
        <v>0</v>
      </c>
      <c r="BZ222" s="178">
        <f>SUMIFS('свод практик'!$BC$6:$BC$277,'свод практик'!$J$6:$J$277,'свод субъектов ИБ+смежные'!BZ$1,'свод практик'!$H$6:$H$277,"мун")</f>
        <v>8.0684999999999985</v>
      </c>
      <c r="CA222" s="178">
        <f>SUMIFS('свод практик'!$BC$6:$BC$277,'свод практик'!$J$6:$J$277,'свод субъектов ИБ+смежные'!CA$1,'свод практик'!$H$6:$H$277,"мун")</f>
        <v>0</v>
      </c>
      <c r="CB222" s="178">
        <f>SUMIFS('свод практик'!$BC$6:$BC$277,'свод практик'!$J$6:$J$277,'свод субъектов ИБ+смежные'!CB$1,'свод практик'!$H$6:$H$277,"мун")</f>
        <v>0</v>
      </c>
      <c r="CC222" s="178">
        <f>SUMIFS('свод практик'!$BC$6:$BC$277,'свод практик'!$J$6:$J$277,'свод субъектов ИБ+смежные'!CC$1,'свод практик'!$H$6:$H$277,"мун")</f>
        <v>0</v>
      </c>
      <c r="CD222" s="178">
        <f>SUMIFS('свод практик'!$BC$6:$BC$277,'свод практик'!$J$6:$J$277,'свод субъектов ИБ+смежные'!CD$1,'свод практик'!$H$6:$H$277,"мун")</f>
        <v>0.94</v>
      </c>
      <c r="CE222" s="178">
        <f>SUMIFS('свод практик'!$BC$6:$BC$277,'свод практик'!$J$6:$J$277,'свод субъектов ИБ+смежные'!CE$1,'свод практик'!$H$6:$H$277,"мун")</f>
        <v>0</v>
      </c>
      <c r="CF222" s="178">
        <f>SUMIFS('свод практик'!$BC$6:$BC$277,'свод практик'!$J$6:$J$277,'свод субъектов ИБ+смежные'!CF$1,'свод практик'!$H$6:$H$277,"мун")</f>
        <v>0</v>
      </c>
      <c r="CG222" s="178">
        <f>SUMIFS('свод практик'!$BC$6:$BC$277,'свод практик'!$J$6:$J$277,'свод субъектов ИБ+смежные'!CG$1,'свод практик'!$H$6:$H$277,"мун")</f>
        <v>0</v>
      </c>
      <c r="CH222" s="178">
        <f>SUMIFS('свод практик'!$BC$6:$BC$277,'свод практик'!$J$6:$J$277,'свод субъектов ИБ+смежные'!CH$1,'свод практик'!$H$6:$H$277,"мун")</f>
        <v>0</v>
      </c>
      <c r="CI222" s="178">
        <f>SUMIFS('свод практик'!$BC$6:$BC$277,'свод практик'!$J$6:$J$277,'свод субъектов ИБ+смежные'!CI$1,'свод практик'!$H$6:$H$277,"мун")</f>
        <v>0</v>
      </c>
      <c r="CJ222" s="178">
        <f>SUMIFS('свод практик'!$BC$6:$BC$277,'свод практик'!$J$6:$J$277,'свод субъектов ИБ+смежные'!CJ$1,'свод практик'!$H$6:$H$277,"мун")</f>
        <v>0</v>
      </c>
      <c r="CK222" s="178">
        <f>SUMIFS('свод практик'!$BC$6:$BC$277,'свод практик'!$J$6:$J$277,'свод субъектов ИБ+смежные'!CK$1,'свод практик'!$H$6:$H$277,"мун")</f>
        <v>0</v>
      </c>
      <c r="CL222" s="178">
        <f>SUMIFS('свод практик'!$BC$6:$BC$277,'свод практик'!$J$6:$J$277,'свод субъектов ИБ+смежные'!CL$1,'свод практик'!$H$6:$H$277,"мун")</f>
        <v>2.2949999999999999</v>
      </c>
      <c r="CM222" s="178">
        <f>SUMIFS('свод практик'!$BC$6:$BC$277,'свод практик'!$J$6:$J$277,'свод субъектов ИБ+смежные'!CM$1,'свод практик'!$H$6:$H$277,"мун")</f>
        <v>0</v>
      </c>
      <c r="CN222" s="178">
        <f>SUMIFS('свод практик'!$BC$6:$BC$277,'свод практик'!$J$6:$J$277,'свод субъектов ИБ+смежные'!CN$1,'свод практик'!$H$6:$H$277,"мун")</f>
        <v>0</v>
      </c>
      <c r="CO222" s="178">
        <f>SUMIFS('свод практик'!$BC$6:$BC$277,'свод практик'!$J$6:$J$277,'свод субъектов ИБ+смежные'!CO$1,'свод практик'!$H$6:$H$277,"мун")</f>
        <v>0</v>
      </c>
      <c r="CP222" s="178">
        <f>SUMIFS('свод практик'!$BC$6:$BC$277,'свод практик'!$J$6:$J$277,'свод субъектов ИБ+смежные'!CP$1,'свод практик'!$H$6:$H$277,"мун")</f>
        <v>4.9684999999999997</v>
      </c>
      <c r="CQ222" s="178">
        <f>SUMIFS('свод практик'!$BC$6:$BC$277,'свод практик'!$J$6:$J$277,'свод субъектов ИБ+смежные'!CQ$1,'свод практик'!$H$6:$H$277,"мун")</f>
        <v>0</v>
      </c>
      <c r="CR222" s="178">
        <f>SUMIFS('свод практик'!$BC$6:$BC$277,'свод практик'!$J$6:$J$277,'свод субъектов ИБ+смежные'!CR$1,'свод практик'!$H$6:$H$277,"мун")</f>
        <v>0</v>
      </c>
      <c r="CS222" s="178">
        <f>SUMIFS('свод практик'!$BC$6:$BC$277,'свод практик'!$J$6:$J$277,'свод субъектов ИБ+смежные'!CS$1,'свод практик'!$H$6:$H$277,"мун")</f>
        <v>0</v>
      </c>
      <c r="CT222" s="178">
        <f>SUMIFS('свод практик'!$BC$6:$BC$277,'свод практик'!$J$6:$J$277,'свод субъектов ИБ+смежные'!CT$1,'свод практик'!$H$6:$H$277,"мун")</f>
        <v>0</v>
      </c>
      <c r="CU222" s="178">
        <f>SUMIFS('свод практик'!$BC$6:$BC$277,'свод практик'!$J$6:$J$277,'свод субъектов ИБ+смежные'!CU$1,'свод практик'!$H$6:$H$277,"мун")</f>
        <v>5.2079999999999993</v>
      </c>
      <c r="CV222" s="178">
        <f>SUMIFS('свод практик'!$BC$6:$BC$277,'свод практик'!$J$6:$J$277,'свод субъектов ИБ+смежные'!CV$1,'свод практик'!$H$6:$H$277,"мун")</f>
        <v>0</v>
      </c>
    </row>
    <row r="223" spans="1:100" ht="28">
      <c r="D223" s="36" t="s">
        <v>4949</v>
      </c>
      <c r="E223" s="36">
        <v>33</v>
      </c>
      <c r="F223" s="36" t="s">
        <v>5545</v>
      </c>
      <c r="G223" s="36" t="s">
        <v>5623</v>
      </c>
      <c r="H223" s="36" t="s">
        <v>60</v>
      </c>
      <c r="I223" s="36" t="s">
        <v>5090</v>
      </c>
      <c r="M223" s="36" t="s">
        <v>5497</v>
      </c>
      <c r="N223" s="232">
        <v>0.18364644092568472</v>
      </c>
      <c r="O223" s="233">
        <f>O222/O62</f>
        <v>7.231550124465079E-2</v>
      </c>
      <c r="P223" s="224" t="e">
        <f t="shared" ref="P223:CA223" si="133">P222/P62</f>
        <v>#DIV/0!</v>
      </c>
      <c r="Q223" s="224" t="e">
        <f t="shared" si="133"/>
        <v>#DIV/0!</v>
      </c>
      <c r="R223" s="224" t="e">
        <f t="shared" si="133"/>
        <v>#DIV/0!</v>
      </c>
      <c r="S223" s="224" t="e">
        <f t="shared" si="133"/>
        <v>#DIV/0!</v>
      </c>
      <c r="T223" s="224">
        <f t="shared" si="133"/>
        <v>0</v>
      </c>
      <c r="U223" s="224">
        <f t="shared" si="133"/>
        <v>0</v>
      </c>
      <c r="V223" s="224">
        <f t="shared" si="133"/>
        <v>9.7411717495987163E-2</v>
      </c>
      <c r="W223" s="224">
        <f t="shared" si="133"/>
        <v>0</v>
      </c>
      <c r="X223" s="224" t="e">
        <f t="shared" si="133"/>
        <v>#DIV/0!</v>
      </c>
      <c r="Y223" s="224" t="e">
        <f t="shared" si="133"/>
        <v>#DIV/0!</v>
      </c>
      <c r="Z223" s="224" t="e">
        <f t="shared" si="133"/>
        <v>#DIV/0!</v>
      </c>
      <c r="AA223" s="224" t="e">
        <f t="shared" si="133"/>
        <v>#DIV/0!</v>
      </c>
      <c r="AB223" s="224">
        <f t="shared" si="133"/>
        <v>0</v>
      </c>
      <c r="AC223" s="224" t="e">
        <f t="shared" si="133"/>
        <v>#DIV/0!</v>
      </c>
      <c r="AD223" s="224" t="e">
        <f t="shared" si="133"/>
        <v>#DIV/0!</v>
      </c>
      <c r="AE223" s="224" t="e">
        <f t="shared" si="133"/>
        <v>#DIV/0!</v>
      </c>
      <c r="AF223" s="224" t="e">
        <f t="shared" si="133"/>
        <v>#DIV/0!</v>
      </c>
      <c r="AG223" s="224" t="e">
        <f t="shared" si="133"/>
        <v>#DIV/0!</v>
      </c>
      <c r="AH223" s="224" t="e">
        <f t="shared" si="133"/>
        <v>#DIV/0!</v>
      </c>
      <c r="AI223" s="224" t="e">
        <f t="shared" si="133"/>
        <v>#DIV/0!</v>
      </c>
      <c r="AJ223" s="224">
        <f t="shared" si="133"/>
        <v>0</v>
      </c>
      <c r="AK223" s="224" t="e">
        <f t="shared" si="133"/>
        <v>#DIV/0!</v>
      </c>
      <c r="AL223" s="224" t="e">
        <f t="shared" si="133"/>
        <v>#DIV/0!</v>
      </c>
      <c r="AM223" s="224">
        <f t="shared" si="133"/>
        <v>5.0520847563716678E-2</v>
      </c>
      <c r="AN223" s="224" t="e">
        <f t="shared" si="133"/>
        <v>#DIV/0!</v>
      </c>
      <c r="AO223" s="224" t="e">
        <f t="shared" si="133"/>
        <v>#DIV/0!</v>
      </c>
      <c r="AP223" s="224" t="e">
        <f t="shared" si="133"/>
        <v>#DIV/0!</v>
      </c>
      <c r="AQ223" s="224" t="e">
        <f t="shared" si="133"/>
        <v>#DIV/0!</v>
      </c>
      <c r="AR223" s="224" t="e">
        <f t="shared" si="133"/>
        <v>#DIV/0!</v>
      </c>
      <c r="AS223" s="224" t="e">
        <f t="shared" si="133"/>
        <v>#DIV/0!</v>
      </c>
      <c r="AT223" s="224" t="e">
        <f t="shared" si="133"/>
        <v>#DIV/0!</v>
      </c>
      <c r="AU223" s="224">
        <f t="shared" si="133"/>
        <v>0.53837210931043655</v>
      </c>
      <c r="AV223" s="224">
        <f t="shared" si="133"/>
        <v>2.6772580170638421E-2</v>
      </c>
      <c r="AW223" s="224" t="e">
        <f t="shared" si="133"/>
        <v>#DIV/0!</v>
      </c>
      <c r="AX223" s="224" t="e">
        <f t="shared" si="133"/>
        <v>#DIV/0!</v>
      </c>
      <c r="AY223" s="224" t="e">
        <f t="shared" si="133"/>
        <v>#DIV/0!</v>
      </c>
      <c r="AZ223" s="224">
        <f t="shared" si="133"/>
        <v>0</v>
      </c>
      <c r="BA223" s="224" t="e">
        <f t="shared" si="133"/>
        <v>#DIV/0!</v>
      </c>
      <c r="BB223" s="224" t="e">
        <f t="shared" si="133"/>
        <v>#DIV/0!</v>
      </c>
      <c r="BC223" s="224" t="e">
        <f t="shared" si="133"/>
        <v>#DIV/0!</v>
      </c>
      <c r="BD223" s="224" t="e">
        <f t="shared" si="133"/>
        <v>#DIV/0!</v>
      </c>
      <c r="BE223" s="224" t="e">
        <f t="shared" si="133"/>
        <v>#DIV/0!</v>
      </c>
      <c r="BF223" s="224">
        <f t="shared" si="133"/>
        <v>6.3211125158027806E-2</v>
      </c>
      <c r="BG223" s="224" t="e">
        <f t="shared" si="133"/>
        <v>#DIV/0!</v>
      </c>
      <c r="BH223" s="224" t="e">
        <f t="shared" si="133"/>
        <v>#DIV/0!</v>
      </c>
      <c r="BI223" s="224" t="e">
        <f t="shared" si="133"/>
        <v>#DIV/0!</v>
      </c>
      <c r="BJ223" s="224" t="e">
        <f t="shared" si="133"/>
        <v>#DIV/0!</v>
      </c>
      <c r="BK223" s="224" t="e">
        <f t="shared" si="133"/>
        <v>#DIV/0!</v>
      </c>
      <c r="BL223" s="224">
        <f t="shared" si="133"/>
        <v>0</v>
      </c>
      <c r="BM223" s="224">
        <f t="shared" si="133"/>
        <v>4.0589099012019569E-2</v>
      </c>
      <c r="BN223" s="224" t="e">
        <f t="shared" si="133"/>
        <v>#DIV/0!</v>
      </c>
      <c r="BO223" s="224">
        <f t="shared" si="133"/>
        <v>0</v>
      </c>
      <c r="BP223" s="224" t="e">
        <f t="shared" si="133"/>
        <v>#DIV/0!</v>
      </c>
      <c r="BQ223" s="224" t="e">
        <f t="shared" si="133"/>
        <v>#DIV/0!</v>
      </c>
      <c r="BR223" s="224" t="e">
        <f t="shared" si="133"/>
        <v>#DIV/0!</v>
      </c>
      <c r="BS223" s="224">
        <f t="shared" si="133"/>
        <v>0.28464419475655428</v>
      </c>
      <c r="BT223" s="224" t="e">
        <f t="shared" si="133"/>
        <v>#DIV/0!</v>
      </c>
      <c r="BU223" s="224">
        <f t="shared" si="133"/>
        <v>1.6035314595299411E-3</v>
      </c>
      <c r="BV223" s="224" t="e">
        <f t="shared" si="133"/>
        <v>#DIV/0!</v>
      </c>
      <c r="BW223" s="224" t="e">
        <f t="shared" si="133"/>
        <v>#DIV/0!</v>
      </c>
      <c r="BX223" s="224" t="e">
        <f t="shared" si="133"/>
        <v>#DIV/0!</v>
      </c>
      <c r="BY223" s="224" t="e">
        <f t="shared" si="133"/>
        <v>#DIV/0!</v>
      </c>
      <c r="BZ223" s="224">
        <f t="shared" si="133"/>
        <v>0.10628474326211237</v>
      </c>
      <c r="CA223" s="224" t="e">
        <f t="shared" si="133"/>
        <v>#DIV/0!</v>
      </c>
      <c r="CB223" s="224" t="e">
        <f t="shared" ref="CB223:CV223" si="134">CB222/CB62</f>
        <v>#DIV/0!</v>
      </c>
      <c r="CC223" s="224" t="e">
        <f t="shared" si="134"/>
        <v>#DIV/0!</v>
      </c>
      <c r="CD223" s="224">
        <f t="shared" si="134"/>
        <v>0.25995575221238937</v>
      </c>
      <c r="CE223" s="224" t="e">
        <f t="shared" si="134"/>
        <v>#DIV/0!</v>
      </c>
      <c r="CF223" s="224" t="e">
        <f t="shared" si="134"/>
        <v>#DIV/0!</v>
      </c>
      <c r="CG223" s="224" t="e">
        <f t="shared" si="134"/>
        <v>#DIV/0!</v>
      </c>
      <c r="CH223" s="224" t="e">
        <f t="shared" si="134"/>
        <v>#DIV/0!</v>
      </c>
      <c r="CI223" s="224" t="e">
        <f t="shared" si="134"/>
        <v>#DIV/0!</v>
      </c>
      <c r="CJ223" s="224" t="e">
        <f t="shared" si="134"/>
        <v>#DIV/0!</v>
      </c>
      <c r="CK223" s="224" t="e">
        <f t="shared" si="134"/>
        <v>#DIV/0!</v>
      </c>
      <c r="CL223" s="224">
        <f t="shared" si="134"/>
        <v>0.1405096727256662</v>
      </c>
      <c r="CM223" s="224">
        <f t="shared" si="134"/>
        <v>0</v>
      </c>
      <c r="CN223" s="224" t="e">
        <f t="shared" si="134"/>
        <v>#DIV/0!</v>
      </c>
      <c r="CO223" s="224" t="e">
        <f t="shared" si="134"/>
        <v>#DIV/0!</v>
      </c>
      <c r="CP223" s="224">
        <f t="shared" si="134"/>
        <v>2.9205786819799184E-2</v>
      </c>
      <c r="CQ223" s="224">
        <f t="shared" si="134"/>
        <v>0</v>
      </c>
      <c r="CR223" s="224" t="e">
        <f t="shared" si="134"/>
        <v>#DIV/0!</v>
      </c>
      <c r="CS223" s="224">
        <f t="shared" si="134"/>
        <v>0</v>
      </c>
      <c r="CT223" s="224" t="e">
        <f t="shared" si="134"/>
        <v>#DIV/0!</v>
      </c>
      <c r="CU223" s="224">
        <f t="shared" si="134"/>
        <v>6.944370366419543E-2</v>
      </c>
      <c r="CV223" s="224" t="e">
        <f t="shared" si="134"/>
        <v>#DIV/0!</v>
      </c>
    </row>
    <row r="224" spans="1:100" s="178" customFormat="1" ht="70">
      <c r="A224" s="178" t="s">
        <v>5546</v>
      </c>
      <c r="B224" s="178" t="s">
        <v>4990</v>
      </c>
      <c r="C224" s="178" t="s">
        <v>5104</v>
      </c>
      <c r="D224" s="178" t="s">
        <v>4949</v>
      </c>
      <c r="E224" s="178">
        <v>34</v>
      </c>
      <c r="F224" s="178" t="s">
        <v>5547</v>
      </c>
      <c r="G224" s="225" t="s">
        <v>5627</v>
      </c>
      <c r="H224" s="178" t="s">
        <v>5082</v>
      </c>
      <c r="I224" s="178" t="s">
        <v>4961</v>
      </c>
      <c r="L224" s="178" t="s">
        <v>278</v>
      </c>
      <c r="M224" s="178" t="s">
        <v>5497</v>
      </c>
      <c r="N224" s="333">
        <v>27.043999999999997</v>
      </c>
      <c r="O224" s="334">
        <f>SUM(P224:CV224)</f>
        <v>20.450519999999997</v>
      </c>
      <c r="P224" s="178">
        <f>SUMIFS('свод практик'!$BN$6:$BN$277,'свод практик'!$J$6:$J$277,'свод субъектов ИБ+смежные'!P$1,'свод практик'!$H$6:$H$277,"мун")</f>
        <v>0</v>
      </c>
      <c r="Q224" s="178">
        <f>SUMIFS('свод практик'!$BN$6:$BN$277,'свод практик'!$J$6:$J$277,'свод субъектов ИБ+смежные'!Q$1,'свод практик'!$H$6:$H$277,"мун")</f>
        <v>0</v>
      </c>
      <c r="R224" s="178">
        <f>SUMIFS('свод практик'!$BN$6:$BN$277,'свод практик'!$J$6:$J$277,'свод субъектов ИБ+смежные'!R$1,'свод практик'!$H$6:$H$277,"мун")</f>
        <v>0</v>
      </c>
      <c r="S224" s="178">
        <f>SUMIFS('свод практик'!$BN$6:$BN$277,'свод практик'!$J$6:$J$277,'свод субъектов ИБ+смежные'!S$1,'свод практик'!$H$6:$H$277,"мун")</f>
        <v>0</v>
      </c>
      <c r="T224" s="178">
        <f>SUMIFS('свод практик'!$BN$6:$BN$277,'свод практик'!$J$6:$J$277,'свод субъектов ИБ+смежные'!T$1,'свод практик'!$H$6:$H$277,"мун")</f>
        <v>0</v>
      </c>
      <c r="U224" s="178">
        <f>SUMIFS('свод практик'!$BN$6:$BN$277,'свод практик'!$J$6:$J$277,'свод субъектов ИБ+смежные'!U$1,'свод практик'!$H$6:$H$277,"мун")</f>
        <v>0</v>
      </c>
      <c r="V224" s="178">
        <f>SUMIFS('свод практик'!$BN$6:$BN$277,'свод практик'!$J$6:$J$277,'свод субъектов ИБ+смежные'!V$1,'свод практик'!$H$6:$H$277,"мун")</f>
        <v>0</v>
      </c>
      <c r="W224" s="178">
        <f>SUMIFS('свод практик'!$BN$6:$BN$277,'свод практик'!$J$6:$J$277,'свод субъектов ИБ+смежные'!W$1,'свод практик'!$H$6:$H$277,"мун")</f>
        <v>0</v>
      </c>
      <c r="X224" s="178">
        <f>SUMIFS('свод практик'!$BN$6:$BN$277,'свод практик'!$J$6:$J$277,'свод субъектов ИБ+смежные'!X$1,'свод практик'!$H$6:$H$277,"мун")</f>
        <v>0</v>
      </c>
      <c r="Y224" s="178">
        <f>SUMIFS('свод практик'!$BN$6:$BN$277,'свод практик'!$J$6:$J$277,'свод субъектов ИБ+смежные'!Y$1,'свод практик'!$H$6:$H$277,"мун")</f>
        <v>0</v>
      </c>
      <c r="Z224" s="178">
        <f>SUMIFS('свод практик'!$BN$6:$BN$277,'свод практик'!$J$6:$J$277,'свод субъектов ИБ+смежные'!Z$1,'свод практик'!$H$6:$H$277,"мун")</f>
        <v>0</v>
      </c>
      <c r="AA224" s="178">
        <f>SUMIFS('свод практик'!$BN$6:$BN$277,'свод практик'!$J$6:$J$277,'свод субъектов ИБ+смежные'!AA$1,'свод практик'!$H$6:$H$277,"мун")</f>
        <v>0</v>
      </c>
      <c r="AB224" s="178">
        <f>SUMIFS('свод практик'!$BN$6:$BN$277,'свод практик'!$J$6:$J$277,'свод субъектов ИБ+смежные'!AB$1,'свод практик'!$H$6:$H$277,"мун")</f>
        <v>0</v>
      </c>
      <c r="AC224" s="178">
        <f>SUMIFS('свод практик'!$BN$6:$BN$277,'свод практик'!$J$6:$J$277,'свод субъектов ИБ+смежные'!AC$1,'свод практик'!$H$6:$H$277,"мун")</f>
        <v>0</v>
      </c>
      <c r="AD224" s="178">
        <f>SUMIFS('свод практик'!$BN$6:$BN$277,'свод практик'!$J$6:$J$277,'свод субъектов ИБ+смежные'!AD$1,'свод практик'!$H$6:$H$277,"мун")</f>
        <v>0</v>
      </c>
      <c r="AE224" s="178">
        <f>SUMIFS('свод практик'!$BN$6:$BN$277,'свод практик'!$J$6:$J$277,'свод субъектов ИБ+смежные'!AE$1,'свод практик'!$H$6:$H$277,"мун")</f>
        <v>0</v>
      </c>
      <c r="AF224" s="178">
        <f>SUMIFS('свод практик'!$BN$6:$BN$277,'свод практик'!$J$6:$J$277,'свод субъектов ИБ+смежные'!AF$1,'свод практик'!$H$6:$H$277,"мун")</f>
        <v>0</v>
      </c>
      <c r="AG224" s="178">
        <f>SUMIFS('свод практик'!$BN$6:$BN$277,'свод практик'!$J$6:$J$277,'свод субъектов ИБ+смежные'!AG$1,'свод практик'!$H$6:$H$277,"мун")</f>
        <v>0</v>
      </c>
      <c r="AH224" s="178">
        <f>SUMIFS('свод практик'!$BN$6:$BN$277,'свод практик'!$J$6:$J$277,'свод субъектов ИБ+смежные'!AH$1,'свод практик'!$H$6:$H$277,"мун")</f>
        <v>0</v>
      </c>
      <c r="AI224" s="178">
        <f>SUMIFS('свод практик'!$BN$6:$BN$277,'свод практик'!$J$6:$J$277,'свод субъектов ИБ+смежные'!AI$1,'свод практик'!$H$6:$H$277,"мун")</f>
        <v>0</v>
      </c>
      <c r="AJ224" s="178">
        <f>SUMIFS('свод практик'!$BN$6:$BN$277,'свод практик'!$J$6:$J$277,'свод субъектов ИБ+смежные'!AJ$1,'свод практик'!$H$6:$H$277,"мун")</f>
        <v>0</v>
      </c>
      <c r="AK224" s="178">
        <f>SUMIFS('свод практик'!$BN$6:$BN$277,'свод практик'!$J$6:$J$277,'свод субъектов ИБ+смежные'!AK$1,'свод практик'!$H$6:$H$277,"мун")</f>
        <v>0</v>
      </c>
      <c r="AL224" s="178">
        <f>SUMIFS('свод практик'!$BN$6:$BN$277,'свод практик'!$J$6:$J$277,'свод субъектов ИБ+смежные'!AL$1,'свод практик'!$H$6:$H$277,"мун")</f>
        <v>0</v>
      </c>
      <c r="AM224" s="178">
        <f>SUMIFS('свод практик'!$BN$6:$BN$277,'свод практик'!$J$6:$J$277,'свод субъектов ИБ+смежные'!AM$1,'свод практик'!$H$6:$H$277,"мун")</f>
        <v>0</v>
      </c>
      <c r="AN224" s="178">
        <f>SUMIFS('свод практик'!$BN$6:$BN$277,'свод практик'!$J$6:$J$277,'свод субъектов ИБ+смежные'!AN$1,'свод практик'!$H$6:$H$277,"мун")</f>
        <v>0</v>
      </c>
      <c r="AO224" s="178">
        <f>SUMIFS('свод практик'!$BN$6:$BN$277,'свод практик'!$J$6:$J$277,'свод субъектов ИБ+смежные'!AO$1,'свод практик'!$H$6:$H$277,"мун")</f>
        <v>0</v>
      </c>
      <c r="AP224" s="178">
        <f>SUMIFS('свод практик'!$BN$6:$BN$277,'свод практик'!$J$6:$J$277,'свод субъектов ИБ+смежные'!AP$1,'свод практик'!$H$6:$H$277,"мун")</f>
        <v>0</v>
      </c>
      <c r="AQ224" s="178">
        <f>SUMIFS('свод практик'!$BN$6:$BN$277,'свод практик'!$J$6:$J$277,'свод субъектов ИБ+смежные'!AQ$1,'свод практик'!$H$6:$H$277,"мун")</f>
        <v>0</v>
      </c>
      <c r="AR224" s="178">
        <f>SUMIFS('свод практик'!$BN$6:$BN$277,'свод практик'!$J$6:$J$277,'свод субъектов ИБ+смежные'!AR$1,'свод практик'!$H$6:$H$277,"мун")</f>
        <v>0</v>
      </c>
      <c r="AS224" s="178">
        <f>SUMIFS('свод практик'!$BN$6:$BN$277,'свод практик'!$J$6:$J$277,'свод субъектов ИБ+смежные'!AS$1,'свод практик'!$H$6:$H$277,"мун")</f>
        <v>0</v>
      </c>
      <c r="AT224" s="178">
        <f>SUMIFS('свод практик'!$BN$6:$BN$277,'свод практик'!$J$6:$J$277,'свод субъектов ИБ+смежные'!AT$1,'свод практик'!$H$6:$H$277,"мун")</f>
        <v>0</v>
      </c>
      <c r="AU224" s="178">
        <f>SUMIFS('свод практик'!$BN$6:$BN$277,'свод практик'!$J$6:$J$277,'свод субъектов ИБ+смежные'!AU$1,'свод практик'!$H$6:$H$277,"мун")</f>
        <v>0</v>
      </c>
      <c r="AV224" s="178">
        <f>SUMIFS('свод практик'!$BN$6:$BN$277,'свод практик'!$J$6:$J$277,'свод субъектов ИБ+смежные'!AV$1,'свод практик'!$H$6:$H$277,"мун")</f>
        <v>0</v>
      </c>
      <c r="AW224" s="178">
        <f>SUMIFS('свод практик'!$BN$6:$BN$277,'свод практик'!$J$6:$J$277,'свод субъектов ИБ+смежные'!AW$1,'свод практик'!$H$6:$H$277,"мун")</f>
        <v>0</v>
      </c>
      <c r="AX224" s="178">
        <f>SUMIFS('свод практик'!$BN$6:$BN$277,'свод практик'!$J$6:$J$277,'свод субъектов ИБ+смежные'!AX$1,'свод практик'!$H$6:$H$277,"мун")</f>
        <v>0</v>
      </c>
      <c r="AY224" s="178">
        <f>SUMIFS('свод практик'!$BN$6:$BN$277,'свод практик'!$J$6:$J$277,'свод субъектов ИБ+смежные'!AY$1,'свод практик'!$H$6:$H$277,"мун")</f>
        <v>0</v>
      </c>
      <c r="AZ224" s="178">
        <f>SUMIFS('свод практик'!$BN$6:$BN$277,'свод практик'!$J$6:$J$277,'свод субъектов ИБ+смежные'!AZ$1,'свод практик'!$H$6:$H$277,"мун")</f>
        <v>0</v>
      </c>
      <c r="BA224" s="178">
        <f>SUMIFS('свод практик'!$BN$6:$BN$277,'свод практик'!$J$6:$J$277,'свод субъектов ИБ+смежные'!BA$1,'свод практик'!$H$6:$H$277,"мун")</f>
        <v>0</v>
      </c>
      <c r="BB224" s="178">
        <f>SUMIFS('свод практик'!$BN$6:$BN$277,'свод практик'!$J$6:$J$277,'свод субъектов ИБ+смежные'!BB$1,'свод практик'!$H$6:$H$277,"мун")</f>
        <v>0</v>
      </c>
      <c r="BC224" s="178">
        <f>SUMIFS('свод практик'!$BN$6:$BN$277,'свод практик'!$J$6:$J$277,'свод субъектов ИБ+смежные'!BC$1,'свод практик'!$H$6:$H$277,"мун")</f>
        <v>0</v>
      </c>
      <c r="BD224" s="178">
        <f>SUMIFS('свод практик'!$BN$6:$BN$277,'свод практик'!$J$6:$J$277,'свод субъектов ИБ+смежные'!BD$1,'свод практик'!$H$6:$H$277,"мун")</f>
        <v>0</v>
      </c>
      <c r="BE224" s="178">
        <f>SUMIFS('свод практик'!$BN$6:$BN$277,'свод практик'!$J$6:$J$277,'свод субъектов ИБ+смежные'!BE$1,'свод практик'!$H$6:$H$277,"мун")</f>
        <v>0</v>
      </c>
      <c r="BF224" s="178">
        <f>SUMIFS('свод практик'!$BN$6:$BN$277,'свод практик'!$J$6:$J$277,'свод субъектов ИБ+смежные'!BF$1,'свод практик'!$H$6:$H$277,"мун")</f>
        <v>0</v>
      </c>
      <c r="BG224" s="178">
        <f>SUMIFS('свод практик'!$BN$6:$BN$277,'свод практик'!$J$6:$J$277,'свод субъектов ИБ+смежные'!BG$1,'свод практик'!$H$6:$H$277,"мун")</f>
        <v>0</v>
      </c>
      <c r="BH224" s="178">
        <f>SUMIFS('свод практик'!$BN$6:$BN$277,'свод практик'!$J$6:$J$277,'свод субъектов ИБ+смежные'!BH$1,'свод практик'!$H$6:$H$277,"мун")</f>
        <v>0</v>
      </c>
      <c r="BI224" s="178">
        <f>SUMIFS('свод практик'!$BN$6:$BN$277,'свод практик'!$J$6:$J$277,'свод субъектов ИБ+смежные'!BI$1,'свод практик'!$H$6:$H$277,"мун")</f>
        <v>0</v>
      </c>
      <c r="BJ224" s="178">
        <f>SUMIFS('свод практик'!$BN$6:$BN$277,'свод практик'!$J$6:$J$277,'свод субъектов ИБ+смежные'!BJ$1,'свод практик'!$H$6:$H$277,"мун")</f>
        <v>0</v>
      </c>
      <c r="BK224" s="178">
        <f>SUMIFS('свод практик'!$BN$6:$BN$277,'свод практик'!$J$6:$J$277,'свод субъектов ИБ+смежные'!BK$1,'свод практик'!$H$6:$H$277,"мун")</f>
        <v>0</v>
      </c>
      <c r="BL224" s="178">
        <f>SUMIFS('свод практик'!$BN$6:$BN$277,'свод практик'!$J$6:$J$277,'свод субъектов ИБ+смежные'!BL$1,'свод практик'!$H$6:$H$277,"мун")</f>
        <v>0</v>
      </c>
      <c r="BM224" s="178">
        <f>SUMIFS('свод практик'!$BN$6:$BN$277,'свод практик'!$J$6:$J$277,'свод субъектов ИБ+смежные'!BM$1,'свод практик'!$H$6:$H$277,"мун")</f>
        <v>0</v>
      </c>
      <c r="BN224" s="178">
        <f>SUMIFS('свод практик'!$BN$6:$BN$277,'свод практик'!$J$6:$J$277,'свод субъектов ИБ+смежные'!BN$1,'свод практик'!$H$6:$H$277,"мун")</f>
        <v>0</v>
      </c>
      <c r="BO224" s="178">
        <f>SUMIFS('свод практик'!$BN$6:$BN$277,'свод практик'!$J$6:$J$277,'свод субъектов ИБ+смежные'!BO$1,'свод практик'!$H$6:$H$277,"мун")</f>
        <v>0</v>
      </c>
      <c r="BP224" s="178">
        <f>SUMIFS('свод практик'!$BN$6:$BN$277,'свод практик'!$J$6:$J$277,'свод субъектов ИБ+смежные'!BP$1,'свод практик'!$H$6:$H$277,"мун")</f>
        <v>0</v>
      </c>
      <c r="BQ224" s="178">
        <f>SUMIFS('свод практик'!$BN$6:$BN$277,'свод практик'!$J$6:$J$277,'свод субъектов ИБ+смежные'!BQ$1,'свод практик'!$H$6:$H$277,"мун")</f>
        <v>0</v>
      </c>
      <c r="BR224" s="178">
        <f>SUMIFS('свод практик'!$BN$6:$BN$277,'свод практик'!$J$6:$J$277,'свод субъектов ИБ+смежные'!BR$1,'свод практик'!$H$6:$H$277,"мун")</f>
        <v>0</v>
      </c>
      <c r="BS224" s="178">
        <f>SUMIFS('свод практик'!$BN$6:$BN$277,'свод практик'!$J$6:$J$277,'свод субъектов ИБ+смежные'!BS$1,'свод практик'!$H$6:$H$277,"мун")</f>
        <v>3.5</v>
      </c>
      <c r="BT224" s="178">
        <f>SUMIFS('свод практик'!$BN$6:$BN$277,'свод практик'!$J$6:$J$277,'свод субъектов ИБ+смежные'!BT$1,'свод практик'!$H$6:$H$277,"мун")</f>
        <v>0</v>
      </c>
      <c r="BU224" s="178">
        <f>SUMIFS('свод практик'!$BN$6:$BN$277,'свод практик'!$J$6:$J$277,'свод субъектов ИБ+смежные'!BU$1,'свод практик'!$H$6:$H$277,"мун")</f>
        <v>0.6555200000000001</v>
      </c>
      <c r="BV224" s="178">
        <f>SUMIFS('свод практик'!$BN$6:$BN$277,'свод практик'!$J$6:$J$277,'свод субъектов ИБ+смежные'!BV$1,'свод практик'!$H$6:$H$277,"мун")</f>
        <v>0</v>
      </c>
      <c r="BW224" s="178">
        <f>SUMIFS('свод практик'!$BN$6:$BN$277,'свод практик'!$J$6:$J$277,'свод субъектов ИБ+смежные'!BW$1,'свод практик'!$H$6:$H$277,"мун")</f>
        <v>0</v>
      </c>
      <c r="BX224" s="178">
        <f>SUMIFS('свод практик'!$BN$6:$BN$277,'свод практик'!$J$6:$J$277,'свод субъектов ИБ+смежные'!BX$1,'свод практик'!$H$6:$H$277,"мун")</f>
        <v>0</v>
      </c>
      <c r="BY224" s="178">
        <f>SUMIFS('свод практик'!$BN$6:$BN$277,'свод практик'!$J$6:$J$277,'свод субъектов ИБ+смежные'!BY$1,'свод практик'!$H$6:$H$277,"мун")</f>
        <v>0</v>
      </c>
      <c r="BZ224" s="178">
        <f>SUMIFS('свод практик'!$BN$6:$BN$277,'свод практик'!$J$6:$J$277,'свод субъектов ИБ+смежные'!BZ$1,'свод практик'!$H$6:$H$277,"мун")</f>
        <v>0</v>
      </c>
      <c r="CA224" s="178">
        <f>SUMIFS('свод практик'!$BN$6:$BN$277,'свод практик'!$J$6:$J$277,'свод субъектов ИБ+смежные'!CA$1,'свод практик'!$H$6:$H$277,"мун")</f>
        <v>0</v>
      </c>
      <c r="CB224" s="178">
        <f>SUMIFS('свод практик'!$BN$6:$BN$277,'свод практик'!$J$6:$J$277,'свод субъектов ИБ+смежные'!CB$1,'свод практик'!$H$6:$H$277,"мун")</f>
        <v>0</v>
      </c>
      <c r="CC224" s="178">
        <f>SUMIFS('свод практик'!$BN$6:$BN$277,'свод практик'!$J$6:$J$277,'свод субъектов ИБ+смежные'!CC$1,'свод практик'!$H$6:$H$277,"мун")</f>
        <v>0</v>
      </c>
      <c r="CD224" s="178">
        <f>SUMIFS('свод практик'!$BN$6:$BN$277,'свод практик'!$J$6:$J$277,'свод субъектов ИБ+смежные'!CD$1,'свод практик'!$H$6:$H$277,"мун")</f>
        <v>0</v>
      </c>
      <c r="CE224" s="178">
        <f>SUMIFS('свод практик'!$BN$6:$BN$277,'свод практик'!$J$6:$J$277,'свод субъектов ИБ+смежные'!CE$1,'свод практик'!$H$6:$H$277,"мун")</f>
        <v>0</v>
      </c>
      <c r="CF224" s="178">
        <f>SUMIFS('свод практик'!$BN$6:$BN$277,'свод практик'!$J$6:$J$277,'свод субъектов ИБ+смежные'!CF$1,'свод практик'!$H$6:$H$277,"мун")</f>
        <v>0</v>
      </c>
      <c r="CG224" s="178">
        <f>SUMIFS('свод практик'!$BN$6:$BN$277,'свод практик'!$J$6:$J$277,'свод субъектов ИБ+смежные'!CG$1,'свод практик'!$H$6:$H$277,"мун")</f>
        <v>0</v>
      </c>
      <c r="CH224" s="178">
        <f>SUMIFS('свод практик'!$BN$6:$BN$277,'свод практик'!$J$6:$J$277,'свод субъектов ИБ+смежные'!CH$1,'свод практик'!$H$6:$H$277,"мун")</f>
        <v>0</v>
      </c>
      <c r="CI224" s="178">
        <f>SUMIFS('свод практик'!$BN$6:$BN$277,'свод практик'!$J$6:$J$277,'свод субъектов ИБ+смежные'!CI$1,'свод практик'!$H$6:$H$277,"мун")</f>
        <v>0</v>
      </c>
      <c r="CJ224" s="178">
        <f>SUMIFS('свод практик'!$BN$6:$BN$277,'свод практик'!$J$6:$J$277,'свод субъектов ИБ+смежные'!CJ$1,'свод практик'!$H$6:$H$277,"мун")</f>
        <v>0</v>
      </c>
      <c r="CK224" s="178">
        <f>SUMIFS('свод практик'!$BN$6:$BN$277,'свод практик'!$J$6:$J$277,'свод субъектов ИБ+смежные'!CK$1,'свод практик'!$H$6:$H$277,"мун")</f>
        <v>0</v>
      </c>
      <c r="CL224" s="178">
        <f>SUMIFS('свод практик'!$BN$6:$BN$277,'свод практик'!$J$6:$J$277,'свод субъектов ИБ+смежные'!CL$1,'свод практик'!$H$6:$H$277,"мун")</f>
        <v>0</v>
      </c>
      <c r="CM224" s="178">
        <f>SUMIFS('свод практик'!$BN$6:$BN$277,'свод практик'!$J$6:$J$277,'свод субъектов ИБ+смежные'!CM$1,'свод практик'!$H$6:$H$277,"мун")</f>
        <v>0</v>
      </c>
      <c r="CN224" s="178">
        <f>SUMIFS('свод практик'!$BN$6:$BN$277,'свод практик'!$J$6:$J$277,'свод субъектов ИБ+смежные'!CN$1,'свод практик'!$H$6:$H$277,"мун")</f>
        <v>0</v>
      </c>
      <c r="CO224" s="178">
        <f>SUMIFS('свод практик'!$BN$6:$BN$277,'свод практик'!$J$6:$J$277,'свод субъектов ИБ+смежные'!CO$1,'свод практик'!$H$6:$H$277,"мун")</f>
        <v>0</v>
      </c>
      <c r="CP224" s="178">
        <f>SUMIFS('свод практик'!$BN$6:$BN$277,'свод практик'!$J$6:$J$277,'свод субъектов ИБ+смежные'!CP$1,'свод практик'!$H$6:$H$277,"мун")</f>
        <v>10.457999999999998</v>
      </c>
      <c r="CQ224" s="178">
        <f>SUMIFS('свод практик'!$BN$6:$BN$277,'свод практик'!$J$6:$J$277,'свод субъектов ИБ+смежные'!CQ$1,'свод практик'!$H$6:$H$277,"мун")</f>
        <v>0</v>
      </c>
      <c r="CR224" s="178">
        <f>SUMIFS('свод практик'!$BN$6:$BN$277,'свод практик'!$J$6:$J$277,'свод субъектов ИБ+смежные'!CR$1,'свод практик'!$H$6:$H$277,"мун")</f>
        <v>0</v>
      </c>
      <c r="CS224" s="178">
        <f>SUMIFS('свод практик'!$BN$6:$BN$277,'свод практик'!$J$6:$J$277,'свод субъектов ИБ+смежные'!CS$1,'свод практик'!$H$6:$H$277,"мун")</f>
        <v>0</v>
      </c>
      <c r="CT224" s="178">
        <f>SUMIFS('свод практик'!$BN$6:$BN$277,'свод практик'!$J$6:$J$277,'свод субъектов ИБ+смежные'!CT$1,'свод практик'!$H$6:$H$277,"мун")</f>
        <v>0</v>
      </c>
      <c r="CU224" s="178">
        <f>SUMIFS('свод практик'!$BN$6:$BN$277,'свод практик'!$J$6:$J$277,'свод субъектов ИБ+смежные'!CU$1,'свод практик'!$H$6:$H$277,"мун")</f>
        <v>5.8369999999999997</v>
      </c>
      <c r="CV224" s="178">
        <f>SUMIFS('свод практик'!$BN$6:$BN$277,'свод практик'!$J$6:$J$277,'свод субъектов ИБ+смежные'!CV$1,'свод практик'!$H$6:$H$277,"мун")</f>
        <v>0</v>
      </c>
    </row>
    <row r="225" spans="1:100" ht="28">
      <c r="D225" s="36" t="s">
        <v>4949</v>
      </c>
      <c r="E225" s="36">
        <v>35</v>
      </c>
      <c r="F225" s="36" t="s">
        <v>5549</v>
      </c>
      <c r="G225" s="36" t="s">
        <v>5623</v>
      </c>
      <c r="H225" s="36" t="s">
        <v>60</v>
      </c>
      <c r="I225" s="36" t="s">
        <v>5090</v>
      </c>
      <c r="M225" s="36" t="s">
        <v>5497</v>
      </c>
      <c r="N225" s="36">
        <v>3.6255621706022464E-2</v>
      </c>
      <c r="O225" s="233">
        <f>O224/O62</f>
        <v>2.1892589219691554E-2</v>
      </c>
      <c r="P225" s="233" t="e">
        <f t="shared" ref="P225:CA225" si="135">P224/P62</f>
        <v>#DIV/0!</v>
      </c>
      <c r="Q225" s="233" t="e">
        <f t="shared" si="135"/>
        <v>#DIV/0!</v>
      </c>
      <c r="R225" s="233" t="e">
        <f t="shared" si="135"/>
        <v>#DIV/0!</v>
      </c>
      <c r="S225" s="233" t="e">
        <f t="shared" si="135"/>
        <v>#DIV/0!</v>
      </c>
      <c r="T225" s="233">
        <f t="shared" si="135"/>
        <v>0</v>
      </c>
      <c r="U225" s="233">
        <f t="shared" si="135"/>
        <v>0</v>
      </c>
      <c r="V225" s="233">
        <f t="shared" si="135"/>
        <v>0</v>
      </c>
      <c r="W225" s="233">
        <f t="shared" si="135"/>
        <v>0</v>
      </c>
      <c r="X225" s="233" t="e">
        <f t="shared" si="135"/>
        <v>#DIV/0!</v>
      </c>
      <c r="Y225" s="233" t="e">
        <f t="shared" si="135"/>
        <v>#DIV/0!</v>
      </c>
      <c r="Z225" s="233" t="e">
        <f t="shared" si="135"/>
        <v>#DIV/0!</v>
      </c>
      <c r="AA225" s="233" t="e">
        <f t="shared" si="135"/>
        <v>#DIV/0!</v>
      </c>
      <c r="AB225" s="233">
        <f t="shared" si="135"/>
        <v>0</v>
      </c>
      <c r="AC225" s="233" t="e">
        <f t="shared" si="135"/>
        <v>#DIV/0!</v>
      </c>
      <c r="AD225" s="233" t="e">
        <f t="shared" si="135"/>
        <v>#DIV/0!</v>
      </c>
      <c r="AE225" s="233" t="e">
        <f t="shared" si="135"/>
        <v>#DIV/0!</v>
      </c>
      <c r="AF225" s="233" t="e">
        <f t="shared" si="135"/>
        <v>#DIV/0!</v>
      </c>
      <c r="AG225" s="233" t="e">
        <f t="shared" si="135"/>
        <v>#DIV/0!</v>
      </c>
      <c r="AH225" s="233" t="e">
        <f t="shared" si="135"/>
        <v>#DIV/0!</v>
      </c>
      <c r="AI225" s="233" t="e">
        <f t="shared" si="135"/>
        <v>#DIV/0!</v>
      </c>
      <c r="AJ225" s="233">
        <f t="shared" si="135"/>
        <v>0</v>
      </c>
      <c r="AK225" s="233" t="e">
        <f t="shared" si="135"/>
        <v>#DIV/0!</v>
      </c>
      <c r="AL225" s="233" t="e">
        <f t="shared" si="135"/>
        <v>#DIV/0!</v>
      </c>
      <c r="AM225" s="233">
        <f t="shared" si="135"/>
        <v>0</v>
      </c>
      <c r="AN225" s="233" t="e">
        <f t="shared" si="135"/>
        <v>#DIV/0!</v>
      </c>
      <c r="AO225" s="233" t="e">
        <f t="shared" si="135"/>
        <v>#DIV/0!</v>
      </c>
      <c r="AP225" s="233" t="e">
        <f t="shared" si="135"/>
        <v>#DIV/0!</v>
      </c>
      <c r="AQ225" s="233" t="e">
        <f t="shared" si="135"/>
        <v>#DIV/0!</v>
      </c>
      <c r="AR225" s="233" t="e">
        <f t="shared" si="135"/>
        <v>#DIV/0!</v>
      </c>
      <c r="AS225" s="233" t="e">
        <f t="shared" si="135"/>
        <v>#DIV/0!</v>
      </c>
      <c r="AT225" s="233" t="e">
        <f t="shared" si="135"/>
        <v>#DIV/0!</v>
      </c>
      <c r="AU225" s="233">
        <f t="shared" si="135"/>
        <v>0</v>
      </c>
      <c r="AV225" s="233">
        <f t="shared" si="135"/>
        <v>0</v>
      </c>
      <c r="AW225" s="233" t="e">
        <f t="shared" si="135"/>
        <v>#DIV/0!</v>
      </c>
      <c r="AX225" s="233" t="e">
        <f t="shared" si="135"/>
        <v>#DIV/0!</v>
      </c>
      <c r="AY225" s="233" t="e">
        <f t="shared" si="135"/>
        <v>#DIV/0!</v>
      </c>
      <c r="AZ225" s="233">
        <f t="shared" si="135"/>
        <v>0</v>
      </c>
      <c r="BA225" s="233" t="e">
        <f t="shared" si="135"/>
        <v>#DIV/0!</v>
      </c>
      <c r="BB225" s="233" t="e">
        <f t="shared" si="135"/>
        <v>#DIV/0!</v>
      </c>
      <c r="BC225" s="233" t="e">
        <f t="shared" si="135"/>
        <v>#DIV/0!</v>
      </c>
      <c r="BD225" s="233" t="e">
        <f t="shared" si="135"/>
        <v>#DIV/0!</v>
      </c>
      <c r="BE225" s="233" t="e">
        <f t="shared" si="135"/>
        <v>#DIV/0!</v>
      </c>
      <c r="BF225" s="233">
        <f t="shared" si="135"/>
        <v>0</v>
      </c>
      <c r="BG225" s="233" t="e">
        <f t="shared" si="135"/>
        <v>#DIV/0!</v>
      </c>
      <c r="BH225" s="233" t="e">
        <f t="shared" si="135"/>
        <v>#DIV/0!</v>
      </c>
      <c r="BI225" s="233" t="e">
        <f t="shared" si="135"/>
        <v>#DIV/0!</v>
      </c>
      <c r="BJ225" s="233" t="e">
        <f t="shared" si="135"/>
        <v>#DIV/0!</v>
      </c>
      <c r="BK225" s="233" t="e">
        <f t="shared" si="135"/>
        <v>#DIV/0!</v>
      </c>
      <c r="BL225" s="233">
        <f t="shared" si="135"/>
        <v>0</v>
      </c>
      <c r="BM225" s="233">
        <f t="shared" si="135"/>
        <v>0</v>
      </c>
      <c r="BN225" s="233" t="e">
        <f t="shared" si="135"/>
        <v>#DIV/0!</v>
      </c>
      <c r="BO225" s="233">
        <f t="shared" si="135"/>
        <v>0</v>
      </c>
      <c r="BP225" s="233" t="e">
        <f t="shared" si="135"/>
        <v>#DIV/0!</v>
      </c>
      <c r="BQ225" s="233" t="e">
        <f t="shared" si="135"/>
        <v>#DIV/0!</v>
      </c>
      <c r="BR225" s="233" t="e">
        <f t="shared" si="135"/>
        <v>#DIV/0!</v>
      </c>
      <c r="BS225" s="233">
        <f t="shared" si="135"/>
        <v>0.30485149377231952</v>
      </c>
      <c r="BT225" s="233" t="e">
        <f t="shared" si="135"/>
        <v>#DIV/0!</v>
      </c>
      <c r="BU225" s="233">
        <f t="shared" si="135"/>
        <v>1.4399273182891331E-2</v>
      </c>
      <c r="BV225" s="233" t="e">
        <f t="shared" si="135"/>
        <v>#DIV/0!</v>
      </c>
      <c r="BW225" s="233" t="e">
        <f t="shared" si="135"/>
        <v>#DIV/0!</v>
      </c>
      <c r="BX225" s="233" t="e">
        <f t="shared" si="135"/>
        <v>#DIV/0!</v>
      </c>
      <c r="BY225" s="233" t="e">
        <f t="shared" si="135"/>
        <v>#DIV/0!</v>
      </c>
      <c r="BZ225" s="233">
        <f t="shared" si="135"/>
        <v>0</v>
      </c>
      <c r="CA225" s="233" t="e">
        <f t="shared" si="135"/>
        <v>#DIV/0!</v>
      </c>
      <c r="CB225" s="233" t="e">
        <f t="shared" ref="CB225:CU225" si="136">CB224/CB62</f>
        <v>#DIV/0!</v>
      </c>
      <c r="CC225" s="233" t="e">
        <f t="shared" si="136"/>
        <v>#DIV/0!</v>
      </c>
      <c r="CD225" s="233">
        <f t="shared" si="136"/>
        <v>0</v>
      </c>
      <c r="CE225" s="233" t="e">
        <f t="shared" si="136"/>
        <v>#DIV/0!</v>
      </c>
      <c r="CF225" s="233" t="e">
        <f t="shared" si="136"/>
        <v>#DIV/0!</v>
      </c>
      <c r="CG225" s="233" t="e">
        <f t="shared" si="136"/>
        <v>#DIV/0!</v>
      </c>
      <c r="CH225" s="233" t="e">
        <f t="shared" si="136"/>
        <v>#DIV/0!</v>
      </c>
      <c r="CI225" s="233" t="e">
        <f t="shared" si="136"/>
        <v>#DIV/0!</v>
      </c>
      <c r="CJ225" s="233" t="e">
        <f t="shared" si="136"/>
        <v>#DIV/0!</v>
      </c>
      <c r="CK225" s="233" t="e">
        <f t="shared" si="136"/>
        <v>#DIV/0!</v>
      </c>
      <c r="CL225" s="233">
        <f t="shared" si="136"/>
        <v>0</v>
      </c>
      <c r="CM225" s="233">
        <f t="shared" si="136"/>
        <v>0</v>
      </c>
      <c r="CN225" s="233" t="e">
        <f t="shared" si="136"/>
        <v>#DIV/0!</v>
      </c>
      <c r="CO225" s="233" t="e">
        <f t="shared" si="136"/>
        <v>#DIV/0!</v>
      </c>
      <c r="CP225" s="233">
        <f t="shared" si="136"/>
        <v>6.1474110609129481E-2</v>
      </c>
      <c r="CQ225" s="233">
        <f t="shared" si="136"/>
        <v>0</v>
      </c>
      <c r="CR225" s="233" t="e">
        <f t="shared" si="136"/>
        <v>#DIV/0!</v>
      </c>
      <c r="CS225" s="233">
        <f t="shared" si="136"/>
        <v>0</v>
      </c>
      <c r="CT225" s="233" t="e">
        <f t="shared" si="136"/>
        <v>#DIV/0!</v>
      </c>
      <c r="CU225" s="233">
        <f t="shared" si="136"/>
        <v>7.7830817643607678E-2</v>
      </c>
      <c r="CV225" s="233" t="e">
        <f>CV224/CV62</f>
        <v>#DIV/0!</v>
      </c>
    </row>
    <row r="226" spans="1:100" ht="56">
      <c r="A226" s="36" t="s">
        <v>5550</v>
      </c>
      <c r="B226" s="36" t="s">
        <v>4947</v>
      </c>
      <c r="C226" s="36" t="s">
        <v>5108</v>
      </c>
      <c r="D226" s="36" t="s">
        <v>4949</v>
      </c>
      <c r="E226" s="36">
        <v>36</v>
      </c>
      <c r="F226" s="36" t="s">
        <v>5551</v>
      </c>
      <c r="G226" s="36" t="s">
        <v>5628</v>
      </c>
      <c r="H226" s="36" t="s">
        <v>5082</v>
      </c>
      <c r="I226" s="36" t="s">
        <v>4961</v>
      </c>
      <c r="L226" s="36" t="s">
        <v>278</v>
      </c>
      <c r="M226" s="36" t="s">
        <v>5497</v>
      </c>
      <c r="N226" s="36">
        <v>267.27749999999997</v>
      </c>
      <c r="O226" s="233">
        <f>O220+O222+O224</f>
        <v>200.27545168</v>
      </c>
      <c r="P226" s="233">
        <f t="shared" ref="P226:CA226" si="137">P220+P222+P224</f>
        <v>0</v>
      </c>
      <c r="Q226" s="233">
        <f t="shared" si="137"/>
        <v>0</v>
      </c>
      <c r="R226" s="233">
        <f t="shared" si="137"/>
        <v>0</v>
      </c>
      <c r="S226" s="233">
        <f t="shared" si="137"/>
        <v>0</v>
      </c>
      <c r="T226" s="233">
        <f t="shared" si="137"/>
        <v>0</v>
      </c>
      <c r="U226" s="233">
        <f t="shared" si="137"/>
        <v>1.3599999999999999</v>
      </c>
      <c r="V226" s="233">
        <f t="shared" si="137"/>
        <v>1.1830000000000001</v>
      </c>
      <c r="W226" s="233">
        <f t="shared" si="137"/>
        <v>0</v>
      </c>
      <c r="X226" s="233">
        <f t="shared" si="137"/>
        <v>0</v>
      </c>
      <c r="Y226" s="233">
        <f t="shared" si="137"/>
        <v>0</v>
      </c>
      <c r="Z226" s="233">
        <f t="shared" si="137"/>
        <v>0</v>
      </c>
      <c r="AA226" s="233">
        <f t="shared" si="137"/>
        <v>0</v>
      </c>
      <c r="AB226" s="233">
        <f t="shared" si="137"/>
        <v>0</v>
      </c>
      <c r="AC226" s="233">
        <f t="shared" si="137"/>
        <v>0</v>
      </c>
      <c r="AD226" s="233">
        <f t="shared" si="137"/>
        <v>0</v>
      </c>
      <c r="AE226" s="233">
        <f t="shared" si="137"/>
        <v>0</v>
      </c>
      <c r="AF226" s="233">
        <f t="shared" si="137"/>
        <v>0</v>
      </c>
      <c r="AG226" s="233">
        <f t="shared" si="137"/>
        <v>0</v>
      </c>
      <c r="AH226" s="233">
        <f t="shared" si="137"/>
        <v>0</v>
      </c>
      <c r="AI226" s="233">
        <f t="shared" si="137"/>
        <v>1</v>
      </c>
      <c r="AJ226" s="233">
        <f t="shared" si="137"/>
        <v>0</v>
      </c>
      <c r="AK226" s="233">
        <f t="shared" si="137"/>
        <v>0</v>
      </c>
      <c r="AL226" s="233">
        <f t="shared" si="137"/>
        <v>4.1472269300000004</v>
      </c>
      <c r="AM226" s="233">
        <f t="shared" si="137"/>
        <v>1.3639647500000001</v>
      </c>
      <c r="AN226" s="233">
        <f t="shared" si="137"/>
        <v>0</v>
      </c>
      <c r="AO226" s="233">
        <f t="shared" si="137"/>
        <v>0</v>
      </c>
      <c r="AP226" s="233">
        <f t="shared" si="137"/>
        <v>0</v>
      </c>
      <c r="AQ226" s="233">
        <f t="shared" si="137"/>
        <v>0</v>
      </c>
      <c r="AR226" s="233">
        <f t="shared" si="137"/>
        <v>0</v>
      </c>
      <c r="AS226" s="233">
        <f t="shared" si="137"/>
        <v>0</v>
      </c>
      <c r="AT226" s="233">
        <f t="shared" si="137"/>
        <v>21.074000000000002</v>
      </c>
      <c r="AU226" s="233">
        <f t="shared" si="137"/>
        <v>38.996000000000002</v>
      </c>
      <c r="AV226" s="233">
        <f t="shared" si="137"/>
        <v>0.91</v>
      </c>
      <c r="AW226" s="233">
        <f t="shared" si="137"/>
        <v>0</v>
      </c>
      <c r="AX226" s="233">
        <f t="shared" si="137"/>
        <v>0</v>
      </c>
      <c r="AY226" s="233">
        <f t="shared" si="137"/>
        <v>0</v>
      </c>
      <c r="AZ226" s="233">
        <f t="shared" si="137"/>
        <v>0</v>
      </c>
      <c r="BA226" s="233">
        <f t="shared" si="137"/>
        <v>0</v>
      </c>
      <c r="BB226" s="233">
        <f t="shared" si="137"/>
        <v>0</v>
      </c>
      <c r="BC226" s="233">
        <f t="shared" si="137"/>
        <v>0</v>
      </c>
      <c r="BD226" s="233">
        <f t="shared" si="137"/>
        <v>0</v>
      </c>
      <c r="BE226" s="233">
        <f t="shared" si="137"/>
        <v>0</v>
      </c>
      <c r="BF226" s="233">
        <f t="shared" si="137"/>
        <v>0.5</v>
      </c>
      <c r="BG226" s="233">
        <f t="shared" si="137"/>
        <v>0</v>
      </c>
      <c r="BH226" s="233">
        <f t="shared" si="137"/>
        <v>0</v>
      </c>
      <c r="BI226" s="233">
        <f t="shared" si="137"/>
        <v>0</v>
      </c>
      <c r="BJ226" s="233">
        <f t="shared" si="137"/>
        <v>0</v>
      </c>
      <c r="BK226" s="233">
        <f t="shared" si="137"/>
        <v>45.174999999999997</v>
      </c>
      <c r="BL226" s="233">
        <f t="shared" si="137"/>
        <v>0.97319999999999995</v>
      </c>
      <c r="BM226" s="233">
        <f t="shared" si="137"/>
        <v>0.55010000000000003</v>
      </c>
      <c r="BN226" s="233">
        <f t="shared" si="137"/>
        <v>15.874000000000001</v>
      </c>
      <c r="BO226" s="233">
        <f t="shared" si="137"/>
        <v>0</v>
      </c>
      <c r="BP226" s="233">
        <f t="shared" si="137"/>
        <v>0</v>
      </c>
      <c r="BQ226" s="233">
        <f t="shared" si="137"/>
        <v>0</v>
      </c>
      <c r="BR226" s="233">
        <f t="shared" si="137"/>
        <v>3.9119999999999999</v>
      </c>
      <c r="BS226" s="233">
        <f t="shared" si="137"/>
        <v>6.7679999999999998</v>
      </c>
      <c r="BT226" s="233">
        <f t="shared" si="137"/>
        <v>0.57499999999999996</v>
      </c>
      <c r="BU226" s="233">
        <f t="shared" si="137"/>
        <v>0.72852000000000006</v>
      </c>
      <c r="BV226" s="233">
        <f t="shared" si="137"/>
        <v>0</v>
      </c>
      <c r="BW226" s="233">
        <f t="shared" si="137"/>
        <v>0</v>
      </c>
      <c r="BX226" s="233">
        <f t="shared" si="137"/>
        <v>0</v>
      </c>
      <c r="BY226" s="233">
        <f t="shared" si="137"/>
        <v>1.2477500000000001</v>
      </c>
      <c r="BZ226" s="233">
        <f t="shared" si="137"/>
        <v>8.0684999999999985</v>
      </c>
      <c r="CA226" s="233">
        <f t="shared" si="137"/>
        <v>0</v>
      </c>
      <c r="CB226" s="233">
        <f t="shared" ref="CB226:CV226" si="138">CB220+CB222+CB224</f>
        <v>0</v>
      </c>
      <c r="CC226" s="233">
        <f t="shared" si="138"/>
        <v>9.7000000000000003E-2</v>
      </c>
      <c r="CD226" s="233">
        <f t="shared" si="138"/>
        <v>0.94</v>
      </c>
      <c r="CE226" s="233">
        <f t="shared" si="138"/>
        <v>0</v>
      </c>
      <c r="CF226" s="233">
        <f t="shared" si="138"/>
        <v>0</v>
      </c>
      <c r="CG226" s="233">
        <f t="shared" si="138"/>
        <v>0</v>
      </c>
      <c r="CH226" s="233">
        <f t="shared" si="138"/>
        <v>0</v>
      </c>
      <c r="CI226" s="233">
        <f t="shared" si="138"/>
        <v>0</v>
      </c>
      <c r="CJ226" s="233">
        <f t="shared" si="138"/>
        <v>0</v>
      </c>
      <c r="CK226" s="233">
        <f t="shared" si="138"/>
        <v>2.661</v>
      </c>
      <c r="CL226" s="233">
        <f t="shared" si="138"/>
        <v>3.5939999999999999</v>
      </c>
      <c r="CM226" s="233">
        <f t="shared" si="138"/>
        <v>0</v>
      </c>
      <c r="CN226" s="233">
        <f t="shared" si="138"/>
        <v>0</v>
      </c>
      <c r="CO226" s="233">
        <f t="shared" si="138"/>
        <v>7.7443899999999992</v>
      </c>
      <c r="CP226" s="233">
        <f t="shared" si="138"/>
        <v>15.426499999999997</v>
      </c>
      <c r="CQ226" s="233">
        <f t="shared" si="138"/>
        <v>0</v>
      </c>
      <c r="CR226" s="233">
        <f t="shared" si="138"/>
        <v>1.9019999999999999</v>
      </c>
      <c r="CS226" s="233">
        <f t="shared" si="138"/>
        <v>0</v>
      </c>
      <c r="CT226" s="233">
        <f t="shared" si="138"/>
        <v>2.4593000000000003</v>
      </c>
      <c r="CU226" s="233">
        <f t="shared" si="138"/>
        <v>11.044999999999998</v>
      </c>
      <c r="CV226" s="233">
        <f t="shared" si="138"/>
        <v>0</v>
      </c>
    </row>
    <row r="227" spans="1:100" ht="28">
      <c r="D227" s="36" t="s">
        <v>4949</v>
      </c>
      <c r="E227" s="36">
        <v>37</v>
      </c>
      <c r="F227" s="36" t="s">
        <v>5553</v>
      </c>
      <c r="G227" s="36" t="s">
        <v>5623</v>
      </c>
      <c r="H227" s="36" t="s">
        <v>60</v>
      </c>
      <c r="I227" s="36" t="s">
        <v>5090</v>
      </c>
      <c r="M227" s="36" t="s">
        <v>5497</v>
      </c>
      <c r="N227" s="36">
        <v>0.3583165186559466</v>
      </c>
      <c r="O227" s="228">
        <f>O226/O62</f>
        <v>0.21439788300827681</v>
      </c>
      <c r="P227" s="233" t="e">
        <f t="shared" ref="P227:CA227" si="139">P226/P62</f>
        <v>#DIV/0!</v>
      </c>
      <c r="Q227" s="233" t="e">
        <f t="shared" si="139"/>
        <v>#DIV/0!</v>
      </c>
      <c r="R227" s="233" t="e">
        <f t="shared" si="139"/>
        <v>#DIV/0!</v>
      </c>
      <c r="S227" s="233" t="e">
        <f t="shared" si="139"/>
        <v>#DIV/0!</v>
      </c>
      <c r="T227" s="233">
        <f t="shared" si="139"/>
        <v>0</v>
      </c>
      <c r="U227" s="233">
        <f t="shared" si="139"/>
        <v>4.5333333333333332</v>
      </c>
      <c r="V227" s="233">
        <f t="shared" si="139"/>
        <v>0.11867977528089889</v>
      </c>
      <c r="W227" s="233">
        <f t="shared" si="139"/>
        <v>0</v>
      </c>
      <c r="X227" s="233" t="e">
        <f t="shared" si="139"/>
        <v>#DIV/0!</v>
      </c>
      <c r="Y227" s="233" t="e">
        <f t="shared" si="139"/>
        <v>#DIV/0!</v>
      </c>
      <c r="Z227" s="233" t="e">
        <f t="shared" si="139"/>
        <v>#DIV/0!</v>
      </c>
      <c r="AA227" s="233" t="e">
        <f t="shared" si="139"/>
        <v>#DIV/0!</v>
      </c>
      <c r="AB227" s="233">
        <f t="shared" si="139"/>
        <v>0</v>
      </c>
      <c r="AC227" s="233" t="e">
        <f t="shared" si="139"/>
        <v>#DIV/0!</v>
      </c>
      <c r="AD227" s="233" t="e">
        <f t="shared" si="139"/>
        <v>#DIV/0!</v>
      </c>
      <c r="AE227" s="233" t="e">
        <f t="shared" si="139"/>
        <v>#DIV/0!</v>
      </c>
      <c r="AF227" s="233" t="e">
        <f t="shared" si="139"/>
        <v>#DIV/0!</v>
      </c>
      <c r="AG227" s="233" t="e">
        <f t="shared" si="139"/>
        <v>#DIV/0!</v>
      </c>
      <c r="AH227" s="233" t="e">
        <f t="shared" si="139"/>
        <v>#DIV/0!</v>
      </c>
      <c r="AI227" s="233" t="e">
        <f t="shared" si="139"/>
        <v>#DIV/0!</v>
      </c>
      <c r="AJ227" s="233">
        <f t="shared" si="139"/>
        <v>0</v>
      </c>
      <c r="AK227" s="233" t="e">
        <f t="shared" si="139"/>
        <v>#DIV/0!</v>
      </c>
      <c r="AL227" s="233" t="e">
        <f t="shared" si="139"/>
        <v>#DIV/0!</v>
      </c>
      <c r="AM227" s="233">
        <f t="shared" si="139"/>
        <v>5.0520847563716678E-2</v>
      </c>
      <c r="AN227" s="233" t="e">
        <f t="shared" si="139"/>
        <v>#DIV/0!</v>
      </c>
      <c r="AO227" s="233" t="e">
        <f t="shared" si="139"/>
        <v>#DIV/0!</v>
      </c>
      <c r="AP227" s="233" t="e">
        <f t="shared" si="139"/>
        <v>#DIV/0!</v>
      </c>
      <c r="AQ227" s="233" t="e">
        <f t="shared" si="139"/>
        <v>#DIV/0!</v>
      </c>
      <c r="AR227" s="233" t="e">
        <f t="shared" si="139"/>
        <v>#DIV/0!</v>
      </c>
      <c r="AS227" s="233" t="e">
        <f t="shared" si="139"/>
        <v>#DIV/0!</v>
      </c>
      <c r="AT227" s="233" t="e">
        <f t="shared" si="139"/>
        <v>#DIV/0!</v>
      </c>
      <c r="AU227" s="233">
        <f t="shared" si="139"/>
        <v>0.54621601557575672</v>
      </c>
      <c r="AV227" s="233">
        <f t="shared" si="139"/>
        <v>2.6772580170638421E-2</v>
      </c>
      <c r="AW227" s="233" t="e">
        <f t="shared" si="139"/>
        <v>#DIV/0!</v>
      </c>
      <c r="AX227" s="233" t="e">
        <f t="shared" si="139"/>
        <v>#DIV/0!</v>
      </c>
      <c r="AY227" s="233" t="e">
        <f t="shared" si="139"/>
        <v>#DIV/0!</v>
      </c>
      <c r="AZ227" s="233">
        <f t="shared" si="139"/>
        <v>0</v>
      </c>
      <c r="BA227" s="233" t="e">
        <f t="shared" si="139"/>
        <v>#DIV/0!</v>
      </c>
      <c r="BB227" s="233" t="e">
        <f t="shared" si="139"/>
        <v>#DIV/0!</v>
      </c>
      <c r="BC227" s="233" t="e">
        <f t="shared" si="139"/>
        <v>#DIV/0!</v>
      </c>
      <c r="BD227" s="233" t="e">
        <f t="shared" si="139"/>
        <v>#DIV/0!</v>
      </c>
      <c r="BE227" s="233" t="e">
        <f t="shared" si="139"/>
        <v>#DIV/0!</v>
      </c>
      <c r="BF227" s="233">
        <f t="shared" si="139"/>
        <v>6.3211125158027806E-2</v>
      </c>
      <c r="BG227" s="233" t="e">
        <f t="shared" si="139"/>
        <v>#DIV/0!</v>
      </c>
      <c r="BH227" s="233" t="e">
        <f t="shared" si="139"/>
        <v>#DIV/0!</v>
      </c>
      <c r="BI227" s="233" t="e">
        <f t="shared" si="139"/>
        <v>#DIV/0!</v>
      </c>
      <c r="BJ227" s="233" t="e">
        <f t="shared" si="139"/>
        <v>#DIV/0!</v>
      </c>
      <c r="BK227" s="233" t="e">
        <f t="shared" si="139"/>
        <v>#DIV/0!</v>
      </c>
      <c r="BL227" s="233">
        <f t="shared" si="139"/>
        <v>1.3868186676166726E-2</v>
      </c>
      <c r="BM227" s="233">
        <f t="shared" si="139"/>
        <v>4.0589099012019569E-2</v>
      </c>
      <c r="BN227" s="233" t="e">
        <f t="shared" si="139"/>
        <v>#DIV/0!</v>
      </c>
      <c r="BO227" s="233">
        <f t="shared" si="139"/>
        <v>0</v>
      </c>
      <c r="BP227" s="233" t="e">
        <f t="shared" si="139"/>
        <v>#DIV/0!</v>
      </c>
      <c r="BQ227" s="233" t="e">
        <f t="shared" si="139"/>
        <v>#DIV/0!</v>
      </c>
      <c r="BR227" s="233" t="e">
        <f t="shared" si="139"/>
        <v>#DIV/0!</v>
      </c>
      <c r="BS227" s="233">
        <f t="shared" si="139"/>
        <v>0.5894956885288738</v>
      </c>
      <c r="BT227" s="233" t="e">
        <f t="shared" si="139"/>
        <v>#DIV/0!</v>
      </c>
      <c r="BU227" s="233">
        <f t="shared" si="139"/>
        <v>1.6002804642421271E-2</v>
      </c>
      <c r="BV227" s="233" t="e">
        <f t="shared" si="139"/>
        <v>#DIV/0!</v>
      </c>
      <c r="BW227" s="233" t="e">
        <f t="shared" si="139"/>
        <v>#DIV/0!</v>
      </c>
      <c r="BX227" s="233" t="e">
        <f t="shared" si="139"/>
        <v>#DIV/0!</v>
      </c>
      <c r="BY227" s="233" t="e">
        <f t="shared" si="139"/>
        <v>#DIV/0!</v>
      </c>
      <c r="BZ227" s="233">
        <f t="shared" si="139"/>
        <v>0.10628474326211237</v>
      </c>
      <c r="CA227" s="233" t="e">
        <f t="shared" si="139"/>
        <v>#DIV/0!</v>
      </c>
      <c r="CB227" s="233" t="e">
        <f t="shared" ref="CB227:CV227" si="140">CB226/CB62</f>
        <v>#DIV/0!</v>
      </c>
      <c r="CC227" s="233" t="e">
        <f t="shared" si="140"/>
        <v>#DIV/0!</v>
      </c>
      <c r="CD227" s="233">
        <f t="shared" si="140"/>
        <v>0.25995575221238937</v>
      </c>
      <c r="CE227" s="233" t="e">
        <f t="shared" si="140"/>
        <v>#DIV/0!</v>
      </c>
      <c r="CF227" s="233" t="e">
        <f t="shared" si="140"/>
        <v>#DIV/0!</v>
      </c>
      <c r="CG227" s="233" t="e">
        <f t="shared" si="140"/>
        <v>#DIV/0!</v>
      </c>
      <c r="CH227" s="233" t="e">
        <f t="shared" si="140"/>
        <v>#DIV/0!</v>
      </c>
      <c r="CI227" s="233" t="e">
        <f t="shared" si="140"/>
        <v>#DIV/0!</v>
      </c>
      <c r="CJ227" s="233" t="e">
        <f t="shared" si="140"/>
        <v>#DIV/0!</v>
      </c>
      <c r="CK227" s="233" t="e">
        <f t="shared" si="140"/>
        <v>#DIV/0!</v>
      </c>
      <c r="CL227" s="233">
        <f t="shared" si="140"/>
        <v>0.22003998421614129</v>
      </c>
      <c r="CM227" s="233">
        <f t="shared" si="140"/>
        <v>0</v>
      </c>
      <c r="CN227" s="233" t="e">
        <f t="shared" si="140"/>
        <v>#DIV/0!</v>
      </c>
      <c r="CO227" s="233" t="e">
        <f t="shared" si="140"/>
        <v>#DIV/0!</v>
      </c>
      <c r="CP227" s="233">
        <f t="shared" si="140"/>
        <v>9.0679897428928666E-2</v>
      </c>
      <c r="CQ227" s="233">
        <f t="shared" si="140"/>
        <v>0</v>
      </c>
      <c r="CR227" s="233" t="e">
        <f t="shared" si="140"/>
        <v>#DIV/0!</v>
      </c>
      <c r="CS227" s="233">
        <f t="shared" si="140"/>
        <v>0</v>
      </c>
      <c r="CT227" s="233" t="e">
        <f t="shared" si="140"/>
        <v>#DIV/0!</v>
      </c>
      <c r="CU227" s="233">
        <f t="shared" si="140"/>
        <v>0.14727452130780311</v>
      </c>
      <c r="CV227" s="233" t="e">
        <f t="shared" si="140"/>
        <v>#DIV/0!</v>
      </c>
    </row>
    <row r="228" spans="1:100" ht="56">
      <c r="A228" s="36" t="s">
        <v>5554</v>
      </c>
      <c r="B228" s="36" t="s">
        <v>4947</v>
      </c>
      <c r="C228" s="36" t="s">
        <v>5112</v>
      </c>
      <c r="D228" s="36" t="s">
        <v>4949</v>
      </c>
      <c r="E228" s="36">
        <v>38</v>
      </c>
      <c r="F228" s="36" t="s">
        <v>5555</v>
      </c>
      <c r="G228" s="36" t="s">
        <v>5629</v>
      </c>
      <c r="H228" s="36" t="s">
        <v>5115</v>
      </c>
      <c r="I228" s="36" t="s">
        <v>4956</v>
      </c>
      <c r="M228" s="36" t="s">
        <v>5497</v>
      </c>
      <c r="N228" s="36">
        <v>0.3583165186559466</v>
      </c>
      <c r="O228" s="233">
        <f>O226/O218</f>
        <v>0.27196428994034627</v>
      </c>
      <c r="P228" s="233" t="e">
        <f t="shared" ref="P228:CA228" si="141">P226/P218</f>
        <v>#DIV/0!</v>
      </c>
      <c r="Q228" s="233" t="e">
        <f t="shared" si="141"/>
        <v>#DIV/0!</v>
      </c>
      <c r="R228" s="233" t="e">
        <f t="shared" si="141"/>
        <v>#DIV/0!</v>
      </c>
      <c r="S228" s="233" t="e">
        <f t="shared" si="141"/>
        <v>#DIV/0!</v>
      </c>
      <c r="T228" s="233">
        <f t="shared" si="141"/>
        <v>0</v>
      </c>
      <c r="U228" s="233">
        <f t="shared" si="141"/>
        <v>4.5333333333333332</v>
      </c>
      <c r="V228" s="233">
        <f t="shared" si="141"/>
        <v>0.15490375802016498</v>
      </c>
      <c r="W228" s="233">
        <f t="shared" si="141"/>
        <v>0</v>
      </c>
      <c r="X228" s="233" t="e">
        <f t="shared" si="141"/>
        <v>#DIV/0!</v>
      </c>
      <c r="Y228" s="233" t="e">
        <f t="shared" si="141"/>
        <v>#DIV/0!</v>
      </c>
      <c r="Z228" s="233" t="e">
        <f t="shared" si="141"/>
        <v>#DIV/0!</v>
      </c>
      <c r="AA228" s="233" t="e">
        <f t="shared" si="141"/>
        <v>#DIV/0!</v>
      </c>
      <c r="AB228" s="233">
        <f t="shared" si="141"/>
        <v>0</v>
      </c>
      <c r="AC228" s="233" t="e">
        <f t="shared" si="141"/>
        <v>#DIV/0!</v>
      </c>
      <c r="AD228" s="233" t="e">
        <f t="shared" si="141"/>
        <v>#DIV/0!</v>
      </c>
      <c r="AE228" s="233" t="e">
        <f t="shared" si="141"/>
        <v>#DIV/0!</v>
      </c>
      <c r="AF228" s="233" t="e">
        <f t="shared" si="141"/>
        <v>#DIV/0!</v>
      </c>
      <c r="AG228" s="233" t="e">
        <f t="shared" si="141"/>
        <v>#DIV/0!</v>
      </c>
      <c r="AH228" s="233" t="e">
        <f t="shared" si="141"/>
        <v>#DIV/0!</v>
      </c>
      <c r="AI228" s="233" t="e">
        <f t="shared" si="141"/>
        <v>#DIV/0!</v>
      </c>
      <c r="AJ228" s="233">
        <f t="shared" si="141"/>
        <v>0</v>
      </c>
      <c r="AK228" s="233" t="e">
        <f t="shared" si="141"/>
        <v>#DIV/0!</v>
      </c>
      <c r="AL228" s="233" t="e">
        <f t="shared" si="141"/>
        <v>#DIV/0!</v>
      </c>
      <c r="AM228" s="233">
        <f t="shared" si="141"/>
        <v>6.3478603341555362E-2</v>
      </c>
      <c r="AN228" s="233" t="e">
        <f t="shared" si="141"/>
        <v>#DIV/0!</v>
      </c>
      <c r="AO228" s="233" t="e">
        <f t="shared" si="141"/>
        <v>#DIV/0!</v>
      </c>
      <c r="AP228" s="233" t="e">
        <f t="shared" si="141"/>
        <v>#DIV/0!</v>
      </c>
      <c r="AQ228" s="233" t="e">
        <f t="shared" si="141"/>
        <v>#DIV/0!</v>
      </c>
      <c r="AR228" s="233" t="e">
        <f t="shared" si="141"/>
        <v>#DIV/0!</v>
      </c>
      <c r="AS228" s="233" t="e">
        <f t="shared" si="141"/>
        <v>#DIV/0!</v>
      </c>
      <c r="AT228" s="233" t="e">
        <f t="shared" si="141"/>
        <v>#DIV/0!</v>
      </c>
      <c r="AU228" s="233">
        <f t="shared" si="141"/>
        <v>3.2816628797441729</v>
      </c>
      <c r="AV228" s="233">
        <f t="shared" si="141"/>
        <v>2.7982779827798277E-2</v>
      </c>
      <c r="AW228" s="233" t="e">
        <f t="shared" si="141"/>
        <v>#DIV/0!</v>
      </c>
      <c r="AX228" s="233" t="e">
        <f t="shared" si="141"/>
        <v>#DIV/0!</v>
      </c>
      <c r="AY228" s="233" t="e">
        <f t="shared" si="141"/>
        <v>#DIV/0!</v>
      </c>
      <c r="AZ228" s="233">
        <f t="shared" si="141"/>
        <v>0</v>
      </c>
      <c r="BA228" s="233" t="e">
        <f t="shared" si="141"/>
        <v>#DIV/0!</v>
      </c>
      <c r="BB228" s="233" t="e">
        <f t="shared" si="141"/>
        <v>#DIV/0!</v>
      </c>
      <c r="BC228" s="233" t="e">
        <f t="shared" si="141"/>
        <v>#DIV/0!</v>
      </c>
      <c r="BD228" s="233" t="e">
        <f t="shared" si="141"/>
        <v>#DIV/0!</v>
      </c>
      <c r="BE228" s="233" t="e">
        <f t="shared" si="141"/>
        <v>#DIV/0!</v>
      </c>
      <c r="BF228" s="233">
        <f t="shared" si="141"/>
        <v>6.7567567567567557E-2</v>
      </c>
      <c r="BG228" s="233" t="e">
        <f t="shared" si="141"/>
        <v>#DIV/0!</v>
      </c>
      <c r="BH228" s="233" t="e">
        <f t="shared" si="141"/>
        <v>#DIV/0!</v>
      </c>
      <c r="BI228" s="233" t="e">
        <f t="shared" si="141"/>
        <v>#DIV/0!</v>
      </c>
      <c r="BJ228" s="233" t="e">
        <f t="shared" si="141"/>
        <v>#DIV/0!</v>
      </c>
      <c r="BK228" s="233" t="e">
        <f t="shared" si="141"/>
        <v>#DIV/0!</v>
      </c>
      <c r="BL228" s="233">
        <f t="shared" si="141"/>
        <v>3.8927999999999997E-2</v>
      </c>
      <c r="BM228" s="233">
        <f t="shared" si="141"/>
        <v>4.5727348295926853E-2</v>
      </c>
      <c r="BN228" s="233" t="e">
        <f t="shared" si="141"/>
        <v>#DIV/0!</v>
      </c>
      <c r="BO228" s="233">
        <f t="shared" si="141"/>
        <v>0</v>
      </c>
      <c r="BP228" s="233" t="e">
        <f t="shared" si="141"/>
        <v>#DIV/0!</v>
      </c>
      <c r="BQ228" s="233" t="e">
        <f t="shared" si="141"/>
        <v>#DIV/0!</v>
      </c>
      <c r="BR228" s="233" t="e">
        <f t="shared" si="141"/>
        <v>#DIV/0!</v>
      </c>
      <c r="BS228" s="233">
        <f t="shared" si="141"/>
        <v>8.4494382022471903</v>
      </c>
      <c r="BT228" s="233" t="e">
        <f t="shared" si="141"/>
        <v>#DIV/0!</v>
      </c>
      <c r="BU228" s="233">
        <f t="shared" si="141"/>
        <v>1.6056952679024048E-2</v>
      </c>
      <c r="BV228" s="233" t="e">
        <f t="shared" si="141"/>
        <v>#DIV/0!</v>
      </c>
      <c r="BW228" s="233" t="e">
        <f t="shared" si="141"/>
        <v>#DIV/0!</v>
      </c>
      <c r="BX228" s="233" t="e">
        <f t="shared" si="141"/>
        <v>#DIV/0!</v>
      </c>
      <c r="BY228" s="233" t="e">
        <f t="shared" si="141"/>
        <v>#DIV/0!</v>
      </c>
      <c r="BZ228" s="233">
        <f t="shared" si="141"/>
        <v>0.12115274164667722</v>
      </c>
      <c r="CA228" s="233" t="e">
        <f t="shared" si="141"/>
        <v>#DIV/0!</v>
      </c>
      <c r="CB228" s="233" t="e">
        <f t="shared" ref="CB228:CV228" si="142">CB226/CB218</f>
        <v>#DIV/0!</v>
      </c>
      <c r="CC228" s="233" t="e">
        <f t="shared" si="142"/>
        <v>#DIV/0!</v>
      </c>
      <c r="CD228" s="233">
        <f t="shared" si="142"/>
        <v>0.36448235750290808</v>
      </c>
      <c r="CE228" s="233" t="e">
        <f t="shared" si="142"/>
        <v>#DIV/0!</v>
      </c>
      <c r="CF228" s="233" t="e">
        <f t="shared" si="142"/>
        <v>#DIV/0!</v>
      </c>
      <c r="CG228" s="233" t="e">
        <f t="shared" si="142"/>
        <v>#DIV/0!</v>
      </c>
      <c r="CH228" s="233" t="e">
        <f t="shared" si="142"/>
        <v>#DIV/0!</v>
      </c>
      <c r="CI228" s="233" t="e">
        <f t="shared" si="142"/>
        <v>#DIV/0!</v>
      </c>
      <c r="CJ228" s="233" t="e">
        <f t="shared" si="142"/>
        <v>#DIV/0!</v>
      </c>
      <c r="CK228" s="233" t="e">
        <f t="shared" si="142"/>
        <v>#DIV/0!</v>
      </c>
      <c r="CL228" s="233">
        <f t="shared" si="142"/>
        <v>0.31573398928226298</v>
      </c>
      <c r="CM228" s="233">
        <f t="shared" si="142"/>
        <v>0</v>
      </c>
      <c r="CN228" s="233" t="e">
        <f t="shared" si="142"/>
        <v>#DIV/0!</v>
      </c>
      <c r="CO228" s="233" t="e">
        <f t="shared" si="142"/>
        <v>#DIV/0!</v>
      </c>
      <c r="CP228" s="233">
        <f t="shared" si="142"/>
        <v>0.10394654900628959</v>
      </c>
      <c r="CQ228" s="233">
        <f t="shared" si="142"/>
        <v>0</v>
      </c>
      <c r="CR228" s="233" t="e">
        <f t="shared" si="142"/>
        <v>#DIV/0!</v>
      </c>
      <c r="CS228" s="233">
        <f t="shared" si="142"/>
        <v>0</v>
      </c>
      <c r="CT228" s="233" t="e">
        <f t="shared" si="142"/>
        <v>#DIV/0!</v>
      </c>
      <c r="CU228" s="233">
        <f t="shared" si="142"/>
        <v>0.17961364771006824</v>
      </c>
      <c r="CV228" s="233" t="e">
        <f t="shared" si="142"/>
        <v>#DIV/0!</v>
      </c>
    </row>
    <row r="229" spans="1:100" s="325" customFormat="1" ht="42">
      <c r="A229" s="325" t="s">
        <v>5557</v>
      </c>
      <c r="B229" s="325" t="s">
        <v>4990</v>
      </c>
      <c r="C229" s="325" t="s">
        <v>5117</v>
      </c>
      <c r="D229" s="325" t="s">
        <v>4949</v>
      </c>
      <c r="E229" s="325">
        <v>39</v>
      </c>
      <c r="F229" s="325" t="s">
        <v>5558</v>
      </c>
      <c r="G229" s="325" t="s">
        <v>5630</v>
      </c>
      <c r="H229" s="325" t="s">
        <v>5082</v>
      </c>
      <c r="I229" s="325" t="s">
        <v>4961</v>
      </c>
      <c r="L229" s="325" t="s">
        <v>278</v>
      </c>
      <c r="M229" s="325" t="s">
        <v>5497</v>
      </c>
      <c r="O229" s="329">
        <f>SUM(P229:CV229)</f>
        <v>0</v>
      </c>
      <c r="P229" s="325">
        <f>SUMIFS('свод практик'!$BG$6:$BG$277,'свод практик'!$J$6:$J$277,'свод субъектов ИБ+смежные'!P$1,'свод практик'!$H$6:$H$277,"мун")</f>
        <v>0</v>
      </c>
      <c r="Q229" s="325">
        <f>SUMIFS('свод практик'!$BG$6:$BG$277,'свод практик'!$J$6:$J$277,'свод субъектов ИБ+смежные'!Q$1,'свод практик'!$H$6:$H$277,"мун")</f>
        <v>0</v>
      </c>
      <c r="R229" s="325">
        <f>SUMIFS('свод практик'!$BG$6:$BG$277,'свод практик'!$J$6:$J$277,'свод субъектов ИБ+смежные'!R$1,'свод практик'!$H$6:$H$277,"мун")</f>
        <v>0</v>
      </c>
      <c r="S229" s="325">
        <f>SUMIFS('свод практик'!$BG$6:$BG$277,'свод практик'!$J$6:$J$277,'свод субъектов ИБ+смежные'!S$1,'свод практик'!$H$6:$H$277,"мун")</f>
        <v>0</v>
      </c>
      <c r="T229" s="325">
        <f>SUMIFS('свод практик'!$BG$6:$BG$277,'свод практик'!$J$6:$J$277,'свод субъектов ИБ+смежные'!T$1,'свод практик'!$H$6:$H$277,"мун")</f>
        <v>0</v>
      </c>
      <c r="U229" s="325">
        <f>SUMIFS('свод практик'!$BG$6:$BG$277,'свод практик'!$J$6:$J$277,'свод субъектов ИБ+смежные'!U$1,'свод практик'!$H$6:$H$277,"мун")</f>
        <v>0</v>
      </c>
      <c r="V229" s="325">
        <f>SUMIFS('свод практик'!$BG$6:$BG$277,'свод практик'!$J$6:$J$277,'свод субъектов ИБ+смежные'!V$1,'свод практик'!$H$6:$H$277,"мун")</f>
        <v>0</v>
      </c>
      <c r="W229" s="325">
        <f>SUMIFS('свод практик'!$BG$6:$BG$277,'свод практик'!$J$6:$J$277,'свод субъектов ИБ+смежные'!W$1,'свод практик'!$H$6:$H$277,"мун")</f>
        <v>0</v>
      </c>
      <c r="X229" s="325">
        <f>SUMIFS('свод практик'!$BG$6:$BG$277,'свод практик'!$J$6:$J$277,'свод субъектов ИБ+смежные'!X$1,'свод практик'!$H$6:$H$277,"мун")</f>
        <v>0</v>
      </c>
      <c r="Y229" s="325">
        <f>SUMIFS('свод практик'!$BG$6:$BG$277,'свод практик'!$J$6:$J$277,'свод субъектов ИБ+смежные'!Y$1,'свод практик'!$H$6:$H$277,"мун")</f>
        <v>0</v>
      </c>
      <c r="Z229" s="325">
        <f>SUMIFS('свод практик'!$BG$6:$BG$277,'свод практик'!$J$6:$J$277,'свод субъектов ИБ+смежные'!Z$1,'свод практик'!$H$6:$H$277,"мун")</f>
        <v>0</v>
      </c>
      <c r="AA229" s="325">
        <f>SUMIFS('свод практик'!$BG$6:$BG$277,'свод практик'!$J$6:$J$277,'свод субъектов ИБ+смежные'!AA$1,'свод практик'!$H$6:$H$277,"мун")</f>
        <v>0</v>
      </c>
      <c r="AB229" s="325">
        <f>SUMIFS('свод практик'!$BG$6:$BG$277,'свод практик'!$J$6:$J$277,'свод субъектов ИБ+смежные'!AB$1,'свод практик'!$H$6:$H$277,"мун")</f>
        <v>0</v>
      </c>
      <c r="AC229" s="325">
        <f>SUMIFS('свод практик'!$BG$6:$BG$277,'свод практик'!$J$6:$J$277,'свод субъектов ИБ+смежные'!AC$1,'свод практик'!$H$6:$H$277,"мун")</f>
        <v>0</v>
      </c>
      <c r="AD229" s="325">
        <f>SUMIFS('свод практик'!$BG$6:$BG$277,'свод практик'!$J$6:$J$277,'свод субъектов ИБ+смежные'!AD$1,'свод практик'!$H$6:$H$277,"мун")</f>
        <v>0</v>
      </c>
      <c r="AE229" s="325">
        <f>SUMIFS('свод практик'!$BG$6:$BG$277,'свод практик'!$J$6:$J$277,'свод субъектов ИБ+смежные'!AE$1,'свод практик'!$H$6:$H$277,"мун")</f>
        <v>0</v>
      </c>
      <c r="AF229" s="325">
        <f>SUMIFS('свод практик'!$BG$6:$BG$277,'свод практик'!$J$6:$J$277,'свод субъектов ИБ+смежные'!AF$1,'свод практик'!$H$6:$H$277,"мун")</f>
        <v>0</v>
      </c>
      <c r="AG229" s="325">
        <f>SUMIFS('свод практик'!$BG$6:$BG$277,'свод практик'!$J$6:$J$277,'свод субъектов ИБ+смежные'!AG$1,'свод практик'!$H$6:$H$277,"мун")</f>
        <v>0</v>
      </c>
      <c r="AH229" s="325">
        <f>SUMIFS('свод практик'!$BG$6:$BG$277,'свод практик'!$J$6:$J$277,'свод субъектов ИБ+смежные'!AH$1,'свод практик'!$H$6:$H$277,"мун")</f>
        <v>0</v>
      </c>
      <c r="AI229" s="325">
        <f>SUMIFS('свод практик'!$BG$6:$BG$277,'свод практик'!$J$6:$J$277,'свод субъектов ИБ+смежные'!AI$1,'свод практик'!$H$6:$H$277,"мун")</f>
        <v>0</v>
      </c>
      <c r="AJ229" s="325">
        <f>SUMIFS('свод практик'!$BG$6:$BG$277,'свод практик'!$J$6:$J$277,'свод субъектов ИБ+смежные'!AJ$1,'свод практик'!$H$6:$H$277,"мун")</f>
        <v>0</v>
      </c>
      <c r="AK229" s="325">
        <f>SUMIFS('свод практик'!$BG$6:$BG$277,'свод практик'!$J$6:$J$277,'свод субъектов ИБ+смежные'!AK$1,'свод практик'!$H$6:$H$277,"мун")</f>
        <v>0</v>
      </c>
      <c r="AL229" s="325">
        <f>SUMIFS('свод практик'!$BG$6:$BG$277,'свод практик'!$J$6:$J$277,'свод субъектов ИБ+смежные'!AL$1,'свод практик'!$H$6:$H$277,"мун")</f>
        <v>0</v>
      </c>
      <c r="AM229" s="325">
        <f>SUMIFS('свод практик'!$BG$6:$BG$277,'свод практик'!$J$6:$J$277,'свод субъектов ИБ+смежные'!AM$1,'свод практик'!$H$6:$H$277,"мун")</f>
        <v>0</v>
      </c>
      <c r="AN229" s="325">
        <f>SUMIFS('свод практик'!$BG$6:$BG$277,'свод практик'!$J$6:$J$277,'свод субъектов ИБ+смежные'!AN$1,'свод практик'!$H$6:$H$277,"мун")</f>
        <v>0</v>
      </c>
      <c r="AO229" s="325">
        <f>SUMIFS('свод практик'!$BG$6:$BG$277,'свод практик'!$J$6:$J$277,'свод субъектов ИБ+смежные'!AO$1,'свод практик'!$H$6:$H$277,"мун")</f>
        <v>0</v>
      </c>
      <c r="AP229" s="325">
        <f>SUMIFS('свод практик'!$BG$6:$BG$277,'свод практик'!$J$6:$J$277,'свод субъектов ИБ+смежные'!AP$1,'свод практик'!$H$6:$H$277,"мун")</f>
        <v>0</v>
      </c>
      <c r="AQ229" s="325">
        <f>SUMIFS('свод практик'!$BG$6:$BG$277,'свод практик'!$J$6:$J$277,'свод субъектов ИБ+смежные'!AQ$1,'свод практик'!$H$6:$H$277,"мун")</f>
        <v>0</v>
      </c>
      <c r="AR229" s="325">
        <f>SUMIFS('свод практик'!$BG$6:$BG$277,'свод практик'!$J$6:$J$277,'свод субъектов ИБ+смежные'!AR$1,'свод практик'!$H$6:$H$277,"мун")</f>
        <v>0</v>
      </c>
      <c r="AS229" s="325">
        <f>SUMIFS('свод практик'!$BG$6:$BG$277,'свод практик'!$J$6:$J$277,'свод субъектов ИБ+смежные'!AS$1,'свод практик'!$H$6:$H$277,"мун")</f>
        <v>0</v>
      </c>
      <c r="AT229" s="325">
        <f>SUMIFS('свод практик'!$BG$6:$BG$277,'свод практик'!$J$6:$J$277,'свод субъектов ИБ+смежные'!AT$1,'свод практик'!$H$6:$H$277,"мун")</f>
        <v>0</v>
      </c>
      <c r="AU229" s="325">
        <f>SUMIFS('свод практик'!$BG$6:$BG$277,'свод практик'!$J$6:$J$277,'свод субъектов ИБ+смежные'!AU$1,'свод практик'!$H$6:$H$277,"мун")</f>
        <v>0</v>
      </c>
      <c r="AV229" s="325">
        <f>SUMIFS('свод практик'!$BG$6:$BG$277,'свод практик'!$J$6:$J$277,'свод субъектов ИБ+смежные'!AV$1,'свод практик'!$H$6:$H$277,"мун")</f>
        <v>0</v>
      </c>
      <c r="AW229" s="325">
        <f>SUMIFS('свод практик'!$BG$6:$BG$277,'свод практик'!$J$6:$J$277,'свод субъектов ИБ+смежные'!AW$1,'свод практик'!$H$6:$H$277,"мун")</f>
        <v>0</v>
      </c>
      <c r="AX229" s="325">
        <f>SUMIFS('свод практик'!$BG$6:$BG$277,'свод практик'!$J$6:$J$277,'свод субъектов ИБ+смежные'!AX$1,'свод практик'!$H$6:$H$277,"мун")</f>
        <v>0</v>
      </c>
      <c r="AY229" s="325">
        <f>SUMIFS('свод практик'!$BG$6:$BG$277,'свод практик'!$J$6:$J$277,'свод субъектов ИБ+смежные'!AY$1,'свод практик'!$H$6:$H$277,"мун")</f>
        <v>0</v>
      </c>
      <c r="AZ229" s="325">
        <f>SUMIFS('свод практик'!$BG$6:$BG$277,'свод практик'!$J$6:$J$277,'свод субъектов ИБ+смежные'!AZ$1,'свод практик'!$H$6:$H$277,"мун")</f>
        <v>0</v>
      </c>
      <c r="BA229" s="325">
        <f>SUMIFS('свод практик'!$BG$6:$BG$277,'свод практик'!$J$6:$J$277,'свод субъектов ИБ+смежные'!BA$1,'свод практик'!$H$6:$H$277,"мун")</f>
        <v>0</v>
      </c>
      <c r="BB229" s="325">
        <f>SUMIFS('свод практик'!$BG$6:$BG$277,'свод практик'!$J$6:$J$277,'свод субъектов ИБ+смежные'!BB$1,'свод практик'!$H$6:$H$277,"мун")</f>
        <v>0</v>
      </c>
      <c r="BC229" s="325">
        <f>SUMIFS('свод практик'!$BG$6:$BG$277,'свод практик'!$J$6:$J$277,'свод субъектов ИБ+смежные'!BC$1,'свод практик'!$H$6:$H$277,"мун")</f>
        <v>0</v>
      </c>
      <c r="BD229" s="325">
        <f>SUMIFS('свод практик'!$BG$6:$BG$277,'свод практик'!$J$6:$J$277,'свод субъектов ИБ+смежные'!BD$1,'свод практик'!$H$6:$H$277,"мун")</f>
        <v>0</v>
      </c>
      <c r="BE229" s="325">
        <f>SUMIFS('свод практик'!$BG$6:$BG$277,'свод практик'!$J$6:$J$277,'свод субъектов ИБ+смежные'!BE$1,'свод практик'!$H$6:$H$277,"мун")</f>
        <v>0</v>
      </c>
      <c r="BF229" s="325">
        <f>SUMIFS('свод практик'!$BG$6:$BG$277,'свод практик'!$J$6:$J$277,'свод субъектов ИБ+смежные'!BF$1,'свод практик'!$H$6:$H$277,"мун")</f>
        <v>0</v>
      </c>
      <c r="BG229" s="325">
        <f>SUMIFS('свод практик'!$BG$6:$BG$277,'свод практик'!$J$6:$J$277,'свод субъектов ИБ+смежные'!BG$1,'свод практик'!$H$6:$H$277,"мун")</f>
        <v>0</v>
      </c>
      <c r="BH229" s="325">
        <f>SUMIFS('свод практик'!$BG$6:$BG$277,'свод практик'!$J$6:$J$277,'свод субъектов ИБ+смежные'!BH$1,'свод практик'!$H$6:$H$277,"мун")</f>
        <v>0</v>
      </c>
      <c r="BI229" s="325">
        <f>SUMIFS('свод практик'!$BG$6:$BG$277,'свод практик'!$J$6:$J$277,'свод субъектов ИБ+смежные'!BI$1,'свод практик'!$H$6:$H$277,"мун")</f>
        <v>0</v>
      </c>
      <c r="BJ229" s="325">
        <f>SUMIFS('свод практик'!$BG$6:$BG$277,'свод практик'!$J$6:$J$277,'свод субъектов ИБ+смежные'!BJ$1,'свод практик'!$H$6:$H$277,"мун")</f>
        <v>0</v>
      </c>
      <c r="BK229" s="325">
        <f>SUMIFS('свод практик'!$BG$6:$BG$277,'свод практик'!$J$6:$J$277,'свод субъектов ИБ+смежные'!BK$1,'свод практик'!$H$6:$H$277,"мун")</f>
        <v>0</v>
      </c>
      <c r="BL229" s="325">
        <f>SUMIFS('свод практик'!$BG$6:$BG$277,'свод практик'!$J$6:$J$277,'свод субъектов ИБ+смежные'!BL$1,'свод практик'!$H$6:$H$277,"мун")</f>
        <v>0</v>
      </c>
      <c r="BM229" s="325">
        <f>SUMIFS('свод практик'!$BG$6:$BG$277,'свод практик'!$J$6:$J$277,'свод субъектов ИБ+смежные'!BM$1,'свод практик'!$H$6:$H$277,"мун")</f>
        <v>0</v>
      </c>
      <c r="BN229" s="325">
        <f>SUMIFS('свод практик'!$BG$6:$BG$277,'свод практик'!$J$6:$J$277,'свод субъектов ИБ+смежные'!BN$1,'свод практик'!$H$6:$H$277,"мун")</f>
        <v>0</v>
      </c>
      <c r="BO229" s="325">
        <f>SUMIFS('свод практик'!$BG$6:$BG$277,'свод практик'!$J$6:$J$277,'свод субъектов ИБ+смежные'!BO$1,'свод практик'!$H$6:$H$277,"мун")</f>
        <v>0</v>
      </c>
      <c r="BP229" s="325">
        <f>SUMIFS('свод практик'!$BG$6:$BG$277,'свод практик'!$J$6:$J$277,'свод субъектов ИБ+смежные'!BP$1,'свод практик'!$H$6:$H$277,"мун")</f>
        <v>0</v>
      </c>
      <c r="BQ229" s="325">
        <f>SUMIFS('свод практик'!$BG$6:$BG$277,'свод практик'!$J$6:$J$277,'свод субъектов ИБ+смежные'!BQ$1,'свод практик'!$H$6:$H$277,"мун")</f>
        <v>0</v>
      </c>
      <c r="BR229" s="325">
        <f>SUMIFS('свод практик'!$BG$6:$BG$277,'свод практик'!$J$6:$J$277,'свод субъектов ИБ+смежные'!BR$1,'свод практик'!$H$6:$H$277,"мун")</f>
        <v>0</v>
      </c>
      <c r="BS229" s="325">
        <f>SUMIFS('свод практик'!$BG$6:$BG$277,'свод практик'!$J$6:$J$277,'свод субъектов ИБ+смежные'!BS$1,'свод практик'!$H$6:$H$277,"мун")</f>
        <v>0</v>
      </c>
      <c r="BT229" s="325">
        <f>SUMIFS('свод практик'!$BG$6:$BG$277,'свод практик'!$J$6:$J$277,'свод субъектов ИБ+смежные'!BT$1,'свод практик'!$H$6:$H$277,"мун")</f>
        <v>0</v>
      </c>
      <c r="BU229" s="325">
        <f>SUMIFS('свод практик'!$BG$6:$BG$277,'свод практик'!$J$6:$J$277,'свод субъектов ИБ+смежные'!BU$1,'свод практик'!$H$6:$H$277,"мун")</f>
        <v>0</v>
      </c>
      <c r="BV229" s="325">
        <f>SUMIFS('свод практик'!$BG$6:$BG$277,'свод практик'!$J$6:$J$277,'свод субъектов ИБ+смежные'!BV$1,'свод практик'!$H$6:$H$277,"мун")</f>
        <v>0</v>
      </c>
      <c r="BW229" s="325">
        <f>SUMIFS('свод практик'!$BG$6:$BG$277,'свод практик'!$J$6:$J$277,'свод субъектов ИБ+смежные'!BW$1,'свод практик'!$H$6:$H$277,"мун")</f>
        <v>0</v>
      </c>
      <c r="BX229" s="325">
        <f>SUMIFS('свод практик'!$BG$6:$BG$277,'свод практик'!$J$6:$J$277,'свод субъектов ИБ+смежные'!BX$1,'свод практик'!$H$6:$H$277,"мун")</f>
        <v>0</v>
      </c>
      <c r="BY229" s="325">
        <f>SUMIFS('свод практик'!$BG$6:$BG$277,'свод практик'!$J$6:$J$277,'свод субъектов ИБ+смежные'!BY$1,'свод практик'!$H$6:$H$277,"мун")</f>
        <v>0</v>
      </c>
      <c r="BZ229" s="325">
        <f>SUMIFS('свод практик'!$BG$6:$BG$277,'свод практик'!$J$6:$J$277,'свод субъектов ИБ+смежные'!BZ$1,'свод практик'!$H$6:$H$277,"мун")</f>
        <v>0</v>
      </c>
      <c r="CA229" s="325">
        <f>SUMIFS('свод практик'!$BG$6:$BG$277,'свод практик'!$J$6:$J$277,'свод субъектов ИБ+смежные'!CA$1,'свод практик'!$H$6:$H$277,"мун")</f>
        <v>0</v>
      </c>
      <c r="CB229" s="325">
        <f>SUMIFS('свод практик'!$BG$6:$BG$277,'свод практик'!$J$6:$J$277,'свод субъектов ИБ+смежные'!CB$1,'свод практик'!$H$6:$H$277,"мун")</f>
        <v>0</v>
      </c>
      <c r="CC229" s="325">
        <f>SUMIFS('свод практик'!$BG$6:$BG$277,'свод практик'!$J$6:$J$277,'свод субъектов ИБ+смежные'!CC$1,'свод практик'!$H$6:$H$277,"мун")</f>
        <v>0</v>
      </c>
      <c r="CD229" s="325">
        <f>SUMIFS('свод практик'!$BG$6:$BG$277,'свод практик'!$J$6:$J$277,'свод субъектов ИБ+смежные'!CD$1,'свод практик'!$H$6:$H$277,"мун")</f>
        <v>0</v>
      </c>
      <c r="CE229" s="325">
        <f>SUMIFS('свод практик'!$BG$6:$BG$277,'свод практик'!$J$6:$J$277,'свод субъектов ИБ+смежные'!CE$1,'свод практик'!$H$6:$H$277,"мун")</f>
        <v>0</v>
      </c>
      <c r="CF229" s="325">
        <f>SUMIFS('свод практик'!$BG$6:$BG$277,'свод практик'!$J$6:$J$277,'свод субъектов ИБ+смежные'!CF$1,'свод практик'!$H$6:$H$277,"мун")</f>
        <v>0</v>
      </c>
      <c r="CG229" s="325">
        <f>SUMIFS('свод практик'!$BG$6:$BG$277,'свод практик'!$J$6:$J$277,'свод субъектов ИБ+смежные'!CG$1,'свод практик'!$H$6:$H$277,"мун")</f>
        <v>0</v>
      </c>
      <c r="CH229" s="325">
        <f>SUMIFS('свод практик'!$BG$6:$BG$277,'свод практик'!$J$6:$J$277,'свод субъектов ИБ+смежные'!CH$1,'свод практик'!$H$6:$H$277,"мун")</f>
        <v>0</v>
      </c>
      <c r="CI229" s="325">
        <f>SUMIFS('свод практик'!$BG$6:$BG$277,'свод практик'!$J$6:$J$277,'свод субъектов ИБ+смежные'!CI$1,'свод практик'!$H$6:$H$277,"мун")</f>
        <v>0</v>
      </c>
      <c r="CJ229" s="325">
        <f>SUMIFS('свод практик'!$BG$6:$BG$277,'свод практик'!$J$6:$J$277,'свод субъектов ИБ+смежные'!CJ$1,'свод практик'!$H$6:$H$277,"мун")</f>
        <v>0</v>
      </c>
      <c r="CK229" s="325">
        <f>SUMIFS('свод практик'!$BG$6:$BG$277,'свод практик'!$J$6:$J$277,'свод субъектов ИБ+смежные'!CK$1,'свод практик'!$H$6:$H$277,"мун")</f>
        <v>0</v>
      </c>
      <c r="CL229" s="325">
        <f>SUMIFS('свод практик'!$BG$6:$BG$277,'свод практик'!$J$6:$J$277,'свод субъектов ИБ+смежные'!CL$1,'свод практик'!$H$6:$H$277,"мун")</f>
        <v>0</v>
      </c>
      <c r="CM229" s="325">
        <f>SUMIFS('свод практик'!$BG$6:$BG$277,'свод практик'!$J$6:$J$277,'свод субъектов ИБ+смежные'!CM$1,'свод практик'!$H$6:$H$277,"мун")</f>
        <v>0</v>
      </c>
      <c r="CN229" s="325">
        <f>SUMIFS('свод практик'!$BG$6:$BG$277,'свод практик'!$J$6:$J$277,'свод субъектов ИБ+смежные'!CN$1,'свод практик'!$H$6:$H$277,"мун")</f>
        <v>0</v>
      </c>
      <c r="CO229" s="325">
        <f>SUMIFS('свод практик'!$BG$6:$BG$277,'свод практик'!$J$6:$J$277,'свод субъектов ИБ+смежные'!CO$1,'свод практик'!$H$6:$H$277,"мун")</f>
        <v>0</v>
      </c>
      <c r="CP229" s="325">
        <f>SUMIFS('свод практик'!$BG$6:$BG$277,'свод практик'!$J$6:$J$277,'свод субъектов ИБ+смежные'!CP$1,'свод практик'!$H$6:$H$277,"мун")</f>
        <v>0</v>
      </c>
      <c r="CQ229" s="325">
        <f>SUMIFS('свод практик'!$BG$6:$BG$277,'свод практик'!$J$6:$J$277,'свод субъектов ИБ+смежные'!CQ$1,'свод практик'!$H$6:$H$277,"мун")</f>
        <v>0</v>
      </c>
      <c r="CR229" s="325">
        <f>SUMIFS('свод практик'!$BG$6:$BG$277,'свод практик'!$J$6:$J$277,'свод субъектов ИБ+смежные'!CR$1,'свод практик'!$H$6:$H$277,"мун")</f>
        <v>0</v>
      </c>
      <c r="CS229" s="325">
        <f>SUMIFS('свод практик'!$BG$6:$BG$277,'свод практик'!$J$6:$J$277,'свод субъектов ИБ+смежные'!CS$1,'свод практик'!$H$6:$H$277,"мун")</f>
        <v>0</v>
      </c>
      <c r="CT229" s="325">
        <f>SUMIFS('свод практик'!$BG$6:$BG$277,'свод практик'!$J$6:$J$277,'свод субъектов ИБ+смежные'!CT$1,'свод практик'!$H$6:$H$277,"мун")</f>
        <v>0</v>
      </c>
      <c r="CU229" s="325">
        <f>SUMIFS('свод практик'!$BG$6:$BG$277,'свод практик'!$J$6:$J$277,'свод субъектов ИБ+смежные'!CU$1,'свод практик'!$H$6:$H$277,"мун")</f>
        <v>0</v>
      </c>
      <c r="CV229" s="325">
        <f>SUMIFS('свод практик'!$BG$6:$BG$277,'свод практик'!$J$6:$J$277,'свод субъектов ИБ+смежные'!CV$1,'свод практик'!$H$6:$H$277,"мун")</f>
        <v>0</v>
      </c>
    </row>
    <row r="230" spans="1:100" s="325" customFormat="1" ht="29">
      <c r="D230" s="325" t="s">
        <v>4949</v>
      </c>
      <c r="E230" s="325">
        <v>40</v>
      </c>
      <c r="F230" s="325" t="s">
        <v>5560</v>
      </c>
      <c r="G230" s="325" t="s">
        <v>5623</v>
      </c>
      <c r="H230" s="325" t="s">
        <v>60</v>
      </c>
      <c r="I230" s="325" t="s">
        <v>5090</v>
      </c>
      <c r="M230" s="325" t="s">
        <v>5497</v>
      </c>
      <c r="O230" s="329"/>
      <c r="Q230" s="331"/>
      <c r="R230" s="331"/>
      <c r="S230" s="332"/>
    </row>
    <row r="231" spans="1:100" ht="70">
      <c r="A231" s="36" t="s">
        <v>5561</v>
      </c>
      <c r="B231" s="36" t="s">
        <v>4990</v>
      </c>
      <c r="C231" s="36" t="s">
        <v>5121</v>
      </c>
      <c r="D231" s="36" t="s">
        <v>4949</v>
      </c>
      <c r="E231" s="36">
        <v>41</v>
      </c>
      <c r="F231" s="36" t="s">
        <v>5562</v>
      </c>
      <c r="G231" s="189" t="s">
        <v>5631</v>
      </c>
      <c r="H231" s="36" t="s">
        <v>60</v>
      </c>
      <c r="I231" s="36" t="s">
        <v>4961</v>
      </c>
      <c r="M231" s="36" t="s">
        <v>5497</v>
      </c>
      <c r="N231" s="36" t="s">
        <v>5476</v>
      </c>
      <c r="O231" s="36" t="s">
        <v>5476</v>
      </c>
      <c r="P231" s="145">
        <f>SUMIFS('свод практик'!$AR$6:$AR$277,'свод практик'!$J$6:$J$277,'свод субъектов ИБ+смежные'!P$1,'свод практик'!$H$6:$H$277,"мун")</f>
        <v>0</v>
      </c>
      <c r="Q231" s="145">
        <f>SUMIFS('свод практик'!$AR$6:$AR$277,'свод практик'!$J$6:$J$277,'свод субъектов ИБ+смежные'!Q$1,'свод практик'!$H$6:$H$277,"мун")</f>
        <v>0</v>
      </c>
      <c r="R231" s="145">
        <f>SUMIFS('свод практик'!$AR$6:$AR$277,'свод практик'!$J$6:$J$277,'свод субъектов ИБ+смежные'!R$1,'свод практик'!$H$6:$H$277,"мун")</f>
        <v>0</v>
      </c>
      <c r="S231" s="145">
        <f>SUMIFS('свод практик'!$AR$6:$AR$277,'свод практик'!$J$6:$J$277,'свод субъектов ИБ+смежные'!S$1,'свод практик'!$H$6:$H$277,"мун")</f>
        <v>0</v>
      </c>
      <c r="T231" s="145">
        <f>SUMIFS('свод практик'!$AR$6:$AR$277,'свод практик'!$J$6:$J$277,'свод субъектов ИБ+смежные'!T$1,'свод практик'!$H$6:$H$277,"мун")</f>
        <v>5.9542057484189353E-4</v>
      </c>
      <c r="U231" s="145">
        <f>SUMIFS('свод практик'!$AR$6:$AR$277,'свод практик'!$J$6:$J$277,'свод субъектов ИБ+смежные'!U$1,'свод практик'!$H$6:$H$277,"мун")</f>
        <v>2.9999999999999997E-4</v>
      </c>
      <c r="V231" s="145">
        <f>SUMIFS('свод практик'!$AR$6:$AR$277,'свод практик'!$J$6:$J$277,'свод субъектов ИБ+смежные'!V$1,'свод практик'!$H$6:$H$277,"мун")</f>
        <v>1.2999999999999999E-3</v>
      </c>
      <c r="W231" s="145">
        <f>SUMIFS('свод практик'!$AR$6:$AR$277,'свод практик'!$J$6:$J$277,'свод субъектов ИБ+смежные'!W$1,'свод практик'!$H$6:$H$277,"мун")</f>
        <v>4.1499999999999995E-2</v>
      </c>
      <c r="X231" s="145">
        <f>SUMIFS('свод практик'!$AR$6:$AR$277,'свод практик'!$J$6:$J$277,'свод субъектов ИБ+смежные'!X$1,'свод практик'!$H$6:$H$277,"мун")</f>
        <v>0</v>
      </c>
      <c r="Y231" s="145">
        <f>SUMIFS('свод практик'!$AR$6:$AR$277,'свод практик'!$J$6:$J$277,'свод субъектов ИБ+смежные'!Y$1,'свод практик'!$H$6:$H$277,"мун")</f>
        <v>0</v>
      </c>
      <c r="Z231" s="145">
        <f>SUMIFS('свод практик'!$AR$6:$AR$277,'свод практик'!$J$6:$J$277,'свод субъектов ИБ+смежные'!Z$1,'свод практик'!$H$6:$H$277,"мун")</f>
        <v>0</v>
      </c>
      <c r="AA231" s="145">
        <f>SUMIFS('свод практик'!$AR$6:$AR$277,'свод практик'!$J$6:$J$277,'свод субъектов ИБ+смежные'!AA$1,'свод практик'!$H$6:$H$277,"мун")</f>
        <v>0</v>
      </c>
      <c r="AB231" s="145">
        <f>SUMIFS('свод практик'!$AR$6:$AR$277,'свод практик'!$J$6:$J$277,'свод субъектов ИБ+смежные'!AB$1,'свод практик'!$H$6:$H$277,"мун")</f>
        <v>7.7999999999999996E-3</v>
      </c>
      <c r="AC231" s="145">
        <f>SUMIFS('свод практик'!$AR$6:$AR$277,'свод практик'!$J$6:$J$277,'свод субъектов ИБ+смежные'!AC$1,'свод практик'!$H$6:$H$277,"мун")</f>
        <v>0</v>
      </c>
      <c r="AD231" s="145">
        <f>SUMIFS('свод практик'!$AR$6:$AR$277,'свод практик'!$J$6:$J$277,'свод субъектов ИБ+смежные'!AD$1,'свод практик'!$H$6:$H$277,"мун")</f>
        <v>0</v>
      </c>
      <c r="AE231" s="145">
        <f>SUMIFS('свод практик'!$AR$6:$AR$277,'свод практик'!$J$6:$J$277,'свод субъектов ИБ+смежные'!AE$1,'свод практик'!$H$6:$H$277,"мун")</f>
        <v>0</v>
      </c>
      <c r="AF231" s="145">
        <f>SUMIFS('свод практик'!$AR$6:$AR$277,'свод практик'!$J$6:$J$277,'свод субъектов ИБ+смежные'!AF$1,'свод практик'!$H$6:$H$277,"мун")</f>
        <v>0</v>
      </c>
      <c r="AG231" s="145">
        <f>SUMIFS('свод практик'!$AR$6:$AR$277,'свод практик'!$J$6:$J$277,'свод субъектов ИБ+смежные'!AG$1,'свод практик'!$H$6:$H$277,"мун")</f>
        <v>0</v>
      </c>
      <c r="AH231" s="145">
        <f>SUMIFS('свод практик'!$AR$6:$AR$277,'свод практик'!$J$6:$J$277,'свод субъектов ИБ+смежные'!AH$1,'свод практик'!$H$6:$H$277,"мун")</f>
        <v>0</v>
      </c>
      <c r="AI231" s="145">
        <f>SUMIFS('свод практик'!$AR$6:$AR$277,'свод практик'!$J$6:$J$277,'свод субъектов ИБ+смежные'!AI$1,'свод практик'!$H$6:$H$277,"мун")</f>
        <v>0</v>
      </c>
      <c r="AJ231" s="145">
        <f>SUMIFS('свод практик'!$AR$6:$AR$277,'свод практик'!$J$6:$J$277,'свод субъектов ИБ+смежные'!AJ$1,'свод практик'!$H$6:$H$277,"мун")</f>
        <v>0</v>
      </c>
      <c r="AK231" s="145">
        <f>SUMIFS('свод практик'!$AR$6:$AR$277,'свод практик'!$J$6:$J$277,'свод субъектов ИБ+смежные'!AK$1,'свод практик'!$H$6:$H$277,"мун")</f>
        <v>0</v>
      </c>
      <c r="AL231" s="145">
        <f>SUMIFS('свод практик'!$AR$6:$AR$277,'свод практик'!$J$6:$J$277,'свод субъектов ИБ+смежные'!AL$1,'свод практик'!$H$6:$H$277,"мун")</f>
        <v>0</v>
      </c>
      <c r="AM231" s="145">
        <f>SUMIFS('свод практик'!$AR$6:$AR$277,'свод практик'!$J$6:$J$277,'свод субъектов ИБ+смежные'!AM$1,'свод практик'!$H$6:$H$277,"мун")</f>
        <v>3.0000000000000001E-3</v>
      </c>
      <c r="AN231" s="145">
        <f>SUMIFS('свод практик'!$AR$6:$AR$277,'свод практик'!$J$6:$J$277,'свод субъектов ИБ+смежные'!AN$1,'свод практик'!$H$6:$H$277,"мун")</f>
        <v>0</v>
      </c>
      <c r="AO231" s="145">
        <f>SUMIFS('свод практик'!$AR$6:$AR$277,'свод практик'!$J$6:$J$277,'свод субъектов ИБ+смежные'!AO$1,'свод практик'!$H$6:$H$277,"мун")</f>
        <v>0</v>
      </c>
      <c r="AP231" s="145">
        <f>SUMIFS('свод практик'!$AR$6:$AR$277,'свод практик'!$J$6:$J$277,'свод субъектов ИБ+смежные'!AP$1,'свод практик'!$H$6:$H$277,"мун")</f>
        <v>0</v>
      </c>
      <c r="AQ231" s="145">
        <f>SUMIFS('свод практик'!$AR$6:$AR$277,'свод практик'!$J$6:$J$277,'свод субъектов ИБ+смежные'!AQ$1,'свод практик'!$H$6:$H$277,"мун")</f>
        <v>0</v>
      </c>
      <c r="AR231" s="145">
        <f>SUMIFS('свод практик'!$AR$6:$AR$277,'свод практик'!$J$6:$J$277,'свод субъектов ИБ+смежные'!AR$1,'свод практик'!$H$6:$H$277,"мун")</f>
        <v>0</v>
      </c>
      <c r="AS231" s="145">
        <f>SUMIFS('свод практик'!$AR$6:$AR$277,'свод практик'!$J$6:$J$277,'свод субъектов ИБ+смежные'!AS$1,'свод практик'!$H$6:$H$277,"мун")</f>
        <v>0</v>
      </c>
      <c r="AT231" s="145">
        <f>SUMIFS('свод практик'!$AR$6:$AR$277,'свод практик'!$J$6:$J$277,'свод субъектов ИБ+смежные'!AT$1,'свод практик'!$H$6:$H$277,"мун")</f>
        <v>0</v>
      </c>
      <c r="AU231" s="145">
        <f>SUMIFS('свод практик'!$AR$6:$AR$277,'свод практик'!$J$6:$J$277,'свод субъектов ИБ+смежные'!AU$1,'свод практик'!$H$6:$H$277,"мун")</f>
        <v>1.2999999999999999E-3</v>
      </c>
      <c r="AV231" s="145">
        <f>SUMIFS('свод практик'!$AR$6:$AR$277,'свод практик'!$J$6:$J$277,'свод субъектов ИБ+смежные'!AV$1,'свод практик'!$H$6:$H$277,"мун")</f>
        <v>9.0000000000000002E-6</v>
      </c>
      <c r="AW231" s="145">
        <f>SUMIFS('свод практик'!$AR$6:$AR$277,'свод практик'!$J$6:$J$277,'свод субъектов ИБ+смежные'!AW$1,'свод практик'!$H$6:$H$277,"мун")</f>
        <v>0</v>
      </c>
      <c r="AX231" s="145">
        <f>SUMIFS('свод практик'!$AR$6:$AR$277,'свод практик'!$J$6:$J$277,'свод субъектов ИБ+смежные'!AX$1,'свод практик'!$H$6:$H$277,"мун")</f>
        <v>0</v>
      </c>
      <c r="AY231" s="145">
        <f>SUMIFS('свод практик'!$AR$6:$AR$277,'свод практик'!$J$6:$J$277,'свод субъектов ИБ+смежные'!AY$1,'свод практик'!$H$6:$H$277,"мун")</f>
        <v>0</v>
      </c>
      <c r="AZ231" s="145">
        <f>SUMIFS('свод практик'!$AR$6:$AR$277,'свод практик'!$J$6:$J$277,'свод субъектов ИБ+смежные'!AZ$1,'свод практик'!$H$6:$H$277,"мун")</f>
        <v>4.0000000000000001E-3</v>
      </c>
      <c r="BA231" s="145">
        <f>SUMIFS('свод практик'!$AR$6:$AR$277,'свод практик'!$J$6:$J$277,'свод субъектов ИБ+смежные'!BA$1,'свод практик'!$H$6:$H$277,"мун")</f>
        <v>0</v>
      </c>
      <c r="BB231" s="145">
        <f>SUMIFS('свод практик'!$AR$6:$AR$277,'свод практик'!$J$6:$J$277,'свод субъектов ИБ+смежные'!BB$1,'свод практик'!$H$6:$H$277,"мун")</f>
        <v>0</v>
      </c>
      <c r="BC231" s="145">
        <f>SUMIFS('свод практик'!$AR$6:$AR$277,'свод практик'!$J$6:$J$277,'свод субъектов ИБ+смежные'!BC$1,'свод практик'!$H$6:$H$277,"мун")</f>
        <v>0</v>
      </c>
      <c r="BD231" s="145">
        <f>SUMIFS('свод практик'!$AR$6:$AR$277,'свод практик'!$J$6:$J$277,'свод субъектов ИБ+смежные'!BD$1,'свод практик'!$H$6:$H$277,"мун")</f>
        <v>0</v>
      </c>
      <c r="BE231" s="145">
        <f>SUMIFS('свод практик'!$AR$6:$AR$277,'свод практик'!$J$6:$J$277,'свод субъектов ИБ+смежные'!BE$1,'свод практик'!$H$6:$H$277,"мун")</f>
        <v>0</v>
      </c>
      <c r="BF231" s="145">
        <f>SUMIFS('свод практик'!$AR$6:$AR$277,'свод практик'!$J$6:$J$277,'свод субъектов ИБ+смежные'!BF$1,'свод практик'!$H$6:$H$277,"мун")</f>
        <v>2E-3</v>
      </c>
      <c r="BG231" s="145">
        <f>SUMIFS('свод практик'!$AR$6:$AR$277,'свод практик'!$J$6:$J$277,'свод субъектов ИБ+смежные'!BG$1,'свод практик'!$H$6:$H$277,"мун")</f>
        <v>0</v>
      </c>
      <c r="BH231" s="145">
        <f>SUMIFS('свод практик'!$AR$6:$AR$277,'свод практик'!$J$6:$J$277,'свод субъектов ИБ+смежные'!BH$1,'свод практик'!$H$6:$H$277,"мун")</f>
        <v>0</v>
      </c>
      <c r="BI231" s="145">
        <f>SUMIFS('свод практик'!$AR$6:$AR$277,'свод практик'!$J$6:$J$277,'свод субъектов ИБ+смежные'!BI$1,'свод практик'!$H$6:$H$277,"мун")</f>
        <v>0</v>
      </c>
      <c r="BJ231" s="145">
        <f>SUMIFS('свод практик'!$AR$6:$AR$277,'свод практик'!$J$6:$J$277,'свод субъектов ИБ+смежные'!BJ$1,'свод практик'!$H$6:$H$277,"мун")</f>
        <v>0</v>
      </c>
      <c r="BK231" s="145">
        <f>SUMIFS('свод практик'!$AR$6:$AR$277,'свод практик'!$J$6:$J$277,'свод субъектов ИБ+смежные'!BK$1,'свод практик'!$H$6:$H$277,"мун")</f>
        <v>0</v>
      </c>
      <c r="BL231" s="145">
        <f>SUMIFS('свод практик'!$AR$6:$AR$277,'свод практик'!$J$6:$J$277,'свод субъектов ИБ+смежные'!BL$1,'свод практик'!$H$6:$H$277,"мун")</f>
        <v>0</v>
      </c>
      <c r="BM231" s="145">
        <f>SUMIFS('свод практик'!$AR$6:$AR$277,'свод практик'!$J$6:$J$277,'свод субъектов ИБ+смежные'!BM$1,'свод практик'!$H$6:$H$277,"мун")</f>
        <v>1.6349999999999996E-2</v>
      </c>
      <c r="BN231" s="145">
        <f>SUMIFS('свод практик'!$AR$6:$AR$277,'свод практик'!$J$6:$J$277,'свод субъектов ИБ+смежные'!BN$1,'свод практик'!$H$6:$H$277,"мун")</f>
        <v>0</v>
      </c>
      <c r="BO231" s="145">
        <f>SUMIFS('свод практик'!$AR$6:$AR$277,'свод практик'!$J$6:$J$277,'свод субъектов ИБ+смежные'!BO$1,'свод практик'!$H$6:$H$277,"мун")</f>
        <v>0.12</v>
      </c>
      <c r="BP231" s="145">
        <f>SUMIFS('свод практик'!$AR$6:$AR$277,'свод практик'!$J$6:$J$277,'свод субъектов ИБ+смежные'!BP$1,'свод практик'!$H$6:$H$277,"мун")</f>
        <v>0</v>
      </c>
      <c r="BQ231" s="145">
        <f>SUMIFS('свод практик'!$AR$6:$AR$277,'свод практик'!$J$6:$J$277,'свод субъектов ИБ+смежные'!BQ$1,'свод практик'!$H$6:$H$277,"мун")</f>
        <v>0</v>
      </c>
      <c r="BR231" s="145">
        <f>SUMIFS('свод практик'!$AR$6:$AR$277,'свод практик'!$J$6:$J$277,'свод субъектов ИБ+смежные'!BR$1,'свод практик'!$H$6:$H$277,"мун")</f>
        <v>0</v>
      </c>
      <c r="BS231" s="145">
        <f>SUMIFS('свод практик'!$AR$6:$AR$277,'свод практик'!$J$6:$J$277,'свод субъектов ИБ+смежные'!BS$1,'свод практик'!$H$6:$H$277,"мун")</f>
        <v>0</v>
      </c>
      <c r="BT231" s="145">
        <f>SUMIFS('свод практик'!$AR$6:$AR$277,'свод практик'!$J$6:$J$277,'свод субъектов ИБ+смежные'!BT$1,'свод практик'!$H$6:$H$277,"мун")</f>
        <v>0</v>
      </c>
      <c r="BU231" s="145">
        <f>SUMIFS('свод практик'!$AR$6:$AR$277,'свод практик'!$J$6:$J$277,'свод субъектов ИБ+смежные'!BU$1,'свод практик'!$H$6:$H$277,"мун")</f>
        <v>2.6434299999999995</v>
      </c>
      <c r="BV231" s="145">
        <f>SUMIFS('свод практик'!$AR$6:$AR$277,'свод практик'!$J$6:$J$277,'свод субъектов ИБ+смежные'!BV$1,'свод практик'!$H$6:$H$277,"мун")</f>
        <v>0</v>
      </c>
      <c r="BW231" s="145">
        <f>SUMIFS('свод практик'!$AR$6:$AR$277,'свод практик'!$J$6:$J$277,'свод субъектов ИБ+смежные'!BW$1,'свод практик'!$H$6:$H$277,"мун")</f>
        <v>0</v>
      </c>
      <c r="BX231" s="145">
        <f>SUMIFS('свод практик'!$AR$6:$AR$277,'свод практик'!$J$6:$J$277,'свод субъектов ИБ+смежные'!BX$1,'свод практик'!$H$6:$H$277,"мун")</f>
        <v>0</v>
      </c>
      <c r="BY231" s="145">
        <f>SUMIFS('свод практик'!$AR$6:$AR$277,'свод практик'!$J$6:$J$277,'свод субъектов ИБ+смежные'!BY$1,'свод практик'!$H$6:$H$277,"мун")</f>
        <v>0</v>
      </c>
      <c r="BZ231" s="145">
        <f>SUMIFS('свод практик'!$AR$6:$AR$277,'свод практик'!$J$6:$J$277,'свод субъектов ИБ+смежные'!BZ$1,'свод практик'!$H$6:$H$277,"мун")</f>
        <v>1.3579999999999998E-2</v>
      </c>
      <c r="CA231" s="145">
        <f>SUMIFS('свод практик'!$AR$6:$AR$277,'свод практик'!$J$6:$J$277,'свод субъектов ИБ+смежные'!CA$1,'свод практик'!$H$6:$H$277,"мун")</f>
        <v>0</v>
      </c>
      <c r="CB231" s="145">
        <f>SUMIFS('свод практик'!$AR$6:$AR$277,'свод практик'!$J$6:$J$277,'свод субъектов ИБ+смежные'!CB$1,'свод практик'!$H$6:$H$277,"мун")</f>
        <v>0</v>
      </c>
      <c r="CC231" s="145">
        <f>SUMIFS('свод практик'!$AR$6:$AR$277,'свод практик'!$J$6:$J$277,'свод субъектов ИБ+смежные'!CC$1,'свод практик'!$H$6:$H$277,"мун")</f>
        <v>0</v>
      </c>
      <c r="CD231" s="145">
        <f>SUMIFS('свод практик'!$AR$6:$AR$277,'свод практик'!$J$6:$J$277,'свод субъектов ИБ+смежные'!CD$1,'свод практик'!$H$6:$H$277,"мун")</f>
        <v>3.1700000000000001E-3</v>
      </c>
      <c r="CE231" s="145">
        <f>SUMIFS('свод практик'!$AR$6:$AR$277,'свод практик'!$J$6:$J$277,'свод субъектов ИБ+смежные'!CE$1,'свод практик'!$H$6:$H$277,"мун")</f>
        <v>0</v>
      </c>
      <c r="CF231" s="145">
        <f>SUMIFS('свод практик'!$AR$6:$AR$277,'свод практик'!$J$6:$J$277,'свод субъектов ИБ+смежные'!CF$1,'свод практик'!$H$6:$H$277,"мун")</f>
        <v>0</v>
      </c>
      <c r="CG231" s="145">
        <f>SUMIFS('свод практик'!$AR$6:$AR$277,'свод практик'!$J$6:$J$277,'свод субъектов ИБ+смежные'!CG$1,'свод практик'!$H$6:$H$277,"мун")</f>
        <v>0</v>
      </c>
      <c r="CH231" s="145">
        <f>SUMIFS('свод практик'!$AR$6:$AR$277,'свод практик'!$J$6:$J$277,'свод субъектов ИБ+смежные'!CH$1,'свод практик'!$H$6:$H$277,"мун")</f>
        <v>0</v>
      </c>
      <c r="CI231" s="145">
        <f>SUMIFS('свод практик'!$AR$6:$AR$277,'свод практик'!$J$6:$J$277,'свод субъектов ИБ+смежные'!CI$1,'свод практик'!$H$6:$H$277,"мун")</f>
        <v>0</v>
      </c>
      <c r="CJ231" s="145">
        <f>SUMIFS('свод практик'!$AR$6:$AR$277,'свод практик'!$J$6:$J$277,'свод субъектов ИБ+смежные'!CJ$1,'свод практик'!$H$6:$H$277,"мун")</f>
        <v>0</v>
      </c>
      <c r="CK231" s="145">
        <f>SUMIFS('свод практик'!$AR$6:$AR$277,'свод практик'!$J$6:$J$277,'свод субъектов ИБ+смежные'!CK$1,'свод практик'!$H$6:$H$277,"мун")</f>
        <v>0</v>
      </c>
      <c r="CL231" s="145">
        <f>SUMIFS('свод практик'!$AR$6:$AR$277,'свод практик'!$J$6:$J$277,'свод субъектов ИБ+смежные'!CL$1,'свод практик'!$H$6:$H$277,"мун")</f>
        <v>1.116E-2</v>
      </c>
      <c r="CM231" s="145">
        <f>SUMIFS('свод практик'!$AR$6:$AR$277,'свод практик'!$J$6:$J$277,'свод субъектов ИБ+смежные'!CM$1,'свод практик'!$H$6:$H$277,"мун")</f>
        <v>1.2704000000000002</v>
      </c>
      <c r="CN231" s="145">
        <f>SUMIFS('свод практик'!$AR$6:$AR$277,'свод практик'!$J$6:$J$277,'свод субъектов ИБ+смежные'!CN$1,'свод практик'!$H$6:$H$277,"мун")</f>
        <v>0</v>
      </c>
      <c r="CO231" s="145">
        <f>SUMIFS('свод практик'!$AR$6:$AR$277,'свод практик'!$J$6:$J$277,'свод субъектов ИБ+смежные'!CO$1,'свод практик'!$H$6:$H$277,"мун")</f>
        <v>0</v>
      </c>
      <c r="CP231" s="145">
        <f>SUMIFS('свод практик'!$AR$6:$AR$277,'свод практик'!$J$6:$J$277,'свод субъектов ИБ+смежные'!CP$1,'свод практик'!$H$6:$H$277,"мун")</f>
        <v>0.22550189123304543</v>
      </c>
      <c r="CQ231" s="145">
        <f>SUMIFS('свод практик'!$AR$6:$AR$277,'свод практик'!$J$6:$J$277,'свод субъектов ИБ+смежные'!CQ$1,'свод практик'!$H$6:$H$277,"мун")</f>
        <v>1.00011E-3</v>
      </c>
      <c r="CR231" s="145">
        <f>SUMIFS('свод практик'!$AR$6:$AR$277,'свод практик'!$J$6:$J$277,'свод субъектов ИБ+смежные'!CR$1,'свод практик'!$H$6:$H$277,"мун")</f>
        <v>0</v>
      </c>
      <c r="CS231" s="145">
        <f>SUMIFS('свод практик'!$AR$6:$AR$277,'свод практик'!$J$6:$J$277,'свод субъектов ИБ+смежные'!CS$1,'свод практик'!$H$6:$H$277,"мун")</f>
        <v>6.9999999999999999E-4</v>
      </c>
      <c r="CT231" s="145">
        <f>SUMIFS('свод практик'!$AR$6:$AR$277,'свод практик'!$J$6:$J$277,'свод субъектов ИБ+смежные'!CT$1,'свод практик'!$H$6:$H$277,"мун")</f>
        <v>0</v>
      </c>
      <c r="CU231" s="145">
        <f>SUMIFS('свод практик'!$AR$6:$AR$277,'свод практик'!$J$6:$J$277,'свод субъектов ИБ+смежные'!CU$1,'свод практик'!$H$6:$H$277,"мун")</f>
        <v>1.7749758757334651E-2</v>
      </c>
      <c r="CV231" s="145">
        <f>SUMIFS('свод практик'!$AR$6:$AR$277,'свод практик'!$J$6:$J$277,'свод субъектов ИБ+смежные'!CV$1,'свод практик'!$H$6:$H$277,"мун")</f>
        <v>0</v>
      </c>
    </row>
    <row r="232" spans="1:100" ht="56">
      <c r="A232" s="36" t="s">
        <v>5564</v>
      </c>
      <c r="B232" s="36" t="s">
        <v>4990</v>
      </c>
      <c r="C232" s="36" t="s">
        <v>5125</v>
      </c>
      <c r="D232" s="36" t="s">
        <v>4949</v>
      </c>
      <c r="E232" s="36">
        <v>42</v>
      </c>
      <c r="F232" s="36" t="s">
        <v>5565</v>
      </c>
      <c r="G232" s="189" t="s">
        <v>5632</v>
      </c>
      <c r="H232" s="36" t="s">
        <v>5115</v>
      </c>
      <c r="I232" s="36" t="s">
        <v>4956</v>
      </c>
      <c r="M232" s="36" t="s">
        <v>5497</v>
      </c>
      <c r="N232" s="232">
        <v>6.250155431543992</v>
      </c>
      <c r="O232" s="233">
        <f>O62/O142*1000</f>
        <v>7.6095734606399663</v>
      </c>
      <c r="P232" s="233">
        <f t="shared" ref="P232:CA232" si="143">P62/P142*1000</f>
        <v>0</v>
      </c>
      <c r="Q232" s="233">
        <f t="shared" si="143"/>
        <v>0</v>
      </c>
      <c r="R232" s="233">
        <f t="shared" si="143"/>
        <v>0</v>
      </c>
      <c r="S232" s="233">
        <f t="shared" si="143"/>
        <v>0</v>
      </c>
      <c r="T232" s="233">
        <f t="shared" si="143"/>
        <v>5.2616486323659792</v>
      </c>
      <c r="U232" s="233">
        <f t="shared" si="143"/>
        <v>0.29705205540218865</v>
      </c>
      <c r="V232" s="233">
        <f t="shared" si="143"/>
        <v>2.4645340008277747</v>
      </c>
      <c r="W232" s="233">
        <f t="shared" si="143"/>
        <v>62.11715680069031</v>
      </c>
      <c r="X232" s="233">
        <f t="shared" si="143"/>
        <v>0</v>
      </c>
      <c r="Y232" s="233">
        <f t="shared" si="143"/>
        <v>0</v>
      </c>
      <c r="Z232" s="233">
        <f t="shared" si="143"/>
        <v>0</v>
      </c>
      <c r="AA232" s="233">
        <f t="shared" si="143"/>
        <v>0</v>
      </c>
      <c r="AB232" s="233">
        <f t="shared" si="143"/>
        <v>68.282307300449546</v>
      </c>
      <c r="AC232" s="233">
        <f t="shared" si="143"/>
        <v>0</v>
      </c>
      <c r="AD232" s="233" t="e">
        <f t="shared" si="143"/>
        <v>#DIV/0!</v>
      </c>
      <c r="AE232" s="233" t="e">
        <f t="shared" si="143"/>
        <v>#DIV/0!</v>
      </c>
      <c r="AF232" s="233">
        <f t="shared" si="143"/>
        <v>0</v>
      </c>
      <c r="AG232" s="233" t="e">
        <f t="shared" si="143"/>
        <v>#DIV/0!</v>
      </c>
      <c r="AH232" s="233" t="e">
        <f t="shared" si="143"/>
        <v>#DIV/0!</v>
      </c>
      <c r="AI232" s="233">
        <f t="shared" si="143"/>
        <v>0</v>
      </c>
      <c r="AJ232" s="233">
        <f t="shared" si="143"/>
        <v>2.3060470584184793</v>
      </c>
      <c r="AK232" s="233">
        <f t="shared" si="143"/>
        <v>0</v>
      </c>
      <c r="AL232" s="233">
        <f t="shared" si="143"/>
        <v>0</v>
      </c>
      <c r="AM232" s="233">
        <f t="shared" si="143"/>
        <v>26.837622244224029</v>
      </c>
      <c r="AN232" s="233" t="e">
        <f t="shared" si="143"/>
        <v>#DIV/0!</v>
      </c>
      <c r="AO232" s="233" t="e">
        <f t="shared" si="143"/>
        <v>#DIV/0!</v>
      </c>
      <c r="AP232" s="233">
        <f t="shared" si="143"/>
        <v>0</v>
      </c>
      <c r="AQ232" s="233">
        <f t="shared" si="143"/>
        <v>0</v>
      </c>
      <c r="AR232" s="233">
        <f t="shared" si="143"/>
        <v>0</v>
      </c>
      <c r="AS232" s="233">
        <f t="shared" si="143"/>
        <v>0</v>
      </c>
      <c r="AT232" s="233">
        <f t="shared" si="143"/>
        <v>0</v>
      </c>
      <c r="AU232" s="233">
        <f t="shared" si="143"/>
        <v>12.609487220426971</v>
      </c>
      <c r="AV232" s="233">
        <f t="shared" si="143"/>
        <v>11.842627885747735</v>
      </c>
      <c r="AW232" s="233">
        <f t="shared" si="143"/>
        <v>0</v>
      </c>
      <c r="AX232" s="233">
        <f t="shared" si="143"/>
        <v>0</v>
      </c>
      <c r="AY232" s="233" t="e">
        <f t="shared" si="143"/>
        <v>#DIV/0!</v>
      </c>
      <c r="AZ232" s="233">
        <f t="shared" si="143"/>
        <v>5.6932009522319005</v>
      </c>
      <c r="BA232" s="233">
        <f t="shared" si="143"/>
        <v>0</v>
      </c>
      <c r="BB232" s="233">
        <f t="shared" si="143"/>
        <v>0</v>
      </c>
      <c r="BC232" s="233">
        <f t="shared" si="143"/>
        <v>0</v>
      </c>
      <c r="BD232" s="233" t="e">
        <f t="shared" si="143"/>
        <v>#DIV/0!</v>
      </c>
      <c r="BE232" s="233" t="e">
        <f t="shared" si="143"/>
        <v>#DIV/0!</v>
      </c>
      <c r="BF232" s="233">
        <f t="shared" si="143"/>
        <v>1.0346286683701198</v>
      </c>
      <c r="BG232" s="233">
        <f t="shared" si="143"/>
        <v>0</v>
      </c>
      <c r="BH232" s="233">
        <f t="shared" si="143"/>
        <v>0</v>
      </c>
      <c r="BI232" s="233">
        <f t="shared" si="143"/>
        <v>0</v>
      </c>
      <c r="BJ232" s="233">
        <f t="shared" si="143"/>
        <v>0</v>
      </c>
      <c r="BK232" s="233">
        <f t="shared" si="143"/>
        <v>0</v>
      </c>
      <c r="BL232" s="233">
        <f t="shared" si="143"/>
        <v>36.258092516908384</v>
      </c>
      <c r="BM232" s="233">
        <f t="shared" si="143"/>
        <v>6.9150236157477769</v>
      </c>
      <c r="BN232" s="233">
        <f t="shared" si="143"/>
        <v>0</v>
      </c>
      <c r="BO232" s="233">
        <f t="shared" si="143"/>
        <v>25.614540875248597</v>
      </c>
      <c r="BP232" s="233">
        <f t="shared" si="143"/>
        <v>0</v>
      </c>
      <c r="BQ232" s="233" t="e">
        <f t="shared" si="143"/>
        <v>#DIV/0!</v>
      </c>
      <c r="BR232" s="233">
        <f t="shared" si="143"/>
        <v>0</v>
      </c>
      <c r="BS232" s="233">
        <f t="shared" si="143"/>
        <v>2.7335252189784409</v>
      </c>
      <c r="BT232" s="233">
        <f t="shared" si="143"/>
        <v>0</v>
      </c>
      <c r="BU232" s="233">
        <f t="shared" si="143"/>
        <v>14.310104250326521</v>
      </c>
      <c r="BV232" s="233">
        <f t="shared" si="143"/>
        <v>0</v>
      </c>
      <c r="BW232" s="233">
        <f t="shared" si="143"/>
        <v>0</v>
      </c>
      <c r="BX232" s="233">
        <f t="shared" si="143"/>
        <v>0</v>
      </c>
      <c r="BY232" s="233">
        <f t="shared" si="143"/>
        <v>0</v>
      </c>
      <c r="BZ232" s="233">
        <f t="shared" si="143"/>
        <v>17.600430307962323</v>
      </c>
      <c r="CA232" s="233" t="e">
        <f t="shared" si="143"/>
        <v>#DIV/0!</v>
      </c>
      <c r="CB232" s="233" t="e">
        <f t="shared" ref="CB232:CV232" si="144">CB62/CB142*1000</f>
        <v>#DIV/0!</v>
      </c>
      <c r="CC232" s="233">
        <f t="shared" si="144"/>
        <v>0</v>
      </c>
      <c r="CD232" s="233">
        <f t="shared" si="144"/>
        <v>1.2917016740682317</v>
      </c>
      <c r="CE232" s="233">
        <f t="shared" si="144"/>
        <v>0</v>
      </c>
      <c r="CF232" s="233">
        <f t="shared" si="144"/>
        <v>0</v>
      </c>
      <c r="CG232" s="233">
        <f t="shared" si="144"/>
        <v>0</v>
      </c>
      <c r="CH232" s="233">
        <f t="shared" si="144"/>
        <v>0</v>
      </c>
      <c r="CI232" s="233">
        <f t="shared" si="144"/>
        <v>0</v>
      </c>
      <c r="CJ232" s="233" t="e">
        <f t="shared" si="144"/>
        <v>#DIV/0!</v>
      </c>
      <c r="CK232" s="233">
        <f t="shared" si="144"/>
        <v>0</v>
      </c>
      <c r="CL232" s="233">
        <f t="shared" si="144"/>
        <v>10.858728323622564</v>
      </c>
      <c r="CM232" s="233">
        <f t="shared" si="144"/>
        <v>37.005747010015234</v>
      </c>
      <c r="CN232" s="233">
        <f t="shared" si="144"/>
        <v>0</v>
      </c>
      <c r="CO232" s="233" t="e">
        <f t="shared" si="144"/>
        <v>#DIV/0!</v>
      </c>
      <c r="CP232" s="233">
        <f t="shared" si="144"/>
        <v>101.91512484753507</v>
      </c>
      <c r="CQ232" s="233">
        <f t="shared" si="144"/>
        <v>5.1281150057576053</v>
      </c>
      <c r="CR232" s="233" t="e">
        <f t="shared" si="144"/>
        <v>#DIV/0!</v>
      </c>
      <c r="CS232" s="233">
        <f t="shared" si="144"/>
        <v>8.6227661393010209</v>
      </c>
      <c r="CT232" s="233">
        <f t="shared" si="144"/>
        <v>0</v>
      </c>
      <c r="CU232" s="233">
        <f t="shared" si="144"/>
        <v>138.12410099436235</v>
      </c>
      <c r="CV232" s="233">
        <f t="shared" si="144"/>
        <v>0</v>
      </c>
    </row>
    <row r="233" spans="1:100" ht="29">
      <c r="B233" s="36" t="s">
        <v>4947</v>
      </c>
      <c r="C233" s="36" t="s">
        <v>5127</v>
      </c>
      <c r="D233" s="36" t="s">
        <v>4949</v>
      </c>
      <c r="E233" s="36">
        <v>43</v>
      </c>
      <c r="F233" s="36" t="s">
        <v>5567</v>
      </c>
      <c r="G233" s="36" t="s">
        <v>5568</v>
      </c>
      <c r="H233" s="36" t="s">
        <v>5115</v>
      </c>
      <c r="I233" s="36" t="s">
        <v>4956</v>
      </c>
      <c r="M233" s="36" t="s">
        <v>5497</v>
      </c>
      <c r="O233" s="233">
        <f>O62/O143*1000</f>
        <v>6.3648144745068223</v>
      </c>
      <c r="P233" s="325"/>
      <c r="Q233" s="331"/>
      <c r="R233" s="331"/>
      <c r="S233" s="332"/>
      <c r="T233" s="325"/>
      <c r="U233" s="325"/>
      <c r="V233" s="325"/>
      <c r="W233" s="325"/>
      <c r="X233" s="325"/>
      <c r="Y233" s="325"/>
      <c r="Z233" s="325"/>
      <c r="AA233" s="325"/>
      <c r="AB233" s="325"/>
      <c r="AC233" s="325"/>
      <c r="AD233" s="325"/>
      <c r="AE233" s="325"/>
      <c r="AF233" s="325"/>
      <c r="AG233" s="325"/>
      <c r="AH233" s="325"/>
      <c r="AI233" s="325"/>
      <c r="AJ233" s="325"/>
      <c r="AK233" s="325"/>
      <c r="AL233" s="325"/>
      <c r="AM233" s="325"/>
      <c r="AN233" s="325"/>
      <c r="AO233" s="325"/>
      <c r="AP233" s="325"/>
      <c r="AQ233" s="325"/>
      <c r="AR233" s="325"/>
      <c r="AS233" s="325"/>
      <c r="AT233" s="325"/>
      <c r="AU233" s="325"/>
      <c r="AV233" s="325"/>
      <c r="AW233" s="325"/>
      <c r="AX233" s="325"/>
      <c r="AY233" s="325"/>
      <c r="AZ233" s="325"/>
      <c r="BA233" s="325"/>
      <c r="BB233" s="325"/>
      <c r="BC233" s="325"/>
      <c r="BD233" s="325"/>
      <c r="BE233" s="325"/>
      <c r="BF233" s="325"/>
      <c r="BG233" s="325"/>
      <c r="BH233" s="325"/>
      <c r="BI233" s="325"/>
      <c r="BJ233" s="325"/>
      <c r="BK233" s="325"/>
      <c r="BL233" s="325"/>
      <c r="BM233" s="325"/>
      <c r="BN233" s="325"/>
      <c r="BO233" s="325"/>
      <c r="BP233" s="325"/>
      <c r="BQ233" s="325"/>
      <c r="BR233" s="325"/>
      <c r="BS233" s="325"/>
      <c r="BT233" s="325"/>
      <c r="BU233" s="325"/>
      <c r="BV233" s="325"/>
      <c r="BW233" s="325"/>
      <c r="BX233" s="325"/>
      <c r="BY233" s="325"/>
      <c r="BZ233" s="325"/>
      <c r="CA233" s="325"/>
      <c r="CB233" s="325"/>
      <c r="CC233" s="325"/>
      <c r="CD233" s="325"/>
      <c r="CE233" s="325"/>
      <c r="CF233" s="325"/>
      <c r="CG233" s="325"/>
      <c r="CH233" s="325"/>
      <c r="CI233" s="325"/>
      <c r="CJ233" s="325"/>
      <c r="CK233" s="325"/>
      <c r="CL233" s="325"/>
      <c r="CM233" s="325"/>
      <c r="CN233" s="325"/>
      <c r="CO233" s="325"/>
      <c r="CP233" s="325"/>
      <c r="CQ233" s="325"/>
      <c r="CR233" s="325"/>
      <c r="CS233" s="325"/>
      <c r="CT233" s="325"/>
      <c r="CU233" s="325"/>
      <c r="CV233" s="325"/>
    </row>
    <row r="234" spans="1:100" s="208" customFormat="1" ht="42">
      <c r="A234" s="208" t="s">
        <v>5569</v>
      </c>
      <c r="B234" s="208" t="s">
        <v>4990</v>
      </c>
      <c r="C234" s="208" t="s">
        <v>5137</v>
      </c>
      <c r="D234" s="208" t="s">
        <v>4949</v>
      </c>
      <c r="E234" s="208">
        <v>52</v>
      </c>
      <c r="F234" s="208" t="s">
        <v>5570</v>
      </c>
      <c r="G234" s="208" t="s">
        <v>5139</v>
      </c>
      <c r="H234" s="208" t="s">
        <v>5140</v>
      </c>
      <c r="I234" s="208" t="s">
        <v>4961</v>
      </c>
      <c r="L234" s="208" t="s">
        <v>278</v>
      </c>
      <c r="M234" s="208" t="s">
        <v>5497</v>
      </c>
      <c r="N234" s="208">
        <v>29</v>
      </c>
      <c r="O234" s="226">
        <f>SUM(P234:CV234)</f>
        <v>22</v>
      </c>
      <c r="P234" s="208">
        <f>SUMIFS('свод практик'!$BY$6:$BY$277,'свод практик'!$J$6:$J$277,'свод субъектов ИБ+смежные'!P$1,'свод практик'!$H$6:$H$277,"мун")</f>
        <v>0</v>
      </c>
      <c r="Q234" s="208">
        <f>SUMIFS('свод практик'!$BY$6:$BY$277,'свод практик'!$J$6:$J$277,'свод субъектов ИБ+смежные'!Q$1,'свод практик'!$H$6:$H$277,"мун")</f>
        <v>0</v>
      </c>
      <c r="R234" s="208">
        <f>SUMIFS('свод практик'!$BY$6:$BY$277,'свод практик'!$J$6:$J$277,'свод субъектов ИБ+смежные'!R$1,'свод практик'!$H$6:$H$277,"мун")</f>
        <v>0</v>
      </c>
      <c r="S234" s="208">
        <f>SUMIFS('свод практик'!$BY$6:$BY$277,'свод практик'!$J$6:$J$277,'свод субъектов ИБ+смежные'!S$1,'свод практик'!$H$6:$H$277,"мун")</f>
        <v>0</v>
      </c>
      <c r="T234" s="208">
        <f>SUMIFS('свод практик'!$BY$6:$BY$277,'свод практик'!$J$6:$J$277,'свод субъектов ИБ+смежные'!T$1,'свод практик'!$H$6:$H$277,"мун")</f>
        <v>0</v>
      </c>
      <c r="U234" s="208">
        <f>SUMIFS('свод практик'!$BY$6:$BY$277,'свод практик'!$J$6:$J$277,'свод субъектов ИБ+смежные'!U$1,'свод практик'!$H$6:$H$277,"мун")</f>
        <v>0</v>
      </c>
      <c r="V234" s="208">
        <f>SUMIFS('свод практик'!$BY$6:$BY$277,'свод практик'!$J$6:$J$277,'свод субъектов ИБ+смежные'!V$1,'свод практик'!$H$6:$H$277,"мун")</f>
        <v>3</v>
      </c>
      <c r="W234" s="208">
        <f>SUMIFS('свод практик'!$BY$6:$BY$277,'свод практик'!$J$6:$J$277,'свод субъектов ИБ+смежные'!W$1,'свод практик'!$H$6:$H$277,"мун")</f>
        <v>2</v>
      </c>
      <c r="X234" s="208">
        <f>SUMIFS('свод практик'!$BY$6:$BY$277,'свод практик'!$J$6:$J$277,'свод субъектов ИБ+смежные'!X$1,'свод практик'!$H$6:$H$277,"мун")</f>
        <v>0</v>
      </c>
      <c r="Y234" s="208">
        <f>SUMIFS('свод практик'!$BY$6:$BY$277,'свод практик'!$J$6:$J$277,'свод субъектов ИБ+смежные'!Y$1,'свод практик'!$H$6:$H$277,"мун")</f>
        <v>0</v>
      </c>
      <c r="Z234" s="208">
        <f>SUMIFS('свод практик'!$BY$6:$BY$277,'свод практик'!$J$6:$J$277,'свод субъектов ИБ+смежные'!Z$1,'свод практик'!$H$6:$H$277,"мун")</f>
        <v>0</v>
      </c>
      <c r="AA234" s="208">
        <f>SUMIFS('свод практик'!$BY$6:$BY$277,'свод практик'!$J$6:$J$277,'свод субъектов ИБ+смежные'!AA$1,'свод практик'!$H$6:$H$277,"мун")</f>
        <v>0</v>
      </c>
      <c r="AB234" s="208">
        <f>SUMIFS('свод практик'!$BY$6:$BY$277,'свод практик'!$J$6:$J$277,'свод субъектов ИБ+смежные'!AB$1,'свод практик'!$H$6:$H$277,"мун")</f>
        <v>0</v>
      </c>
      <c r="AC234" s="208">
        <f>SUMIFS('свод практик'!$BY$6:$BY$277,'свод практик'!$J$6:$J$277,'свод субъектов ИБ+смежные'!AC$1,'свод практик'!$H$6:$H$277,"мун")</f>
        <v>0</v>
      </c>
      <c r="AD234" s="208">
        <f>SUMIFS('свод практик'!$BY$6:$BY$277,'свод практик'!$J$6:$J$277,'свод субъектов ИБ+смежные'!AD$1,'свод практик'!$H$6:$H$277,"мун")</f>
        <v>0</v>
      </c>
      <c r="AE234" s="208">
        <f>SUMIFS('свод практик'!$BY$6:$BY$277,'свод практик'!$J$6:$J$277,'свод субъектов ИБ+смежные'!AE$1,'свод практик'!$H$6:$H$277,"мун")</f>
        <v>0</v>
      </c>
      <c r="AF234" s="208">
        <f>SUMIFS('свод практик'!$BY$6:$BY$277,'свод практик'!$J$6:$J$277,'свод субъектов ИБ+смежные'!AF$1,'свод практик'!$H$6:$H$277,"мун")</f>
        <v>0</v>
      </c>
      <c r="AG234" s="208">
        <f>SUMIFS('свод практик'!$BY$6:$BY$277,'свод практик'!$J$6:$J$277,'свод субъектов ИБ+смежные'!AG$1,'свод практик'!$H$6:$H$277,"мун")</f>
        <v>0</v>
      </c>
      <c r="AH234" s="208">
        <f>SUMIFS('свод практик'!$BY$6:$BY$277,'свод практик'!$J$6:$J$277,'свод субъектов ИБ+смежные'!AH$1,'свод практик'!$H$6:$H$277,"мун")</f>
        <v>0</v>
      </c>
      <c r="AI234" s="208">
        <f>SUMIFS('свод практик'!$BY$6:$BY$277,'свод практик'!$J$6:$J$277,'свод субъектов ИБ+смежные'!AI$1,'свод практик'!$H$6:$H$277,"мун")</f>
        <v>0</v>
      </c>
      <c r="AJ234" s="208">
        <f>SUMIFS('свод практик'!$BY$6:$BY$277,'свод практик'!$J$6:$J$277,'свод субъектов ИБ+смежные'!AJ$1,'свод практик'!$H$6:$H$277,"мун")</f>
        <v>0</v>
      </c>
      <c r="AK234" s="208">
        <f>SUMIFS('свод практик'!$BY$6:$BY$277,'свод практик'!$J$6:$J$277,'свод субъектов ИБ+смежные'!AK$1,'свод практик'!$H$6:$H$277,"мун")</f>
        <v>0</v>
      </c>
      <c r="AL234" s="208">
        <f>SUMIFS('свод практик'!$BY$6:$BY$277,'свод практик'!$J$6:$J$277,'свод субъектов ИБ+смежные'!AL$1,'свод практик'!$H$6:$H$277,"мун")</f>
        <v>0</v>
      </c>
      <c r="AM234" s="208">
        <f>SUMIFS('свод практик'!$BY$6:$BY$277,'свод практик'!$J$6:$J$277,'свод субъектов ИБ+смежные'!AM$1,'свод практик'!$H$6:$H$277,"мун")</f>
        <v>2</v>
      </c>
      <c r="AN234" s="208">
        <f>SUMIFS('свод практик'!$BY$6:$BY$277,'свод практик'!$J$6:$J$277,'свод субъектов ИБ+смежные'!AN$1,'свод практик'!$H$6:$H$277,"мун")</f>
        <v>0</v>
      </c>
      <c r="AO234" s="208">
        <f>SUMIFS('свод практик'!$BY$6:$BY$277,'свод практик'!$J$6:$J$277,'свод субъектов ИБ+смежные'!AO$1,'свод практик'!$H$6:$H$277,"мун")</f>
        <v>0</v>
      </c>
      <c r="AP234" s="208">
        <f>SUMIFS('свод практик'!$BY$6:$BY$277,'свод практик'!$J$6:$J$277,'свод субъектов ИБ+смежные'!AP$1,'свод практик'!$H$6:$H$277,"мун")</f>
        <v>0</v>
      </c>
      <c r="AQ234" s="208">
        <f>SUMIFS('свод практик'!$BY$6:$BY$277,'свод практик'!$J$6:$J$277,'свод субъектов ИБ+смежные'!AQ$1,'свод практик'!$H$6:$H$277,"мун")</f>
        <v>0</v>
      </c>
      <c r="AR234" s="208">
        <f>SUMIFS('свод практик'!$BY$6:$BY$277,'свод практик'!$J$6:$J$277,'свод субъектов ИБ+смежные'!AR$1,'свод практик'!$H$6:$H$277,"мун")</f>
        <v>0</v>
      </c>
      <c r="AS234" s="208">
        <f>SUMIFS('свод практик'!$BY$6:$BY$277,'свод практик'!$J$6:$J$277,'свод субъектов ИБ+смежные'!AS$1,'свод практик'!$H$6:$H$277,"мун")</f>
        <v>0</v>
      </c>
      <c r="AT234" s="208">
        <f>SUMIFS('свод практик'!$BY$6:$BY$277,'свод практик'!$J$6:$J$277,'свод субъектов ИБ+смежные'!AT$1,'свод практик'!$H$6:$H$277,"мун")</f>
        <v>0</v>
      </c>
      <c r="AU234" s="208">
        <f>SUMIFS('свод практик'!$BY$6:$BY$277,'свод практик'!$J$6:$J$277,'свод субъектов ИБ+смежные'!AU$1,'свод практик'!$H$6:$H$277,"мун")</f>
        <v>0</v>
      </c>
      <c r="AV234" s="208">
        <f>SUMIFS('свод практик'!$BY$6:$BY$277,'свод практик'!$J$6:$J$277,'свод субъектов ИБ+смежные'!AV$1,'свод практик'!$H$6:$H$277,"мун")</f>
        <v>0</v>
      </c>
      <c r="AW234" s="208">
        <f>SUMIFS('свод практик'!$BY$6:$BY$277,'свод практик'!$J$6:$J$277,'свод субъектов ИБ+смежные'!AW$1,'свод практик'!$H$6:$H$277,"мун")</f>
        <v>0</v>
      </c>
      <c r="AX234" s="208">
        <f>SUMIFS('свод практик'!$BY$6:$BY$277,'свод практик'!$J$6:$J$277,'свод субъектов ИБ+смежные'!AX$1,'свод практик'!$H$6:$H$277,"мун")</f>
        <v>0</v>
      </c>
      <c r="AY234" s="208">
        <f>SUMIFS('свод практик'!$BY$6:$BY$277,'свод практик'!$J$6:$J$277,'свод субъектов ИБ+смежные'!AY$1,'свод практик'!$H$6:$H$277,"мун")</f>
        <v>0</v>
      </c>
      <c r="AZ234" s="208">
        <f>SUMIFS('свод практик'!$BY$6:$BY$277,'свод практик'!$J$6:$J$277,'свод субъектов ИБ+смежные'!AZ$1,'свод практик'!$H$6:$H$277,"мун")</f>
        <v>0</v>
      </c>
      <c r="BA234" s="208">
        <f>SUMIFS('свод практик'!$BY$6:$BY$277,'свод практик'!$J$6:$J$277,'свод субъектов ИБ+смежные'!BA$1,'свод практик'!$H$6:$H$277,"мун")</f>
        <v>0</v>
      </c>
      <c r="BB234" s="208">
        <f>SUMIFS('свод практик'!$BY$6:$BY$277,'свод практик'!$J$6:$J$277,'свод субъектов ИБ+смежные'!BB$1,'свод практик'!$H$6:$H$277,"мун")</f>
        <v>0</v>
      </c>
      <c r="BC234" s="208">
        <f>SUMIFS('свод практик'!$BY$6:$BY$277,'свод практик'!$J$6:$J$277,'свод субъектов ИБ+смежные'!BC$1,'свод практик'!$H$6:$H$277,"мун")</f>
        <v>0</v>
      </c>
      <c r="BD234" s="208">
        <f>SUMIFS('свод практик'!$BY$6:$BY$277,'свод практик'!$J$6:$J$277,'свод субъектов ИБ+смежные'!BD$1,'свод практик'!$H$6:$H$277,"мун")</f>
        <v>0</v>
      </c>
      <c r="BE234" s="208">
        <f>SUMIFS('свод практик'!$BY$6:$BY$277,'свод практик'!$J$6:$J$277,'свод субъектов ИБ+смежные'!BE$1,'свод практик'!$H$6:$H$277,"мун")</f>
        <v>0</v>
      </c>
      <c r="BF234" s="208">
        <f>SUMIFS('свод практик'!$BY$6:$BY$277,'свод практик'!$J$6:$J$277,'свод субъектов ИБ+смежные'!BF$1,'свод практик'!$H$6:$H$277,"мун")</f>
        <v>0</v>
      </c>
      <c r="BG234" s="208">
        <f>SUMIFS('свод практик'!$BY$6:$BY$277,'свод практик'!$J$6:$J$277,'свод субъектов ИБ+смежные'!BG$1,'свод практик'!$H$6:$H$277,"мун")</f>
        <v>0</v>
      </c>
      <c r="BH234" s="208">
        <f>SUMIFS('свод практик'!$BY$6:$BY$277,'свод практик'!$J$6:$J$277,'свод субъектов ИБ+смежные'!BH$1,'свод практик'!$H$6:$H$277,"мун")</f>
        <v>0</v>
      </c>
      <c r="BI234" s="208">
        <f>SUMIFS('свод практик'!$BY$6:$BY$277,'свод практик'!$J$6:$J$277,'свод субъектов ИБ+смежные'!BI$1,'свод практик'!$H$6:$H$277,"мун")</f>
        <v>0</v>
      </c>
      <c r="BJ234" s="208">
        <f>SUMIFS('свод практик'!$BY$6:$BY$277,'свод практик'!$J$6:$J$277,'свод субъектов ИБ+смежные'!BJ$1,'свод практик'!$H$6:$H$277,"мун")</f>
        <v>0</v>
      </c>
      <c r="BK234" s="208">
        <f>SUMIFS('свод практик'!$BY$6:$BY$277,'свод практик'!$J$6:$J$277,'свод субъектов ИБ+смежные'!BK$1,'свод практик'!$H$6:$H$277,"мун")</f>
        <v>0</v>
      </c>
      <c r="BL234" s="208">
        <f>SUMIFS('свод практик'!$BY$6:$BY$277,'свод практик'!$J$6:$J$277,'свод субъектов ИБ+смежные'!BL$1,'свод практик'!$H$6:$H$277,"мун")</f>
        <v>0</v>
      </c>
      <c r="BM234" s="208">
        <f>SUMIFS('свод практик'!$BY$6:$BY$277,'свод практик'!$J$6:$J$277,'свод субъектов ИБ+смежные'!BM$1,'свод практик'!$H$6:$H$277,"мун")</f>
        <v>4</v>
      </c>
      <c r="BN234" s="208">
        <f>SUMIFS('свод практик'!$BY$6:$BY$277,'свод практик'!$J$6:$J$277,'свод субъектов ИБ+смежные'!BN$1,'свод практик'!$H$6:$H$277,"мун")</f>
        <v>0</v>
      </c>
      <c r="BO234" s="208">
        <f>SUMIFS('свод практик'!$BY$6:$BY$277,'свод практик'!$J$6:$J$277,'свод субъектов ИБ+смежные'!BO$1,'свод практик'!$H$6:$H$277,"мун")</f>
        <v>1</v>
      </c>
      <c r="BP234" s="208">
        <f>SUMIFS('свод практик'!$BY$6:$BY$277,'свод практик'!$J$6:$J$277,'свод субъектов ИБ+смежные'!BP$1,'свод практик'!$H$6:$H$277,"мун")</f>
        <v>0</v>
      </c>
      <c r="BQ234" s="208">
        <f>SUMIFS('свод практик'!$BY$6:$BY$277,'свод практик'!$J$6:$J$277,'свод субъектов ИБ+смежные'!BQ$1,'свод практик'!$H$6:$H$277,"мун")</f>
        <v>0</v>
      </c>
      <c r="BR234" s="208">
        <f>SUMIFS('свод практик'!$BY$6:$BY$277,'свод практик'!$J$6:$J$277,'свод субъектов ИБ+смежные'!BR$1,'свод практик'!$H$6:$H$277,"мун")</f>
        <v>0</v>
      </c>
      <c r="BS234" s="208">
        <f>SUMIFS('свод практик'!$BY$6:$BY$277,'свод практик'!$J$6:$J$277,'свод субъектов ИБ+смежные'!BS$1,'свод практик'!$H$6:$H$277,"мун")</f>
        <v>9</v>
      </c>
      <c r="BT234" s="208">
        <f>SUMIFS('свод практик'!$BY$6:$BY$277,'свод практик'!$J$6:$J$277,'свод субъектов ИБ+смежные'!BT$1,'свод практик'!$H$6:$H$277,"мун")</f>
        <v>0</v>
      </c>
      <c r="BU234" s="208">
        <f>SUMIFS('свод практик'!$BY$6:$BY$277,'свод практик'!$J$6:$J$277,'свод субъектов ИБ+смежные'!BU$1,'свод практик'!$H$6:$H$277,"мун")</f>
        <v>0</v>
      </c>
      <c r="BV234" s="208">
        <f>SUMIFS('свод практик'!$BY$6:$BY$277,'свод практик'!$J$6:$J$277,'свод субъектов ИБ+смежные'!BV$1,'свод практик'!$H$6:$H$277,"мун")</f>
        <v>0</v>
      </c>
      <c r="BW234" s="208">
        <f>SUMIFS('свод практик'!$BY$6:$BY$277,'свод практик'!$J$6:$J$277,'свод субъектов ИБ+смежные'!BW$1,'свод практик'!$H$6:$H$277,"мун")</f>
        <v>0</v>
      </c>
      <c r="BX234" s="208">
        <f>SUMIFS('свод практик'!$BY$6:$BY$277,'свод практик'!$J$6:$J$277,'свод субъектов ИБ+смежные'!BX$1,'свод практик'!$H$6:$H$277,"мун")</f>
        <v>0</v>
      </c>
      <c r="BY234" s="208">
        <f>SUMIFS('свод практик'!$BY$6:$BY$277,'свод практик'!$J$6:$J$277,'свод субъектов ИБ+смежные'!BY$1,'свод практик'!$H$6:$H$277,"мун")</f>
        <v>0</v>
      </c>
      <c r="BZ234" s="208">
        <f>SUMIFS('свод практик'!$BY$6:$BY$277,'свод практик'!$J$6:$J$277,'свод субъектов ИБ+смежные'!BZ$1,'свод практик'!$H$6:$H$277,"мун")</f>
        <v>0</v>
      </c>
      <c r="CA234" s="208">
        <f>SUMIFS('свод практик'!$BY$6:$BY$277,'свод практик'!$J$6:$J$277,'свод субъектов ИБ+смежные'!CA$1,'свод практик'!$H$6:$H$277,"мун")</f>
        <v>0</v>
      </c>
      <c r="CB234" s="208">
        <f>SUMIFS('свод практик'!$BY$6:$BY$277,'свод практик'!$J$6:$J$277,'свод субъектов ИБ+смежные'!CB$1,'свод практик'!$H$6:$H$277,"мун")</f>
        <v>0</v>
      </c>
      <c r="CC234" s="208">
        <f>SUMIFS('свод практик'!$BY$6:$BY$277,'свод практик'!$J$6:$J$277,'свод субъектов ИБ+смежные'!CC$1,'свод практик'!$H$6:$H$277,"мун")</f>
        <v>0</v>
      </c>
      <c r="CD234" s="208">
        <f>SUMIFS('свод практик'!$BY$6:$BY$277,'свод практик'!$J$6:$J$277,'свод субъектов ИБ+смежные'!CD$1,'свод практик'!$H$6:$H$277,"мун")</f>
        <v>0</v>
      </c>
      <c r="CE234" s="208">
        <f>SUMIFS('свод практик'!$BY$6:$BY$277,'свод практик'!$J$6:$J$277,'свод субъектов ИБ+смежные'!CE$1,'свод практик'!$H$6:$H$277,"мун")</f>
        <v>0</v>
      </c>
      <c r="CF234" s="208">
        <f>SUMIFS('свод практик'!$BY$6:$BY$277,'свод практик'!$J$6:$J$277,'свод субъектов ИБ+смежные'!CF$1,'свод практик'!$H$6:$H$277,"мун")</f>
        <v>0</v>
      </c>
      <c r="CG234" s="208">
        <f>SUMIFS('свод практик'!$BY$6:$BY$277,'свод практик'!$J$6:$J$277,'свод субъектов ИБ+смежные'!CG$1,'свод практик'!$H$6:$H$277,"мун")</f>
        <v>0</v>
      </c>
      <c r="CH234" s="208">
        <f>SUMIFS('свод практик'!$BY$6:$BY$277,'свод практик'!$J$6:$J$277,'свод субъектов ИБ+смежные'!CH$1,'свод практик'!$H$6:$H$277,"мун")</f>
        <v>0</v>
      </c>
      <c r="CI234" s="208">
        <f>SUMIFS('свод практик'!$BY$6:$BY$277,'свод практик'!$J$6:$J$277,'свод субъектов ИБ+смежные'!CI$1,'свод практик'!$H$6:$H$277,"мун")</f>
        <v>0</v>
      </c>
      <c r="CJ234" s="208">
        <f>SUMIFS('свод практик'!$BY$6:$BY$277,'свод практик'!$J$6:$J$277,'свод субъектов ИБ+смежные'!CJ$1,'свод практик'!$H$6:$H$277,"мун")</f>
        <v>0</v>
      </c>
      <c r="CK234" s="208">
        <f>SUMIFS('свод практик'!$BY$6:$BY$277,'свод практик'!$J$6:$J$277,'свод субъектов ИБ+смежные'!CK$1,'свод практик'!$H$6:$H$277,"мун")</f>
        <v>0</v>
      </c>
      <c r="CL234" s="208">
        <f>SUMIFS('свод практик'!$BY$6:$BY$277,'свод практик'!$J$6:$J$277,'свод субъектов ИБ+смежные'!CL$1,'свод практик'!$H$6:$H$277,"мун")</f>
        <v>1</v>
      </c>
      <c r="CM234" s="208">
        <f>SUMIFS('свод практик'!$BY$6:$BY$277,'свод практик'!$J$6:$J$277,'свод субъектов ИБ+смежные'!CM$1,'свод практик'!$H$6:$H$277,"мун")</f>
        <v>0</v>
      </c>
      <c r="CN234" s="208">
        <f>SUMIFS('свод практик'!$BY$6:$BY$277,'свод практик'!$J$6:$J$277,'свод субъектов ИБ+смежные'!CN$1,'свод практик'!$H$6:$H$277,"мун")</f>
        <v>0</v>
      </c>
      <c r="CO234" s="208">
        <f>SUMIFS('свод практик'!$BY$6:$BY$277,'свод практик'!$J$6:$J$277,'свод субъектов ИБ+смежные'!CO$1,'свод практик'!$H$6:$H$277,"мун")</f>
        <v>0</v>
      </c>
      <c r="CP234" s="208">
        <f>SUMIFS('свод практик'!$BY$6:$BY$277,'свод практик'!$J$6:$J$277,'свод субъектов ИБ+смежные'!CP$1,'свод практик'!$H$6:$H$277,"мун")</f>
        <v>0</v>
      </c>
      <c r="CQ234" s="208">
        <f>SUMIFS('свод практик'!$BY$6:$BY$277,'свод практик'!$J$6:$J$277,'свод субъектов ИБ+смежные'!CQ$1,'свод практик'!$H$6:$H$277,"мун")</f>
        <v>0</v>
      </c>
      <c r="CR234" s="208">
        <f>SUMIFS('свод практик'!$BY$6:$BY$277,'свод практик'!$J$6:$J$277,'свод субъектов ИБ+смежные'!CR$1,'свод практик'!$H$6:$H$277,"мун")</f>
        <v>0</v>
      </c>
      <c r="CS234" s="208">
        <f>SUMIFS('свод практик'!$BY$6:$BY$277,'свод практик'!$J$6:$J$277,'свод субъектов ИБ+смежные'!CS$1,'свод практик'!$H$6:$H$277,"мун")</f>
        <v>0</v>
      </c>
      <c r="CT234" s="208">
        <f>SUMIFS('свод практик'!$BY$6:$BY$277,'свод практик'!$J$6:$J$277,'свод субъектов ИБ+смежные'!CT$1,'свод практик'!$H$6:$H$277,"мун")</f>
        <v>0</v>
      </c>
      <c r="CU234" s="208">
        <f>SUMIFS('свод практик'!$BY$6:$BY$277,'свод практик'!$J$6:$J$277,'свод субъектов ИБ+смежные'!CU$1,'свод практик'!$H$6:$H$277,"мун")</f>
        <v>0</v>
      </c>
      <c r="CV234" s="208">
        <f>SUMIFS('свод практик'!$BY$6:$BY$277,'свод практик'!$J$6:$J$277,'свод субъектов ИБ+смежные'!CV$1,'свод практик'!$H$6:$H$277,"мун")</f>
        <v>0</v>
      </c>
    </row>
    <row r="235" spans="1:100" ht="14">
      <c r="D235" s="36" t="s">
        <v>4949</v>
      </c>
      <c r="E235" s="36">
        <v>53</v>
      </c>
      <c r="F235" s="36" t="s">
        <v>5571</v>
      </c>
      <c r="H235" s="36" t="s">
        <v>60</v>
      </c>
      <c r="M235" s="36" t="s">
        <v>5497</v>
      </c>
      <c r="N235" s="36">
        <v>3.4813925570228089E-2</v>
      </c>
      <c r="O235" s="226"/>
      <c r="Q235" s="194"/>
      <c r="R235" s="194"/>
      <c r="S235" s="194"/>
    </row>
    <row r="236" spans="1:100" s="208" customFormat="1" ht="14">
      <c r="D236" s="208" t="s">
        <v>4949</v>
      </c>
      <c r="E236" s="208">
        <v>54</v>
      </c>
      <c r="F236" s="208" t="s">
        <v>5572</v>
      </c>
      <c r="G236" s="208" t="s">
        <v>5143</v>
      </c>
      <c r="H236" s="208" t="s">
        <v>5140</v>
      </c>
      <c r="L236" s="208" t="s">
        <v>278</v>
      </c>
      <c r="M236" s="208" t="s">
        <v>5497</v>
      </c>
      <c r="N236" s="208">
        <v>156</v>
      </c>
      <c r="O236" s="226">
        <f t="shared" ref="O236:O272" si="145">SUM(P236:CV236)</f>
        <v>326</v>
      </c>
      <c r="P236" s="208">
        <f>SUMIFS('свод практик'!$BZ$6:$BZ$277,'свод практик'!$J$6:$J$277,'свод субъектов ИБ+смежные'!P$1,'свод практик'!$H$6:$H$277,"мун")</f>
        <v>0</v>
      </c>
      <c r="Q236" s="208">
        <f>SUMIFS('свод практик'!$BZ$6:$BZ$277,'свод практик'!$J$6:$J$277,'свод субъектов ИБ+смежные'!Q$1,'свод практик'!$H$6:$H$277,"мун")</f>
        <v>0</v>
      </c>
      <c r="R236" s="208">
        <f>SUMIFS('свод практик'!$BZ$6:$BZ$277,'свод практик'!$J$6:$J$277,'свод субъектов ИБ+смежные'!R$1,'свод практик'!$H$6:$H$277,"мун")</f>
        <v>0</v>
      </c>
      <c r="S236" s="208">
        <f>SUMIFS('свод практик'!$BZ$6:$BZ$277,'свод практик'!$J$6:$J$277,'свод субъектов ИБ+смежные'!S$1,'свод практик'!$H$6:$H$277,"мун")</f>
        <v>0</v>
      </c>
      <c r="T236" s="208">
        <f>SUMIFS('свод практик'!$BZ$6:$BZ$277,'свод практик'!$J$6:$J$277,'свод субъектов ИБ+смежные'!T$1,'свод практик'!$H$6:$H$277,"мун")</f>
        <v>1</v>
      </c>
      <c r="U236" s="208">
        <f>SUMIFS('свод практик'!$BZ$6:$BZ$277,'свод практик'!$J$6:$J$277,'свод субъектов ИБ+смежные'!U$1,'свод практик'!$H$6:$H$277,"мун")</f>
        <v>0</v>
      </c>
      <c r="V236" s="208">
        <f>SUMIFS('свод практик'!$BZ$6:$BZ$277,'свод практик'!$J$6:$J$277,'свод субъектов ИБ+смежные'!V$1,'свод практик'!$H$6:$H$277,"мун")</f>
        <v>15</v>
      </c>
      <c r="W236" s="208">
        <f>SUMIFS('свод практик'!$BZ$6:$BZ$277,'свод практик'!$J$6:$J$277,'свод субъектов ИБ+смежные'!W$1,'свод практик'!$H$6:$H$277,"мун")</f>
        <v>39</v>
      </c>
      <c r="X236" s="208">
        <f>SUMIFS('свод практик'!$BZ$6:$BZ$277,'свод практик'!$J$6:$J$277,'свод субъектов ИБ+смежные'!X$1,'свод практик'!$H$6:$H$277,"мун")</f>
        <v>0</v>
      </c>
      <c r="Y236" s="208">
        <f>SUMIFS('свод практик'!$BZ$6:$BZ$277,'свод практик'!$J$6:$J$277,'свод субъектов ИБ+смежные'!Y$1,'свод практик'!$H$6:$H$277,"мун")</f>
        <v>0</v>
      </c>
      <c r="Z236" s="208">
        <f>SUMIFS('свод практик'!$BZ$6:$BZ$277,'свод практик'!$J$6:$J$277,'свод субъектов ИБ+смежные'!Z$1,'свод практик'!$H$6:$H$277,"мун")</f>
        <v>0</v>
      </c>
      <c r="AA236" s="208">
        <f>SUMIFS('свод практик'!$BZ$6:$BZ$277,'свод практик'!$J$6:$J$277,'свод субъектов ИБ+смежные'!AA$1,'свод практик'!$H$6:$H$277,"мун")</f>
        <v>0</v>
      </c>
      <c r="AB236" s="208">
        <f>SUMIFS('свод практик'!$BZ$6:$BZ$277,'свод практик'!$J$6:$J$277,'свод субъектов ИБ+смежные'!AB$1,'свод практик'!$H$6:$H$277,"мун")</f>
        <v>11</v>
      </c>
      <c r="AC236" s="208">
        <f>SUMIFS('свод практик'!$BZ$6:$BZ$277,'свод практик'!$J$6:$J$277,'свод субъектов ИБ+смежные'!AC$1,'свод практик'!$H$6:$H$277,"мун")</f>
        <v>0</v>
      </c>
      <c r="AD236" s="208">
        <f>SUMIFS('свод практик'!$BZ$6:$BZ$277,'свод практик'!$J$6:$J$277,'свод субъектов ИБ+смежные'!AD$1,'свод практик'!$H$6:$H$277,"мун")</f>
        <v>0</v>
      </c>
      <c r="AE236" s="208">
        <f>SUMIFS('свод практик'!$BZ$6:$BZ$277,'свод практик'!$J$6:$J$277,'свод субъектов ИБ+смежные'!AE$1,'свод практик'!$H$6:$H$277,"мун")</f>
        <v>0</v>
      </c>
      <c r="AF236" s="208">
        <f>SUMIFS('свод практик'!$BZ$6:$BZ$277,'свод практик'!$J$6:$J$277,'свод субъектов ИБ+смежные'!AF$1,'свод практик'!$H$6:$H$277,"мун")</f>
        <v>0</v>
      </c>
      <c r="AG236" s="208">
        <f>SUMIFS('свод практик'!$BZ$6:$BZ$277,'свод практик'!$J$6:$J$277,'свод субъектов ИБ+смежные'!AG$1,'свод практик'!$H$6:$H$277,"мун")</f>
        <v>0</v>
      </c>
      <c r="AH236" s="208">
        <f>SUMIFS('свод практик'!$BZ$6:$BZ$277,'свод практик'!$J$6:$J$277,'свод субъектов ИБ+смежные'!AH$1,'свод практик'!$H$6:$H$277,"мун")</f>
        <v>0</v>
      </c>
      <c r="AI236" s="208">
        <f>SUMIFS('свод практик'!$BZ$6:$BZ$277,'свод практик'!$J$6:$J$277,'свод субъектов ИБ+смежные'!AI$1,'свод практик'!$H$6:$H$277,"мун")</f>
        <v>0</v>
      </c>
      <c r="AJ236" s="208">
        <f>SUMIFS('свод практик'!$BZ$6:$BZ$277,'свод практик'!$J$6:$J$277,'свод субъектов ИБ+смежные'!AJ$1,'свод практик'!$H$6:$H$277,"мун")</f>
        <v>0</v>
      </c>
      <c r="AK236" s="208">
        <f>SUMIFS('свод практик'!$BZ$6:$BZ$277,'свод практик'!$J$6:$J$277,'свод субъектов ИБ+смежные'!AK$1,'свод практик'!$H$6:$H$277,"мун")</f>
        <v>0</v>
      </c>
      <c r="AL236" s="208">
        <f>SUMIFS('свод практик'!$BZ$6:$BZ$277,'свод практик'!$J$6:$J$277,'свод субъектов ИБ+смежные'!AL$1,'свод практик'!$H$6:$H$277,"мун")</f>
        <v>0</v>
      </c>
      <c r="AM236" s="208">
        <f>SUMIFS('свод практик'!$BZ$6:$BZ$277,'свод практик'!$J$6:$J$277,'свод субъектов ИБ+смежные'!AM$1,'свод практик'!$H$6:$H$277,"мун")</f>
        <v>3</v>
      </c>
      <c r="AN236" s="208">
        <f>SUMIFS('свод практик'!$BZ$6:$BZ$277,'свод практик'!$J$6:$J$277,'свод субъектов ИБ+смежные'!AN$1,'свод практик'!$H$6:$H$277,"мун")</f>
        <v>0</v>
      </c>
      <c r="AO236" s="208">
        <f>SUMIFS('свод практик'!$BZ$6:$BZ$277,'свод практик'!$J$6:$J$277,'свод субъектов ИБ+смежные'!AO$1,'свод практик'!$H$6:$H$277,"мун")</f>
        <v>0</v>
      </c>
      <c r="AP236" s="208">
        <f>SUMIFS('свод практик'!$BZ$6:$BZ$277,'свод практик'!$J$6:$J$277,'свод субъектов ИБ+смежные'!AP$1,'свод практик'!$H$6:$H$277,"мун")</f>
        <v>0</v>
      </c>
      <c r="AQ236" s="208">
        <f>SUMIFS('свод практик'!$BZ$6:$BZ$277,'свод практик'!$J$6:$J$277,'свод субъектов ИБ+смежные'!AQ$1,'свод практик'!$H$6:$H$277,"мун")</f>
        <v>0</v>
      </c>
      <c r="AR236" s="208">
        <f>SUMIFS('свод практик'!$BZ$6:$BZ$277,'свод практик'!$J$6:$J$277,'свод субъектов ИБ+смежные'!AR$1,'свод практик'!$H$6:$H$277,"мун")</f>
        <v>0</v>
      </c>
      <c r="AS236" s="208">
        <f>SUMIFS('свод практик'!$BZ$6:$BZ$277,'свод практик'!$J$6:$J$277,'свод субъектов ИБ+смежные'!AS$1,'свод практик'!$H$6:$H$277,"мун")</f>
        <v>0</v>
      </c>
      <c r="AT236" s="208">
        <f>SUMIFS('свод практик'!$BZ$6:$BZ$277,'свод практик'!$J$6:$J$277,'свод субъектов ИБ+смежные'!AT$1,'свод практик'!$H$6:$H$277,"мун")</f>
        <v>0</v>
      </c>
      <c r="AU236" s="208">
        <f>SUMIFS('свод практик'!$BZ$6:$BZ$277,'свод практик'!$J$6:$J$277,'свод субъектов ИБ+смежные'!AU$1,'свод практик'!$H$6:$H$277,"мун")</f>
        <v>136</v>
      </c>
      <c r="AV236" s="208">
        <f>SUMIFS('свод практик'!$BZ$6:$BZ$277,'свод практик'!$J$6:$J$277,'свод субъектов ИБ+смежные'!AV$1,'свод практик'!$H$6:$H$277,"мун")</f>
        <v>0</v>
      </c>
      <c r="AW236" s="208">
        <f>SUMIFS('свод практик'!$BZ$6:$BZ$277,'свод практик'!$J$6:$J$277,'свод субъектов ИБ+смежные'!AW$1,'свод практик'!$H$6:$H$277,"мун")</f>
        <v>0</v>
      </c>
      <c r="AX236" s="208">
        <f>SUMIFS('свод практик'!$BZ$6:$BZ$277,'свод практик'!$J$6:$J$277,'свод субъектов ИБ+смежные'!AX$1,'свод практик'!$H$6:$H$277,"мун")</f>
        <v>0</v>
      </c>
      <c r="AY236" s="208">
        <f>SUMIFS('свод практик'!$BZ$6:$BZ$277,'свод практик'!$J$6:$J$277,'свод субъектов ИБ+смежные'!AY$1,'свод практик'!$H$6:$H$277,"мун")</f>
        <v>0</v>
      </c>
      <c r="AZ236" s="208">
        <f>SUMIFS('свод практик'!$BZ$6:$BZ$277,'свод практик'!$J$6:$J$277,'свод субъектов ИБ+смежные'!AZ$1,'свод практик'!$H$6:$H$277,"мун")</f>
        <v>0</v>
      </c>
      <c r="BA236" s="208">
        <f>SUMIFS('свод практик'!$BZ$6:$BZ$277,'свод практик'!$J$6:$J$277,'свод субъектов ИБ+смежные'!BA$1,'свод практик'!$H$6:$H$277,"мун")</f>
        <v>0</v>
      </c>
      <c r="BB236" s="208">
        <f>SUMIFS('свод практик'!$BZ$6:$BZ$277,'свод практик'!$J$6:$J$277,'свод субъектов ИБ+смежные'!BB$1,'свод практик'!$H$6:$H$277,"мун")</f>
        <v>0</v>
      </c>
      <c r="BC236" s="208">
        <f>SUMIFS('свод практик'!$BZ$6:$BZ$277,'свод практик'!$J$6:$J$277,'свод субъектов ИБ+смежные'!BC$1,'свод практик'!$H$6:$H$277,"мун")</f>
        <v>0</v>
      </c>
      <c r="BD236" s="208">
        <f>SUMIFS('свод практик'!$BZ$6:$BZ$277,'свод практик'!$J$6:$J$277,'свод субъектов ИБ+смежные'!BD$1,'свод практик'!$H$6:$H$277,"мун")</f>
        <v>0</v>
      </c>
      <c r="BE236" s="208">
        <f>SUMIFS('свод практик'!$BZ$6:$BZ$277,'свод практик'!$J$6:$J$277,'свод субъектов ИБ+смежные'!BE$1,'свод практик'!$H$6:$H$277,"мун")</f>
        <v>0</v>
      </c>
      <c r="BF236" s="208">
        <f>SUMIFS('свод практик'!$BZ$6:$BZ$277,'свод практик'!$J$6:$J$277,'свод субъектов ИБ+смежные'!BF$1,'свод практик'!$H$6:$H$277,"мун")</f>
        <v>0</v>
      </c>
      <c r="BG236" s="208">
        <f>SUMIFS('свод практик'!$BZ$6:$BZ$277,'свод практик'!$J$6:$J$277,'свод субъектов ИБ+смежные'!BG$1,'свод практик'!$H$6:$H$277,"мун")</f>
        <v>0</v>
      </c>
      <c r="BH236" s="208">
        <f>SUMIFS('свод практик'!$BZ$6:$BZ$277,'свод практик'!$J$6:$J$277,'свод субъектов ИБ+смежные'!BH$1,'свод практик'!$H$6:$H$277,"мун")</f>
        <v>0</v>
      </c>
      <c r="BI236" s="208">
        <f>SUMIFS('свод практик'!$BZ$6:$BZ$277,'свод практик'!$J$6:$J$277,'свод субъектов ИБ+смежные'!BI$1,'свод практик'!$H$6:$H$277,"мун")</f>
        <v>0</v>
      </c>
      <c r="BJ236" s="208">
        <f>SUMIFS('свод практик'!$BZ$6:$BZ$277,'свод практик'!$J$6:$J$277,'свод субъектов ИБ+смежные'!BJ$1,'свод практик'!$H$6:$H$277,"мун")</f>
        <v>0</v>
      </c>
      <c r="BK236" s="208">
        <f>SUMIFS('свод практик'!$BZ$6:$BZ$277,'свод практик'!$J$6:$J$277,'свод субъектов ИБ+смежные'!BK$1,'свод практик'!$H$6:$H$277,"мун")</f>
        <v>0</v>
      </c>
      <c r="BL236" s="208">
        <f>SUMIFS('свод практик'!$BZ$6:$BZ$277,'свод практик'!$J$6:$J$277,'свод субъектов ИБ+смежные'!BL$1,'свод практик'!$H$6:$H$277,"мун")</f>
        <v>2</v>
      </c>
      <c r="BM236" s="208">
        <f>SUMIFS('свод практик'!$BZ$6:$BZ$277,'свод практик'!$J$6:$J$277,'свод субъектов ИБ+смежные'!BM$1,'свод практик'!$H$6:$H$277,"мун")</f>
        <v>0</v>
      </c>
      <c r="BN236" s="208">
        <f>SUMIFS('свод практик'!$BZ$6:$BZ$277,'свод практик'!$J$6:$J$277,'свод субъектов ИБ+смежные'!BN$1,'свод практик'!$H$6:$H$277,"мун")</f>
        <v>0</v>
      </c>
      <c r="BO236" s="208">
        <f>SUMIFS('свод практик'!$BZ$6:$BZ$277,'свод практик'!$J$6:$J$277,'свод субъектов ИБ+смежные'!BO$1,'свод практик'!$H$6:$H$277,"мун")</f>
        <v>2</v>
      </c>
      <c r="BP236" s="208">
        <f>SUMIFS('свод практик'!$BZ$6:$BZ$277,'свод практик'!$J$6:$J$277,'свод субъектов ИБ+смежные'!BP$1,'свод практик'!$H$6:$H$277,"мун")</f>
        <v>0</v>
      </c>
      <c r="BQ236" s="208">
        <f>SUMIFS('свод практик'!$BZ$6:$BZ$277,'свод практик'!$J$6:$J$277,'свод субъектов ИБ+смежные'!BQ$1,'свод практик'!$H$6:$H$277,"мун")</f>
        <v>0</v>
      </c>
      <c r="BR236" s="208">
        <f>SUMIFS('свод практик'!$BZ$6:$BZ$277,'свод практик'!$J$6:$J$277,'свод субъектов ИБ+смежные'!BR$1,'свод практик'!$H$6:$H$277,"мун")</f>
        <v>0</v>
      </c>
      <c r="BS236" s="208">
        <f>SUMIFS('свод практик'!$BZ$6:$BZ$277,'свод практик'!$J$6:$J$277,'свод субъектов ИБ+смежные'!BS$1,'свод практик'!$H$6:$H$277,"мун")</f>
        <v>30</v>
      </c>
      <c r="BT236" s="208">
        <f>SUMIFS('свод практик'!$BZ$6:$BZ$277,'свод практик'!$J$6:$J$277,'свод субъектов ИБ+смежные'!BT$1,'свод практик'!$H$6:$H$277,"мун")</f>
        <v>0</v>
      </c>
      <c r="BU236" s="208">
        <f>SUMIFS('свод практик'!$BZ$6:$BZ$277,'свод практик'!$J$6:$J$277,'свод субъектов ИБ+смежные'!BU$1,'свод практик'!$H$6:$H$277,"мун")</f>
        <v>12</v>
      </c>
      <c r="BV236" s="208">
        <f>SUMIFS('свод практик'!$BZ$6:$BZ$277,'свод практик'!$J$6:$J$277,'свод субъектов ИБ+смежные'!BV$1,'свод практик'!$H$6:$H$277,"мун")</f>
        <v>0</v>
      </c>
      <c r="BW236" s="208">
        <f>SUMIFS('свод практик'!$BZ$6:$BZ$277,'свод практик'!$J$6:$J$277,'свод субъектов ИБ+смежные'!BW$1,'свод практик'!$H$6:$H$277,"мун")</f>
        <v>0</v>
      </c>
      <c r="BX236" s="208">
        <f>SUMIFS('свод практик'!$BZ$6:$BZ$277,'свод практик'!$J$6:$J$277,'свод субъектов ИБ+смежные'!BX$1,'свод практик'!$H$6:$H$277,"мун")</f>
        <v>0</v>
      </c>
      <c r="BY236" s="208">
        <f>SUMIFS('свод практик'!$BZ$6:$BZ$277,'свод практик'!$J$6:$J$277,'свод субъектов ИБ+смежные'!BY$1,'свод практик'!$H$6:$H$277,"мун")</f>
        <v>0</v>
      </c>
      <c r="BZ236" s="208">
        <f>SUMIFS('свод практик'!$BZ$6:$BZ$277,'свод практик'!$J$6:$J$277,'свод субъектов ИБ+смежные'!BZ$1,'свод практик'!$H$6:$H$277,"мун")</f>
        <v>1</v>
      </c>
      <c r="CA236" s="208">
        <f>SUMIFS('свод практик'!$BZ$6:$BZ$277,'свод практик'!$J$6:$J$277,'свод субъектов ИБ+смежные'!CA$1,'свод практик'!$H$6:$H$277,"мун")</f>
        <v>0</v>
      </c>
      <c r="CB236" s="208">
        <f>SUMIFS('свод практик'!$BZ$6:$BZ$277,'свод практик'!$J$6:$J$277,'свод субъектов ИБ+смежные'!CB$1,'свод практик'!$H$6:$H$277,"мун")</f>
        <v>0</v>
      </c>
      <c r="CC236" s="208">
        <f>SUMIFS('свод практик'!$BZ$6:$BZ$277,'свод практик'!$J$6:$J$277,'свод субъектов ИБ+смежные'!CC$1,'свод практик'!$H$6:$H$277,"мун")</f>
        <v>0</v>
      </c>
      <c r="CD236" s="208">
        <f>SUMIFS('свод практик'!$BZ$6:$BZ$277,'свод практик'!$J$6:$J$277,'свод субъектов ИБ+смежные'!CD$1,'свод практик'!$H$6:$H$277,"мун")</f>
        <v>0</v>
      </c>
      <c r="CE236" s="208">
        <f>SUMIFS('свод практик'!$BZ$6:$BZ$277,'свод практик'!$J$6:$J$277,'свод субъектов ИБ+смежные'!CE$1,'свод практик'!$H$6:$H$277,"мун")</f>
        <v>0</v>
      </c>
      <c r="CF236" s="208">
        <f>SUMIFS('свод практик'!$BZ$6:$BZ$277,'свод практик'!$J$6:$J$277,'свод субъектов ИБ+смежные'!CF$1,'свод практик'!$H$6:$H$277,"мун")</f>
        <v>0</v>
      </c>
      <c r="CG236" s="208">
        <f>SUMIFS('свод практик'!$BZ$6:$BZ$277,'свод практик'!$J$6:$J$277,'свод субъектов ИБ+смежные'!CG$1,'свод практик'!$H$6:$H$277,"мун")</f>
        <v>0</v>
      </c>
      <c r="CH236" s="208">
        <f>SUMIFS('свод практик'!$BZ$6:$BZ$277,'свод практик'!$J$6:$J$277,'свод субъектов ИБ+смежные'!CH$1,'свод практик'!$H$6:$H$277,"мун")</f>
        <v>0</v>
      </c>
      <c r="CI236" s="208">
        <f>SUMIFS('свод практик'!$BZ$6:$BZ$277,'свод практик'!$J$6:$J$277,'свод субъектов ИБ+смежные'!CI$1,'свод практик'!$H$6:$H$277,"мун")</f>
        <v>0</v>
      </c>
      <c r="CJ236" s="208">
        <f>SUMIFS('свод практик'!$BZ$6:$BZ$277,'свод практик'!$J$6:$J$277,'свод субъектов ИБ+смежные'!CJ$1,'свод практик'!$H$6:$H$277,"мун")</f>
        <v>0</v>
      </c>
      <c r="CK236" s="208">
        <f>SUMIFS('свод практик'!$BZ$6:$BZ$277,'свод практик'!$J$6:$J$277,'свод субъектов ИБ+смежные'!CK$1,'свод практик'!$H$6:$H$277,"мун")</f>
        <v>0</v>
      </c>
      <c r="CL236" s="208">
        <f>SUMIFS('свод практик'!$BZ$6:$BZ$277,'свод практик'!$J$6:$J$277,'свод субъектов ИБ+смежные'!CL$1,'свод практик'!$H$6:$H$277,"мун")</f>
        <v>22</v>
      </c>
      <c r="CM236" s="208">
        <f>SUMIFS('свод практик'!$BZ$6:$BZ$277,'свод практик'!$J$6:$J$277,'свод субъектов ИБ+смежные'!CM$1,'свод практик'!$H$6:$H$277,"мун")</f>
        <v>3</v>
      </c>
      <c r="CN236" s="208">
        <f>SUMIFS('свод практик'!$BZ$6:$BZ$277,'свод практик'!$J$6:$J$277,'свод субъектов ИБ+смежные'!CN$1,'свод практик'!$H$6:$H$277,"мун")</f>
        <v>0</v>
      </c>
      <c r="CO236" s="208">
        <f>SUMIFS('свод практик'!$BZ$6:$BZ$277,'свод практик'!$J$6:$J$277,'свод субъектов ИБ+смежные'!CO$1,'свод практик'!$H$6:$H$277,"мун")</f>
        <v>0</v>
      </c>
      <c r="CP236" s="208">
        <f>SUMIFS('свод практик'!$BZ$6:$BZ$277,'свод практик'!$J$6:$J$277,'свод субъектов ИБ+смежные'!CP$1,'свод практик'!$H$6:$H$277,"мун")</f>
        <v>22</v>
      </c>
      <c r="CQ236" s="208">
        <f>SUMIFS('свод практик'!$BZ$6:$BZ$277,'свод практик'!$J$6:$J$277,'свод субъектов ИБ+смежные'!CQ$1,'свод практик'!$H$6:$H$277,"мун")</f>
        <v>0</v>
      </c>
      <c r="CR236" s="208">
        <f>SUMIFS('свод практик'!$BZ$6:$BZ$277,'свод практик'!$J$6:$J$277,'свод субъектов ИБ+смежные'!CR$1,'свод практик'!$H$6:$H$277,"мун")</f>
        <v>0</v>
      </c>
      <c r="CS236" s="208">
        <f>SUMIFS('свод практик'!$BZ$6:$BZ$277,'свод практик'!$J$6:$J$277,'свод субъектов ИБ+смежные'!CS$1,'свод практик'!$H$6:$H$277,"мун")</f>
        <v>18</v>
      </c>
      <c r="CT236" s="208">
        <f>SUMIFS('свод практик'!$BZ$6:$BZ$277,'свод практик'!$J$6:$J$277,'свод субъектов ИБ+смежные'!CT$1,'свод практик'!$H$6:$H$277,"мун")</f>
        <v>0</v>
      </c>
      <c r="CU236" s="208">
        <f>SUMIFS('свод практик'!$BZ$6:$BZ$277,'свод практик'!$J$6:$J$277,'свод субъектов ИБ+смежные'!CU$1,'свод практик'!$H$6:$H$277,"мун")</f>
        <v>9</v>
      </c>
      <c r="CV236" s="208">
        <f>SUMIFS('свод практик'!$BZ$6:$BZ$277,'свод практик'!$J$6:$J$277,'свод субъектов ИБ+смежные'!CV$1,'свод практик'!$H$6:$H$277,"мун")</f>
        <v>0</v>
      </c>
    </row>
    <row r="237" spans="1:100" ht="14">
      <c r="D237" s="36" t="s">
        <v>4949</v>
      </c>
      <c r="E237" s="36">
        <v>55</v>
      </c>
      <c r="F237" s="36" t="s">
        <v>5573</v>
      </c>
      <c r="H237" s="36" t="s">
        <v>60</v>
      </c>
      <c r="M237" s="36" t="s">
        <v>5497</v>
      </c>
      <c r="N237" s="36">
        <v>0.1872749099639856</v>
      </c>
      <c r="O237" s="226"/>
      <c r="Q237" s="194"/>
      <c r="R237" s="194"/>
      <c r="S237" s="194"/>
    </row>
    <row r="238" spans="1:100" s="208" customFormat="1" ht="14">
      <c r="D238" s="208" t="s">
        <v>4949</v>
      </c>
      <c r="E238" s="208">
        <v>56</v>
      </c>
      <c r="F238" s="208" t="s">
        <v>5574</v>
      </c>
      <c r="G238" s="208" t="s">
        <v>5146</v>
      </c>
      <c r="H238" s="208" t="s">
        <v>5140</v>
      </c>
      <c r="L238" s="208" t="s">
        <v>278</v>
      </c>
      <c r="M238" s="208" t="s">
        <v>5497</v>
      </c>
      <c r="N238" s="208">
        <v>32</v>
      </c>
      <c r="O238" s="226">
        <f t="shared" si="145"/>
        <v>36</v>
      </c>
      <c r="P238" s="208">
        <f>SUMIFS('свод практик'!$CA$6:$CA$277,'свод практик'!$J$6:$J$277,'свод субъектов ИБ+смежные'!P$1,'свод практик'!$H$6:$H$277,"мун")</f>
        <v>0</v>
      </c>
      <c r="Q238" s="208">
        <f>SUMIFS('свод практик'!$CA$6:$CA$277,'свод практик'!$J$6:$J$277,'свод субъектов ИБ+смежные'!Q$1,'свод практик'!$H$6:$H$277,"мун")</f>
        <v>0</v>
      </c>
      <c r="R238" s="208">
        <f>SUMIFS('свод практик'!$CA$6:$CA$277,'свод практик'!$J$6:$J$277,'свод субъектов ИБ+смежные'!R$1,'свод практик'!$H$6:$H$277,"мун")</f>
        <v>0</v>
      </c>
      <c r="S238" s="208">
        <f>SUMIFS('свод практик'!$CA$6:$CA$277,'свод практик'!$J$6:$J$277,'свод субъектов ИБ+смежные'!S$1,'свод практик'!$H$6:$H$277,"мун")</f>
        <v>0</v>
      </c>
      <c r="T238" s="208">
        <f>SUMIFS('свод практик'!$CA$6:$CA$277,'свод практик'!$J$6:$J$277,'свод субъектов ИБ+смежные'!T$1,'свод практик'!$H$6:$H$277,"мун")</f>
        <v>0</v>
      </c>
      <c r="U238" s="208">
        <f>SUMIFS('свод практик'!$CA$6:$CA$277,'свод практик'!$J$6:$J$277,'свод субъектов ИБ+смежные'!U$1,'свод практик'!$H$6:$H$277,"мун")</f>
        <v>0</v>
      </c>
      <c r="V238" s="208">
        <f>SUMIFS('свод практик'!$CA$6:$CA$277,'свод практик'!$J$6:$J$277,'свод субъектов ИБ+смежные'!V$1,'свод практик'!$H$6:$H$277,"мун")</f>
        <v>1</v>
      </c>
      <c r="W238" s="208">
        <f>SUMIFS('свод практик'!$CA$6:$CA$277,'свод практик'!$J$6:$J$277,'свод субъектов ИБ+смежные'!W$1,'свод практик'!$H$6:$H$277,"мун")</f>
        <v>1</v>
      </c>
      <c r="X238" s="208">
        <f>SUMIFS('свод практик'!$CA$6:$CA$277,'свод практик'!$J$6:$J$277,'свод субъектов ИБ+смежные'!X$1,'свод практик'!$H$6:$H$277,"мун")</f>
        <v>0</v>
      </c>
      <c r="Y238" s="208">
        <f>SUMIFS('свод практик'!$CA$6:$CA$277,'свод практик'!$J$6:$J$277,'свод субъектов ИБ+смежные'!Y$1,'свод практик'!$H$6:$H$277,"мун")</f>
        <v>0</v>
      </c>
      <c r="Z238" s="208">
        <f>SUMIFS('свод практик'!$CA$6:$CA$277,'свод практик'!$J$6:$J$277,'свод субъектов ИБ+смежные'!Z$1,'свод практик'!$H$6:$H$277,"мун")</f>
        <v>0</v>
      </c>
      <c r="AA238" s="208">
        <f>SUMIFS('свод практик'!$CA$6:$CA$277,'свод практик'!$J$6:$J$277,'свод субъектов ИБ+смежные'!AA$1,'свод практик'!$H$6:$H$277,"мун")</f>
        <v>0</v>
      </c>
      <c r="AB238" s="208">
        <f>SUMIFS('свод практик'!$CA$6:$CA$277,'свод практик'!$J$6:$J$277,'свод субъектов ИБ+смежные'!AB$1,'свод практик'!$H$6:$H$277,"мун")</f>
        <v>2</v>
      </c>
      <c r="AC238" s="208">
        <f>SUMIFS('свод практик'!$CA$6:$CA$277,'свод практик'!$J$6:$J$277,'свод субъектов ИБ+смежные'!AC$1,'свод практик'!$H$6:$H$277,"мун")</f>
        <v>0</v>
      </c>
      <c r="AD238" s="208">
        <f>SUMIFS('свод практик'!$CA$6:$CA$277,'свод практик'!$J$6:$J$277,'свод субъектов ИБ+смежные'!AD$1,'свод практик'!$H$6:$H$277,"мун")</f>
        <v>0</v>
      </c>
      <c r="AE238" s="208">
        <f>SUMIFS('свод практик'!$CA$6:$CA$277,'свод практик'!$J$6:$J$277,'свод субъектов ИБ+смежные'!AE$1,'свод практик'!$H$6:$H$277,"мун")</f>
        <v>0</v>
      </c>
      <c r="AF238" s="208">
        <f>SUMIFS('свод практик'!$CA$6:$CA$277,'свод практик'!$J$6:$J$277,'свод субъектов ИБ+смежные'!AF$1,'свод практик'!$H$6:$H$277,"мун")</f>
        <v>0</v>
      </c>
      <c r="AG238" s="208">
        <f>SUMIFS('свод практик'!$CA$6:$CA$277,'свод практик'!$J$6:$J$277,'свод субъектов ИБ+смежные'!AG$1,'свод практик'!$H$6:$H$277,"мун")</f>
        <v>0</v>
      </c>
      <c r="AH238" s="208">
        <f>SUMIFS('свод практик'!$CA$6:$CA$277,'свод практик'!$J$6:$J$277,'свод субъектов ИБ+смежные'!AH$1,'свод практик'!$H$6:$H$277,"мун")</f>
        <v>0</v>
      </c>
      <c r="AI238" s="208">
        <f>SUMIFS('свод практик'!$CA$6:$CA$277,'свод практик'!$J$6:$J$277,'свод субъектов ИБ+смежные'!AI$1,'свод практик'!$H$6:$H$277,"мун")</f>
        <v>0</v>
      </c>
      <c r="AJ238" s="208">
        <f>SUMIFS('свод практик'!$CA$6:$CA$277,'свод практик'!$J$6:$J$277,'свод субъектов ИБ+смежные'!AJ$1,'свод практик'!$H$6:$H$277,"мун")</f>
        <v>0</v>
      </c>
      <c r="AK238" s="208">
        <f>SUMIFS('свод практик'!$CA$6:$CA$277,'свод практик'!$J$6:$J$277,'свод субъектов ИБ+смежные'!AK$1,'свод практик'!$H$6:$H$277,"мун")</f>
        <v>0</v>
      </c>
      <c r="AL238" s="208">
        <f>SUMIFS('свод практик'!$CA$6:$CA$277,'свод практик'!$J$6:$J$277,'свод субъектов ИБ+смежные'!AL$1,'свод практик'!$H$6:$H$277,"мун")</f>
        <v>0</v>
      </c>
      <c r="AM238" s="208">
        <f>SUMIFS('свод практик'!$CA$6:$CA$277,'свод практик'!$J$6:$J$277,'свод субъектов ИБ+смежные'!AM$1,'свод практик'!$H$6:$H$277,"мун")</f>
        <v>1</v>
      </c>
      <c r="AN238" s="208">
        <f>SUMIFS('свод практик'!$CA$6:$CA$277,'свод практик'!$J$6:$J$277,'свод субъектов ИБ+смежные'!AN$1,'свод практик'!$H$6:$H$277,"мун")</f>
        <v>0</v>
      </c>
      <c r="AO238" s="208">
        <f>SUMIFS('свод практик'!$CA$6:$CA$277,'свод практик'!$J$6:$J$277,'свод субъектов ИБ+смежные'!AO$1,'свод практик'!$H$6:$H$277,"мун")</f>
        <v>0</v>
      </c>
      <c r="AP238" s="208">
        <f>SUMIFS('свод практик'!$CA$6:$CA$277,'свод практик'!$J$6:$J$277,'свод субъектов ИБ+смежные'!AP$1,'свод практик'!$H$6:$H$277,"мун")</f>
        <v>0</v>
      </c>
      <c r="AQ238" s="208">
        <f>SUMIFS('свод практик'!$CA$6:$CA$277,'свод практик'!$J$6:$J$277,'свод субъектов ИБ+смежные'!AQ$1,'свод практик'!$H$6:$H$277,"мун")</f>
        <v>0</v>
      </c>
      <c r="AR238" s="208">
        <f>SUMIFS('свод практик'!$CA$6:$CA$277,'свод практик'!$J$6:$J$277,'свод субъектов ИБ+смежные'!AR$1,'свод практик'!$H$6:$H$277,"мун")</f>
        <v>0</v>
      </c>
      <c r="AS238" s="208">
        <f>SUMIFS('свод практик'!$CA$6:$CA$277,'свод практик'!$J$6:$J$277,'свод субъектов ИБ+смежные'!AS$1,'свод практик'!$H$6:$H$277,"мун")</f>
        <v>0</v>
      </c>
      <c r="AT238" s="208">
        <f>SUMIFS('свод практик'!$CA$6:$CA$277,'свод практик'!$J$6:$J$277,'свод субъектов ИБ+смежные'!AT$1,'свод практик'!$H$6:$H$277,"мун")</f>
        <v>0</v>
      </c>
      <c r="AU238" s="208">
        <f>SUMIFS('свод практик'!$CA$6:$CA$277,'свод практик'!$J$6:$J$277,'свод субъектов ИБ+смежные'!AU$1,'свод практик'!$H$6:$H$277,"мун")</f>
        <v>0</v>
      </c>
      <c r="AV238" s="208">
        <f>SUMIFS('свод практик'!$CA$6:$CA$277,'свод практик'!$J$6:$J$277,'свод субъектов ИБ+смежные'!AV$1,'свод практик'!$H$6:$H$277,"мун")</f>
        <v>0</v>
      </c>
      <c r="AW238" s="208">
        <f>SUMIFS('свод практик'!$CA$6:$CA$277,'свод практик'!$J$6:$J$277,'свод субъектов ИБ+смежные'!AW$1,'свод практик'!$H$6:$H$277,"мун")</f>
        <v>0</v>
      </c>
      <c r="AX238" s="208">
        <f>SUMIFS('свод практик'!$CA$6:$CA$277,'свод практик'!$J$6:$J$277,'свод субъектов ИБ+смежные'!AX$1,'свод практик'!$H$6:$H$277,"мун")</f>
        <v>0</v>
      </c>
      <c r="AY238" s="208">
        <f>SUMIFS('свод практик'!$CA$6:$CA$277,'свод практик'!$J$6:$J$277,'свод субъектов ИБ+смежные'!AY$1,'свод практик'!$H$6:$H$277,"мун")</f>
        <v>0</v>
      </c>
      <c r="AZ238" s="208">
        <f>SUMIFS('свод практик'!$CA$6:$CA$277,'свод практик'!$J$6:$J$277,'свод субъектов ИБ+смежные'!AZ$1,'свод практик'!$H$6:$H$277,"мун")</f>
        <v>0</v>
      </c>
      <c r="BA238" s="208">
        <f>SUMIFS('свод практик'!$CA$6:$CA$277,'свод практик'!$J$6:$J$277,'свод субъектов ИБ+смежные'!BA$1,'свод практик'!$H$6:$H$277,"мун")</f>
        <v>0</v>
      </c>
      <c r="BB238" s="208">
        <f>SUMIFS('свод практик'!$CA$6:$CA$277,'свод практик'!$J$6:$J$277,'свод субъектов ИБ+смежные'!BB$1,'свод практик'!$H$6:$H$277,"мун")</f>
        <v>0</v>
      </c>
      <c r="BC238" s="208">
        <f>SUMIFS('свод практик'!$CA$6:$CA$277,'свод практик'!$J$6:$J$277,'свод субъектов ИБ+смежные'!BC$1,'свод практик'!$H$6:$H$277,"мун")</f>
        <v>0</v>
      </c>
      <c r="BD238" s="208">
        <f>SUMIFS('свод практик'!$CA$6:$CA$277,'свод практик'!$J$6:$J$277,'свод субъектов ИБ+смежные'!BD$1,'свод практик'!$H$6:$H$277,"мун")</f>
        <v>0</v>
      </c>
      <c r="BE238" s="208">
        <f>SUMIFS('свод практик'!$CA$6:$CA$277,'свод практик'!$J$6:$J$277,'свод субъектов ИБ+смежные'!BE$1,'свод практик'!$H$6:$H$277,"мун")</f>
        <v>0</v>
      </c>
      <c r="BF238" s="208">
        <f>SUMIFS('свод практик'!$CA$6:$CA$277,'свод практик'!$J$6:$J$277,'свод субъектов ИБ+смежные'!BF$1,'свод практик'!$H$6:$H$277,"мун")</f>
        <v>0</v>
      </c>
      <c r="BG238" s="208">
        <f>SUMIFS('свод практик'!$CA$6:$CA$277,'свод практик'!$J$6:$J$277,'свод субъектов ИБ+смежные'!BG$1,'свод практик'!$H$6:$H$277,"мун")</f>
        <v>0</v>
      </c>
      <c r="BH238" s="208">
        <f>SUMIFS('свод практик'!$CA$6:$CA$277,'свод практик'!$J$6:$J$277,'свод субъектов ИБ+смежные'!BH$1,'свод практик'!$H$6:$H$277,"мун")</f>
        <v>0</v>
      </c>
      <c r="BI238" s="208">
        <f>SUMIFS('свод практик'!$CA$6:$CA$277,'свод практик'!$J$6:$J$277,'свод субъектов ИБ+смежные'!BI$1,'свод практик'!$H$6:$H$277,"мун")</f>
        <v>0</v>
      </c>
      <c r="BJ238" s="208">
        <f>SUMIFS('свод практик'!$CA$6:$CA$277,'свод практик'!$J$6:$J$277,'свод субъектов ИБ+смежные'!BJ$1,'свод практик'!$H$6:$H$277,"мун")</f>
        <v>0</v>
      </c>
      <c r="BK238" s="208">
        <f>SUMIFS('свод практик'!$CA$6:$CA$277,'свод практик'!$J$6:$J$277,'свод субъектов ИБ+смежные'!BK$1,'свод практик'!$H$6:$H$277,"мун")</f>
        <v>0</v>
      </c>
      <c r="BL238" s="208">
        <f>SUMIFS('свод практик'!$CA$6:$CA$277,'свод практик'!$J$6:$J$277,'свод субъектов ИБ+смежные'!BL$1,'свод практик'!$H$6:$H$277,"мун")</f>
        <v>2</v>
      </c>
      <c r="BM238" s="208">
        <f>SUMIFS('свод практик'!$CA$6:$CA$277,'свод практик'!$J$6:$J$277,'свод субъектов ИБ+смежные'!BM$1,'свод практик'!$H$6:$H$277,"мун")</f>
        <v>0</v>
      </c>
      <c r="BN238" s="208">
        <f>SUMIFS('свод практик'!$CA$6:$CA$277,'свод практик'!$J$6:$J$277,'свод субъектов ИБ+смежные'!BN$1,'свод практик'!$H$6:$H$277,"мун")</f>
        <v>0</v>
      </c>
      <c r="BO238" s="208">
        <f>SUMIFS('свод практик'!$CA$6:$CA$277,'свод практик'!$J$6:$J$277,'свод субъектов ИБ+смежные'!BO$1,'свод практик'!$H$6:$H$277,"мун")</f>
        <v>0</v>
      </c>
      <c r="BP238" s="208">
        <f>SUMIFS('свод практик'!$CA$6:$CA$277,'свод практик'!$J$6:$J$277,'свод субъектов ИБ+смежные'!BP$1,'свод практик'!$H$6:$H$277,"мун")</f>
        <v>0</v>
      </c>
      <c r="BQ238" s="208">
        <f>SUMIFS('свод практик'!$CA$6:$CA$277,'свод практик'!$J$6:$J$277,'свод субъектов ИБ+смежные'!BQ$1,'свод практик'!$H$6:$H$277,"мун")</f>
        <v>0</v>
      </c>
      <c r="BR238" s="208">
        <f>SUMIFS('свод практик'!$CA$6:$CA$277,'свод практик'!$J$6:$J$277,'свод субъектов ИБ+смежные'!BR$1,'свод практик'!$H$6:$H$277,"мун")</f>
        <v>0</v>
      </c>
      <c r="BS238" s="208">
        <f>SUMIFS('свод практик'!$CA$6:$CA$277,'свод практик'!$J$6:$J$277,'свод субъектов ИБ+смежные'!BS$1,'свод практик'!$H$6:$H$277,"мун")</f>
        <v>18</v>
      </c>
      <c r="BT238" s="208">
        <f>SUMIFS('свод практик'!$CA$6:$CA$277,'свод практик'!$J$6:$J$277,'свод субъектов ИБ+смежные'!BT$1,'свод практик'!$H$6:$H$277,"мун")</f>
        <v>0</v>
      </c>
      <c r="BU238" s="208">
        <f>SUMIFS('свод практик'!$CA$6:$CA$277,'свод практик'!$J$6:$J$277,'свод субъектов ИБ+смежные'!BU$1,'свод практик'!$H$6:$H$277,"мун")</f>
        <v>0</v>
      </c>
      <c r="BV238" s="208">
        <f>SUMIFS('свод практик'!$CA$6:$CA$277,'свод практик'!$J$6:$J$277,'свод субъектов ИБ+смежные'!BV$1,'свод практик'!$H$6:$H$277,"мун")</f>
        <v>0</v>
      </c>
      <c r="BW238" s="208">
        <f>SUMIFS('свод практик'!$CA$6:$CA$277,'свод практик'!$J$6:$J$277,'свод субъектов ИБ+смежные'!BW$1,'свод практик'!$H$6:$H$277,"мун")</f>
        <v>0</v>
      </c>
      <c r="BX238" s="208">
        <f>SUMIFS('свод практик'!$CA$6:$CA$277,'свод практик'!$J$6:$J$277,'свод субъектов ИБ+смежные'!BX$1,'свод практик'!$H$6:$H$277,"мун")</f>
        <v>0</v>
      </c>
      <c r="BY238" s="208">
        <f>SUMIFS('свод практик'!$CA$6:$CA$277,'свод практик'!$J$6:$J$277,'свод субъектов ИБ+смежные'!BY$1,'свод практик'!$H$6:$H$277,"мун")</f>
        <v>0</v>
      </c>
      <c r="BZ238" s="208">
        <f>SUMIFS('свод практик'!$CA$6:$CA$277,'свод практик'!$J$6:$J$277,'свод субъектов ИБ+смежные'!BZ$1,'свод практик'!$H$6:$H$277,"мун")</f>
        <v>0</v>
      </c>
      <c r="CA238" s="208">
        <f>SUMIFS('свод практик'!$CA$6:$CA$277,'свод практик'!$J$6:$J$277,'свод субъектов ИБ+смежные'!CA$1,'свод практик'!$H$6:$H$277,"мун")</f>
        <v>0</v>
      </c>
      <c r="CB238" s="208">
        <f>SUMIFS('свод практик'!$CA$6:$CA$277,'свод практик'!$J$6:$J$277,'свод субъектов ИБ+смежные'!CB$1,'свод практик'!$H$6:$H$277,"мун")</f>
        <v>0</v>
      </c>
      <c r="CC238" s="208">
        <f>SUMIFS('свод практик'!$CA$6:$CA$277,'свод практик'!$J$6:$J$277,'свод субъектов ИБ+смежные'!CC$1,'свод практик'!$H$6:$H$277,"мун")</f>
        <v>0</v>
      </c>
      <c r="CD238" s="208">
        <f>SUMIFS('свод практик'!$CA$6:$CA$277,'свод практик'!$J$6:$J$277,'свод субъектов ИБ+смежные'!CD$1,'свод практик'!$H$6:$H$277,"мун")</f>
        <v>4</v>
      </c>
      <c r="CE238" s="208">
        <f>SUMIFS('свод практик'!$CA$6:$CA$277,'свод практик'!$J$6:$J$277,'свод субъектов ИБ+смежные'!CE$1,'свод практик'!$H$6:$H$277,"мун")</f>
        <v>0</v>
      </c>
      <c r="CF238" s="208">
        <f>SUMIFS('свод практик'!$CA$6:$CA$277,'свод практик'!$J$6:$J$277,'свод субъектов ИБ+смежные'!CF$1,'свод практик'!$H$6:$H$277,"мун")</f>
        <v>0</v>
      </c>
      <c r="CG238" s="208">
        <f>SUMIFS('свод практик'!$CA$6:$CA$277,'свод практик'!$J$6:$J$277,'свод субъектов ИБ+смежные'!CG$1,'свод практик'!$H$6:$H$277,"мун")</f>
        <v>0</v>
      </c>
      <c r="CH238" s="208">
        <f>SUMIFS('свод практик'!$CA$6:$CA$277,'свод практик'!$J$6:$J$277,'свод субъектов ИБ+смежные'!CH$1,'свод практик'!$H$6:$H$277,"мун")</f>
        <v>0</v>
      </c>
      <c r="CI238" s="208">
        <f>SUMIFS('свод практик'!$CA$6:$CA$277,'свод практик'!$J$6:$J$277,'свод субъектов ИБ+смежные'!CI$1,'свод практик'!$H$6:$H$277,"мун")</f>
        <v>0</v>
      </c>
      <c r="CJ238" s="208">
        <f>SUMIFS('свод практик'!$CA$6:$CA$277,'свод практик'!$J$6:$J$277,'свод субъектов ИБ+смежные'!CJ$1,'свод практик'!$H$6:$H$277,"мун")</f>
        <v>0</v>
      </c>
      <c r="CK238" s="208">
        <f>SUMIFS('свод практик'!$CA$6:$CA$277,'свод практик'!$J$6:$J$277,'свод субъектов ИБ+смежные'!CK$1,'свод практик'!$H$6:$H$277,"мун")</f>
        <v>0</v>
      </c>
      <c r="CL238" s="208">
        <f>SUMIFS('свод практик'!$CA$6:$CA$277,'свод практик'!$J$6:$J$277,'свод субъектов ИБ+смежные'!CL$1,'свод практик'!$H$6:$H$277,"мун")</f>
        <v>1</v>
      </c>
      <c r="CM238" s="208">
        <f>SUMIFS('свод практик'!$CA$6:$CA$277,'свод практик'!$J$6:$J$277,'свод субъектов ИБ+смежные'!CM$1,'свод практик'!$H$6:$H$277,"мун")</f>
        <v>3</v>
      </c>
      <c r="CN238" s="208">
        <f>SUMIFS('свод практик'!$CA$6:$CA$277,'свод практик'!$J$6:$J$277,'свод субъектов ИБ+смежные'!CN$1,'свод практик'!$H$6:$H$277,"мун")</f>
        <v>0</v>
      </c>
      <c r="CO238" s="208">
        <f>SUMIFS('свод практик'!$CA$6:$CA$277,'свод практик'!$J$6:$J$277,'свод субъектов ИБ+смежные'!CO$1,'свод практик'!$H$6:$H$277,"мун")</f>
        <v>0</v>
      </c>
      <c r="CP238" s="208">
        <f>SUMIFS('свод практик'!$CA$6:$CA$277,'свод практик'!$J$6:$J$277,'свод субъектов ИБ+смежные'!CP$1,'свод практик'!$H$6:$H$277,"мун")</f>
        <v>2</v>
      </c>
      <c r="CQ238" s="208">
        <f>SUMIFS('свод практик'!$CA$6:$CA$277,'свод практик'!$J$6:$J$277,'свод субъектов ИБ+смежные'!CQ$1,'свод практик'!$H$6:$H$277,"мун")</f>
        <v>0</v>
      </c>
      <c r="CR238" s="208">
        <f>SUMIFS('свод практик'!$CA$6:$CA$277,'свод практик'!$J$6:$J$277,'свод субъектов ИБ+смежные'!CR$1,'свод практик'!$H$6:$H$277,"мун")</f>
        <v>0</v>
      </c>
      <c r="CS238" s="208">
        <f>SUMIFS('свод практик'!$CA$6:$CA$277,'свод практик'!$J$6:$J$277,'свод субъектов ИБ+смежные'!CS$1,'свод практик'!$H$6:$H$277,"мун")</f>
        <v>0</v>
      </c>
      <c r="CT238" s="208">
        <f>SUMIFS('свод практик'!$CA$6:$CA$277,'свод практик'!$J$6:$J$277,'свод субъектов ИБ+смежные'!CT$1,'свод практик'!$H$6:$H$277,"мун")</f>
        <v>0</v>
      </c>
      <c r="CU238" s="208">
        <f>SUMIFS('свод практик'!$CA$6:$CA$277,'свод практик'!$J$6:$J$277,'свод субъектов ИБ+смежные'!CU$1,'свод практик'!$H$6:$H$277,"мун")</f>
        <v>1</v>
      </c>
      <c r="CV238" s="208">
        <f>SUMIFS('свод практик'!$CA$6:$CA$277,'свод практик'!$J$6:$J$277,'свод субъектов ИБ+смежные'!CV$1,'свод практик'!$H$6:$H$277,"мун")</f>
        <v>0</v>
      </c>
    </row>
    <row r="239" spans="1:100" ht="14">
      <c r="D239" s="36" t="s">
        <v>4949</v>
      </c>
      <c r="E239" s="36">
        <v>57</v>
      </c>
      <c r="F239" s="36" t="s">
        <v>5575</v>
      </c>
      <c r="H239" s="36" t="s">
        <v>60</v>
      </c>
      <c r="M239" s="36" t="s">
        <v>5497</v>
      </c>
      <c r="N239" s="36">
        <v>3.8415366146458581E-2</v>
      </c>
      <c r="O239" s="226"/>
      <c r="Q239" s="194"/>
      <c r="R239" s="194"/>
      <c r="S239" s="194"/>
    </row>
    <row r="240" spans="1:100" s="208" customFormat="1" ht="14">
      <c r="D240" s="208" t="s">
        <v>4949</v>
      </c>
      <c r="E240" s="208">
        <v>58</v>
      </c>
      <c r="F240" s="208" t="s">
        <v>5576</v>
      </c>
      <c r="G240" s="208" t="s">
        <v>5149</v>
      </c>
      <c r="H240" s="208" t="s">
        <v>5140</v>
      </c>
      <c r="L240" s="208" t="s">
        <v>278</v>
      </c>
      <c r="M240" s="208" t="s">
        <v>5497</v>
      </c>
      <c r="N240" s="208">
        <v>1</v>
      </c>
      <c r="O240" s="226">
        <f t="shared" si="145"/>
        <v>1</v>
      </c>
      <c r="P240" s="208">
        <f>SUMIFS('свод практик'!$CB$6:$CB$277,'свод практик'!$J$6:$J$277,'свод субъектов ИБ+смежные'!P$1,'свод практик'!$H$6:$H$277,"мун")</f>
        <v>0</v>
      </c>
      <c r="Q240" s="208">
        <f>SUMIFS('свод практик'!$CB$6:$CB$277,'свод практик'!$J$6:$J$277,'свод субъектов ИБ+смежные'!Q$1,'свод практик'!$H$6:$H$277,"мун")</f>
        <v>0</v>
      </c>
      <c r="R240" s="208">
        <f>SUMIFS('свод практик'!$CB$6:$CB$277,'свод практик'!$J$6:$J$277,'свод субъектов ИБ+смежные'!R$1,'свод практик'!$H$6:$H$277,"мун")</f>
        <v>0</v>
      </c>
      <c r="S240" s="208">
        <f>SUMIFS('свод практик'!$CB$6:$CB$277,'свод практик'!$J$6:$J$277,'свод субъектов ИБ+смежные'!S$1,'свод практик'!$H$6:$H$277,"мун")</f>
        <v>0</v>
      </c>
      <c r="T240" s="208">
        <f>SUMIFS('свод практик'!$CB$6:$CB$277,'свод практик'!$J$6:$J$277,'свод субъектов ИБ+смежные'!T$1,'свод практик'!$H$6:$H$277,"мун")</f>
        <v>0</v>
      </c>
      <c r="U240" s="208">
        <f>SUMIFS('свод практик'!$CB$6:$CB$277,'свод практик'!$J$6:$J$277,'свод субъектов ИБ+смежные'!U$1,'свод практик'!$H$6:$H$277,"мун")</f>
        <v>0</v>
      </c>
      <c r="V240" s="208">
        <f>SUMIFS('свод практик'!$CB$6:$CB$277,'свод практик'!$J$6:$J$277,'свод субъектов ИБ+смежные'!V$1,'свод практик'!$H$6:$H$277,"мун")</f>
        <v>0</v>
      </c>
      <c r="W240" s="208">
        <f>SUMIFS('свод практик'!$CB$6:$CB$277,'свод практик'!$J$6:$J$277,'свод субъектов ИБ+смежные'!W$1,'свод практик'!$H$6:$H$277,"мун")</f>
        <v>0</v>
      </c>
      <c r="X240" s="208">
        <f>SUMIFS('свод практик'!$CB$6:$CB$277,'свод практик'!$J$6:$J$277,'свод субъектов ИБ+смежные'!X$1,'свод практик'!$H$6:$H$277,"мун")</f>
        <v>0</v>
      </c>
      <c r="Y240" s="208">
        <f>SUMIFS('свод практик'!$CB$6:$CB$277,'свод практик'!$J$6:$J$277,'свод субъектов ИБ+смежные'!Y$1,'свод практик'!$H$6:$H$277,"мун")</f>
        <v>0</v>
      </c>
      <c r="Z240" s="208">
        <f>SUMIFS('свод практик'!$CB$6:$CB$277,'свод практик'!$J$6:$J$277,'свод субъектов ИБ+смежные'!Z$1,'свод практик'!$H$6:$H$277,"мун")</f>
        <v>0</v>
      </c>
      <c r="AA240" s="208">
        <f>SUMIFS('свод практик'!$CB$6:$CB$277,'свод практик'!$J$6:$J$277,'свод субъектов ИБ+смежные'!AA$1,'свод практик'!$H$6:$H$277,"мун")</f>
        <v>0</v>
      </c>
      <c r="AB240" s="208">
        <f>SUMIFS('свод практик'!$CB$6:$CB$277,'свод практик'!$J$6:$J$277,'свод субъектов ИБ+смежные'!AB$1,'свод практик'!$H$6:$H$277,"мун")</f>
        <v>0</v>
      </c>
      <c r="AC240" s="208">
        <f>SUMIFS('свод практик'!$CB$6:$CB$277,'свод практик'!$J$6:$J$277,'свод субъектов ИБ+смежные'!AC$1,'свод практик'!$H$6:$H$277,"мун")</f>
        <v>0</v>
      </c>
      <c r="AD240" s="208">
        <f>SUMIFS('свод практик'!$CB$6:$CB$277,'свод практик'!$J$6:$J$277,'свод субъектов ИБ+смежные'!AD$1,'свод практик'!$H$6:$H$277,"мун")</f>
        <v>0</v>
      </c>
      <c r="AE240" s="208">
        <f>SUMIFS('свод практик'!$CB$6:$CB$277,'свод практик'!$J$6:$J$277,'свод субъектов ИБ+смежные'!AE$1,'свод практик'!$H$6:$H$277,"мун")</f>
        <v>0</v>
      </c>
      <c r="AF240" s="208">
        <f>SUMIFS('свод практик'!$CB$6:$CB$277,'свод практик'!$J$6:$J$277,'свод субъектов ИБ+смежные'!AF$1,'свод практик'!$H$6:$H$277,"мун")</f>
        <v>0</v>
      </c>
      <c r="AG240" s="208">
        <f>SUMIFS('свод практик'!$CB$6:$CB$277,'свод практик'!$J$6:$J$277,'свод субъектов ИБ+смежные'!AG$1,'свод практик'!$H$6:$H$277,"мун")</f>
        <v>0</v>
      </c>
      <c r="AH240" s="208">
        <f>SUMIFS('свод практик'!$CB$6:$CB$277,'свод практик'!$J$6:$J$277,'свод субъектов ИБ+смежные'!AH$1,'свод практик'!$H$6:$H$277,"мун")</f>
        <v>0</v>
      </c>
      <c r="AI240" s="208">
        <f>SUMIFS('свод практик'!$CB$6:$CB$277,'свод практик'!$J$6:$J$277,'свод субъектов ИБ+смежные'!AI$1,'свод практик'!$H$6:$H$277,"мун")</f>
        <v>0</v>
      </c>
      <c r="AJ240" s="208">
        <f>SUMIFS('свод практик'!$CB$6:$CB$277,'свод практик'!$J$6:$J$277,'свод субъектов ИБ+смежные'!AJ$1,'свод практик'!$H$6:$H$277,"мун")</f>
        <v>0</v>
      </c>
      <c r="AK240" s="208">
        <f>SUMIFS('свод практик'!$CB$6:$CB$277,'свод практик'!$J$6:$J$277,'свод субъектов ИБ+смежные'!AK$1,'свод практик'!$H$6:$H$277,"мун")</f>
        <v>0</v>
      </c>
      <c r="AL240" s="208">
        <f>SUMIFS('свод практик'!$CB$6:$CB$277,'свод практик'!$J$6:$J$277,'свод субъектов ИБ+смежные'!AL$1,'свод практик'!$H$6:$H$277,"мун")</f>
        <v>0</v>
      </c>
      <c r="AM240" s="208">
        <f>SUMIFS('свод практик'!$CB$6:$CB$277,'свод практик'!$J$6:$J$277,'свод субъектов ИБ+смежные'!AM$1,'свод практик'!$H$6:$H$277,"мун")</f>
        <v>0</v>
      </c>
      <c r="AN240" s="208">
        <f>SUMIFS('свод практик'!$CB$6:$CB$277,'свод практик'!$J$6:$J$277,'свод субъектов ИБ+смежные'!AN$1,'свод практик'!$H$6:$H$277,"мун")</f>
        <v>0</v>
      </c>
      <c r="AO240" s="208">
        <f>SUMIFS('свод практик'!$CB$6:$CB$277,'свод практик'!$J$6:$J$277,'свод субъектов ИБ+смежные'!AO$1,'свод практик'!$H$6:$H$277,"мун")</f>
        <v>0</v>
      </c>
      <c r="AP240" s="208">
        <f>SUMIFS('свод практик'!$CB$6:$CB$277,'свод практик'!$J$6:$J$277,'свод субъектов ИБ+смежные'!AP$1,'свод практик'!$H$6:$H$277,"мун")</f>
        <v>0</v>
      </c>
      <c r="AQ240" s="208">
        <f>SUMIFS('свод практик'!$CB$6:$CB$277,'свод практик'!$J$6:$J$277,'свод субъектов ИБ+смежные'!AQ$1,'свод практик'!$H$6:$H$277,"мун")</f>
        <v>0</v>
      </c>
      <c r="AR240" s="208">
        <f>SUMIFS('свод практик'!$CB$6:$CB$277,'свод практик'!$J$6:$J$277,'свод субъектов ИБ+смежные'!AR$1,'свод практик'!$H$6:$H$277,"мун")</f>
        <v>0</v>
      </c>
      <c r="AS240" s="208">
        <f>SUMIFS('свод практик'!$CB$6:$CB$277,'свод практик'!$J$6:$J$277,'свод субъектов ИБ+смежные'!AS$1,'свод практик'!$H$6:$H$277,"мун")</f>
        <v>0</v>
      </c>
      <c r="AT240" s="208">
        <f>SUMIFS('свод практик'!$CB$6:$CB$277,'свод практик'!$J$6:$J$277,'свод субъектов ИБ+смежные'!AT$1,'свод практик'!$H$6:$H$277,"мун")</f>
        <v>0</v>
      </c>
      <c r="AU240" s="208">
        <f>SUMIFS('свод практик'!$CB$6:$CB$277,'свод практик'!$J$6:$J$277,'свод субъектов ИБ+смежные'!AU$1,'свод практик'!$H$6:$H$277,"мун")</f>
        <v>0</v>
      </c>
      <c r="AV240" s="208">
        <f>SUMIFS('свод практик'!$CB$6:$CB$277,'свод практик'!$J$6:$J$277,'свод субъектов ИБ+смежные'!AV$1,'свод практик'!$H$6:$H$277,"мун")</f>
        <v>0</v>
      </c>
      <c r="AW240" s="208">
        <f>SUMIFS('свод практик'!$CB$6:$CB$277,'свод практик'!$J$6:$J$277,'свод субъектов ИБ+смежные'!AW$1,'свод практик'!$H$6:$H$277,"мун")</f>
        <v>0</v>
      </c>
      <c r="AX240" s="208">
        <f>SUMIFS('свод практик'!$CB$6:$CB$277,'свод практик'!$J$6:$J$277,'свод субъектов ИБ+смежные'!AX$1,'свод практик'!$H$6:$H$277,"мун")</f>
        <v>0</v>
      </c>
      <c r="AY240" s="208">
        <f>SUMIFS('свод практик'!$CB$6:$CB$277,'свод практик'!$J$6:$J$277,'свод субъектов ИБ+смежные'!AY$1,'свод практик'!$H$6:$H$277,"мун")</f>
        <v>0</v>
      </c>
      <c r="AZ240" s="208">
        <f>SUMIFS('свод практик'!$CB$6:$CB$277,'свод практик'!$J$6:$J$277,'свод субъектов ИБ+смежные'!AZ$1,'свод практик'!$H$6:$H$277,"мун")</f>
        <v>0</v>
      </c>
      <c r="BA240" s="208">
        <f>SUMIFS('свод практик'!$CB$6:$CB$277,'свод практик'!$J$6:$J$277,'свод субъектов ИБ+смежные'!BA$1,'свод практик'!$H$6:$H$277,"мун")</f>
        <v>0</v>
      </c>
      <c r="BB240" s="208">
        <f>SUMIFS('свод практик'!$CB$6:$CB$277,'свод практик'!$J$6:$J$277,'свод субъектов ИБ+смежные'!BB$1,'свод практик'!$H$6:$H$277,"мун")</f>
        <v>0</v>
      </c>
      <c r="BC240" s="208">
        <f>SUMIFS('свод практик'!$CB$6:$CB$277,'свод практик'!$J$6:$J$277,'свод субъектов ИБ+смежные'!BC$1,'свод практик'!$H$6:$H$277,"мун")</f>
        <v>0</v>
      </c>
      <c r="BD240" s="208">
        <f>SUMIFS('свод практик'!$CB$6:$CB$277,'свод практик'!$J$6:$J$277,'свод субъектов ИБ+смежные'!BD$1,'свод практик'!$H$6:$H$277,"мун")</f>
        <v>0</v>
      </c>
      <c r="BE240" s="208">
        <f>SUMIFS('свод практик'!$CB$6:$CB$277,'свод практик'!$J$6:$J$277,'свод субъектов ИБ+смежные'!BE$1,'свод практик'!$H$6:$H$277,"мун")</f>
        <v>0</v>
      </c>
      <c r="BF240" s="208">
        <f>SUMIFS('свод практик'!$CB$6:$CB$277,'свод практик'!$J$6:$J$277,'свод субъектов ИБ+смежные'!BF$1,'свод практик'!$H$6:$H$277,"мун")</f>
        <v>0</v>
      </c>
      <c r="BG240" s="208">
        <f>SUMIFS('свод практик'!$CB$6:$CB$277,'свод практик'!$J$6:$J$277,'свод субъектов ИБ+смежные'!BG$1,'свод практик'!$H$6:$H$277,"мун")</f>
        <v>0</v>
      </c>
      <c r="BH240" s="208">
        <f>SUMIFS('свод практик'!$CB$6:$CB$277,'свод практик'!$J$6:$J$277,'свод субъектов ИБ+смежные'!BH$1,'свод практик'!$H$6:$H$277,"мун")</f>
        <v>0</v>
      </c>
      <c r="BI240" s="208">
        <f>SUMIFS('свод практик'!$CB$6:$CB$277,'свод практик'!$J$6:$J$277,'свод субъектов ИБ+смежные'!BI$1,'свод практик'!$H$6:$H$277,"мун")</f>
        <v>0</v>
      </c>
      <c r="BJ240" s="208">
        <f>SUMIFS('свод практик'!$CB$6:$CB$277,'свод практик'!$J$6:$J$277,'свод субъектов ИБ+смежные'!BJ$1,'свод практик'!$H$6:$H$277,"мун")</f>
        <v>0</v>
      </c>
      <c r="BK240" s="208">
        <f>SUMIFS('свод практик'!$CB$6:$CB$277,'свод практик'!$J$6:$J$277,'свод субъектов ИБ+смежные'!BK$1,'свод практик'!$H$6:$H$277,"мун")</f>
        <v>0</v>
      </c>
      <c r="BL240" s="208">
        <f>SUMIFS('свод практик'!$CB$6:$CB$277,'свод практик'!$J$6:$J$277,'свод субъектов ИБ+смежные'!BL$1,'свод практик'!$H$6:$H$277,"мун")</f>
        <v>0</v>
      </c>
      <c r="BM240" s="208">
        <f>SUMIFS('свод практик'!$CB$6:$CB$277,'свод практик'!$J$6:$J$277,'свод субъектов ИБ+смежные'!BM$1,'свод практик'!$H$6:$H$277,"мун")</f>
        <v>0</v>
      </c>
      <c r="BN240" s="208">
        <f>SUMIFS('свод практик'!$CB$6:$CB$277,'свод практик'!$J$6:$J$277,'свод субъектов ИБ+смежные'!BN$1,'свод практик'!$H$6:$H$277,"мун")</f>
        <v>0</v>
      </c>
      <c r="BO240" s="208">
        <f>SUMIFS('свод практик'!$CB$6:$CB$277,'свод практик'!$J$6:$J$277,'свод субъектов ИБ+смежные'!BO$1,'свод практик'!$H$6:$H$277,"мун")</f>
        <v>0</v>
      </c>
      <c r="BP240" s="208">
        <f>SUMIFS('свод практик'!$CB$6:$CB$277,'свод практик'!$J$6:$J$277,'свод субъектов ИБ+смежные'!BP$1,'свод практик'!$H$6:$H$277,"мун")</f>
        <v>0</v>
      </c>
      <c r="BQ240" s="208">
        <f>SUMIFS('свод практик'!$CB$6:$CB$277,'свод практик'!$J$6:$J$277,'свод субъектов ИБ+смежные'!BQ$1,'свод практик'!$H$6:$H$277,"мун")</f>
        <v>0</v>
      </c>
      <c r="BR240" s="208">
        <f>SUMIFS('свод практик'!$CB$6:$CB$277,'свод практик'!$J$6:$J$277,'свод субъектов ИБ+смежные'!BR$1,'свод практик'!$H$6:$H$277,"мун")</f>
        <v>0</v>
      </c>
      <c r="BS240" s="208">
        <f>SUMIFS('свод практик'!$CB$6:$CB$277,'свод практик'!$J$6:$J$277,'свод субъектов ИБ+смежные'!BS$1,'свод практик'!$H$6:$H$277,"мун")</f>
        <v>0</v>
      </c>
      <c r="BT240" s="208">
        <f>SUMIFS('свод практик'!$CB$6:$CB$277,'свод практик'!$J$6:$J$277,'свод субъектов ИБ+смежные'!BT$1,'свод практик'!$H$6:$H$277,"мун")</f>
        <v>0</v>
      </c>
      <c r="BU240" s="208">
        <f>SUMIFS('свод практик'!$CB$6:$CB$277,'свод практик'!$J$6:$J$277,'свод субъектов ИБ+смежные'!BU$1,'свод практик'!$H$6:$H$277,"мун")</f>
        <v>0</v>
      </c>
      <c r="BV240" s="208">
        <f>SUMIFS('свод практик'!$CB$6:$CB$277,'свод практик'!$J$6:$J$277,'свод субъектов ИБ+смежные'!BV$1,'свод практик'!$H$6:$H$277,"мун")</f>
        <v>0</v>
      </c>
      <c r="BW240" s="208">
        <f>SUMIFS('свод практик'!$CB$6:$CB$277,'свод практик'!$J$6:$J$277,'свод субъектов ИБ+смежные'!BW$1,'свод практик'!$H$6:$H$277,"мун")</f>
        <v>0</v>
      </c>
      <c r="BX240" s="208">
        <f>SUMIFS('свод практик'!$CB$6:$CB$277,'свод практик'!$J$6:$J$277,'свод субъектов ИБ+смежные'!BX$1,'свод практик'!$H$6:$H$277,"мун")</f>
        <v>0</v>
      </c>
      <c r="BY240" s="208">
        <f>SUMIFS('свод практик'!$CB$6:$CB$277,'свод практик'!$J$6:$J$277,'свод субъектов ИБ+смежные'!BY$1,'свод практик'!$H$6:$H$277,"мун")</f>
        <v>0</v>
      </c>
      <c r="BZ240" s="208">
        <f>SUMIFS('свод практик'!$CB$6:$CB$277,'свод практик'!$J$6:$J$277,'свод субъектов ИБ+смежные'!BZ$1,'свод практик'!$H$6:$H$277,"мун")</f>
        <v>0</v>
      </c>
      <c r="CA240" s="208">
        <f>SUMIFS('свод практик'!$CB$6:$CB$277,'свод практик'!$J$6:$J$277,'свод субъектов ИБ+смежные'!CA$1,'свод практик'!$H$6:$H$277,"мун")</f>
        <v>0</v>
      </c>
      <c r="CB240" s="208">
        <f>SUMIFS('свод практик'!$CB$6:$CB$277,'свод практик'!$J$6:$J$277,'свод субъектов ИБ+смежные'!CB$1,'свод практик'!$H$6:$H$277,"мун")</f>
        <v>0</v>
      </c>
      <c r="CC240" s="208">
        <f>SUMIFS('свод практик'!$CB$6:$CB$277,'свод практик'!$J$6:$J$277,'свод субъектов ИБ+смежные'!CC$1,'свод практик'!$H$6:$H$277,"мун")</f>
        <v>0</v>
      </c>
      <c r="CD240" s="208">
        <f>SUMIFS('свод практик'!$CB$6:$CB$277,'свод практик'!$J$6:$J$277,'свод субъектов ИБ+смежные'!CD$1,'свод практик'!$H$6:$H$277,"мун")</f>
        <v>0</v>
      </c>
      <c r="CE240" s="208">
        <f>SUMIFS('свод практик'!$CB$6:$CB$277,'свод практик'!$J$6:$J$277,'свод субъектов ИБ+смежные'!CE$1,'свод практик'!$H$6:$H$277,"мун")</f>
        <v>0</v>
      </c>
      <c r="CF240" s="208">
        <f>SUMIFS('свод практик'!$CB$6:$CB$277,'свод практик'!$J$6:$J$277,'свод субъектов ИБ+смежные'!CF$1,'свод практик'!$H$6:$H$277,"мун")</f>
        <v>0</v>
      </c>
      <c r="CG240" s="208">
        <f>SUMIFS('свод практик'!$CB$6:$CB$277,'свод практик'!$J$6:$J$277,'свод субъектов ИБ+смежные'!CG$1,'свод практик'!$H$6:$H$277,"мун")</f>
        <v>0</v>
      </c>
      <c r="CH240" s="208">
        <f>SUMIFS('свод практик'!$CB$6:$CB$277,'свод практик'!$J$6:$J$277,'свод субъектов ИБ+смежные'!CH$1,'свод практик'!$H$6:$H$277,"мун")</f>
        <v>0</v>
      </c>
      <c r="CI240" s="208">
        <f>SUMIFS('свод практик'!$CB$6:$CB$277,'свод практик'!$J$6:$J$277,'свод субъектов ИБ+смежные'!CI$1,'свод практик'!$H$6:$H$277,"мун")</f>
        <v>0</v>
      </c>
      <c r="CJ240" s="208">
        <f>SUMIFS('свод практик'!$CB$6:$CB$277,'свод практик'!$J$6:$J$277,'свод субъектов ИБ+смежные'!CJ$1,'свод практик'!$H$6:$H$277,"мун")</f>
        <v>0</v>
      </c>
      <c r="CK240" s="208">
        <f>SUMIFS('свод практик'!$CB$6:$CB$277,'свод практик'!$J$6:$J$277,'свод субъектов ИБ+смежные'!CK$1,'свод практик'!$H$6:$H$277,"мун")</f>
        <v>0</v>
      </c>
      <c r="CL240" s="208">
        <f>SUMIFS('свод практик'!$CB$6:$CB$277,'свод практик'!$J$6:$J$277,'свод субъектов ИБ+смежные'!CL$1,'свод практик'!$H$6:$H$277,"мун")</f>
        <v>0</v>
      </c>
      <c r="CM240" s="208">
        <f>SUMIFS('свод практик'!$CB$6:$CB$277,'свод практик'!$J$6:$J$277,'свод субъектов ИБ+смежные'!CM$1,'свод практик'!$H$6:$H$277,"мун")</f>
        <v>0</v>
      </c>
      <c r="CN240" s="208">
        <f>SUMIFS('свод практик'!$CB$6:$CB$277,'свод практик'!$J$6:$J$277,'свод субъектов ИБ+смежные'!CN$1,'свод практик'!$H$6:$H$277,"мун")</f>
        <v>0</v>
      </c>
      <c r="CO240" s="208">
        <f>SUMIFS('свод практик'!$CB$6:$CB$277,'свод практик'!$J$6:$J$277,'свод субъектов ИБ+смежные'!CO$1,'свод практик'!$H$6:$H$277,"мун")</f>
        <v>0</v>
      </c>
      <c r="CP240" s="208">
        <f>SUMIFS('свод практик'!$CB$6:$CB$277,'свод практик'!$J$6:$J$277,'свод субъектов ИБ+смежные'!CP$1,'свод практик'!$H$6:$H$277,"мун")</f>
        <v>1</v>
      </c>
      <c r="CQ240" s="208">
        <f>SUMIFS('свод практик'!$CB$6:$CB$277,'свод практик'!$J$6:$J$277,'свод субъектов ИБ+смежные'!CQ$1,'свод практик'!$H$6:$H$277,"мун")</f>
        <v>0</v>
      </c>
      <c r="CR240" s="208">
        <f>SUMIFS('свод практик'!$CB$6:$CB$277,'свод практик'!$J$6:$J$277,'свод субъектов ИБ+смежные'!CR$1,'свод практик'!$H$6:$H$277,"мун")</f>
        <v>0</v>
      </c>
      <c r="CS240" s="208">
        <f>SUMIFS('свод практик'!$CB$6:$CB$277,'свод практик'!$J$6:$J$277,'свод субъектов ИБ+смежные'!CS$1,'свод практик'!$H$6:$H$277,"мун")</f>
        <v>0</v>
      </c>
      <c r="CT240" s="208">
        <f>SUMIFS('свод практик'!$CB$6:$CB$277,'свод практик'!$J$6:$J$277,'свод субъектов ИБ+смежные'!CT$1,'свод практик'!$H$6:$H$277,"мун")</f>
        <v>0</v>
      </c>
      <c r="CU240" s="208">
        <f>SUMIFS('свод практик'!$CB$6:$CB$277,'свод практик'!$J$6:$J$277,'свод субъектов ИБ+смежные'!CU$1,'свод практик'!$H$6:$H$277,"мун")</f>
        <v>0</v>
      </c>
      <c r="CV240" s="208">
        <f>SUMIFS('свод практик'!$CB$6:$CB$277,'свод практик'!$J$6:$J$277,'свод субъектов ИБ+смежные'!CV$1,'свод практик'!$H$6:$H$277,"мун")</f>
        <v>0</v>
      </c>
    </row>
    <row r="241" spans="4:100" ht="14">
      <c r="D241" s="36" t="s">
        <v>4949</v>
      </c>
      <c r="E241" s="36">
        <v>59</v>
      </c>
      <c r="F241" s="36" t="s">
        <v>5577</v>
      </c>
      <c r="H241" s="36" t="s">
        <v>60</v>
      </c>
      <c r="M241" s="36" t="s">
        <v>5497</v>
      </c>
      <c r="N241" s="36">
        <v>1.2004801920768306E-3</v>
      </c>
      <c r="O241" s="226"/>
      <c r="Q241" s="194"/>
      <c r="R241" s="194"/>
      <c r="S241" s="194"/>
    </row>
    <row r="242" spans="4:100" s="208" customFormat="1" ht="28">
      <c r="D242" s="208" t="s">
        <v>4949</v>
      </c>
      <c r="E242" s="208">
        <v>60</v>
      </c>
      <c r="F242" s="208" t="s">
        <v>5578</v>
      </c>
      <c r="G242" s="208" t="s">
        <v>5152</v>
      </c>
      <c r="H242" s="208" t="s">
        <v>5140</v>
      </c>
      <c r="L242" s="208" t="s">
        <v>278</v>
      </c>
      <c r="M242" s="208" t="s">
        <v>5497</v>
      </c>
      <c r="N242" s="208">
        <v>1</v>
      </c>
      <c r="O242" s="226">
        <f t="shared" si="145"/>
        <v>1</v>
      </c>
      <c r="P242" s="208">
        <f>SUMIFS('свод практик'!$CC$6:$CC$277,'свод практик'!$J$6:$J$277,'свод субъектов ИБ+смежные'!P$1,'свод практик'!$H$6:$H$277,"мун")</f>
        <v>0</v>
      </c>
      <c r="Q242" s="208">
        <f>SUMIFS('свод практик'!$CC$6:$CC$277,'свод практик'!$J$6:$J$277,'свод субъектов ИБ+смежные'!Q$1,'свод практик'!$H$6:$H$277,"мун")</f>
        <v>0</v>
      </c>
      <c r="R242" s="208">
        <f>SUMIFS('свод практик'!$CC$6:$CC$277,'свод практик'!$J$6:$J$277,'свод субъектов ИБ+смежные'!R$1,'свод практик'!$H$6:$H$277,"мун")</f>
        <v>0</v>
      </c>
      <c r="S242" s="208">
        <f>SUMIFS('свод практик'!$CC$6:$CC$277,'свод практик'!$J$6:$J$277,'свод субъектов ИБ+смежные'!S$1,'свод практик'!$H$6:$H$277,"мун")</f>
        <v>0</v>
      </c>
      <c r="T242" s="208">
        <f>SUMIFS('свод практик'!$CC$6:$CC$277,'свод практик'!$J$6:$J$277,'свод субъектов ИБ+смежные'!T$1,'свод практик'!$H$6:$H$277,"мун")</f>
        <v>0</v>
      </c>
      <c r="U242" s="208">
        <f>SUMIFS('свод практик'!$CC$6:$CC$277,'свод практик'!$J$6:$J$277,'свод субъектов ИБ+смежные'!U$1,'свод практик'!$H$6:$H$277,"мун")</f>
        <v>0</v>
      </c>
      <c r="V242" s="208">
        <f>SUMIFS('свод практик'!$CC$6:$CC$277,'свод практик'!$J$6:$J$277,'свод субъектов ИБ+смежные'!V$1,'свод практик'!$H$6:$H$277,"мун")</f>
        <v>0</v>
      </c>
      <c r="W242" s="208">
        <f>SUMIFS('свод практик'!$CC$6:$CC$277,'свод практик'!$J$6:$J$277,'свод субъектов ИБ+смежные'!W$1,'свод практик'!$H$6:$H$277,"мун")</f>
        <v>0</v>
      </c>
      <c r="X242" s="208">
        <f>SUMIFS('свод практик'!$CC$6:$CC$277,'свод практик'!$J$6:$J$277,'свод субъектов ИБ+смежные'!X$1,'свод практик'!$H$6:$H$277,"мун")</f>
        <v>0</v>
      </c>
      <c r="Y242" s="208">
        <f>SUMIFS('свод практик'!$CC$6:$CC$277,'свод практик'!$J$6:$J$277,'свод субъектов ИБ+смежные'!Y$1,'свод практик'!$H$6:$H$277,"мун")</f>
        <v>0</v>
      </c>
      <c r="Z242" s="208">
        <f>SUMIFS('свод практик'!$CC$6:$CC$277,'свод практик'!$J$6:$J$277,'свод субъектов ИБ+смежные'!Z$1,'свод практик'!$H$6:$H$277,"мун")</f>
        <v>0</v>
      </c>
      <c r="AA242" s="208">
        <f>SUMIFS('свод практик'!$CC$6:$CC$277,'свод практик'!$J$6:$J$277,'свод субъектов ИБ+смежные'!AA$1,'свод практик'!$H$6:$H$277,"мун")</f>
        <v>0</v>
      </c>
      <c r="AB242" s="208">
        <f>SUMIFS('свод практик'!$CC$6:$CC$277,'свод практик'!$J$6:$J$277,'свод субъектов ИБ+смежные'!AB$1,'свод практик'!$H$6:$H$277,"мун")</f>
        <v>0</v>
      </c>
      <c r="AC242" s="208">
        <f>SUMIFS('свод практик'!$CC$6:$CC$277,'свод практик'!$J$6:$J$277,'свод субъектов ИБ+смежные'!AC$1,'свод практик'!$H$6:$H$277,"мун")</f>
        <v>0</v>
      </c>
      <c r="AD242" s="208">
        <f>SUMIFS('свод практик'!$CC$6:$CC$277,'свод практик'!$J$6:$J$277,'свод субъектов ИБ+смежные'!AD$1,'свод практик'!$H$6:$H$277,"мун")</f>
        <v>0</v>
      </c>
      <c r="AE242" s="208">
        <f>SUMIFS('свод практик'!$CC$6:$CC$277,'свод практик'!$J$6:$J$277,'свод субъектов ИБ+смежные'!AE$1,'свод практик'!$H$6:$H$277,"мун")</f>
        <v>0</v>
      </c>
      <c r="AF242" s="208">
        <f>SUMIFS('свод практик'!$CC$6:$CC$277,'свод практик'!$J$6:$J$277,'свод субъектов ИБ+смежные'!AF$1,'свод практик'!$H$6:$H$277,"мун")</f>
        <v>0</v>
      </c>
      <c r="AG242" s="208">
        <f>SUMIFS('свод практик'!$CC$6:$CC$277,'свод практик'!$J$6:$J$277,'свод субъектов ИБ+смежные'!AG$1,'свод практик'!$H$6:$H$277,"мун")</f>
        <v>0</v>
      </c>
      <c r="AH242" s="208">
        <f>SUMIFS('свод практик'!$CC$6:$CC$277,'свод практик'!$J$6:$J$277,'свод субъектов ИБ+смежные'!AH$1,'свод практик'!$H$6:$H$277,"мун")</f>
        <v>0</v>
      </c>
      <c r="AI242" s="208">
        <f>SUMIFS('свод практик'!$CC$6:$CC$277,'свод практик'!$J$6:$J$277,'свод субъектов ИБ+смежные'!AI$1,'свод практик'!$H$6:$H$277,"мун")</f>
        <v>0</v>
      </c>
      <c r="AJ242" s="208">
        <f>SUMIFS('свод практик'!$CC$6:$CC$277,'свод практик'!$J$6:$J$277,'свод субъектов ИБ+смежные'!AJ$1,'свод практик'!$H$6:$H$277,"мун")</f>
        <v>0</v>
      </c>
      <c r="AK242" s="208">
        <f>SUMIFS('свод практик'!$CC$6:$CC$277,'свод практик'!$J$6:$J$277,'свод субъектов ИБ+смежные'!AK$1,'свод практик'!$H$6:$H$277,"мун")</f>
        <v>0</v>
      </c>
      <c r="AL242" s="208">
        <f>SUMIFS('свод практик'!$CC$6:$CC$277,'свод практик'!$J$6:$J$277,'свод субъектов ИБ+смежные'!AL$1,'свод практик'!$H$6:$H$277,"мун")</f>
        <v>0</v>
      </c>
      <c r="AM242" s="208">
        <f>SUMIFS('свод практик'!$CC$6:$CC$277,'свод практик'!$J$6:$J$277,'свод субъектов ИБ+смежные'!AM$1,'свод практик'!$H$6:$H$277,"мун")</f>
        <v>1</v>
      </c>
      <c r="AN242" s="208">
        <f>SUMIFS('свод практик'!$CC$6:$CC$277,'свод практик'!$J$6:$J$277,'свод субъектов ИБ+смежные'!AN$1,'свод практик'!$H$6:$H$277,"мун")</f>
        <v>0</v>
      </c>
      <c r="AO242" s="208">
        <f>SUMIFS('свод практик'!$CC$6:$CC$277,'свод практик'!$J$6:$J$277,'свод субъектов ИБ+смежные'!AO$1,'свод практик'!$H$6:$H$277,"мун")</f>
        <v>0</v>
      </c>
      <c r="AP242" s="208">
        <f>SUMIFS('свод практик'!$CC$6:$CC$277,'свод практик'!$J$6:$J$277,'свод субъектов ИБ+смежные'!AP$1,'свод практик'!$H$6:$H$277,"мун")</f>
        <v>0</v>
      </c>
      <c r="AQ242" s="208">
        <f>SUMIFS('свод практик'!$CC$6:$CC$277,'свод практик'!$J$6:$J$277,'свод субъектов ИБ+смежные'!AQ$1,'свод практик'!$H$6:$H$277,"мун")</f>
        <v>0</v>
      </c>
      <c r="AR242" s="208">
        <f>SUMIFS('свод практик'!$CC$6:$CC$277,'свод практик'!$J$6:$J$277,'свод субъектов ИБ+смежные'!AR$1,'свод практик'!$H$6:$H$277,"мун")</f>
        <v>0</v>
      </c>
      <c r="AS242" s="208">
        <f>SUMIFS('свод практик'!$CC$6:$CC$277,'свод практик'!$J$6:$J$277,'свод субъектов ИБ+смежные'!AS$1,'свод практик'!$H$6:$H$277,"мун")</f>
        <v>0</v>
      </c>
      <c r="AT242" s="208">
        <f>SUMIFS('свод практик'!$CC$6:$CC$277,'свод практик'!$J$6:$J$277,'свод субъектов ИБ+смежные'!AT$1,'свод практик'!$H$6:$H$277,"мун")</f>
        <v>0</v>
      </c>
      <c r="AU242" s="208">
        <f>SUMIFS('свод практик'!$CC$6:$CC$277,'свод практик'!$J$6:$J$277,'свод субъектов ИБ+смежные'!AU$1,'свод практик'!$H$6:$H$277,"мун")</f>
        <v>0</v>
      </c>
      <c r="AV242" s="208">
        <f>SUMIFS('свод практик'!$CC$6:$CC$277,'свод практик'!$J$6:$J$277,'свод субъектов ИБ+смежные'!AV$1,'свод практик'!$H$6:$H$277,"мун")</f>
        <v>0</v>
      </c>
      <c r="AW242" s="208">
        <f>SUMIFS('свод практик'!$CC$6:$CC$277,'свод практик'!$J$6:$J$277,'свод субъектов ИБ+смежные'!AW$1,'свод практик'!$H$6:$H$277,"мун")</f>
        <v>0</v>
      </c>
      <c r="AX242" s="208">
        <f>SUMIFS('свод практик'!$CC$6:$CC$277,'свод практик'!$J$6:$J$277,'свод субъектов ИБ+смежные'!AX$1,'свод практик'!$H$6:$H$277,"мун")</f>
        <v>0</v>
      </c>
      <c r="AY242" s="208">
        <f>SUMIFS('свод практик'!$CC$6:$CC$277,'свод практик'!$J$6:$J$277,'свод субъектов ИБ+смежные'!AY$1,'свод практик'!$H$6:$H$277,"мун")</f>
        <v>0</v>
      </c>
      <c r="AZ242" s="208">
        <f>SUMIFS('свод практик'!$CC$6:$CC$277,'свод практик'!$J$6:$J$277,'свод субъектов ИБ+смежные'!AZ$1,'свод практик'!$H$6:$H$277,"мун")</f>
        <v>0</v>
      </c>
      <c r="BA242" s="208">
        <f>SUMIFS('свод практик'!$CC$6:$CC$277,'свод практик'!$J$6:$J$277,'свод субъектов ИБ+смежные'!BA$1,'свод практик'!$H$6:$H$277,"мун")</f>
        <v>0</v>
      </c>
      <c r="BB242" s="208">
        <f>SUMIFS('свод практик'!$CC$6:$CC$277,'свод практик'!$J$6:$J$277,'свод субъектов ИБ+смежные'!BB$1,'свод практик'!$H$6:$H$277,"мун")</f>
        <v>0</v>
      </c>
      <c r="BC242" s="208">
        <f>SUMIFS('свод практик'!$CC$6:$CC$277,'свод практик'!$J$6:$J$277,'свод субъектов ИБ+смежные'!BC$1,'свод практик'!$H$6:$H$277,"мун")</f>
        <v>0</v>
      </c>
      <c r="BD242" s="208">
        <f>SUMIFS('свод практик'!$CC$6:$CC$277,'свод практик'!$J$6:$J$277,'свод субъектов ИБ+смежные'!BD$1,'свод практик'!$H$6:$H$277,"мун")</f>
        <v>0</v>
      </c>
      <c r="BE242" s="208">
        <f>SUMIFS('свод практик'!$CC$6:$CC$277,'свод практик'!$J$6:$J$277,'свод субъектов ИБ+смежные'!BE$1,'свод практик'!$H$6:$H$277,"мун")</f>
        <v>0</v>
      </c>
      <c r="BF242" s="208">
        <f>SUMIFS('свод практик'!$CC$6:$CC$277,'свод практик'!$J$6:$J$277,'свод субъектов ИБ+смежные'!BF$1,'свод практик'!$H$6:$H$277,"мун")</f>
        <v>0</v>
      </c>
      <c r="BG242" s="208">
        <f>SUMIFS('свод практик'!$CC$6:$CC$277,'свод практик'!$J$6:$J$277,'свод субъектов ИБ+смежные'!BG$1,'свод практик'!$H$6:$H$277,"мун")</f>
        <v>0</v>
      </c>
      <c r="BH242" s="208">
        <f>SUMIFS('свод практик'!$CC$6:$CC$277,'свод практик'!$J$6:$J$277,'свод субъектов ИБ+смежные'!BH$1,'свод практик'!$H$6:$H$277,"мун")</f>
        <v>0</v>
      </c>
      <c r="BI242" s="208">
        <f>SUMIFS('свод практик'!$CC$6:$CC$277,'свод практик'!$J$6:$J$277,'свод субъектов ИБ+смежные'!BI$1,'свод практик'!$H$6:$H$277,"мун")</f>
        <v>0</v>
      </c>
      <c r="BJ242" s="208">
        <f>SUMIFS('свод практик'!$CC$6:$CC$277,'свод практик'!$J$6:$J$277,'свод субъектов ИБ+смежные'!BJ$1,'свод практик'!$H$6:$H$277,"мун")</f>
        <v>0</v>
      </c>
      <c r="BK242" s="208">
        <f>SUMIFS('свод практик'!$CC$6:$CC$277,'свод практик'!$J$6:$J$277,'свод субъектов ИБ+смежные'!BK$1,'свод практик'!$H$6:$H$277,"мун")</f>
        <v>0</v>
      </c>
      <c r="BL242" s="208">
        <f>SUMIFS('свод практик'!$CC$6:$CC$277,'свод практик'!$J$6:$J$277,'свод субъектов ИБ+смежные'!BL$1,'свод практик'!$H$6:$H$277,"мун")</f>
        <v>0</v>
      </c>
      <c r="BM242" s="208">
        <f>SUMIFS('свод практик'!$CC$6:$CC$277,'свод практик'!$J$6:$J$277,'свод субъектов ИБ+смежные'!BM$1,'свод практик'!$H$6:$H$277,"мун")</f>
        <v>0</v>
      </c>
      <c r="BN242" s="208">
        <f>SUMIFS('свод практик'!$CC$6:$CC$277,'свод практик'!$J$6:$J$277,'свод субъектов ИБ+смежные'!BN$1,'свод практик'!$H$6:$H$277,"мун")</f>
        <v>0</v>
      </c>
      <c r="BO242" s="208">
        <f>SUMIFS('свод практик'!$CC$6:$CC$277,'свод практик'!$J$6:$J$277,'свод субъектов ИБ+смежные'!BO$1,'свод практик'!$H$6:$H$277,"мун")</f>
        <v>0</v>
      </c>
      <c r="BP242" s="208">
        <f>SUMIFS('свод практик'!$CC$6:$CC$277,'свод практик'!$J$6:$J$277,'свод субъектов ИБ+смежные'!BP$1,'свод практик'!$H$6:$H$277,"мун")</f>
        <v>0</v>
      </c>
      <c r="BQ242" s="208">
        <f>SUMIFS('свод практик'!$CC$6:$CC$277,'свод практик'!$J$6:$J$277,'свод субъектов ИБ+смежные'!BQ$1,'свод практик'!$H$6:$H$277,"мун")</f>
        <v>0</v>
      </c>
      <c r="BR242" s="208">
        <f>SUMIFS('свод практик'!$CC$6:$CC$277,'свод практик'!$J$6:$J$277,'свод субъектов ИБ+смежные'!BR$1,'свод практик'!$H$6:$H$277,"мун")</f>
        <v>0</v>
      </c>
      <c r="BS242" s="208">
        <f>SUMIFS('свод практик'!$CC$6:$CC$277,'свод практик'!$J$6:$J$277,'свод субъектов ИБ+смежные'!BS$1,'свод практик'!$H$6:$H$277,"мун")</f>
        <v>0</v>
      </c>
      <c r="BT242" s="208">
        <f>SUMIFS('свод практик'!$CC$6:$CC$277,'свод практик'!$J$6:$J$277,'свод субъектов ИБ+смежные'!BT$1,'свод практик'!$H$6:$H$277,"мун")</f>
        <v>0</v>
      </c>
      <c r="BU242" s="208">
        <f>SUMIFS('свод практик'!$CC$6:$CC$277,'свод практик'!$J$6:$J$277,'свод субъектов ИБ+смежные'!BU$1,'свод практик'!$H$6:$H$277,"мун")</f>
        <v>0</v>
      </c>
      <c r="BV242" s="208">
        <f>SUMIFS('свод практик'!$CC$6:$CC$277,'свод практик'!$J$6:$J$277,'свод субъектов ИБ+смежные'!BV$1,'свод практик'!$H$6:$H$277,"мун")</f>
        <v>0</v>
      </c>
      <c r="BW242" s="208">
        <f>SUMIFS('свод практик'!$CC$6:$CC$277,'свод практик'!$J$6:$J$277,'свод субъектов ИБ+смежные'!BW$1,'свод практик'!$H$6:$H$277,"мун")</f>
        <v>0</v>
      </c>
      <c r="BX242" s="208">
        <f>SUMIFS('свод практик'!$CC$6:$CC$277,'свод практик'!$J$6:$J$277,'свод субъектов ИБ+смежные'!BX$1,'свод практик'!$H$6:$H$277,"мун")</f>
        <v>0</v>
      </c>
      <c r="BY242" s="208">
        <f>SUMIFS('свод практик'!$CC$6:$CC$277,'свод практик'!$J$6:$J$277,'свод субъектов ИБ+смежные'!BY$1,'свод практик'!$H$6:$H$277,"мун")</f>
        <v>0</v>
      </c>
      <c r="BZ242" s="208">
        <f>SUMIFS('свод практик'!$CC$6:$CC$277,'свод практик'!$J$6:$J$277,'свод субъектов ИБ+смежные'!BZ$1,'свод практик'!$H$6:$H$277,"мун")</f>
        <v>0</v>
      </c>
      <c r="CA242" s="208">
        <f>SUMIFS('свод практик'!$CC$6:$CC$277,'свод практик'!$J$6:$J$277,'свод субъектов ИБ+смежные'!CA$1,'свод практик'!$H$6:$H$277,"мун")</f>
        <v>0</v>
      </c>
      <c r="CB242" s="208">
        <f>SUMIFS('свод практик'!$CC$6:$CC$277,'свод практик'!$J$6:$J$277,'свод субъектов ИБ+смежные'!CB$1,'свод практик'!$H$6:$H$277,"мун")</f>
        <v>0</v>
      </c>
      <c r="CC242" s="208">
        <f>SUMIFS('свод практик'!$CC$6:$CC$277,'свод практик'!$J$6:$J$277,'свод субъектов ИБ+смежные'!CC$1,'свод практик'!$H$6:$H$277,"мун")</f>
        <v>0</v>
      </c>
      <c r="CD242" s="208">
        <f>SUMIFS('свод практик'!$CC$6:$CC$277,'свод практик'!$J$6:$J$277,'свод субъектов ИБ+смежные'!CD$1,'свод практик'!$H$6:$H$277,"мун")</f>
        <v>0</v>
      </c>
      <c r="CE242" s="208">
        <f>SUMIFS('свод практик'!$CC$6:$CC$277,'свод практик'!$J$6:$J$277,'свод субъектов ИБ+смежные'!CE$1,'свод практик'!$H$6:$H$277,"мун")</f>
        <v>0</v>
      </c>
      <c r="CF242" s="208">
        <f>SUMIFS('свод практик'!$CC$6:$CC$277,'свод практик'!$J$6:$J$277,'свод субъектов ИБ+смежные'!CF$1,'свод практик'!$H$6:$H$277,"мун")</f>
        <v>0</v>
      </c>
      <c r="CG242" s="208">
        <f>SUMIFS('свод практик'!$CC$6:$CC$277,'свод практик'!$J$6:$J$277,'свод субъектов ИБ+смежные'!CG$1,'свод практик'!$H$6:$H$277,"мун")</f>
        <v>0</v>
      </c>
      <c r="CH242" s="208">
        <f>SUMIFS('свод практик'!$CC$6:$CC$277,'свод практик'!$J$6:$J$277,'свод субъектов ИБ+смежные'!CH$1,'свод практик'!$H$6:$H$277,"мун")</f>
        <v>0</v>
      </c>
      <c r="CI242" s="208">
        <f>SUMIFS('свод практик'!$CC$6:$CC$277,'свод практик'!$J$6:$J$277,'свод субъектов ИБ+смежные'!CI$1,'свод практик'!$H$6:$H$277,"мун")</f>
        <v>0</v>
      </c>
      <c r="CJ242" s="208">
        <f>SUMIFS('свод практик'!$CC$6:$CC$277,'свод практик'!$J$6:$J$277,'свод субъектов ИБ+смежные'!CJ$1,'свод практик'!$H$6:$H$277,"мун")</f>
        <v>0</v>
      </c>
      <c r="CK242" s="208">
        <f>SUMIFS('свод практик'!$CC$6:$CC$277,'свод практик'!$J$6:$J$277,'свод субъектов ИБ+смежные'!CK$1,'свод практик'!$H$6:$H$277,"мун")</f>
        <v>0</v>
      </c>
      <c r="CL242" s="208">
        <f>SUMIFS('свод практик'!$CC$6:$CC$277,'свод практик'!$J$6:$J$277,'свод субъектов ИБ+смежные'!CL$1,'свод практик'!$H$6:$H$277,"мун")</f>
        <v>0</v>
      </c>
      <c r="CM242" s="208">
        <f>SUMIFS('свод практик'!$CC$6:$CC$277,'свод практик'!$J$6:$J$277,'свод субъектов ИБ+смежные'!CM$1,'свод практик'!$H$6:$H$277,"мун")</f>
        <v>0</v>
      </c>
      <c r="CN242" s="208">
        <f>SUMIFS('свод практик'!$CC$6:$CC$277,'свод практик'!$J$6:$J$277,'свод субъектов ИБ+смежные'!CN$1,'свод практик'!$H$6:$H$277,"мун")</f>
        <v>0</v>
      </c>
      <c r="CO242" s="208">
        <f>SUMIFS('свод практик'!$CC$6:$CC$277,'свод практик'!$J$6:$J$277,'свод субъектов ИБ+смежные'!CO$1,'свод практик'!$H$6:$H$277,"мун")</f>
        <v>0</v>
      </c>
      <c r="CP242" s="208">
        <f>SUMIFS('свод практик'!$CC$6:$CC$277,'свод практик'!$J$6:$J$277,'свод субъектов ИБ+смежные'!CP$1,'свод практик'!$H$6:$H$277,"мун")</f>
        <v>0</v>
      </c>
      <c r="CQ242" s="208">
        <f>SUMIFS('свод практик'!$CC$6:$CC$277,'свод практик'!$J$6:$J$277,'свод субъектов ИБ+смежные'!CQ$1,'свод практик'!$H$6:$H$277,"мун")</f>
        <v>0</v>
      </c>
      <c r="CR242" s="208">
        <f>SUMIFS('свод практик'!$CC$6:$CC$277,'свод практик'!$J$6:$J$277,'свод субъектов ИБ+смежные'!CR$1,'свод практик'!$H$6:$H$277,"мун")</f>
        <v>0</v>
      </c>
      <c r="CS242" s="208">
        <f>SUMIFS('свод практик'!$CC$6:$CC$277,'свод практик'!$J$6:$J$277,'свод субъектов ИБ+смежные'!CS$1,'свод практик'!$H$6:$H$277,"мун")</f>
        <v>0</v>
      </c>
      <c r="CT242" s="208">
        <f>SUMIFS('свод практик'!$CC$6:$CC$277,'свод практик'!$J$6:$J$277,'свод субъектов ИБ+смежные'!CT$1,'свод практик'!$H$6:$H$277,"мун")</f>
        <v>0</v>
      </c>
      <c r="CU242" s="208">
        <f>SUMIFS('свод практик'!$CC$6:$CC$277,'свод практик'!$J$6:$J$277,'свод субъектов ИБ+смежные'!CU$1,'свод практик'!$H$6:$H$277,"мун")</f>
        <v>0</v>
      </c>
      <c r="CV242" s="208">
        <f>SUMIFS('свод практик'!$CC$6:$CC$277,'свод практик'!$J$6:$J$277,'свод субъектов ИБ+смежные'!CV$1,'свод практик'!$H$6:$H$277,"мун")</f>
        <v>0</v>
      </c>
    </row>
    <row r="243" spans="4:100" ht="14">
      <c r="D243" s="36" t="s">
        <v>4949</v>
      </c>
      <c r="E243" s="36">
        <v>61</v>
      </c>
      <c r="F243" s="36" t="s">
        <v>5579</v>
      </c>
      <c r="H243" s="36" t="s">
        <v>60</v>
      </c>
      <c r="M243" s="36" t="s">
        <v>5497</v>
      </c>
      <c r="N243" s="36">
        <v>1.2004801920768306E-3</v>
      </c>
      <c r="O243" s="226"/>
      <c r="Q243" s="194"/>
      <c r="R243" s="194"/>
      <c r="S243" s="194"/>
    </row>
    <row r="244" spans="4:100" s="208" customFormat="1" ht="28">
      <c r="D244" s="208" t="s">
        <v>4949</v>
      </c>
      <c r="E244" s="208">
        <v>62</v>
      </c>
      <c r="F244" s="208" t="s">
        <v>5580</v>
      </c>
      <c r="G244" s="208" t="s">
        <v>5155</v>
      </c>
      <c r="H244" s="208" t="s">
        <v>5140</v>
      </c>
      <c r="L244" s="208" t="s">
        <v>278</v>
      </c>
      <c r="M244" s="208" t="s">
        <v>5497</v>
      </c>
      <c r="N244" s="208">
        <v>16</v>
      </c>
      <c r="O244" s="226">
        <f t="shared" si="145"/>
        <v>38</v>
      </c>
      <c r="P244" s="208">
        <f>SUMIFS('свод практик'!$CD$6:$CD$277,'свод практик'!$J$6:$J$277,'свод субъектов ИБ+смежные'!P$1,'свод практик'!$H$6:$H$277,"мун")</f>
        <v>0</v>
      </c>
      <c r="Q244" s="208">
        <f>SUMIFS('свод практик'!$CD$6:$CD$277,'свод практик'!$J$6:$J$277,'свод субъектов ИБ+смежные'!Q$1,'свод практик'!$H$6:$H$277,"мун")</f>
        <v>0</v>
      </c>
      <c r="R244" s="208">
        <f>SUMIFS('свод практик'!$CD$6:$CD$277,'свод практик'!$J$6:$J$277,'свод субъектов ИБ+смежные'!R$1,'свод практик'!$H$6:$H$277,"мун")</f>
        <v>0</v>
      </c>
      <c r="S244" s="208">
        <f>SUMIFS('свод практик'!$CD$6:$CD$277,'свод практик'!$J$6:$J$277,'свод субъектов ИБ+смежные'!S$1,'свод практик'!$H$6:$H$277,"мун")</f>
        <v>0</v>
      </c>
      <c r="T244" s="208">
        <f>SUMIFS('свод практик'!$CD$6:$CD$277,'свод практик'!$J$6:$J$277,'свод субъектов ИБ+смежные'!T$1,'свод практик'!$H$6:$H$277,"мун")</f>
        <v>0</v>
      </c>
      <c r="U244" s="208">
        <f>SUMIFS('свод практик'!$CD$6:$CD$277,'свод практик'!$J$6:$J$277,'свод субъектов ИБ+смежные'!U$1,'свод практик'!$H$6:$H$277,"мун")</f>
        <v>1</v>
      </c>
      <c r="V244" s="208">
        <f>SUMIFS('свод практик'!$CD$6:$CD$277,'свод практик'!$J$6:$J$277,'свод субъектов ИБ+смежные'!V$1,'свод практик'!$H$6:$H$277,"мун")</f>
        <v>4</v>
      </c>
      <c r="W244" s="208">
        <f>SUMIFS('свод практик'!$CD$6:$CD$277,'свод практик'!$J$6:$J$277,'свод субъектов ИБ+смежные'!W$1,'свод практик'!$H$6:$H$277,"мун")</f>
        <v>1</v>
      </c>
      <c r="X244" s="208">
        <f>SUMIFS('свод практик'!$CD$6:$CD$277,'свод практик'!$J$6:$J$277,'свод субъектов ИБ+смежные'!X$1,'свод практик'!$H$6:$H$277,"мун")</f>
        <v>0</v>
      </c>
      <c r="Y244" s="208">
        <f>SUMIFS('свод практик'!$CD$6:$CD$277,'свод практик'!$J$6:$J$277,'свод субъектов ИБ+смежные'!Y$1,'свод практик'!$H$6:$H$277,"мун")</f>
        <v>0</v>
      </c>
      <c r="Z244" s="208">
        <f>SUMIFS('свод практик'!$CD$6:$CD$277,'свод практик'!$J$6:$J$277,'свод субъектов ИБ+смежные'!Z$1,'свод практик'!$H$6:$H$277,"мун")</f>
        <v>0</v>
      </c>
      <c r="AA244" s="208">
        <f>SUMIFS('свод практик'!$CD$6:$CD$277,'свод практик'!$J$6:$J$277,'свод субъектов ИБ+смежные'!AA$1,'свод практик'!$H$6:$H$277,"мун")</f>
        <v>0</v>
      </c>
      <c r="AB244" s="208">
        <f>SUMIFS('свод практик'!$CD$6:$CD$277,'свод практик'!$J$6:$J$277,'свод субъектов ИБ+смежные'!AB$1,'свод практик'!$H$6:$H$277,"мун")</f>
        <v>0</v>
      </c>
      <c r="AC244" s="208">
        <f>SUMIFS('свод практик'!$CD$6:$CD$277,'свод практик'!$J$6:$J$277,'свод субъектов ИБ+смежные'!AC$1,'свод практик'!$H$6:$H$277,"мун")</f>
        <v>0</v>
      </c>
      <c r="AD244" s="208">
        <f>SUMIFS('свод практик'!$CD$6:$CD$277,'свод практик'!$J$6:$J$277,'свод субъектов ИБ+смежные'!AD$1,'свод практик'!$H$6:$H$277,"мун")</f>
        <v>0</v>
      </c>
      <c r="AE244" s="208">
        <f>SUMIFS('свод практик'!$CD$6:$CD$277,'свод практик'!$J$6:$J$277,'свод субъектов ИБ+смежные'!AE$1,'свод практик'!$H$6:$H$277,"мун")</f>
        <v>0</v>
      </c>
      <c r="AF244" s="208">
        <f>SUMIFS('свод практик'!$CD$6:$CD$277,'свод практик'!$J$6:$J$277,'свод субъектов ИБ+смежные'!AF$1,'свод практик'!$H$6:$H$277,"мун")</f>
        <v>0</v>
      </c>
      <c r="AG244" s="208">
        <f>SUMIFS('свод практик'!$CD$6:$CD$277,'свод практик'!$J$6:$J$277,'свод субъектов ИБ+смежные'!AG$1,'свод практик'!$H$6:$H$277,"мун")</f>
        <v>0</v>
      </c>
      <c r="AH244" s="208">
        <f>SUMIFS('свод практик'!$CD$6:$CD$277,'свод практик'!$J$6:$J$277,'свод субъектов ИБ+смежные'!AH$1,'свод практик'!$H$6:$H$277,"мун")</f>
        <v>0</v>
      </c>
      <c r="AI244" s="208">
        <f>SUMIFS('свод практик'!$CD$6:$CD$277,'свод практик'!$J$6:$J$277,'свод субъектов ИБ+смежные'!AI$1,'свод практик'!$H$6:$H$277,"мун")</f>
        <v>0</v>
      </c>
      <c r="AJ244" s="208">
        <f>SUMIFS('свод практик'!$CD$6:$CD$277,'свод практик'!$J$6:$J$277,'свод субъектов ИБ+смежные'!AJ$1,'свод практик'!$H$6:$H$277,"мун")</f>
        <v>0</v>
      </c>
      <c r="AK244" s="208">
        <f>SUMIFS('свод практик'!$CD$6:$CD$277,'свод практик'!$J$6:$J$277,'свод субъектов ИБ+смежные'!AK$1,'свод практик'!$H$6:$H$277,"мун")</f>
        <v>0</v>
      </c>
      <c r="AL244" s="208">
        <f>SUMIFS('свод практик'!$CD$6:$CD$277,'свод практик'!$J$6:$J$277,'свод субъектов ИБ+смежные'!AL$1,'свод практик'!$H$6:$H$277,"мун")</f>
        <v>0</v>
      </c>
      <c r="AM244" s="208">
        <f>SUMIFS('свод практик'!$CD$6:$CD$277,'свод практик'!$J$6:$J$277,'свод субъектов ИБ+смежные'!AM$1,'свод практик'!$H$6:$H$277,"мун")</f>
        <v>0</v>
      </c>
      <c r="AN244" s="208">
        <f>SUMIFS('свод практик'!$CD$6:$CD$277,'свод практик'!$J$6:$J$277,'свод субъектов ИБ+смежные'!AN$1,'свод практик'!$H$6:$H$277,"мун")</f>
        <v>0</v>
      </c>
      <c r="AO244" s="208">
        <f>SUMIFS('свод практик'!$CD$6:$CD$277,'свод практик'!$J$6:$J$277,'свод субъектов ИБ+смежные'!AO$1,'свод практик'!$H$6:$H$277,"мун")</f>
        <v>0</v>
      </c>
      <c r="AP244" s="208">
        <f>SUMIFS('свод практик'!$CD$6:$CD$277,'свод практик'!$J$6:$J$277,'свод субъектов ИБ+смежные'!AP$1,'свод практик'!$H$6:$H$277,"мун")</f>
        <v>0</v>
      </c>
      <c r="AQ244" s="208">
        <f>SUMIFS('свод практик'!$CD$6:$CD$277,'свод практик'!$J$6:$J$277,'свод субъектов ИБ+смежные'!AQ$1,'свод практик'!$H$6:$H$277,"мун")</f>
        <v>0</v>
      </c>
      <c r="AR244" s="208">
        <f>SUMIFS('свод практик'!$CD$6:$CD$277,'свод практик'!$J$6:$J$277,'свод субъектов ИБ+смежные'!AR$1,'свод практик'!$H$6:$H$277,"мун")</f>
        <v>0</v>
      </c>
      <c r="AS244" s="208">
        <f>SUMIFS('свод практик'!$CD$6:$CD$277,'свод практик'!$J$6:$J$277,'свод субъектов ИБ+смежные'!AS$1,'свод практик'!$H$6:$H$277,"мун")</f>
        <v>0</v>
      </c>
      <c r="AT244" s="208">
        <f>SUMIFS('свод практик'!$CD$6:$CD$277,'свод практик'!$J$6:$J$277,'свод субъектов ИБ+смежные'!AT$1,'свод практик'!$H$6:$H$277,"мун")</f>
        <v>0</v>
      </c>
      <c r="AU244" s="208">
        <f>SUMIFS('свод практик'!$CD$6:$CD$277,'свод практик'!$J$6:$J$277,'свод субъектов ИБ+смежные'!AU$1,'свод практик'!$H$6:$H$277,"мун")</f>
        <v>0</v>
      </c>
      <c r="AV244" s="208">
        <f>SUMIFS('свод практик'!$CD$6:$CD$277,'свод практик'!$J$6:$J$277,'свод субъектов ИБ+смежные'!AV$1,'свод практик'!$H$6:$H$277,"мун")</f>
        <v>0</v>
      </c>
      <c r="AW244" s="208">
        <f>SUMIFS('свод практик'!$CD$6:$CD$277,'свод практик'!$J$6:$J$277,'свод субъектов ИБ+смежные'!AW$1,'свод практик'!$H$6:$H$277,"мун")</f>
        <v>0</v>
      </c>
      <c r="AX244" s="208">
        <f>SUMIFS('свод практик'!$CD$6:$CD$277,'свод практик'!$J$6:$J$277,'свод субъектов ИБ+смежные'!AX$1,'свод практик'!$H$6:$H$277,"мун")</f>
        <v>0</v>
      </c>
      <c r="AY244" s="208">
        <f>SUMIFS('свод практик'!$CD$6:$CD$277,'свод практик'!$J$6:$J$277,'свод субъектов ИБ+смежные'!AY$1,'свод практик'!$H$6:$H$277,"мун")</f>
        <v>0</v>
      </c>
      <c r="AZ244" s="208">
        <f>SUMIFS('свод практик'!$CD$6:$CD$277,'свод практик'!$J$6:$J$277,'свод субъектов ИБ+смежные'!AZ$1,'свод практик'!$H$6:$H$277,"мун")</f>
        <v>1</v>
      </c>
      <c r="BA244" s="208">
        <f>SUMIFS('свод практик'!$CD$6:$CD$277,'свод практик'!$J$6:$J$277,'свод субъектов ИБ+смежные'!BA$1,'свод практик'!$H$6:$H$277,"мун")</f>
        <v>0</v>
      </c>
      <c r="BB244" s="208">
        <f>SUMIFS('свод практик'!$CD$6:$CD$277,'свод практик'!$J$6:$J$277,'свод субъектов ИБ+смежные'!BB$1,'свод практик'!$H$6:$H$277,"мун")</f>
        <v>0</v>
      </c>
      <c r="BC244" s="208">
        <f>SUMIFS('свод практик'!$CD$6:$CD$277,'свод практик'!$J$6:$J$277,'свод субъектов ИБ+смежные'!BC$1,'свод практик'!$H$6:$H$277,"мун")</f>
        <v>0</v>
      </c>
      <c r="BD244" s="208">
        <f>SUMIFS('свод практик'!$CD$6:$CD$277,'свод практик'!$J$6:$J$277,'свод субъектов ИБ+смежные'!BD$1,'свод практик'!$H$6:$H$277,"мун")</f>
        <v>0</v>
      </c>
      <c r="BE244" s="208">
        <f>SUMIFS('свод практик'!$CD$6:$CD$277,'свод практик'!$J$6:$J$277,'свод субъектов ИБ+смежные'!BE$1,'свод практик'!$H$6:$H$277,"мун")</f>
        <v>0</v>
      </c>
      <c r="BF244" s="208">
        <f>SUMIFS('свод практик'!$CD$6:$CD$277,'свод практик'!$J$6:$J$277,'свод субъектов ИБ+смежные'!BF$1,'свод практик'!$H$6:$H$277,"мун")</f>
        <v>0</v>
      </c>
      <c r="BG244" s="208">
        <f>SUMIFS('свод практик'!$CD$6:$CD$277,'свод практик'!$J$6:$J$277,'свод субъектов ИБ+смежные'!BG$1,'свод практик'!$H$6:$H$277,"мун")</f>
        <v>0</v>
      </c>
      <c r="BH244" s="208">
        <f>SUMIFS('свод практик'!$CD$6:$CD$277,'свод практик'!$J$6:$J$277,'свод субъектов ИБ+смежные'!BH$1,'свод практик'!$H$6:$H$277,"мун")</f>
        <v>0</v>
      </c>
      <c r="BI244" s="208">
        <f>SUMIFS('свод практик'!$CD$6:$CD$277,'свод практик'!$J$6:$J$277,'свод субъектов ИБ+смежные'!BI$1,'свод практик'!$H$6:$H$277,"мун")</f>
        <v>0</v>
      </c>
      <c r="BJ244" s="208">
        <f>SUMIFS('свод практик'!$CD$6:$CD$277,'свод практик'!$J$6:$J$277,'свод субъектов ИБ+смежные'!BJ$1,'свод практик'!$H$6:$H$277,"мун")</f>
        <v>0</v>
      </c>
      <c r="BK244" s="208">
        <f>SUMIFS('свод практик'!$CD$6:$CD$277,'свод практик'!$J$6:$J$277,'свод субъектов ИБ+смежные'!BK$1,'свод практик'!$H$6:$H$277,"мун")</f>
        <v>0</v>
      </c>
      <c r="BL244" s="208">
        <f>SUMIFS('свод практик'!$CD$6:$CD$277,'свод практик'!$J$6:$J$277,'свод субъектов ИБ+смежные'!BL$1,'свод практик'!$H$6:$H$277,"мун")</f>
        <v>12</v>
      </c>
      <c r="BM244" s="208">
        <f>SUMIFS('свод практик'!$CD$6:$CD$277,'свод практик'!$J$6:$J$277,'свод субъектов ИБ+смежные'!BM$1,'свод практик'!$H$6:$H$277,"мун")</f>
        <v>5</v>
      </c>
      <c r="BN244" s="208">
        <f>SUMIFS('свод практик'!$CD$6:$CD$277,'свод практик'!$J$6:$J$277,'свод субъектов ИБ+смежные'!BN$1,'свод практик'!$H$6:$H$277,"мун")</f>
        <v>0</v>
      </c>
      <c r="BO244" s="208">
        <f>SUMIFS('свод практик'!$CD$6:$CD$277,'свод практик'!$J$6:$J$277,'свод субъектов ИБ+смежные'!BO$1,'свод практик'!$H$6:$H$277,"мун")</f>
        <v>0</v>
      </c>
      <c r="BP244" s="208">
        <f>SUMIFS('свод практик'!$CD$6:$CD$277,'свод практик'!$J$6:$J$277,'свод субъектов ИБ+смежные'!BP$1,'свод практик'!$H$6:$H$277,"мун")</f>
        <v>0</v>
      </c>
      <c r="BQ244" s="208">
        <f>SUMIFS('свод практик'!$CD$6:$CD$277,'свод практик'!$J$6:$J$277,'свод субъектов ИБ+смежные'!BQ$1,'свод практик'!$H$6:$H$277,"мун")</f>
        <v>0</v>
      </c>
      <c r="BR244" s="208">
        <f>SUMIFS('свод практик'!$CD$6:$CD$277,'свод практик'!$J$6:$J$277,'свод субъектов ИБ+смежные'!BR$1,'свод практик'!$H$6:$H$277,"мун")</f>
        <v>0</v>
      </c>
      <c r="BS244" s="208">
        <f>SUMIFS('свод практик'!$CD$6:$CD$277,'свод практик'!$J$6:$J$277,'свод субъектов ИБ+смежные'!BS$1,'свод практик'!$H$6:$H$277,"мун")</f>
        <v>4</v>
      </c>
      <c r="BT244" s="208">
        <f>SUMIFS('свод практик'!$CD$6:$CD$277,'свод практик'!$J$6:$J$277,'свод субъектов ИБ+смежные'!BT$1,'свод практик'!$H$6:$H$277,"мун")</f>
        <v>0</v>
      </c>
      <c r="BU244" s="208">
        <f>SUMIFS('свод практик'!$CD$6:$CD$277,'свод практик'!$J$6:$J$277,'свод субъектов ИБ+смежные'!BU$1,'свод практик'!$H$6:$H$277,"мун")</f>
        <v>1</v>
      </c>
      <c r="BV244" s="208">
        <f>SUMIFS('свод практик'!$CD$6:$CD$277,'свод практик'!$J$6:$J$277,'свод субъектов ИБ+смежные'!BV$1,'свод практик'!$H$6:$H$277,"мун")</f>
        <v>0</v>
      </c>
      <c r="BW244" s="208">
        <f>SUMIFS('свод практик'!$CD$6:$CD$277,'свод практик'!$J$6:$J$277,'свод субъектов ИБ+смежные'!BW$1,'свод практик'!$H$6:$H$277,"мун")</f>
        <v>0</v>
      </c>
      <c r="BX244" s="208">
        <f>SUMIFS('свод практик'!$CD$6:$CD$277,'свод практик'!$J$6:$J$277,'свод субъектов ИБ+смежные'!BX$1,'свод практик'!$H$6:$H$277,"мун")</f>
        <v>0</v>
      </c>
      <c r="BY244" s="208">
        <f>SUMIFS('свод практик'!$CD$6:$CD$277,'свод практик'!$J$6:$J$277,'свод субъектов ИБ+смежные'!BY$1,'свод практик'!$H$6:$H$277,"мун")</f>
        <v>0</v>
      </c>
      <c r="BZ244" s="208">
        <f>SUMIFS('свод практик'!$CD$6:$CD$277,'свод практик'!$J$6:$J$277,'свод субъектов ИБ+смежные'!BZ$1,'свод практик'!$H$6:$H$277,"мун")</f>
        <v>0</v>
      </c>
      <c r="CA244" s="208">
        <f>SUMIFS('свод практик'!$CD$6:$CD$277,'свод практик'!$J$6:$J$277,'свод субъектов ИБ+смежные'!CA$1,'свод практик'!$H$6:$H$277,"мун")</f>
        <v>0</v>
      </c>
      <c r="CB244" s="208">
        <f>SUMIFS('свод практик'!$CD$6:$CD$277,'свод практик'!$J$6:$J$277,'свод субъектов ИБ+смежные'!CB$1,'свод практик'!$H$6:$H$277,"мун")</f>
        <v>0</v>
      </c>
      <c r="CC244" s="208">
        <f>SUMIFS('свод практик'!$CD$6:$CD$277,'свод практик'!$J$6:$J$277,'свод субъектов ИБ+смежные'!CC$1,'свод практик'!$H$6:$H$277,"мун")</f>
        <v>0</v>
      </c>
      <c r="CD244" s="208">
        <f>SUMIFS('свод практик'!$CD$6:$CD$277,'свод практик'!$J$6:$J$277,'свод субъектов ИБ+смежные'!CD$1,'свод практик'!$H$6:$H$277,"мун")</f>
        <v>0</v>
      </c>
      <c r="CE244" s="208">
        <f>SUMIFS('свод практик'!$CD$6:$CD$277,'свод практик'!$J$6:$J$277,'свод субъектов ИБ+смежные'!CE$1,'свод практик'!$H$6:$H$277,"мун")</f>
        <v>0</v>
      </c>
      <c r="CF244" s="208">
        <f>SUMIFS('свод практик'!$CD$6:$CD$277,'свод практик'!$J$6:$J$277,'свод субъектов ИБ+смежные'!CF$1,'свод практик'!$H$6:$H$277,"мун")</f>
        <v>0</v>
      </c>
      <c r="CG244" s="208">
        <f>SUMIFS('свод практик'!$CD$6:$CD$277,'свод практик'!$J$6:$J$277,'свод субъектов ИБ+смежные'!CG$1,'свод практик'!$H$6:$H$277,"мун")</f>
        <v>0</v>
      </c>
      <c r="CH244" s="208">
        <f>SUMIFS('свод практик'!$CD$6:$CD$277,'свод практик'!$J$6:$J$277,'свод субъектов ИБ+смежные'!CH$1,'свод практик'!$H$6:$H$277,"мун")</f>
        <v>0</v>
      </c>
      <c r="CI244" s="208">
        <f>SUMIFS('свод практик'!$CD$6:$CD$277,'свод практик'!$J$6:$J$277,'свод субъектов ИБ+смежные'!CI$1,'свод практик'!$H$6:$H$277,"мун")</f>
        <v>0</v>
      </c>
      <c r="CJ244" s="208">
        <f>SUMIFS('свод практик'!$CD$6:$CD$277,'свод практик'!$J$6:$J$277,'свод субъектов ИБ+смежные'!CJ$1,'свод практик'!$H$6:$H$277,"мун")</f>
        <v>0</v>
      </c>
      <c r="CK244" s="208">
        <f>SUMIFS('свод практик'!$CD$6:$CD$277,'свод практик'!$J$6:$J$277,'свод субъектов ИБ+смежные'!CK$1,'свод практик'!$H$6:$H$277,"мун")</f>
        <v>0</v>
      </c>
      <c r="CL244" s="208">
        <f>SUMIFS('свод практик'!$CD$6:$CD$277,'свод практик'!$J$6:$J$277,'свод субъектов ИБ+смежные'!CL$1,'свод практик'!$H$6:$H$277,"мун")</f>
        <v>0</v>
      </c>
      <c r="CM244" s="208">
        <f>SUMIFS('свод практик'!$CD$6:$CD$277,'свод практик'!$J$6:$J$277,'свод субъектов ИБ+смежные'!CM$1,'свод практик'!$H$6:$H$277,"мун")</f>
        <v>2</v>
      </c>
      <c r="CN244" s="208">
        <f>SUMIFS('свод практик'!$CD$6:$CD$277,'свод практик'!$J$6:$J$277,'свод субъектов ИБ+смежные'!CN$1,'свод практик'!$H$6:$H$277,"мун")</f>
        <v>0</v>
      </c>
      <c r="CO244" s="208">
        <f>SUMIFS('свод практик'!$CD$6:$CD$277,'свод практик'!$J$6:$J$277,'свод субъектов ИБ+смежные'!CO$1,'свод практик'!$H$6:$H$277,"мун")</f>
        <v>0</v>
      </c>
      <c r="CP244" s="208">
        <f>SUMIFS('свод практик'!$CD$6:$CD$277,'свод практик'!$J$6:$J$277,'свод субъектов ИБ+смежные'!CP$1,'свод практик'!$H$6:$H$277,"мун")</f>
        <v>4</v>
      </c>
      <c r="CQ244" s="208">
        <f>SUMIFS('свод практик'!$CD$6:$CD$277,'свод практик'!$J$6:$J$277,'свод субъектов ИБ+смежные'!CQ$1,'свод практик'!$H$6:$H$277,"мун")</f>
        <v>0</v>
      </c>
      <c r="CR244" s="208">
        <f>SUMIFS('свод практик'!$CD$6:$CD$277,'свод практик'!$J$6:$J$277,'свод субъектов ИБ+смежные'!CR$1,'свод практик'!$H$6:$H$277,"мун")</f>
        <v>0</v>
      </c>
      <c r="CS244" s="208">
        <f>SUMIFS('свод практик'!$CD$6:$CD$277,'свод практик'!$J$6:$J$277,'свод субъектов ИБ+смежные'!CS$1,'свод практик'!$H$6:$H$277,"мун")</f>
        <v>0</v>
      </c>
      <c r="CT244" s="208">
        <f>SUMIFS('свод практик'!$CD$6:$CD$277,'свод практик'!$J$6:$J$277,'свод субъектов ИБ+смежные'!CT$1,'свод практик'!$H$6:$H$277,"мун")</f>
        <v>0</v>
      </c>
      <c r="CU244" s="208">
        <f>SUMIFS('свод практик'!$CD$6:$CD$277,'свод практик'!$J$6:$J$277,'свод субъектов ИБ+смежные'!CU$1,'свод практик'!$H$6:$H$277,"мун")</f>
        <v>3</v>
      </c>
      <c r="CV244" s="208">
        <f>SUMIFS('свод практик'!$CD$6:$CD$277,'свод практик'!$J$6:$J$277,'свод субъектов ИБ+смежные'!CV$1,'свод практик'!$H$6:$H$277,"мун")</f>
        <v>0</v>
      </c>
    </row>
    <row r="245" spans="4:100" ht="14">
      <c r="D245" s="36" t="s">
        <v>4949</v>
      </c>
      <c r="E245" s="36">
        <v>63</v>
      </c>
      <c r="F245" s="36" t="s">
        <v>5581</v>
      </c>
      <c r="H245" s="36" t="s">
        <v>60</v>
      </c>
      <c r="M245" s="36" t="s">
        <v>5497</v>
      </c>
      <c r="N245" s="36">
        <v>1.920768307322929E-2</v>
      </c>
      <c r="O245" s="226"/>
      <c r="Q245" s="194"/>
      <c r="R245" s="194"/>
      <c r="S245" s="194"/>
    </row>
    <row r="246" spans="4:100" s="208" customFormat="1" ht="14">
      <c r="D246" s="208" t="s">
        <v>4949</v>
      </c>
      <c r="E246" s="208">
        <v>64</v>
      </c>
      <c r="F246" s="208" t="s">
        <v>5582</v>
      </c>
      <c r="G246" s="208" t="s">
        <v>5158</v>
      </c>
      <c r="H246" s="208" t="s">
        <v>5140</v>
      </c>
      <c r="L246" s="208" t="s">
        <v>278</v>
      </c>
      <c r="M246" s="208" t="s">
        <v>5497</v>
      </c>
      <c r="N246" s="208">
        <v>41</v>
      </c>
      <c r="O246" s="226">
        <f t="shared" si="145"/>
        <v>150</v>
      </c>
      <c r="P246" s="208">
        <f>SUMIFS('свод практик'!$CE$6:$CE$277,'свод практик'!$J$6:$J$277,'свод субъектов ИБ+смежные'!P$1,'свод практик'!$H$6:$H$277,"мун")</f>
        <v>0</v>
      </c>
      <c r="Q246" s="208">
        <f>SUMIFS('свод практик'!$CE$6:$CE$277,'свод практик'!$J$6:$J$277,'свод субъектов ИБ+смежные'!Q$1,'свод практик'!$H$6:$H$277,"мун")</f>
        <v>0</v>
      </c>
      <c r="R246" s="208">
        <f>SUMIFS('свод практик'!$CE$6:$CE$277,'свод практик'!$J$6:$J$277,'свод субъектов ИБ+смежные'!R$1,'свод практик'!$H$6:$H$277,"мун")</f>
        <v>0</v>
      </c>
      <c r="S246" s="208">
        <f>SUMIFS('свод практик'!$CE$6:$CE$277,'свод практик'!$J$6:$J$277,'свод субъектов ИБ+смежные'!S$1,'свод практик'!$H$6:$H$277,"мун")</f>
        <v>0</v>
      </c>
      <c r="T246" s="208">
        <f>SUMIFS('свод практик'!$CE$6:$CE$277,'свод практик'!$J$6:$J$277,'свод субъектов ИБ+смежные'!T$1,'свод практик'!$H$6:$H$277,"мун")</f>
        <v>3</v>
      </c>
      <c r="U246" s="208">
        <f>SUMIFS('свод практик'!$CE$6:$CE$277,'свод практик'!$J$6:$J$277,'свод субъектов ИБ+смежные'!U$1,'свод практик'!$H$6:$H$277,"мун")</f>
        <v>0</v>
      </c>
      <c r="V246" s="208">
        <f>SUMIFS('свод практик'!$CE$6:$CE$277,'свод практик'!$J$6:$J$277,'свод субъектов ИБ+смежные'!V$1,'свод практик'!$H$6:$H$277,"мун")</f>
        <v>0</v>
      </c>
      <c r="W246" s="208">
        <f>SUMIFS('свод практик'!$CE$6:$CE$277,'свод практик'!$J$6:$J$277,'свод субъектов ИБ+смежные'!W$1,'свод практик'!$H$6:$H$277,"мун")</f>
        <v>0</v>
      </c>
      <c r="X246" s="208">
        <f>SUMIFS('свод практик'!$CE$6:$CE$277,'свод практик'!$J$6:$J$277,'свод субъектов ИБ+смежные'!X$1,'свод практик'!$H$6:$H$277,"мун")</f>
        <v>0</v>
      </c>
      <c r="Y246" s="208">
        <f>SUMIFS('свод практик'!$CE$6:$CE$277,'свод практик'!$J$6:$J$277,'свод субъектов ИБ+смежные'!Y$1,'свод практик'!$H$6:$H$277,"мун")</f>
        <v>0</v>
      </c>
      <c r="Z246" s="208">
        <f>SUMIFS('свод практик'!$CE$6:$CE$277,'свод практик'!$J$6:$J$277,'свод субъектов ИБ+смежные'!Z$1,'свод практик'!$H$6:$H$277,"мун")</f>
        <v>0</v>
      </c>
      <c r="AA246" s="208">
        <f>SUMIFS('свод практик'!$CE$6:$CE$277,'свод практик'!$J$6:$J$277,'свод субъектов ИБ+смежные'!AA$1,'свод практик'!$H$6:$H$277,"мун")</f>
        <v>0</v>
      </c>
      <c r="AB246" s="208">
        <f>SUMIFS('свод практик'!$CE$6:$CE$277,'свод практик'!$J$6:$J$277,'свод субъектов ИБ+смежные'!AB$1,'свод практик'!$H$6:$H$277,"мун")</f>
        <v>0</v>
      </c>
      <c r="AC246" s="208">
        <f>SUMIFS('свод практик'!$CE$6:$CE$277,'свод практик'!$J$6:$J$277,'свод субъектов ИБ+смежные'!AC$1,'свод практик'!$H$6:$H$277,"мун")</f>
        <v>0</v>
      </c>
      <c r="AD246" s="208">
        <f>SUMIFS('свод практик'!$CE$6:$CE$277,'свод практик'!$J$6:$J$277,'свод субъектов ИБ+смежные'!AD$1,'свод практик'!$H$6:$H$277,"мун")</f>
        <v>0</v>
      </c>
      <c r="AE246" s="208">
        <f>SUMIFS('свод практик'!$CE$6:$CE$277,'свод практик'!$J$6:$J$277,'свод субъектов ИБ+смежные'!AE$1,'свод практик'!$H$6:$H$277,"мун")</f>
        <v>0</v>
      </c>
      <c r="AF246" s="208">
        <f>SUMIFS('свод практик'!$CE$6:$CE$277,'свод практик'!$J$6:$J$277,'свод субъектов ИБ+смежные'!AF$1,'свод практик'!$H$6:$H$277,"мун")</f>
        <v>0</v>
      </c>
      <c r="AG246" s="208">
        <f>SUMIFS('свод практик'!$CE$6:$CE$277,'свод практик'!$J$6:$J$277,'свод субъектов ИБ+смежные'!AG$1,'свод практик'!$H$6:$H$277,"мун")</f>
        <v>0</v>
      </c>
      <c r="AH246" s="208">
        <f>SUMIFS('свод практик'!$CE$6:$CE$277,'свод практик'!$J$6:$J$277,'свод субъектов ИБ+смежные'!AH$1,'свод практик'!$H$6:$H$277,"мун")</f>
        <v>0</v>
      </c>
      <c r="AI246" s="208">
        <f>SUMIFS('свод практик'!$CE$6:$CE$277,'свод практик'!$J$6:$J$277,'свод субъектов ИБ+смежные'!AI$1,'свод практик'!$H$6:$H$277,"мун")</f>
        <v>0</v>
      </c>
      <c r="AJ246" s="208">
        <f>SUMIFS('свод практик'!$CE$6:$CE$277,'свод практик'!$J$6:$J$277,'свод субъектов ИБ+смежные'!AJ$1,'свод практик'!$H$6:$H$277,"мун")</f>
        <v>0</v>
      </c>
      <c r="AK246" s="208">
        <f>SUMIFS('свод практик'!$CE$6:$CE$277,'свод практик'!$J$6:$J$277,'свод субъектов ИБ+смежные'!AK$1,'свод практик'!$H$6:$H$277,"мун")</f>
        <v>0</v>
      </c>
      <c r="AL246" s="208">
        <f>SUMIFS('свод практик'!$CE$6:$CE$277,'свод практик'!$J$6:$J$277,'свод субъектов ИБ+смежные'!AL$1,'свод практик'!$H$6:$H$277,"мун")</f>
        <v>0</v>
      </c>
      <c r="AM246" s="208">
        <f>SUMIFS('свод практик'!$CE$6:$CE$277,'свод практик'!$J$6:$J$277,'свод субъектов ИБ+смежные'!AM$1,'свод практик'!$H$6:$H$277,"мун")</f>
        <v>0</v>
      </c>
      <c r="AN246" s="208">
        <f>SUMIFS('свод практик'!$CE$6:$CE$277,'свод практик'!$J$6:$J$277,'свод субъектов ИБ+смежные'!AN$1,'свод практик'!$H$6:$H$277,"мун")</f>
        <v>0</v>
      </c>
      <c r="AO246" s="208">
        <f>SUMIFS('свод практик'!$CE$6:$CE$277,'свод практик'!$J$6:$J$277,'свод субъектов ИБ+смежные'!AO$1,'свод практик'!$H$6:$H$277,"мун")</f>
        <v>0</v>
      </c>
      <c r="AP246" s="208">
        <f>SUMIFS('свод практик'!$CE$6:$CE$277,'свод практик'!$J$6:$J$277,'свод субъектов ИБ+смежные'!AP$1,'свод практик'!$H$6:$H$277,"мун")</f>
        <v>0</v>
      </c>
      <c r="AQ246" s="208">
        <f>SUMIFS('свод практик'!$CE$6:$CE$277,'свод практик'!$J$6:$J$277,'свод субъектов ИБ+смежные'!AQ$1,'свод практик'!$H$6:$H$277,"мун")</f>
        <v>0</v>
      </c>
      <c r="AR246" s="208">
        <f>SUMIFS('свод практик'!$CE$6:$CE$277,'свод практик'!$J$6:$J$277,'свод субъектов ИБ+смежные'!AR$1,'свод практик'!$H$6:$H$277,"мун")</f>
        <v>0</v>
      </c>
      <c r="AS246" s="208">
        <f>SUMIFS('свод практик'!$CE$6:$CE$277,'свод практик'!$J$6:$J$277,'свод субъектов ИБ+смежные'!AS$1,'свод практик'!$H$6:$H$277,"мун")</f>
        <v>0</v>
      </c>
      <c r="AT246" s="208">
        <f>SUMIFS('свод практик'!$CE$6:$CE$277,'свод практик'!$J$6:$J$277,'свод субъектов ИБ+смежные'!AT$1,'свод практик'!$H$6:$H$277,"мун")</f>
        <v>0</v>
      </c>
      <c r="AU246" s="208">
        <f>SUMIFS('свод практик'!$CE$6:$CE$277,'свод практик'!$J$6:$J$277,'свод субъектов ИБ+смежные'!AU$1,'свод практик'!$H$6:$H$277,"мун")</f>
        <v>0</v>
      </c>
      <c r="AV246" s="208">
        <f>SUMIFS('свод практик'!$CE$6:$CE$277,'свод практик'!$J$6:$J$277,'свод субъектов ИБ+смежные'!AV$1,'свод практик'!$H$6:$H$277,"мун")</f>
        <v>0</v>
      </c>
      <c r="AW246" s="208">
        <f>SUMIFS('свод практик'!$CE$6:$CE$277,'свод практик'!$J$6:$J$277,'свод субъектов ИБ+смежные'!AW$1,'свод практик'!$H$6:$H$277,"мун")</f>
        <v>0</v>
      </c>
      <c r="AX246" s="208">
        <f>SUMIFS('свод практик'!$CE$6:$CE$277,'свод практик'!$J$6:$J$277,'свод субъектов ИБ+смежные'!AX$1,'свод практик'!$H$6:$H$277,"мун")</f>
        <v>0</v>
      </c>
      <c r="AY246" s="208">
        <f>SUMIFS('свод практик'!$CE$6:$CE$277,'свод практик'!$J$6:$J$277,'свод субъектов ИБ+смежные'!AY$1,'свод практик'!$H$6:$H$277,"мун")</f>
        <v>0</v>
      </c>
      <c r="AZ246" s="208">
        <f>SUMIFS('свод практик'!$CE$6:$CE$277,'свод практик'!$J$6:$J$277,'свод субъектов ИБ+смежные'!AZ$1,'свод практик'!$H$6:$H$277,"мун")</f>
        <v>4</v>
      </c>
      <c r="BA246" s="208">
        <f>SUMIFS('свод практик'!$CE$6:$CE$277,'свод практик'!$J$6:$J$277,'свод субъектов ИБ+смежные'!BA$1,'свод практик'!$H$6:$H$277,"мун")</f>
        <v>0</v>
      </c>
      <c r="BB246" s="208">
        <f>SUMIFS('свод практик'!$CE$6:$CE$277,'свод практик'!$J$6:$J$277,'свод субъектов ИБ+смежные'!BB$1,'свод практик'!$H$6:$H$277,"мун")</f>
        <v>0</v>
      </c>
      <c r="BC246" s="208">
        <f>SUMIFS('свод практик'!$CE$6:$CE$277,'свод практик'!$J$6:$J$277,'свод субъектов ИБ+смежные'!BC$1,'свод практик'!$H$6:$H$277,"мун")</f>
        <v>0</v>
      </c>
      <c r="BD246" s="208">
        <f>SUMIFS('свод практик'!$CE$6:$CE$277,'свод практик'!$J$6:$J$277,'свод субъектов ИБ+смежные'!BD$1,'свод практик'!$H$6:$H$277,"мун")</f>
        <v>0</v>
      </c>
      <c r="BE246" s="208">
        <f>SUMIFS('свод практик'!$CE$6:$CE$277,'свод практик'!$J$6:$J$277,'свод субъектов ИБ+смежные'!BE$1,'свод практик'!$H$6:$H$277,"мун")</f>
        <v>0</v>
      </c>
      <c r="BF246" s="208">
        <f>SUMIFS('свод практик'!$CE$6:$CE$277,'свод практик'!$J$6:$J$277,'свод субъектов ИБ+смежные'!BF$1,'свод практик'!$H$6:$H$277,"мун")</f>
        <v>0</v>
      </c>
      <c r="BG246" s="208">
        <f>SUMIFS('свод практик'!$CE$6:$CE$277,'свод практик'!$J$6:$J$277,'свод субъектов ИБ+смежные'!BG$1,'свод практик'!$H$6:$H$277,"мун")</f>
        <v>0</v>
      </c>
      <c r="BH246" s="208">
        <f>SUMIFS('свод практик'!$CE$6:$CE$277,'свод практик'!$J$6:$J$277,'свод субъектов ИБ+смежные'!BH$1,'свод практик'!$H$6:$H$277,"мун")</f>
        <v>0</v>
      </c>
      <c r="BI246" s="208">
        <f>SUMIFS('свод практик'!$CE$6:$CE$277,'свод практик'!$J$6:$J$277,'свод субъектов ИБ+смежные'!BI$1,'свод практик'!$H$6:$H$277,"мун")</f>
        <v>0</v>
      </c>
      <c r="BJ246" s="208">
        <f>SUMIFS('свод практик'!$CE$6:$CE$277,'свод практик'!$J$6:$J$277,'свод субъектов ИБ+смежные'!BJ$1,'свод практик'!$H$6:$H$277,"мун")</f>
        <v>0</v>
      </c>
      <c r="BK246" s="208">
        <f>SUMIFS('свод практик'!$CE$6:$CE$277,'свод практик'!$J$6:$J$277,'свод субъектов ИБ+смежные'!BK$1,'свод практик'!$H$6:$H$277,"мун")</f>
        <v>0</v>
      </c>
      <c r="BL246" s="208">
        <f>SUMIFS('свод практик'!$CE$6:$CE$277,'свод практик'!$J$6:$J$277,'свод субъектов ИБ+смежные'!BL$1,'свод практик'!$H$6:$H$277,"мун")</f>
        <v>7</v>
      </c>
      <c r="BM246" s="208">
        <f>SUMIFS('свод практик'!$CE$6:$CE$277,'свод практик'!$J$6:$J$277,'свод субъектов ИБ+смежные'!BM$1,'свод практик'!$H$6:$H$277,"мун")</f>
        <v>0</v>
      </c>
      <c r="BN246" s="208">
        <f>SUMIFS('свод практик'!$CE$6:$CE$277,'свод практик'!$J$6:$J$277,'свод субъектов ИБ+смежные'!BN$1,'свод практик'!$H$6:$H$277,"мун")</f>
        <v>0</v>
      </c>
      <c r="BO246" s="208">
        <f>SUMIFS('свод практик'!$CE$6:$CE$277,'свод практик'!$J$6:$J$277,'свод субъектов ИБ+смежные'!BO$1,'свод практик'!$H$6:$H$277,"мун")</f>
        <v>0</v>
      </c>
      <c r="BP246" s="208">
        <f>SUMIFS('свод практик'!$CE$6:$CE$277,'свод практик'!$J$6:$J$277,'свод субъектов ИБ+смежные'!BP$1,'свод практик'!$H$6:$H$277,"мун")</f>
        <v>0</v>
      </c>
      <c r="BQ246" s="208">
        <f>SUMIFS('свод практик'!$CE$6:$CE$277,'свод практик'!$J$6:$J$277,'свод субъектов ИБ+смежные'!BQ$1,'свод практик'!$H$6:$H$277,"мун")</f>
        <v>0</v>
      </c>
      <c r="BR246" s="208">
        <f>SUMIFS('свод практик'!$CE$6:$CE$277,'свод практик'!$J$6:$J$277,'свод субъектов ИБ+смежные'!BR$1,'свод практик'!$H$6:$H$277,"мун")</f>
        <v>0</v>
      </c>
      <c r="BS246" s="208">
        <f>SUMIFS('свод практик'!$CE$6:$CE$277,'свод практик'!$J$6:$J$277,'свод субъектов ИБ+смежные'!BS$1,'свод практик'!$H$6:$H$277,"мун")</f>
        <v>0</v>
      </c>
      <c r="BT246" s="208">
        <f>SUMIFS('свод практик'!$CE$6:$CE$277,'свод практик'!$J$6:$J$277,'свод субъектов ИБ+смежные'!BT$1,'свод практик'!$H$6:$H$277,"мун")</f>
        <v>0</v>
      </c>
      <c r="BU246" s="208">
        <f>SUMIFS('свод практик'!$CE$6:$CE$277,'свод практик'!$J$6:$J$277,'свод субъектов ИБ+смежные'!BU$1,'свод практик'!$H$6:$H$277,"мун")</f>
        <v>1</v>
      </c>
      <c r="BV246" s="208">
        <f>SUMIFS('свод практик'!$CE$6:$CE$277,'свод практик'!$J$6:$J$277,'свод субъектов ИБ+смежные'!BV$1,'свод практик'!$H$6:$H$277,"мун")</f>
        <v>0</v>
      </c>
      <c r="BW246" s="208">
        <f>SUMIFS('свод практик'!$CE$6:$CE$277,'свод практик'!$J$6:$J$277,'свод субъектов ИБ+смежные'!BW$1,'свод практик'!$H$6:$H$277,"мун")</f>
        <v>0</v>
      </c>
      <c r="BX246" s="208">
        <f>SUMIFS('свод практик'!$CE$6:$CE$277,'свод практик'!$J$6:$J$277,'свод субъектов ИБ+смежные'!BX$1,'свод практик'!$H$6:$H$277,"мун")</f>
        <v>0</v>
      </c>
      <c r="BY246" s="208">
        <f>SUMIFS('свод практик'!$CE$6:$CE$277,'свод практик'!$J$6:$J$277,'свод субъектов ИБ+смежные'!BY$1,'свод практик'!$H$6:$H$277,"мун")</f>
        <v>0</v>
      </c>
      <c r="BZ246" s="208">
        <f>SUMIFS('свод практик'!$CE$6:$CE$277,'свод практик'!$J$6:$J$277,'свод субъектов ИБ+смежные'!BZ$1,'свод практик'!$H$6:$H$277,"мун")</f>
        <v>8</v>
      </c>
      <c r="CA246" s="208">
        <f>SUMIFS('свод практик'!$CE$6:$CE$277,'свод практик'!$J$6:$J$277,'свод субъектов ИБ+смежные'!CA$1,'свод практик'!$H$6:$H$277,"мун")</f>
        <v>0</v>
      </c>
      <c r="CB246" s="208">
        <f>SUMIFS('свод практик'!$CE$6:$CE$277,'свод практик'!$J$6:$J$277,'свод субъектов ИБ+смежные'!CB$1,'свод практик'!$H$6:$H$277,"мун")</f>
        <v>0</v>
      </c>
      <c r="CC246" s="208">
        <f>SUMIFS('свод практик'!$CE$6:$CE$277,'свод практик'!$J$6:$J$277,'свод субъектов ИБ+смежные'!CC$1,'свод практик'!$H$6:$H$277,"мун")</f>
        <v>0</v>
      </c>
      <c r="CD246" s="208">
        <f>SUMIFS('свод практик'!$CE$6:$CE$277,'свод практик'!$J$6:$J$277,'свод субъектов ИБ+смежные'!CD$1,'свод практик'!$H$6:$H$277,"мун")</f>
        <v>0</v>
      </c>
      <c r="CE246" s="208">
        <f>SUMIFS('свод практик'!$CE$6:$CE$277,'свод практик'!$J$6:$J$277,'свод субъектов ИБ+смежные'!CE$1,'свод практик'!$H$6:$H$277,"мун")</f>
        <v>0</v>
      </c>
      <c r="CF246" s="208">
        <f>SUMIFS('свод практик'!$CE$6:$CE$277,'свод практик'!$J$6:$J$277,'свод субъектов ИБ+смежные'!CF$1,'свод практик'!$H$6:$H$277,"мун")</f>
        <v>0</v>
      </c>
      <c r="CG246" s="208">
        <f>SUMIFS('свод практик'!$CE$6:$CE$277,'свод практик'!$J$6:$J$277,'свод субъектов ИБ+смежные'!CG$1,'свод практик'!$H$6:$H$277,"мун")</f>
        <v>0</v>
      </c>
      <c r="CH246" s="208">
        <f>SUMIFS('свод практик'!$CE$6:$CE$277,'свод практик'!$J$6:$J$277,'свод субъектов ИБ+смежные'!CH$1,'свод практик'!$H$6:$H$277,"мун")</f>
        <v>0</v>
      </c>
      <c r="CI246" s="208">
        <f>SUMIFS('свод практик'!$CE$6:$CE$277,'свод практик'!$J$6:$J$277,'свод субъектов ИБ+смежные'!CI$1,'свод практик'!$H$6:$H$277,"мун")</f>
        <v>0</v>
      </c>
      <c r="CJ246" s="208">
        <f>SUMIFS('свод практик'!$CE$6:$CE$277,'свод практик'!$J$6:$J$277,'свод субъектов ИБ+смежные'!CJ$1,'свод практик'!$H$6:$H$277,"мун")</f>
        <v>0</v>
      </c>
      <c r="CK246" s="208">
        <f>SUMIFS('свод практик'!$CE$6:$CE$277,'свод практик'!$J$6:$J$277,'свод субъектов ИБ+смежные'!CK$1,'свод практик'!$H$6:$H$277,"мун")</f>
        <v>0</v>
      </c>
      <c r="CL246" s="208">
        <f>SUMIFS('свод практик'!$CE$6:$CE$277,'свод практик'!$J$6:$J$277,'свод субъектов ИБ+смежные'!CL$1,'свод практик'!$H$6:$H$277,"мун")</f>
        <v>0</v>
      </c>
      <c r="CM246" s="208">
        <f>SUMIFS('свод практик'!$CE$6:$CE$277,'свод практик'!$J$6:$J$277,'свод субъектов ИБ+смежные'!CM$1,'свод практик'!$H$6:$H$277,"мун")</f>
        <v>10</v>
      </c>
      <c r="CN246" s="208">
        <f>SUMIFS('свод практик'!$CE$6:$CE$277,'свод практик'!$J$6:$J$277,'свод субъектов ИБ+смежные'!CN$1,'свод практик'!$H$6:$H$277,"мун")</f>
        <v>0</v>
      </c>
      <c r="CO246" s="208">
        <f>SUMIFS('свод практик'!$CE$6:$CE$277,'свод практик'!$J$6:$J$277,'свод субъектов ИБ+смежные'!CO$1,'свод практик'!$H$6:$H$277,"мун")</f>
        <v>0</v>
      </c>
      <c r="CP246" s="208">
        <f>SUMIFS('свод практик'!$CE$6:$CE$277,'свод практик'!$J$6:$J$277,'свод субъектов ИБ+смежные'!CP$1,'свод практик'!$H$6:$H$277,"мун")</f>
        <v>19</v>
      </c>
      <c r="CQ246" s="208">
        <f>SUMIFS('свод практик'!$CE$6:$CE$277,'свод практик'!$J$6:$J$277,'свод субъектов ИБ+смежные'!CQ$1,'свод практик'!$H$6:$H$277,"мун")</f>
        <v>95</v>
      </c>
      <c r="CR246" s="208">
        <f>SUMIFS('свод практик'!$CE$6:$CE$277,'свод практик'!$J$6:$J$277,'свод субъектов ИБ+смежные'!CR$1,'свод практик'!$H$6:$H$277,"мун")</f>
        <v>0</v>
      </c>
      <c r="CS246" s="208">
        <f>SUMIFS('свод практик'!$CE$6:$CE$277,'свод практик'!$J$6:$J$277,'свод субъектов ИБ+смежные'!CS$1,'свод практик'!$H$6:$H$277,"мун")</f>
        <v>0</v>
      </c>
      <c r="CT246" s="208">
        <f>SUMIFS('свод практик'!$CE$6:$CE$277,'свод практик'!$J$6:$J$277,'свод субъектов ИБ+смежные'!CT$1,'свод практик'!$H$6:$H$277,"мун")</f>
        <v>0</v>
      </c>
      <c r="CU246" s="208">
        <f>SUMIFS('свод практик'!$CE$6:$CE$277,'свод практик'!$J$6:$J$277,'свод субъектов ИБ+смежные'!CU$1,'свод практик'!$H$6:$H$277,"мун")</f>
        <v>3</v>
      </c>
      <c r="CV246" s="208">
        <f>SUMIFS('свод практик'!$CE$6:$CE$277,'свод практик'!$J$6:$J$277,'свод субъектов ИБ+смежные'!CV$1,'свод практик'!$H$6:$H$277,"мун")</f>
        <v>0</v>
      </c>
    </row>
    <row r="247" spans="4:100" ht="14">
      <c r="D247" s="36" t="s">
        <v>4949</v>
      </c>
      <c r="E247" s="36">
        <v>65</v>
      </c>
      <c r="F247" s="36" t="s">
        <v>5583</v>
      </c>
      <c r="H247" s="36" t="s">
        <v>60</v>
      </c>
      <c r="M247" s="36" t="s">
        <v>5497</v>
      </c>
      <c r="N247" s="36">
        <v>4.9219687875150062E-2</v>
      </c>
      <c r="O247" s="226"/>
      <c r="Q247" s="194"/>
      <c r="R247" s="194"/>
      <c r="S247" s="194"/>
    </row>
    <row r="248" spans="4:100" s="208" customFormat="1" ht="28">
      <c r="D248" s="208" t="s">
        <v>4949</v>
      </c>
      <c r="E248" s="208">
        <v>87</v>
      </c>
      <c r="F248" s="208" t="s">
        <v>5584</v>
      </c>
      <c r="G248" s="208" t="s">
        <v>25</v>
      </c>
      <c r="H248" s="208" t="s">
        <v>5140</v>
      </c>
      <c r="M248" s="208" t="s">
        <v>5497</v>
      </c>
      <c r="N248" s="208">
        <v>22</v>
      </c>
      <c r="O248" s="226">
        <f t="shared" si="145"/>
        <v>55</v>
      </c>
      <c r="P248" s="208">
        <f>SUMIFS('свод практик'!$CF$6:$CF$277,'свод практик'!$J$6:$J$277,'свод субъектов ИБ+смежные'!P$1,'свод практик'!$H$6:$H$277,"мун")</f>
        <v>0</v>
      </c>
      <c r="Q248" s="208">
        <f>SUMIFS('свод практик'!$CF$6:$CF$277,'свод практик'!$J$6:$J$277,'свод субъектов ИБ+смежные'!Q$1,'свод практик'!$H$6:$H$277,"мун")</f>
        <v>0</v>
      </c>
      <c r="R248" s="208">
        <f>SUMIFS('свод практик'!$CF$6:$CF$277,'свод практик'!$J$6:$J$277,'свод субъектов ИБ+смежные'!R$1,'свод практик'!$H$6:$H$277,"мун")</f>
        <v>0</v>
      </c>
      <c r="S248" s="208">
        <f>SUMIFS('свод практик'!$CF$6:$CF$277,'свод практик'!$J$6:$J$277,'свод субъектов ИБ+смежные'!S$1,'свод практик'!$H$6:$H$277,"мун")</f>
        <v>0</v>
      </c>
      <c r="T248" s="208">
        <f>SUMIFS('свод практик'!$CF$6:$CF$277,'свод практик'!$J$6:$J$277,'свод субъектов ИБ+смежные'!T$1,'свод практик'!$H$6:$H$277,"мун")</f>
        <v>0</v>
      </c>
      <c r="U248" s="208">
        <f>SUMIFS('свод практик'!$CF$6:$CF$277,'свод практик'!$J$6:$J$277,'свод субъектов ИБ+смежные'!U$1,'свод практик'!$H$6:$H$277,"мун")</f>
        <v>0</v>
      </c>
      <c r="V248" s="208">
        <f>SUMIFS('свод практик'!$CF$6:$CF$277,'свод практик'!$J$6:$J$277,'свод субъектов ИБ+смежные'!V$1,'свод практик'!$H$6:$H$277,"мун")</f>
        <v>1</v>
      </c>
      <c r="W248" s="208">
        <f>SUMIFS('свод практик'!$CF$6:$CF$277,'свод практик'!$J$6:$J$277,'свод субъектов ИБ+смежные'!W$1,'свод практик'!$H$6:$H$277,"мун")</f>
        <v>1</v>
      </c>
      <c r="X248" s="208">
        <f>SUMIFS('свод практик'!$CF$6:$CF$277,'свод практик'!$J$6:$J$277,'свод субъектов ИБ+смежные'!X$1,'свод практик'!$H$6:$H$277,"мун")</f>
        <v>0</v>
      </c>
      <c r="Y248" s="208">
        <f>SUMIFS('свод практик'!$CF$6:$CF$277,'свод практик'!$J$6:$J$277,'свод субъектов ИБ+смежные'!Y$1,'свод практик'!$H$6:$H$277,"мун")</f>
        <v>0</v>
      </c>
      <c r="Z248" s="208">
        <f>SUMIFS('свод практик'!$CF$6:$CF$277,'свод практик'!$J$6:$J$277,'свод субъектов ИБ+смежные'!Z$1,'свод практик'!$H$6:$H$277,"мун")</f>
        <v>0</v>
      </c>
      <c r="AA248" s="208">
        <f>SUMIFS('свод практик'!$CF$6:$CF$277,'свод практик'!$J$6:$J$277,'свод субъектов ИБ+смежные'!AA$1,'свод практик'!$H$6:$H$277,"мун")</f>
        <v>0</v>
      </c>
      <c r="AB248" s="208">
        <f>SUMIFS('свод практик'!$CF$6:$CF$277,'свод практик'!$J$6:$J$277,'свод субъектов ИБ+смежные'!AB$1,'свод практик'!$H$6:$H$277,"мун")</f>
        <v>0</v>
      </c>
      <c r="AC248" s="208">
        <f>SUMIFS('свод практик'!$CF$6:$CF$277,'свод практик'!$J$6:$J$277,'свод субъектов ИБ+смежные'!AC$1,'свод практик'!$H$6:$H$277,"мун")</f>
        <v>0</v>
      </c>
      <c r="AD248" s="208">
        <f>SUMIFS('свод практик'!$CF$6:$CF$277,'свод практик'!$J$6:$J$277,'свод субъектов ИБ+смежные'!AD$1,'свод практик'!$H$6:$H$277,"мун")</f>
        <v>0</v>
      </c>
      <c r="AE248" s="208">
        <f>SUMIFS('свод практик'!$CF$6:$CF$277,'свод практик'!$J$6:$J$277,'свод субъектов ИБ+смежные'!AE$1,'свод практик'!$H$6:$H$277,"мун")</f>
        <v>0</v>
      </c>
      <c r="AF248" s="208">
        <f>SUMIFS('свод практик'!$CF$6:$CF$277,'свод практик'!$J$6:$J$277,'свод субъектов ИБ+смежные'!AF$1,'свод практик'!$H$6:$H$277,"мун")</f>
        <v>0</v>
      </c>
      <c r="AG248" s="208">
        <f>SUMIFS('свод практик'!$CF$6:$CF$277,'свод практик'!$J$6:$J$277,'свод субъектов ИБ+смежные'!AG$1,'свод практик'!$H$6:$H$277,"мун")</f>
        <v>0</v>
      </c>
      <c r="AH248" s="208">
        <f>SUMIFS('свод практик'!$CF$6:$CF$277,'свод практик'!$J$6:$J$277,'свод субъектов ИБ+смежные'!AH$1,'свод практик'!$H$6:$H$277,"мун")</f>
        <v>0</v>
      </c>
      <c r="AI248" s="208">
        <f>SUMIFS('свод практик'!$CF$6:$CF$277,'свод практик'!$J$6:$J$277,'свод субъектов ИБ+смежные'!AI$1,'свод практик'!$H$6:$H$277,"мун")</f>
        <v>0</v>
      </c>
      <c r="AJ248" s="208">
        <f>SUMIFS('свод практик'!$CF$6:$CF$277,'свод практик'!$J$6:$J$277,'свод субъектов ИБ+смежные'!AJ$1,'свод практик'!$H$6:$H$277,"мун")</f>
        <v>0</v>
      </c>
      <c r="AK248" s="208">
        <f>SUMIFS('свод практик'!$CF$6:$CF$277,'свод практик'!$J$6:$J$277,'свод субъектов ИБ+смежные'!AK$1,'свод практик'!$H$6:$H$277,"мун")</f>
        <v>0</v>
      </c>
      <c r="AL248" s="208">
        <f>SUMIFS('свод практик'!$CF$6:$CF$277,'свод практик'!$J$6:$J$277,'свод субъектов ИБ+смежные'!AL$1,'свод практик'!$H$6:$H$277,"мун")</f>
        <v>0</v>
      </c>
      <c r="AM248" s="208">
        <f>SUMIFS('свод практик'!$CF$6:$CF$277,'свод практик'!$J$6:$J$277,'свод субъектов ИБ+смежные'!AM$1,'свод практик'!$H$6:$H$277,"мун")</f>
        <v>1</v>
      </c>
      <c r="AN248" s="208">
        <f>SUMIFS('свод практик'!$CF$6:$CF$277,'свод практик'!$J$6:$J$277,'свод субъектов ИБ+смежные'!AN$1,'свод практик'!$H$6:$H$277,"мун")</f>
        <v>0</v>
      </c>
      <c r="AO248" s="208">
        <f>SUMIFS('свод практик'!$CF$6:$CF$277,'свод практик'!$J$6:$J$277,'свод субъектов ИБ+смежные'!AO$1,'свод практик'!$H$6:$H$277,"мун")</f>
        <v>0</v>
      </c>
      <c r="AP248" s="208">
        <f>SUMIFS('свод практик'!$CF$6:$CF$277,'свод практик'!$J$6:$J$277,'свод субъектов ИБ+смежные'!AP$1,'свод практик'!$H$6:$H$277,"мун")</f>
        <v>0</v>
      </c>
      <c r="AQ248" s="208">
        <f>SUMIFS('свод практик'!$CF$6:$CF$277,'свод практик'!$J$6:$J$277,'свод субъектов ИБ+смежные'!AQ$1,'свод практик'!$H$6:$H$277,"мун")</f>
        <v>0</v>
      </c>
      <c r="AR248" s="208">
        <f>SUMIFS('свод практик'!$CF$6:$CF$277,'свод практик'!$J$6:$J$277,'свод субъектов ИБ+смежные'!AR$1,'свод практик'!$H$6:$H$277,"мун")</f>
        <v>0</v>
      </c>
      <c r="AS248" s="208">
        <f>SUMIFS('свод практик'!$CF$6:$CF$277,'свод практик'!$J$6:$J$277,'свод субъектов ИБ+смежные'!AS$1,'свод практик'!$H$6:$H$277,"мун")</f>
        <v>0</v>
      </c>
      <c r="AT248" s="208">
        <f>SUMIFS('свод практик'!$CF$6:$CF$277,'свод практик'!$J$6:$J$277,'свод субъектов ИБ+смежные'!AT$1,'свод практик'!$H$6:$H$277,"мун")</f>
        <v>0</v>
      </c>
      <c r="AU248" s="208">
        <f>SUMIFS('свод практик'!$CF$6:$CF$277,'свод практик'!$J$6:$J$277,'свод субъектов ИБ+смежные'!AU$1,'свод практик'!$H$6:$H$277,"мун")</f>
        <v>0</v>
      </c>
      <c r="AV248" s="208">
        <f>SUMIFS('свод практик'!$CF$6:$CF$277,'свод практик'!$J$6:$J$277,'свод субъектов ИБ+смежные'!AV$1,'свод практик'!$H$6:$H$277,"мун")</f>
        <v>0</v>
      </c>
      <c r="AW248" s="208">
        <f>SUMIFS('свод практик'!$CF$6:$CF$277,'свод практик'!$J$6:$J$277,'свод субъектов ИБ+смежные'!AW$1,'свод практик'!$H$6:$H$277,"мун")</f>
        <v>0</v>
      </c>
      <c r="AX248" s="208">
        <f>SUMIFS('свод практик'!$CF$6:$CF$277,'свод практик'!$J$6:$J$277,'свод субъектов ИБ+смежные'!AX$1,'свод практик'!$H$6:$H$277,"мун")</f>
        <v>0</v>
      </c>
      <c r="AY248" s="208">
        <f>SUMIFS('свод практик'!$CF$6:$CF$277,'свод практик'!$J$6:$J$277,'свод субъектов ИБ+смежные'!AY$1,'свод практик'!$H$6:$H$277,"мун")</f>
        <v>0</v>
      </c>
      <c r="AZ248" s="208">
        <f>SUMIFS('свод практик'!$CF$6:$CF$277,'свод практик'!$J$6:$J$277,'свод субъектов ИБ+смежные'!AZ$1,'свод практик'!$H$6:$H$277,"мун")</f>
        <v>0</v>
      </c>
      <c r="BA248" s="208">
        <f>SUMIFS('свод практик'!$CF$6:$CF$277,'свод практик'!$J$6:$J$277,'свод субъектов ИБ+смежные'!BA$1,'свод практик'!$H$6:$H$277,"мун")</f>
        <v>0</v>
      </c>
      <c r="BB248" s="208">
        <f>SUMIFS('свод практик'!$CF$6:$CF$277,'свод практик'!$J$6:$J$277,'свод субъектов ИБ+смежные'!BB$1,'свод практик'!$H$6:$H$277,"мун")</f>
        <v>0</v>
      </c>
      <c r="BC248" s="208">
        <f>SUMIFS('свод практик'!$CF$6:$CF$277,'свод практик'!$J$6:$J$277,'свод субъектов ИБ+смежные'!BC$1,'свод практик'!$H$6:$H$277,"мун")</f>
        <v>0</v>
      </c>
      <c r="BD248" s="208">
        <f>SUMIFS('свод практик'!$CF$6:$CF$277,'свод практик'!$J$6:$J$277,'свод субъектов ИБ+смежные'!BD$1,'свод практик'!$H$6:$H$277,"мун")</f>
        <v>0</v>
      </c>
      <c r="BE248" s="208">
        <f>SUMIFS('свод практик'!$CF$6:$CF$277,'свод практик'!$J$6:$J$277,'свод субъектов ИБ+смежные'!BE$1,'свод практик'!$H$6:$H$277,"мун")</f>
        <v>0</v>
      </c>
      <c r="BF248" s="208">
        <f>SUMIFS('свод практик'!$CF$6:$CF$277,'свод практик'!$J$6:$J$277,'свод субъектов ИБ+смежные'!BF$1,'свод практик'!$H$6:$H$277,"мун")</f>
        <v>0</v>
      </c>
      <c r="BG248" s="208">
        <f>SUMIFS('свод практик'!$CF$6:$CF$277,'свод практик'!$J$6:$J$277,'свод субъектов ИБ+смежные'!BG$1,'свод практик'!$H$6:$H$277,"мун")</f>
        <v>0</v>
      </c>
      <c r="BH248" s="208">
        <f>SUMIFS('свод практик'!$CF$6:$CF$277,'свод практик'!$J$6:$J$277,'свод субъектов ИБ+смежные'!BH$1,'свод практик'!$H$6:$H$277,"мун")</f>
        <v>0</v>
      </c>
      <c r="BI248" s="208">
        <f>SUMIFS('свод практик'!$CF$6:$CF$277,'свод практик'!$J$6:$J$277,'свод субъектов ИБ+смежные'!BI$1,'свод практик'!$H$6:$H$277,"мун")</f>
        <v>0</v>
      </c>
      <c r="BJ248" s="208">
        <f>SUMIFS('свод практик'!$CF$6:$CF$277,'свод практик'!$J$6:$J$277,'свод субъектов ИБ+смежные'!BJ$1,'свод практик'!$H$6:$H$277,"мун")</f>
        <v>0</v>
      </c>
      <c r="BK248" s="208">
        <f>SUMIFS('свод практик'!$CF$6:$CF$277,'свод практик'!$J$6:$J$277,'свод субъектов ИБ+смежные'!BK$1,'свод практик'!$H$6:$H$277,"мун")</f>
        <v>0</v>
      </c>
      <c r="BL248" s="208">
        <f>SUMIFS('свод практик'!$CF$6:$CF$277,'свод практик'!$J$6:$J$277,'свод субъектов ИБ+смежные'!BL$1,'свод практик'!$H$6:$H$277,"мун")</f>
        <v>7</v>
      </c>
      <c r="BM248" s="208">
        <f>SUMIFS('свод практик'!$CF$6:$CF$277,'свод практик'!$J$6:$J$277,'свод субъектов ИБ+смежные'!BM$1,'свод практик'!$H$6:$H$277,"мун")</f>
        <v>2</v>
      </c>
      <c r="BN248" s="208">
        <f>SUMIFS('свод практик'!$CF$6:$CF$277,'свод практик'!$J$6:$J$277,'свод субъектов ИБ+смежные'!BN$1,'свод практик'!$H$6:$H$277,"мун")</f>
        <v>0</v>
      </c>
      <c r="BO248" s="208">
        <f>SUMIFS('свод практик'!$CF$6:$CF$277,'свод практик'!$J$6:$J$277,'свод субъектов ИБ+смежные'!BO$1,'свод практик'!$H$6:$H$277,"мун")</f>
        <v>0</v>
      </c>
      <c r="BP248" s="208">
        <f>SUMIFS('свод практик'!$CF$6:$CF$277,'свод практик'!$J$6:$J$277,'свод субъектов ИБ+смежные'!BP$1,'свод практик'!$H$6:$H$277,"мун")</f>
        <v>0</v>
      </c>
      <c r="BQ248" s="208">
        <f>SUMIFS('свод практик'!$CF$6:$CF$277,'свод практик'!$J$6:$J$277,'свод субъектов ИБ+смежные'!BQ$1,'свод практик'!$H$6:$H$277,"мун")</f>
        <v>0</v>
      </c>
      <c r="BR248" s="208">
        <f>SUMIFS('свод практик'!$CF$6:$CF$277,'свод практик'!$J$6:$J$277,'свод субъектов ИБ+смежные'!BR$1,'свод практик'!$H$6:$H$277,"мун")</f>
        <v>0</v>
      </c>
      <c r="BS248" s="208">
        <f>SUMIFS('свод практик'!$CF$6:$CF$277,'свод практик'!$J$6:$J$277,'свод субъектов ИБ+смежные'!BS$1,'свод практик'!$H$6:$H$277,"мун")</f>
        <v>0</v>
      </c>
      <c r="BT248" s="208">
        <f>SUMIFS('свод практик'!$CF$6:$CF$277,'свод практик'!$J$6:$J$277,'свод субъектов ИБ+смежные'!BT$1,'свод практик'!$H$6:$H$277,"мун")</f>
        <v>0</v>
      </c>
      <c r="BU248" s="208">
        <f>SUMIFS('свод практик'!$CF$6:$CF$277,'свод практик'!$J$6:$J$277,'свод субъектов ИБ+смежные'!BU$1,'свод практик'!$H$6:$H$277,"мун")</f>
        <v>4</v>
      </c>
      <c r="BV248" s="208">
        <f>SUMIFS('свод практик'!$CF$6:$CF$277,'свод практик'!$J$6:$J$277,'свод субъектов ИБ+смежные'!BV$1,'свод практик'!$H$6:$H$277,"мун")</f>
        <v>0</v>
      </c>
      <c r="BW248" s="208">
        <f>SUMIFS('свод практик'!$CF$6:$CF$277,'свод практик'!$J$6:$J$277,'свод субъектов ИБ+смежные'!BW$1,'свод практик'!$H$6:$H$277,"мун")</f>
        <v>0</v>
      </c>
      <c r="BX248" s="208">
        <f>SUMIFS('свод практик'!$CF$6:$CF$277,'свод практик'!$J$6:$J$277,'свод субъектов ИБ+смежные'!BX$1,'свод практик'!$H$6:$H$277,"мун")</f>
        <v>0</v>
      </c>
      <c r="BY248" s="208">
        <f>SUMIFS('свод практик'!$CF$6:$CF$277,'свод практик'!$J$6:$J$277,'свод субъектов ИБ+смежные'!BY$1,'свод практик'!$H$6:$H$277,"мун")</f>
        <v>0</v>
      </c>
      <c r="BZ248" s="208">
        <f>SUMIFS('свод практик'!$CF$6:$CF$277,'свод практик'!$J$6:$J$277,'свод субъектов ИБ+смежные'!BZ$1,'свод практик'!$H$6:$H$277,"мун")</f>
        <v>6</v>
      </c>
      <c r="CA248" s="208">
        <f>SUMIFS('свод практик'!$CF$6:$CF$277,'свод практик'!$J$6:$J$277,'свод субъектов ИБ+смежные'!CA$1,'свод практик'!$H$6:$H$277,"мун")</f>
        <v>0</v>
      </c>
      <c r="CB248" s="208">
        <f>SUMIFS('свод практик'!$CF$6:$CF$277,'свод практик'!$J$6:$J$277,'свод субъектов ИБ+смежные'!CB$1,'свод практик'!$H$6:$H$277,"мун")</f>
        <v>0</v>
      </c>
      <c r="CC248" s="208">
        <f>SUMIFS('свод практик'!$CF$6:$CF$277,'свод практик'!$J$6:$J$277,'свод субъектов ИБ+смежные'!CC$1,'свод практик'!$H$6:$H$277,"мун")</f>
        <v>0</v>
      </c>
      <c r="CD248" s="208">
        <f>SUMIFS('свод практик'!$CF$6:$CF$277,'свод практик'!$J$6:$J$277,'свод субъектов ИБ+смежные'!CD$1,'свод практик'!$H$6:$H$277,"мун")</f>
        <v>2</v>
      </c>
      <c r="CE248" s="208">
        <f>SUMIFS('свод практик'!$CF$6:$CF$277,'свод практик'!$J$6:$J$277,'свод субъектов ИБ+смежные'!CE$1,'свод практик'!$H$6:$H$277,"мун")</f>
        <v>0</v>
      </c>
      <c r="CF248" s="208">
        <f>SUMIFS('свод практик'!$CF$6:$CF$277,'свод практик'!$J$6:$J$277,'свод субъектов ИБ+смежные'!CF$1,'свод практик'!$H$6:$H$277,"мун")</f>
        <v>0</v>
      </c>
      <c r="CG248" s="208">
        <f>SUMIFS('свод практик'!$CF$6:$CF$277,'свод практик'!$J$6:$J$277,'свод субъектов ИБ+смежные'!CG$1,'свод практик'!$H$6:$H$277,"мун")</f>
        <v>0</v>
      </c>
      <c r="CH248" s="208">
        <f>SUMIFS('свод практик'!$CF$6:$CF$277,'свод практик'!$J$6:$J$277,'свод субъектов ИБ+смежные'!CH$1,'свод практик'!$H$6:$H$277,"мун")</f>
        <v>0</v>
      </c>
      <c r="CI248" s="208">
        <f>SUMIFS('свод практик'!$CF$6:$CF$277,'свод практик'!$J$6:$J$277,'свод субъектов ИБ+смежные'!CI$1,'свод практик'!$H$6:$H$277,"мун")</f>
        <v>0</v>
      </c>
      <c r="CJ248" s="208">
        <f>SUMIFS('свод практик'!$CF$6:$CF$277,'свод практик'!$J$6:$J$277,'свод субъектов ИБ+смежные'!CJ$1,'свод практик'!$H$6:$H$277,"мун")</f>
        <v>0</v>
      </c>
      <c r="CK248" s="208">
        <f>SUMIFS('свод практик'!$CF$6:$CF$277,'свод практик'!$J$6:$J$277,'свод субъектов ИБ+смежные'!CK$1,'свод практик'!$H$6:$H$277,"мун")</f>
        <v>0</v>
      </c>
      <c r="CL248" s="208">
        <f>SUMIFS('свод практик'!$CF$6:$CF$277,'свод практик'!$J$6:$J$277,'свод субъектов ИБ+смежные'!CL$1,'свод практик'!$H$6:$H$277,"мун")</f>
        <v>0</v>
      </c>
      <c r="CM248" s="208">
        <f>SUMIFS('свод практик'!$CF$6:$CF$277,'свод практик'!$J$6:$J$277,'свод субъектов ИБ+смежные'!CM$1,'свод практик'!$H$6:$H$277,"мун")</f>
        <v>2</v>
      </c>
      <c r="CN248" s="208">
        <f>SUMIFS('свод практик'!$CF$6:$CF$277,'свод практик'!$J$6:$J$277,'свод субъектов ИБ+смежные'!CN$1,'свод практик'!$H$6:$H$277,"мун")</f>
        <v>0</v>
      </c>
      <c r="CO248" s="208">
        <f>SUMIFS('свод практик'!$CF$6:$CF$277,'свод практик'!$J$6:$J$277,'свод субъектов ИБ+смежные'!CO$1,'свод практик'!$H$6:$H$277,"мун")</f>
        <v>0</v>
      </c>
      <c r="CP248" s="208">
        <f>SUMIFS('свод практик'!$CF$6:$CF$277,'свод практик'!$J$6:$J$277,'свод субъектов ИБ+смежные'!CP$1,'свод практик'!$H$6:$H$277,"мун")</f>
        <v>7</v>
      </c>
      <c r="CQ248" s="208">
        <f>SUMIFS('свод практик'!$CF$6:$CF$277,'свод практик'!$J$6:$J$277,'свод субъектов ИБ+смежные'!CQ$1,'свод практик'!$H$6:$H$277,"мун")</f>
        <v>10</v>
      </c>
      <c r="CR248" s="208">
        <f>SUMIFS('свод практик'!$CF$6:$CF$277,'свод практик'!$J$6:$J$277,'свод субъектов ИБ+смежные'!CR$1,'свод практик'!$H$6:$H$277,"мун")</f>
        <v>0</v>
      </c>
      <c r="CS248" s="208">
        <f>SUMIFS('свод практик'!$CF$6:$CF$277,'свод практик'!$J$6:$J$277,'свод субъектов ИБ+смежные'!CS$1,'свод практик'!$H$6:$H$277,"мун")</f>
        <v>0</v>
      </c>
      <c r="CT248" s="208">
        <f>SUMIFS('свод практик'!$CF$6:$CF$277,'свод практик'!$J$6:$J$277,'свод субъектов ИБ+смежные'!CT$1,'свод практик'!$H$6:$H$277,"мун")</f>
        <v>0</v>
      </c>
      <c r="CU248" s="208">
        <f>SUMIFS('свод практик'!$CF$6:$CF$277,'свод практик'!$J$6:$J$277,'свод субъектов ИБ+смежные'!CU$1,'свод практик'!$H$6:$H$277,"мун")</f>
        <v>12</v>
      </c>
      <c r="CV248" s="208">
        <f>SUMIFS('свод практик'!$CF$6:$CF$277,'свод практик'!$J$6:$J$277,'свод субъектов ИБ+смежные'!CV$1,'свод практик'!$H$6:$H$277,"мун")</f>
        <v>0</v>
      </c>
    </row>
    <row r="249" spans="4:100" ht="14">
      <c r="D249" s="36" t="s">
        <v>4949</v>
      </c>
      <c r="E249" s="36">
        <v>88</v>
      </c>
      <c r="F249" s="36" t="s">
        <v>5585</v>
      </c>
      <c r="H249" s="36" t="s">
        <v>60</v>
      </c>
      <c r="M249" s="36" t="s">
        <v>5497</v>
      </c>
      <c r="N249" s="36">
        <v>2.6410564225690276E-2</v>
      </c>
      <c r="O249" s="226"/>
      <c r="Q249" s="194"/>
      <c r="R249" s="194"/>
      <c r="S249" s="194"/>
    </row>
    <row r="250" spans="4:100" s="208" customFormat="1" ht="14">
      <c r="D250" s="208" t="s">
        <v>4949</v>
      </c>
      <c r="E250" s="208">
        <v>66</v>
      </c>
      <c r="F250" s="208" t="s">
        <v>5586</v>
      </c>
      <c r="G250" s="208" t="s">
        <v>5163</v>
      </c>
      <c r="H250" s="208" t="s">
        <v>5140</v>
      </c>
      <c r="L250" s="208" t="s">
        <v>278</v>
      </c>
      <c r="M250" s="208" t="s">
        <v>5497</v>
      </c>
      <c r="N250" s="208">
        <v>57</v>
      </c>
      <c r="O250" s="226">
        <f t="shared" si="145"/>
        <v>135</v>
      </c>
      <c r="P250" s="208">
        <f>SUMIFS('свод практик'!$CG$6:$CG$277,'свод практик'!$J$6:$J$277,'свод субъектов ИБ+смежные'!P$1,'свод практик'!$H$6:$H$277,"мун")</f>
        <v>0</v>
      </c>
      <c r="Q250" s="208">
        <f>SUMIFS('свод практик'!$CG$6:$CG$277,'свод практик'!$J$6:$J$277,'свод субъектов ИБ+смежные'!Q$1,'свод практик'!$H$6:$H$277,"мун")</f>
        <v>0</v>
      </c>
      <c r="R250" s="208">
        <f>SUMIFS('свод практик'!$CG$6:$CG$277,'свод практик'!$J$6:$J$277,'свод субъектов ИБ+смежные'!R$1,'свод практик'!$H$6:$H$277,"мун")</f>
        <v>0</v>
      </c>
      <c r="S250" s="208">
        <f>SUMIFS('свод практик'!$CG$6:$CG$277,'свод практик'!$J$6:$J$277,'свод субъектов ИБ+смежные'!S$1,'свод практик'!$H$6:$H$277,"мун")</f>
        <v>0</v>
      </c>
      <c r="T250" s="208">
        <f>SUMIFS('свод практик'!$CG$6:$CG$277,'свод практик'!$J$6:$J$277,'свод субъектов ИБ+смежные'!T$1,'свод практик'!$H$6:$H$277,"мун")</f>
        <v>0</v>
      </c>
      <c r="U250" s="208">
        <f>SUMIFS('свод практик'!$CG$6:$CG$277,'свод практик'!$J$6:$J$277,'свод субъектов ИБ+смежные'!U$1,'свод практик'!$H$6:$H$277,"мун")</f>
        <v>1</v>
      </c>
      <c r="V250" s="208">
        <f>SUMIFS('свод практик'!$CG$6:$CG$277,'свод практик'!$J$6:$J$277,'свод субъектов ИБ+смежные'!V$1,'свод практик'!$H$6:$H$277,"мун")</f>
        <v>0</v>
      </c>
      <c r="W250" s="208">
        <f>SUMIFS('свод практик'!$CG$6:$CG$277,'свод практик'!$J$6:$J$277,'свод субъектов ИБ+смежные'!W$1,'свод практик'!$H$6:$H$277,"мун")</f>
        <v>1</v>
      </c>
      <c r="X250" s="208">
        <f>SUMIFS('свод практик'!$CG$6:$CG$277,'свод практик'!$J$6:$J$277,'свод субъектов ИБ+смежные'!X$1,'свод практик'!$H$6:$H$277,"мун")</f>
        <v>0</v>
      </c>
      <c r="Y250" s="208">
        <f>SUMIFS('свод практик'!$CG$6:$CG$277,'свод практик'!$J$6:$J$277,'свод субъектов ИБ+смежные'!Y$1,'свод практик'!$H$6:$H$277,"мун")</f>
        <v>0</v>
      </c>
      <c r="Z250" s="208">
        <f>SUMIFS('свод практик'!$CG$6:$CG$277,'свод практик'!$J$6:$J$277,'свод субъектов ИБ+смежные'!Z$1,'свод практик'!$H$6:$H$277,"мун")</f>
        <v>0</v>
      </c>
      <c r="AA250" s="208">
        <f>SUMIFS('свод практик'!$CG$6:$CG$277,'свод практик'!$J$6:$J$277,'свод субъектов ИБ+смежные'!AA$1,'свод практик'!$H$6:$H$277,"мун")</f>
        <v>0</v>
      </c>
      <c r="AB250" s="208">
        <f>SUMIFS('свод практик'!$CG$6:$CG$277,'свод практик'!$J$6:$J$277,'свод субъектов ИБ+смежные'!AB$1,'свод практик'!$H$6:$H$277,"мун")</f>
        <v>25</v>
      </c>
      <c r="AC250" s="208">
        <f>SUMIFS('свод практик'!$CG$6:$CG$277,'свод практик'!$J$6:$J$277,'свод субъектов ИБ+смежные'!AC$1,'свод практик'!$H$6:$H$277,"мун")</f>
        <v>0</v>
      </c>
      <c r="AD250" s="208">
        <f>SUMIFS('свод практик'!$CG$6:$CG$277,'свод практик'!$J$6:$J$277,'свод субъектов ИБ+смежные'!AD$1,'свод практик'!$H$6:$H$277,"мун")</f>
        <v>0</v>
      </c>
      <c r="AE250" s="208">
        <f>SUMIFS('свод практик'!$CG$6:$CG$277,'свод практик'!$J$6:$J$277,'свод субъектов ИБ+смежные'!AE$1,'свод практик'!$H$6:$H$277,"мун")</f>
        <v>0</v>
      </c>
      <c r="AF250" s="208">
        <f>SUMIFS('свод практик'!$CG$6:$CG$277,'свод практик'!$J$6:$J$277,'свод субъектов ИБ+смежные'!AF$1,'свод практик'!$H$6:$H$277,"мун")</f>
        <v>0</v>
      </c>
      <c r="AG250" s="208">
        <f>SUMIFS('свод практик'!$CG$6:$CG$277,'свод практик'!$J$6:$J$277,'свод субъектов ИБ+смежные'!AG$1,'свод практик'!$H$6:$H$277,"мун")</f>
        <v>0</v>
      </c>
      <c r="AH250" s="208">
        <f>SUMIFS('свод практик'!$CG$6:$CG$277,'свод практик'!$J$6:$J$277,'свод субъектов ИБ+смежные'!AH$1,'свод практик'!$H$6:$H$277,"мун")</f>
        <v>0</v>
      </c>
      <c r="AI250" s="208">
        <f>SUMIFS('свод практик'!$CG$6:$CG$277,'свод практик'!$J$6:$J$277,'свод субъектов ИБ+смежные'!AI$1,'свод практик'!$H$6:$H$277,"мун")</f>
        <v>0</v>
      </c>
      <c r="AJ250" s="208">
        <f>SUMIFS('свод практик'!$CG$6:$CG$277,'свод практик'!$J$6:$J$277,'свод субъектов ИБ+смежные'!AJ$1,'свод практик'!$H$6:$H$277,"мун")</f>
        <v>0</v>
      </c>
      <c r="AK250" s="208">
        <f>SUMIFS('свод практик'!$CG$6:$CG$277,'свод практик'!$J$6:$J$277,'свод субъектов ИБ+смежные'!AK$1,'свод практик'!$H$6:$H$277,"мун")</f>
        <v>0</v>
      </c>
      <c r="AL250" s="208">
        <f>SUMIFS('свод практик'!$CG$6:$CG$277,'свод практик'!$J$6:$J$277,'свод субъектов ИБ+смежные'!AL$1,'свод практик'!$H$6:$H$277,"мун")</f>
        <v>0</v>
      </c>
      <c r="AM250" s="208">
        <f>SUMIFS('свод практик'!$CG$6:$CG$277,'свод практик'!$J$6:$J$277,'свод субъектов ИБ+смежные'!AM$1,'свод практик'!$H$6:$H$277,"мун")</f>
        <v>3</v>
      </c>
      <c r="AN250" s="208">
        <f>SUMIFS('свод практик'!$CG$6:$CG$277,'свод практик'!$J$6:$J$277,'свод субъектов ИБ+смежные'!AN$1,'свод практик'!$H$6:$H$277,"мун")</f>
        <v>0</v>
      </c>
      <c r="AO250" s="208">
        <f>SUMIFS('свод практик'!$CG$6:$CG$277,'свод практик'!$J$6:$J$277,'свод субъектов ИБ+смежные'!AO$1,'свод практик'!$H$6:$H$277,"мун")</f>
        <v>0</v>
      </c>
      <c r="AP250" s="208">
        <f>SUMIFS('свод практик'!$CG$6:$CG$277,'свод практик'!$J$6:$J$277,'свод субъектов ИБ+смежные'!AP$1,'свод практик'!$H$6:$H$277,"мун")</f>
        <v>0</v>
      </c>
      <c r="AQ250" s="208">
        <f>SUMIFS('свод практик'!$CG$6:$CG$277,'свод практик'!$J$6:$J$277,'свод субъектов ИБ+смежные'!AQ$1,'свод практик'!$H$6:$H$277,"мун")</f>
        <v>0</v>
      </c>
      <c r="AR250" s="208">
        <f>SUMIFS('свод практик'!$CG$6:$CG$277,'свод практик'!$J$6:$J$277,'свод субъектов ИБ+смежные'!AR$1,'свод практик'!$H$6:$H$277,"мун")</f>
        <v>0</v>
      </c>
      <c r="AS250" s="208">
        <f>SUMIFS('свод практик'!$CG$6:$CG$277,'свод практик'!$J$6:$J$277,'свод субъектов ИБ+смежные'!AS$1,'свод практик'!$H$6:$H$277,"мун")</f>
        <v>0</v>
      </c>
      <c r="AT250" s="208">
        <f>SUMIFS('свод практик'!$CG$6:$CG$277,'свод практик'!$J$6:$J$277,'свод субъектов ИБ+смежные'!AT$1,'свод практик'!$H$6:$H$277,"мун")</f>
        <v>0</v>
      </c>
      <c r="AU250" s="208">
        <f>SUMIFS('свод практик'!$CG$6:$CG$277,'свод практик'!$J$6:$J$277,'свод субъектов ИБ+смежные'!AU$1,'свод практик'!$H$6:$H$277,"мун")</f>
        <v>0</v>
      </c>
      <c r="AV250" s="208">
        <f>SUMIFS('свод практик'!$CG$6:$CG$277,'свод практик'!$J$6:$J$277,'свод субъектов ИБ+смежные'!AV$1,'свод практик'!$H$6:$H$277,"мун")</f>
        <v>1</v>
      </c>
      <c r="AW250" s="208">
        <f>SUMIFS('свод практик'!$CG$6:$CG$277,'свод практик'!$J$6:$J$277,'свод субъектов ИБ+смежные'!AW$1,'свод практик'!$H$6:$H$277,"мун")</f>
        <v>0</v>
      </c>
      <c r="AX250" s="208">
        <f>SUMIFS('свод практик'!$CG$6:$CG$277,'свод практик'!$J$6:$J$277,'свод субъектов ИБ+смежные'!AX$1,'свод практик'!$H$6:$H$277,"мун")</f>
        <v>0</v>
      </c>
      <c r="AY250" s="208">
        <f>SUMIFS('свод практик'!$CG$6:$CG$277,'свод практик'!$J$6:$J$277,'свод субъектов ИБ+смежные'!AY$1,'свод практик'!$H$6:$H$277,"мун")</f>
        <v>0</v>
      </c>
      <c r="AZ250" s="208">
        <f>SUMIFS('свод практик'!$CG$6:$CG$277,'свод практик'!$J$6:$J$277,'свод субъектов ИБ+смежные'!AZ$1,'свод практик'!$H$6:$H$277,"мун")</f>
        <v>0</v>
      </c>
      <c r="BA250" s="208">
        <f>SUMIFS('свод практик'!$CG$6:$CG$277,'свод практик'!$J$6:$J$277,'свод субъектов ИБ+смежные'!BA$1,'свод практик'!$H$6:$H$277,"мун")</f>
        <v>0</v>
      </c>
      <c r="BB250" s="208">
        <f>SUMIFS('свод практик'!$CG$6:$CG$277,'свод практик'!$J$6:$J$277,'свод субъектов ИБ+смежные'!BB$1,'свод практик'!$H$6:$H$277,"мун")</f>
        <v>0</v>
      </c>
      <c r="BC250" s="208">
        <f>SUMIFS('свод практик'!$CG$6:$CG$277,'свод практик'!$J$6:$J$277,'свод субъектов ИБ+смежные'!BC$1,'свод практик'!$H$6:$H$277,"мун")</f>
        <v>0</v>
      </c>
      <c r="BD250" s="208">
        <f>SUMIFS('свод практик'!$CG$6:$CG$277,'свод практик'!$J$6:$J$277,'свод субъектов ИБ+смежные'!BD$1,'свод практик'!$H$6:$H$277,"мун")</f>
        <v>0</v>
      </c>
      <c r="BE250" s="208">
        <f>SUMIFS('свод практик'!$CG$6:$CG$277,'свод практик'!$J$6:$J$277,'свод субъектов ИБ+смежные'!BE$1,'свод практик'!$H$6:$H$277,"мун")</f>
        <v>0</v>
      </c>
      <c r="BF250" s="208">
        <f>SUMIFS('свод практик'!$CG$6:$CG$277,'свод практик'!$J$6:$J$277,'свод субъектов ИБ+смежные'!BF$1,'свод практик'!$H$6:$H$277,"мун")</f>
        <v>0</v>
      </c>
      <c r="BG250" s="208">
        <f>SUMIFS('свод практик'!$CG$6:$CG$277,'свод практик'!$J$6:$J$277,'свод субъектов ИБ+смежные'!BG$1,'свод практик'!$H$6:$H$277,"мун")</f>
        <v>0</v>
      </c>
      <c r="BH250" s="208">
        <f>SUMIFS('свод практик'!$CG$6:$CG$277,'свод практик'!$J$6:$J$277,'свод субъектов ИБ+смежные'!BH$1,'свод практик'!$H$6:$H$277,"мун")</f>
        <v>0</v>
      </c>
      <c r="BI250" s="208">
        <f>SUMIFS('свод практик'!$CG$6:$CG$277,'свод практик'!$J$6:$J$277,'свод субъектов ИБ+смежные'!BI$1,'свод практик'!$H$6:$H$277,"мун")</f>
        <v>0</v>
      </c>
      <c r="BJ250" s="208">
        <f>SUMIFS('свод практик'!$CG$6:$CG$277,'свод практик'!$J$6:$J$277,'свод субъектов ИБ+смежные'!BJ$1,'свод практик'!$H$6:$H$277,"мун")</f>
        <v>0</v>
      </c>
      <c r="BK250" s="208">
        <f>SUMIFS('свод практик'!$CG$6:$CG$277,'свод практик'!$J$6:$J$277,'свод субъектов ИБ+смежные'!BK$1,'свод практик'!$H$6:$H$277,"мун")</f>
        <v>0</v>
      </c>
      <c r="BL250" s="208">
        <f>SUMIFS('свод практик'!$CG$6:$CG$277,'свод практик'!$J$6:$J$277,'свод субъектов ИБ+смежные'!BL$1,'свод практик'!$H$6:$H$277,"мун")</f>
        <v>29</v>
      </c>
      <c r="BM250" s="208">
        <f>SUMIFS('свод практик'!$CG$6:$CG$277,'свод практик'!$J$6:$J$277,'свод субъектов ИБ+смежные'!BM$1,'свод практик'!$H$6:$H$277,"мун")</f>
        <v>2</v>
      </c>
      <c r="BN250" s="208">
        <f>SUMIFS('свод практик'!$CG$6:$CG$277,'свод практик'!$J$6:$J$277,'свод субъектов ИБ+смежные'!BN$1,'свод практик'!$H$6:$H$277,"мун")</f>
        <v>0</v>
      </c>
      <c r="BO250" s="208">
        <f>SUMIFS('свод практик'!$CG$6:$CG$277,'свод практик'!$J$6:$J$277,'свод субъектов ИБ+смежные'!BO$1,'свод практик'!$H$6:$H$277,"мун")</f>
        <v>8</v>
      </c>
      <c r="BP250" s="208">
        <f>SUMIFS('свод практик'!$CG$6:$CG$277,'свод практик'!$J$6:$J$277,'свод субъектов ИБ+смежные'!BP$1,'свод практик'!$H$6:$H$277,"мун")</f>
        <v>0</v>
      </c>
      <c r="BQ250" s="208">
        <f>SUMIFS('свод практик'!$CG$6:$CG$277,'свод практик'!$J$6:$J$277,'свод субъектов ИБ+смежные'!BQ$1,'свод практик'!$H$6:$H$277,"мун")</f>
        <v>0</v>
      </c>
      <c r="BR250" s="208">
        <f>SUMIFS('свод практик'!$CG$6:$CG$277,'свод практик'!$J$6:$J$277,'свод субъектов ИБ+смежные'!BR$1,'свод практик'!$H$6:$H$277,"мун")</f>
        <v>0</v>
      </c>
      <c r="BS250" s="208">
        <f>SUMIFS('свод практик'!$CG$6:$CG$277,'свод практик'!$J$6:$J$277,'свод субъектов ИБ+смежные'!BS$1,'свод практик'!$H$6:$H$277,"мун")</f>
        <v>5</v>
      </c>
      <c r="BT250" s="208">
        <f>SUMIFS('свод практик'!$CG$6:$CG$277,'свод практик'!$J$6:$J$277,'свод субъектов ИБ+смежные'!BT$1,'свод практик'!$H$6:$H$277,"мун")</f>
        <v>0</v>
      </c>
      <c r="BU250" s="208">
        <f>SUMIFS('свод практик'!$CG$6:$CG$277,'свод практик'!$J$6:$J$277,'свод субъектов ИБ+смежные'!BU$1,'свод практик'!$H$6:$H$277,"мун")</f>
        <v>20</v>
      </c>
      <c r="BV250" s="208">
        <f>SUMIFS('свод практик'!$CG$6:$CG$277,'свод практик'!$J$6:$J$277,'свод субъектов ИБ+смежные'!BV$1,'свод практик'!$H$6:$H$277,"мун")</f>
        <v>0</v>
      </c>
      <c r="BW250" s="208">
        <f>SUMIFS('свод практик'!$CG$6:$CG$277,'свод практик'!$J$6:$J$277,'свод субъектов ИБ+смежные'!BW$1,'свод практик'!$H$6:$H$277,"мун")</f>
        <v>0</v>
      </c>
      <c r="BX250" s="208">
        <f>SUMIFS('свод практик'!$CG$6:$CG$277,'свод практик'!$J$6:$J$277,'свод субъектов ИБ+смежные'!BX$1,'свод практик'!$H$6:$H$277,"мун")</f>
        <v>0</v>
      </c>
      <c r="BY250" s="208">
        <f>SUMIFS('свод практик'!$CG$6:$CG$277,'свод практик'!$J$6:$J$277,'свод субъектов ИБ+смежные'!BY$1,'свод практик'!$H$6:$H$277,"мун")</f>
        <v>0</v>
      </c>
      <c r="BZ250" s="208">
        <f>SUMIFS('свод практик'!$CG$6:$CG$277,'свод практик'!$J$6:$J$277,'свод субъектов ИБ+смежные'!BZ$1,'свод практик'!$H$6:$H$277,"мун")</f>
        <v>6</v>
      </c>
      <c r="CA250" s="208">
        <f>SUMIFS('свод практик'!$CG$6:$CG$277,'свод практик'!$J$6:$J$277,'свод субъектов ИБ+смежные'!CA$1,'свод практик'!$H$6:$H$277,"мун")</f>
        <v>0</v>
      </c>
      <c r="CB250" s="208">
        <f>SUMIFS('свод практик'!$CG$6:$CG$277,'свод практик'!$J$6:$J$277,'свод субъектов ИБ+смежные'!CB$1,'свод практик'!$H$6:$H$277,"мун")</f>
        <v>0</v>
      </c>
      <c r="CC250" s="208">
        <f>SUMIFS('свод практик'!$CG$6:$CG$277,'свод практик'!$J$6:$J$277,'свод субъектов ИБ+смежные'!CC$1,'свод практик'!$H$6:$H$277,"мун")</f>
        <v>0</v>
      </c>
      <c r="CD250" s="208">
        <f>SUMIFS('свод практик'!$CG$6:$CG$277,'свод практик'!$J$6:$J$277,'свод субъектов ИБ+смежные'!CD$1,'свод практик'!$H$6:$H$277,"мун")</f>
        <v>0</v>
      </c>
      <c r="CE250" s="208">
        <f>SUMIFS('свод практик'!$CG$6:$CG$277,'свод практик'!$J$6:$J$277,'свод субъектов ИБ+смежные'!CE$1,'свод практик'!$H$6:$H$277,"мун")</f>
        <v>0</v>
      </c>
      <c r="CF250" s="208">
        <f>SUMIFS('свод практик'!$CG$6:$CG$277,'свод практик'!$J$6:$J$277,'свод субъектов ИБ+смежные'!CF$1,'свод практик'!$H$6:$H$277,"мун")</f>
        <v>0</v>
      </c>
      <c r="CG250" s="208">
        <f>SUMIFS('свод практик'!$CG$6:$CG$277,'свод практик'!$J$6:$J$277,'свод субъектов ИБ+смежные'!CG$1,'свод практик'!$H$6:$H$277,"мун")</f>
        <v>0</v>
      </c>
      <c r="CH250" s="208">
        <f>SUMIFS('свод практик'!$CG$6:$CG$277,'свод практик'!$J$6:$J$277,'свод субъектов ИБ+смежные'!CH$1,'свод практик'!$H$6:$H$277,"мун")</f>
        <v>0</v>
      </c>
      <c r="CI250" s="208">
        <f>SUMIFS('свод практик'!$CG$6:$CG$277,'свод практик'!$J$6:$J$277,'свод субъектов ИБ+смежные'!CI$1,'свод практик'!$H$6:$H$277,"мун")</f>
        <v>0</v>
      </c>
      <c r="CJ250" s="208">
        <f>SUMIFS('свод практик'!$CG$6:$CG$277,'свод практик'!$J$6:$J$277,'свод субъектов ИБ+смежные'!CJ$1,'свод практик'!$H$6:$H$277,"мун")</f>
        <v>0</v>
      </c>
      <c r="CK250" s="208">
        <f>SUMIFS('свод практик'!$CG$6:$CG$277,'свод практик'!$J$6:$J$277,'свод субъектов ИБ+смежные'!CK$1,'свод практик'!$H$6:$H$277,"мун")</f>
        <v>0</v>
      </c>
      <c r="CL250" s="208">
        <f>SUMIFS('свод практик'!$CG$6:$CG$277,'свод практик'!$J$6:$J$277,'свод субъектов ИБ+смежные'!CL$1,'свод практик'!$H$6:$H$277,"мун")</f>
        <v>0</v>
      </c>
      <c r="CM250" s="208">
        <f>SUMIFS('свод практик'!$CG$6:$CG$277,'свод практик'!$J$6:$J$277,'свод субъектов ИБ+смежные'!CM$1,'свод практик'!$H$6:$H$277,"мун")</f>
        <v>6</v>
      </c>
      <c r="CN250" s="208">
        <f>SUMIFS('свод практик'!$CG$6:$CG$277,'свод практик'!$J$6:$J$277,'свод субъектов ИБ+смежные'!CN$1,'свод практик'!$H$6:$H$277,"мун")</f>
        <v>0</v>
      </c>
      <c r="CO250" s="208">
        <f>SUMIFS('свод практик'!$CG$6:$CG$277,'свод практик'!$J$6:$J$277,'свод субъектов ИБ+смежные'!CO$1,'свод практик'!$H$6:$H$277,"мун")</f>
        <v>0</v>
      </c>
      <c r="CP250" s="208">
        <f>SUMIFS('свод практик'!$CG$6:$CG$277,'свод практик'!$J$6:$J$277,'свод субъектов ИБ+смежные'!CP$1,'свод практик'!$H$6:$H$277,"мун")</f>
        <v>17</v>
      </c>
      <c r="CQ250" s="208">
        <f>SUMIFS('свод практик'!$CG$6:$CG$277,'свод практик'!$J$6:$J$277,'свод субъектов ИБ+смежные'!CQ$1,'свод практик'!$H$6:$H$277,"мун")</f>
        <v>3</v>
      </c>
      <c r="CR250" s="208">
        <f>SUMIFS('свод практик'!$CG$6:$CG$277,'свод практик'!$J$6:$J$277,'свод субъектов ИБ+смежные'!CR$1,'свод практик'!$H$6:$H$277,"мун")</f>
        <v>0</v>
      </c>
      <c r="CS250" s="208">
        <f>SUMIFS('свод практик'!$CG$6:$CG$277,'свод практик'!$J$6:$J$277,'свод субъектов ИБ+смежные'!CS$1,'свод практик'!$H$6:$H$277,"мун")</f>
        <v>0</v>
      </c>
      <c r="CT250" s="208">
        <f>SUMIFS('свод практик'!$CG$6:$CG$277,'свод практик'!$J$6:$J$277,'свод субъектов ИБ+смежные'!CT$1,'свод практик'!$H$6:$H$277,"мун")</f>
        <v>0</v>
      </c>
      <c r="CU250" s="208">
        <f>SUMIFS('свод практик'!$CG$6:$CG$277,'свод практик'!$J$6:$J$277,'свод субъектов ИБ+смежные'!CU$1,'свод практик'!$H$6:$H$277,"мун")</f>
        <v>8</v>
      </c>
      <c r="CV250" s="208">
        <f>SUMIFS('свод практик'!$CG$6:$CG$277,'свод практик'!$J$6:$J$277,'свод субъектов ИБ+смежные'!CV$1,'свод практик'!$H$6:$H$277,"мун")</f>
        <v>0</v>
      </c>
    </row>
    <row r="251" spans="4:100" ht="14">
      <c r="D251" s="36" t="s">
        <v>4949</v>
      </c>
      <c r="E251" s="36">
        <v>67</v>
      </c>
      <c r="F251" s="36" t="s">
        <v>5587</v>
      </c>
      <c r="H251" s="36" t="s">
        <v>60</v>
      </c>
      <c r="M251" s="36" t="s">
        <v>5497</v>
      </c>
      <c r="N251" s="36">
        <v>6.8427370948379349E-2</v>
      </c>
      <c r="O251" s="226"/>
      <c r="Q251" s="194"/>
      <c r="R251" s="194"/>
      <c r="S251" s="194"/>
    </row>
    <row r="252" spans="4:100" s="208" customFormat="1" ht="28">
      <c r="D252" s="208" t="s">
        <v>4949</v>
      </c>
      <c r="E252" s="208">
        <v>89</v>
      </c>
      <c r="F252" s="208" t="s">
        <v>5588</v>
      </c>
      <c r="G252" s="208" t="s">
        <v>5166</v>
      </c>
      <c r="H252" s="208" t="s">
        <v>5140</v>
      </c>
      <c r="M252" s="208" t="s">
        <v>5497</v>
      </c>
      <c r="N252" s="208">
        <v>73</v>
      </c>
      <c r="O252" s="226">
        <f t="shared" si="145"/>
        <v>281</v>
      </c>
      <c r="P252" s="208">
        <f>SUMIFS('свод практик'!$CH$6:$CH$277,'свод практик'!$J$6:$J$277,'свод субъектов ИБ+смежные'!P$1,'свод практик'!$H$6:$H$277,"мун")</f>
        <v>0</v>
      </c>
      <c r="Q252" s="208">
        <f>SUMIFS('свод практик'!$CH$6:$CH$277,'свод практик'!$J$6:$J$277,'свод субъектов ИБ+смежные'!Q$1,'свод практик'!$H$6:$H$277,"мун")</f>
        <v>0</v>
      </c>
      <c r="R252" s="208">
        <f>SUMIFS('свод практик'!$CH$6:$CH$277,'свод практик'!$J$6:$J$277,'свод субъектов ИБ+смежные'!R$1,'свод практик'!$H$6:$H$277,"мун")</f>
        <v>0</v>
      </c>
      <c r="S252" s="208">
        <f>SUMIFS('свод практик'!$CH$6:$CH$277,'свод практик'!$J$6:$J$277,'свод субъектов ИБ+смежные'!S$1,'свод практик'!$H$6:$H$277,"мун")</f>
        <v>0</v>
      </c>
      <c r="T252" s="208">
        <f>SUMIFS('свод практик'!$CH$6:$CH$277,'свод практик'!$J$6:$J$277,'свод субъектов ИБ+смежные'!T$1,'свод практик'!$H$6:$H$277,"мун")</f>
        <v>0</v>
      </c>
      <c r="U252" s="208">
        <f>SUMIFS('свод практик'!$CH$6:$CH$277,'свод практик'!$J$6:$J$277,'свод субъектов ИБ+смежные'!U$1,'свод практик'!$H$6:$H$277,"мун")</f>
        <v>0</v>
      </c>
      <c r="V252" s="208">
        <f>SUMIFS('свод практик'!$CH$6:$CH$277,'свод практик'!$J$6:$J$277,'свод субъектов ИБ+смежные'!V$1,'свод практик'!$H$6:$H$277,"мун")</f>
        <v>0</v>
      </c>
      <c r="W252" s="208">
        <f>SUMIFS('свод практик'!$CH$6:$CH$277,'свод практик'!$J$6:$J$277,'свод субъектов ИБ+смежные'!W$1,'свод практик'!$H$6:$H$277,"мун")</f>
        <v>2</v>
      </c>
      <c r="X252" s="208">
        <f>SUMIFS('свод практик'!$CH$6:$CH$277,'свод практик'!$J$6:$J$277,'свод субъектов ИБ+смежные'!X$1,'свод практик'!$H$6:$H$277,"мун")</f>
        <v>0</v>
      </c>
      <c r="Y252" s="208">
        <f>SUMIFS('свод практик'!$CH$6:$CH$277,'свод практик'!$J$6:$J$277,'свод субъектов ИБ+смежные'!Y$1,'свод практик'!$H$6:$H$277,"мун")</f>
        <v>0</v>
      </c>
      <c r="Z252" s="208">
        <f>SUMIFS('свод практик'!$CH$6:$CH$277,'свод практик'!$J$6:$J$277,'свод субъектов ИБ+смежные'!Z$1,'свод практик'!$H$6:$H$277,"мун")</f>
        <v>0</v>
      </c>
      <c r="AA252" s="208">
        <f>SUMIFS('свод практик'!$CH$6:$CH$277,'свод практик'!$J$6:$J$277,'свод субъектов ИБ+смежные'!AA$1,'свод практик'!$H$6:$H$277,"мун")</f>
        <v>0</v>
      </c>
      <c r="AB252" s="208">
        <f>SUMIFS('свод практик'!$CH$6:$CH$277,'свод практик'!$J$6:$J$277,'свод субъектов ИБ+смежные'!AB$1,'свод практик'!$H$6:$H$277,"мун")</f>
        <v>0</v>
      </c>
      <c r="AC252" s="208">
        <f>SUMIFS('свод практик'!$CH$6:$CH$277,'свод практик'!$J$6:$J$277,'свод субъектов ИБ+смежные'!AC$1,'свод практик'!$H$6:$H$277,"мун")</f>
        <v>0</v>
      </c>
      <c r="AD252" s="208">
        <f>SUMIFS('свод практик'!$CH$6:$CH$277,'свод практик'!$J$6:$J$277,'свод субъектов ИБ+смежные'!AD$1,'свод практик'!$H$6:$H$277,"мун")</f>
        <v>0</v>
      </c>
      <c r="AE252" s="208">
        <f>SUMIFS('свод практик'!$CH$6:$CH$277,'свод практик'!$J$6:$J$277,'свод субъектов ИБ+смежные'!AE$1,'свод практик'!$H$6:$H$277,"мун")</f>
        <v>0</v>
      </c>
      <c r="AF252" s="208">
        <f>SUMIFS('свод практик'!$CH$6:$CH$277,'свод практик'!$J$6:$J$277,'свод субъектов ИБ+смежные'!AF$1,'свод практик'!$H$6:$H$277,"мун")</f>
        <v>0</v>
      </c>
      <c r="AG252" s="208">
        <f>SUMIFS('свод практик'!$CH$6:$CH$277,'свод практик'!$J$6:$J$277,'свод субъектов ИБ+смежные'!AG$1,'свод практик'!$H$6:$H$277,"мун")</f>
        <v>0</v>
      </c>
      <c r="AH252" s="208">
        <f>SUMIFS('свод практик'!$CH$6:$CH$277,'свод практик'!$J$6:$J$277,'свод субъектов ИБ+смежные'!AH$1,'свод практик'!$H$6:$H$277,"мун")</f>
        <v>0</v>
      </c>
      <c r="AI252" s="208">
        <f>SUMIFS('свод практик'!$CH$6:$CH$277,'свод практик'!$J$6:$J$277,'свод субъектов ИБ+смежные'!AI$1,'свод практик'!$H$6:$H$277,"мун")</f>
        <v>0</v>
      </c>
      <c r="AJ252" s="208">
        <f>SUMIFS('свод практик'!$CH$6:$CH$277,'свод практик'!$J$6:$J$277,'свод субъектов ИБ+смежные'!AJ$1,'свод практик'!$H$6:$H$277,"мун")</f>
        <v>0</v>
      </c>
      <c r="AK252" s="208">
        <f>SUMIFS('свод практик'!$CH$6:$CH$277,'свод практик'!$J$6:$J$277,'свод субъектов ИБ+смежные'!AK$1,'свод практик'!$H$6:$H$277,"мун")</f>
        <v>0</v>
      </c>
      <c r="AL252" s="208">
        <f>SUMIFS('свод практик'!$CH$6:$CH$277,'свод практик'!$J$6:$J$277,'свод субъектов ИБ+смежные'!AL$1,'свод практик'!$H$6:$H$277,"мун")</f>
        <v>0</v>
      </c>
      <c r="AM252" s="208">
        <f>SUMIFS('свод практик'!$CH$6:$CH$277,'свод практик'!$J$6:$J$277,'свод субъектов ИБ+смежные'!AM$1,'свод практик'!$H$6:$H$277,"мун")</f>
        <v>0</v>
      </c>
      <c r="AN252" s="208">
        <f>SUMIFS('свод практик'!$CH$6:$CH$277,'свод практик'!$J$6:$J$277,'свод субъектов ИБ+смежные'!AN$1,'свод практик'!$H$6:$H$277,"мун")</f>
        <v>0</v>
      </c>
      <c r="AO252" s="208">
        <f>SUMIFS('свод практик'!$CH$6:$CH$277,'свод практик'!$J$6:$J$277,'свод субъектов ИБ+смежные'!AO$1,'свод практик'!$H$6:$H$277,"мун")</f>
        <v>0</v>
      </c>
      <c r="AP252" s="208">
        <f>SUMIFS('свод практик'!$CH$6:$CH$277,'свод практик'!$J$6:$J$277,'свод субъектов ИБ+смежные'!AP$1,'свод практик'!$H$6:$H$277,"мун")</f>
        <v>0</v>
      </c>
      <c r="AQ252" s="208">
        <f>SUMIFS('свод практик'!$CH$6:$CH$277,'свод практик'!$J$6:$J$277,'свод субъектов ИБ+смежные'!AQ$1,'свод практик'!$H$6:$H$277,"мун")</f>
        <v>0</v>
      </c>
      <c r="AR252" s="208">
        <f>SUMIFS('свод практик'!$CH$6:$CH$277,'свод практик'!$J$6:$J$277,'свод субъектов ИБ+смежные'!AR$1,'свод практик'!$H$6:$H$277,"мун")</f>
        <v>0</v>
      </c>
      <c r="AS252" s="208">
        <f>SUMIFS('свод практик'!$CH$6:$CH$277,'свод практик'!$J$6:$J$277,'свод субъектов ИБ+смежные'!AS$1,'свод практик'!$H$6:$H$277,"мун")</f>
        <v>0</v>
      </c>
      <c r="AT252" s="208">
        <f>SUMIFS('свод практик'!$CH$6:$CH$277,'свод практик'!$J$6:$J$277,'свод субъектов ИБ+смежные'!AT$1,'свод практик'!$H$6:$H$277,"мун")</f>
        <v>0</v>
      </c>
      <c r="AU252" s="208">
        <f>SUMIFS('свод практик'!$CH$6:$CH$277,'свод практик'!$J$6:$J$277,'свод субъектов ИБ+смежные'!AU$1,'свод практик'!$H$6:$H$277,"мун")</f>
        <v>0</v>
      </c>
      <c r="AV252" s="208">
        <f>SUMIFS('свод практик'!$CH$6:$CH$277,'свод практик'!$J$6:$J$277,'свод субъектов ИБ+смежные'!AV$1,'свод практик'!$H$6:$H$277,"мун")</f>
        <v>0</v>
      </c>
      <c r="AW252" s="208">
        <f>SUMIFS('свод практик'!$CH$6:$CH$277,'свод практик'!$J$6:$J$277,'свод субъектов ИБ+смежные'!AW$1,'свод практик'!$H$6:$H$277,"мун")</f>
        <v>0</v>
      </c>
      <c r="AX252" s="208">
        <f>SUMIFS('свод практик'!$CH$6:$CH$277,'свод практик'!$J$6:$J$277,'свод субъектов ИБ+смежные'!AX$1,'свод практик'!$H$6:$H$277,"мун")</f>
        <v>0</v>
      </c>
      <c r="AY252" s="208">
        <f>SUMIFS('свод практик'!$CH$6:$CH$277,'свод практик'!$J$6:$J$277,'свод субъектов ИБ+смежные'!AY$1,'свод практик'!$H$6:$H$277,"мун")</f>
        <v>0</v>
      </c>
      <c r="AZ252" s="208">
        <f>SUMIFS('свод практик'!$CH$6:$CH$277,'свод практик'!$J$6:$J$277,'свод субъектов ИБ+смежные'!AZ$1,'свод практик'!$H$6:$H$277,"мун")</f>
        <v>0</v>
      </c>
      <c r="BA252" s="208">
        <f>SUMIFS('свод практик'!$CH$6:$CH$277,'свод практик'!$J$6:$J$277,'свод субъектов ИБ+смежные'!BA$1,'свод практик'!$H$6:$H$277,"мун")</f>
        <v>0</v>
      </c>
      <c r="BB252" s="208">
        <f>SUMIFS('свод практик'!$CH$6:$CH$277,'свод практик'!$J$6:$J$277,'свод субъектов ИБ+смежные'!BB$1,'свод практик'!$H$6:$H$277,"мун")</f>
        <v>0</v>
      </c>
      <c r="BC252" s="208">
        <f>SUMIFS('свод практик'!$CH$6:$CH$277,'свод практик'!$J$6:$J$277,'свод субъектов ИБ+смежные'!BC$1,'свод практик'!$H$6:$H$277,"мун")</f>
        <v>0</v>
      </c>
      <c r="BD252" s="208">
        <f>SUMIFS('свод практик'!$CH$6:$CH$277,'свод практик'!$J$6:$J$277,'свод субъектов ИБ+смежные'!BD$1,'свод практик'!$H$6:$H$277,"мун")</f>
        <v>0</v>
      </c>
      <c r="BE252" s="208">
        <f>SUMIFS('свод практик'!$CH$6:$CH$277,'свод практик'!$J$6:$J$277,'свод субъектов ИБ+смежные'!BE$1,'свод практик'!$H$6:$H$277,"мун")</f>
        <v>0</v>
      </c>
      <c r="BF252" s="208">
        <f>SUMIFS('свод практик'!$CH$6:$CH$277,'свод практик'!$J$6:$J$277,'свод субъектов ИБ+смежные'!BF$1,'свод практик'!$H$6:$H$277,"мун")</f>
        <v>0</v>
      </c>
      <c r="BG252" s="208">
        <f>SUMIFS('свод практик'!$CH$6:$CH$277,'свод практик'!$J$6:$J$277,'свод субъектов ИБ+смежные'!BG$1,'свод практик'!$H$6:$H$277,"мун")</f>
        <v>0</v>
      </c>
      <c r="BH252" s="208">
        <f>SUMIFS('свод практик'!$CH$6:$CH$277,'свод практик'!$J$6:$J$277,'свод субъектов ИБ+смежные'!BH$1,'свод практик'!$H$6:$H$277,"мун")</f>
        <v>0</v>
      </c>
      <c r="BI252" s="208">
        <f>SUMIFS('свод практик'!$CH$6:$CH$277,'свод практик'!$J$6:$J$277,'свод субъектов ИБ+смежные'!BI$1,'свод практик'!$H$6:$H$277,"мун")</f>
        <v>0</v>
      </c>
      <c r="BJ252" s="208">
        <f>SUMIFS('свод практик'!$CH$6:$CH$277,'свод практик'!$J$6:$J$277,'свод субъектов ИБ+смежные'!BJ$1,'свод практик'!$H$6:$H$277,"мун")</f>
        <v>0</v>
      </c>
      <c r="BK252" s="208">
        <f>SUMIFS('свод практик'!$CH$6:$CH$277,'свод практик'!$J$6:$J$277,'свод субъектов ИБ+смежные'!BK$1,'свод практик'!$H$6:$H$277,"мун")</f>
        <v>0</v>
      </c>
      <c r="BL252" s="208">
        <f>SUMIFS('свод практик'!$CH$6:$CH$277,'свод практик'!$J$6:$J$277,'свод субъектов ИБ+смежные'!BL$1,'свод практик'!$H$6:$H$277,"мун")</f>
        <v>4</v>
      </c>
      <c r="BM252" s="208">
        <f>SUMIFS('свод практик'!$CH$6:$CH$277,'свод практик'!$J$6:$J$277,'свод субъектов ИБ+смежные'!BM$1,'свод практик'!$H$6:$H$277,"мун")</f>
        <v>1</v>
      </c>
      <c r="BN252" s="208">
        <f>SUMIFS('свод практик'!$CH$6:$CH$277,'свод практик'!$J$6:$J$277,'свод субъектов ИБ+смежные'!BN$1,'свод практик'!$H$6:$H$277,"мун")</f>
        <v>0</v>
      </c>
      <c r="BO252" s="208">
        <f>SUMIFS('свод практик'!$CH$6:$CH$277,'свод практик'!$J$6:$J$277,'свод субъектов ИБ+смежные'!BO$1,'свод практик'!$H$6:$H$277,"мун")</f>
        <v>6</v>
      </c>
      <c r="BP252" s="208">
        <f>SUMIFS('свод практик'!$CH$6:$CH$277,'свод практик'!$J$6:$J$277,'свод субъектов ИБ+смежные'!BP$1,'свод практик'!$H$6:$H$277,"мун")</f>
        <v>0</v>
      </c>
      <c r="BQ252" s="208">
        <f>SUMIFS('свод практик'!$CH$6:$CH$277,'свод практик'!$J$6:$J$277,'свод субъектов ИБ+смежные'!BQ$1,'свод практик'!$H$6:$H$277,"мун")</f>
        <v>0</v>
      </c>
      <c r="BR252" s="208">
        <f>SUMIFS('свод практик'!$CH$6:$CH$277,'свод практик'!$J$6:$J$277,'свод субъектов ИБ+смежные'!BR$1,'свод практик'!$H$6:$H$277,"мун")</f>
        <v>0</v>
      </c>
      <c r="BS252" s="208">
        <f>SUMIFS('свод практик'!$CH$6:$CH$277,'свод практик'!$J$6:$J$277,'свод субъектов ИБ+смежные'!BS$1,'свод практик'!$H$6:$H$277,"мун")</f>
        <v>21</v>
      </c>
      <c r="BT252" s="208">
        <f>SUMIFS('свод практик'!$CH$6:$CH$277,'свод практик'!$J$6:$J$277,'свод субъектов ИБ+смежные'!BT$1,'свод практик'!$H$6:$H$277,"мун")</f>
        <v>0</v>
      </c>
      <c r="BU252" s="208">
        <f>SUMIFS('свод практик'!$CH$6:$CH$277,'свод практик'!$J$6:$J$277,'свод субъектов ИБ+смежные'!BU$1,'свод практик'!$H$6:$H$277,"мун")</f>
        <v>199</v>
      </c>
      <c r="BV252" s="208">
        <f>SUMIFS('свод практик'!$CH$6:$CH$277,'свод практик'!$J$6:$J$277,'свод субъектов ИБ+смежные'!BV$1,'свод практик'!$H$6:$H$277,"мун")</f>
        <v>0</v>
      </c>
      <c r="BW252" s="208">
        <f>SUMIFS('свод практик'!$CH$6:$CH$277,'свод практик'!$J$6:$J$277,'свод субъектов ИБ+смежные'!BW$1,'свод практик'!$H$6:$H$277,"мун")</f>
        <v>0</v>
      </c>
      <c r="BX252" s="208">
        <f>SUMIFS('свод практик'!$CH$6:$CH$277,'свод практик'!$J$6:$J$277,'свод субъектов ИБ+смежные'!BX$1,'свод практик'!$H$6:$H$277,"мун")</f>
        <v>0</v>
      </c>
      <c r="BY252" s="208">
        <f>SUMIFS('свод практик'!$CH$6:$CH$277,'свод практик'!$J$6:$J$277,'свод субъектов ИБ+смежные'!BY$1,'свод практик'!$H$6:$H$277,"мун")</f>
        <v>0</v>
      </c>
      <c r="BZ252" s="208">
        <f>SUMIFS('свод практик'!$CH$6:$CH$277,'свод практик'!$J$6:$J$277,'свод субъектов ИБ+смежные'!BZ$1,'свод практик'!$H$6:$H$277,"мун")</f>
        <v>0</v>
      </c>
      <c r="CA252" s="208">
        <f>SUMIFS('свод практик'!$CH$6:$CH$277,'свод практик'!$J$6:$J$277,'свод субъектов ИБ+смежные'!CA$1,'свод практик'!$H$6:$H$277,"мун")</f>
        <v>0</v>
      </c>
      <c r="CB252" s="208">
        <f>SUMIFS('свод практик'!$CH$6:$CH$277,'свод практик'!$J$6:$J$277,'свод субъектов ИБ+смежные'!CB$1,'свод практик'!$H$6:$H$277,"мун")</f>
        <v>0</v>
      </c>
      <c r="CC252" s="208">
        <f>SUMIFS('свод практик'!$CH$6:$CH$277,'свод практик'!$J$6:$J$277,'свод субъектов ИБ+смежные'!CC$1,'свод практик'!$H$6:$H$277,"мун")</f>
        <v>0</v>
      </c>
      <c r="CD252" s="208">
        <f>SUMIFS('свод практик'!$CH$6:$CH$277,'свод практик'!$J$6:$J$277,'свод субъектов ИБ+смежные'!CD$1,'свод практик'!$H$6:$H$277,"мун")</f>
        <v>0</v>
      </c>
      <c r="CE252" s="208">
        <f>SUMIFS('свод практик'!$CH$6:$CH$277,'свод практик'!$J$6:$J$277,'свод субъектов ИБ+смежные'!CE$1,'свод практик'!$H$6:$H$277,"мун")</f>
        <v>0</v>
      </c>
      <c r="CF252" s="208">
        <f>SUMIFS('свод практик'!$CH$6:$CH$277,'свод практик'!$J$6:$J$277,'свод субъектов ИБ+смежные'!CF$1,'свод практик'!$H$6:$H$277,"мун")</f>
        <v>0</v>
      </c>
      <c r="CG252" s="208">
        <f>SUMIFS('свод практик'!$CH$6:$CH$277,'свод практик'!$J$6:$J$277,'свод субъектов ИБ+смежные'!CG$1,'свод практик'!$H$6:$H$277,"мун")</f>
        <v>0</v>
      </c>
      <c r="CH252" s="208">
        <f>SUMIFS('свод практик'!$CH$6:$CH$277,'свод практик'!$J$6:$J$277,'свод субъектов ИБ+смежные'!CH$1,'свод практик'!$H$6:$H$277,"мун")</f>
        <v>0</v>
      </c>
      <c r="CI252" s="208">
        <f>SUMIFS('свод практик'!$CH$6:$CH$277,'свод практик'!$J$6:$J$277,'свод субъектов ИБ+смежные'!CI$1,'свод практик'!$H$6:$H$277,"мун")</f>
        <v>0</v>
      </c>
      <c r="CJ252" s="208">
        <f>SUMIFS('свод практик'!$CH$6:$CH$277,'свод практик'!$J$6:$J$277,'свод субъектов ИБ+смежные'!CJ$1,'свод практик'!$H$6:$H$277,"мун")</f>
        <v>0</v>
      </c>
      <c r="CK252" s="208">
        <f>SUMIFS('свод практик'!$CH$6:$CH$277,'свод практик'!$J$6:$J$277,'свод субъектов ИБ+смежные'!CK$1,'свод практик'!$H$6:$H$277,"мун")</f>
        <v>0</v>
      </c>
      <c r="CL252" s="208">
        <f>SUMIFS('свод практик'!$CH$6:$CH$277,'свод практик'!$J$6:$J$277,'свод субъектов ИБ+смежные'!CL$1,'свод практик'!$H$6:$H$277,"мун")</f>
        <v>0</v>
      </c>
      <c r="CM252" s="208">
        <f>SUMIFS('свод практик'!$CH$6:$CH$277,'свод практик'!$J$6:$J$277,'свод субъектов ИБ+смежные'!CM$1,'свод практик'!$H$6:$H$277,"мун")</f>
        <v>4</v>
      </c>
      <c r="CN252" s="208">
        <f>SUMIFS('свод практик'!$CH$6:$CH$277,'свод практик'!$J$6:$J$277,'свод субъектов ИБ+смежные'!CN$1,'свод практик'!$H$6:$H$277,"мун")</f>
        <v>0</v>
      </c>
      <c r="CO252" s="208">
        <f>SUMIFS('свод практик'!$CH$6:$CH$277,'свод практик'!$J$6:$J$277,'свод субъектов ИБ+смежные'!CO$1,'свод практик'!$H$6:$H$277,"мун")</f>
        <v>0</v>
      </c>
      <c r="CP252" s="208">
        <f>SUMIFS('свод практик'!$CH$6:$CH$277,'свод практик'!$J$6:$J$277,'свод субъектов ИБ+смежные'!CP$1,'свод практик'!$H$6:$H$277,"мун")</f>
        <v>28</v>
      </c>
      <c r="CQ252" s="208">
        <f>SUMIFS('свод практик'!$CH$6:$CH$277,'свод практик'!$J$6:$J$277,'свод субъектов ИБ+смежные'!CQ$1,'свод практик'!$H$6:$H$277,"мун")</f>
        <v>15</v>
      </c>
      <c r="CR252" s="208">
        <f>SUMIFS('свод практик'!$CH$6:$CH$277,'свод практик'!$J$6:$J$277,'свод субъектов ИБ+смежные'!CR$1,'свод практик'!$H$6:$H$277,"мун")</f>
        <v>0</v>
      </c>
      <c r="CS252" s="208">
        <f>SUMIFS('свод практик'!$CH$6:$CH$277,'свод практик'!$J$6:$J$277,'свод субъектов ИБ+смежные'!CS$1,'свод практик'!$H$6:$H$277,"мун")</f>
        <v>0</v>
      </c>
      <c r="CT252" s="208">
        <f>SUMIFS('свод практик'!$CH$6:$CH$277,'свод практик'!$J$6:$J$277,'свод субъектов ИБ+смежные'!CT$1,'свод практик'!$H$6:$H$277,"мун")</f>
        <v>0</v>
      </c>
      <c r="CU252" s="208">
        <f>SUMIFS('свод практик'!$CH$6:$CH$277,'свод практик'!$J$6:$J$277,'свод субъектов ИБ+смежные'!CU$1,'свод практик'!$H$6:$H$277,"мун")</f>
        <v>1</v>
      </c>
      <c r="CV252" s="208">
        <f>SUMIFS('свод практик'!$CH$6:$CH$277,'свод практик'!$J$6:$J$277,'свод субъектов ИБ+смежные'!CV$1,'свод практик'!$H$6:$H$277,"мун")</f>
        <v>0</v>
      </c>
    </row>
    <row r="253" spans="4:100" ht="14">
      <c r="D253" s="36" t="s">
        <v>4949</v>
      </c>
      <c r="E253" s="36">
        <v>90</v>
      </c>
      <c r="F253" s="36" t="s">
        <v>5589</v>
      </c>
      <c r="H253" s="36" t="s">
        <v>60</v>
      </c>
      <c r="M253" s="36" t="s">
        <v>5497</v>
      </c>
      <c r="N253" s="36">
        <v>8.7635054021608649E-2</v>
      </c>
      <c r="O253" s="226"/>
      <c r="Q253" s="194"/>
      <c r="R253" s="194"/>
      <c r="S253" s="194"/>
    </row>
    <row r="254" spans="4:100" s="208" customFormat="1" ht="14">
      <c r="D254" s="208" t="s">
        <v>4949</v>
      </c>
      <c r="E254" s="208">
        <v>68</v>
      </c>
      <c r="F254" s="208" t="s">
        <v>5590</v>
      </c>
      <c r="G254" s="208" t="s">
        <v>5169</v>
      </c>
      <c r="H254" s="208" t="s">
        <v>5140</v>
      </c>
      <c r="L254" s="208" t="s">
        <v>278</v>
      </c>
      <c r="M254" s="208" t="s">
        <v>5497</v>
      </c>
      <c r="N254" s="208">
        <v>120</v>
      </c>
      <c r="O254" s="226">
        <f t="shared" si="145"/>
        <v>278</v>
      </c>
      <c r="P254" s="208">
        <f>SUMIFS('свод практик'!$CI$6:$CI$277,'свод практик'!$J$6:$J$277,'свод субъектов ИБ+смежные'!P$1,'свод практик'!$H$6:$H$277,"мун")</f>
        <v>0</v>
      </c>
      <c r="Q254" s="208">
        <f>SUMIFS('свод практик'!$CI$6:$CI$277,'свод практик'!$J$6:$J$277,'свод субъектов ИБ+смежные'!Q$1,'свод практик'!$H$6:$H$277,"мун")</f>
        <v>0</v>
      </c>
      <c r="R254" s="208">
        <f>SUMIFS('свод практик'!$CI$6:$CI$277,'свод практик'!$J$6:$J$277,'свод субъектов ИБ+смежные'!R$1,'свод практик'!$H$6:$H$277,"мун")</f>
        <v>0</v>
      </c>
      <c r="S254" s="208">
        <f>SUMIFS('свод практик'!$CI$6:$CI$277,'свод практик'!$J$6:$J$277,'свод субъектов ИБ+смежные'!S$1,'свод практик'!$H$6:$H$277,"мун")</f>
        <v>0</v>
      </c>
      <c r="T254" s="208">
        <f>SUMIFS('свод практик'!$CI$6:$CI$277,'свод практик'!$J$6:$J$277,'свод субъектов ИБ+смежные'!T$1,'свод практик'!$H$6:$H$277,"мун")</f>
        <v>0</v>
      </c>
      <c r="U254" s="208">
        <f>SUMIFS('свод практик'!$CI$6:$CI$277,'свод практик'!$J$6:$J$277,'свод субъектов ИБ+смежные'!U$1,'свод практик'!$H$6:$H$277,"мун")</f>
        <v>1</v>
      </c>
      <c r="V254" s="208">
        <f>SUMIFS('свод практик'!$CI$6:$CI$277,'свод практик'!$J$6:$J$277,'свод субъектов ИБ+смежные'!V$1,'свод практик'!$H$6:$H$277,"мун")</f>
        <v>1</v>
      </c>
      <c r="W254" s="208">
        <f>SUMIFS('свод практик'!$CI$6:$CI$277,'свод практик'!$J$6:$J$277,'свод субъектов ИБ+смежные'!W$1,'свод практик'!$H$6:$H$277,"мун")</f>
        <v>26</v>
      </c>
      <c r="X254" s="208">
        <f>SUMIFS('свод практик'!$CI$6:$CI$277,'свод практик'!$J$6:$J$277,'свод субъектов ИБ+смежные'!X$1,'свод практик'!$H$6:$H$277,"мун")</f>
        <v>0</v>
      </c>
      <c r="Y254" s="208">
        <f>SUMIFS('свод практик'!$CI$6:$CI$277,'свод практик'!$J$6:$J$277,'свод субъектов ИБ+смежные'!Y$1,'свод практик'!$H$6:$H$277,"мун")</f>
        <v>0</v>
      </c>
      <c r="Z254" s="208">
        <f>SUMIFS('свод практик'!$CI$6:$CI$277,'свод практик'!$J$6:$J$277,'свод субъектов ИБ+смежные'!Z$1,'свод практик'!$H$6:$H$277,"мун")</f>
        <v>0</v>
      </c>
      <c r="AA254" s="208">
        <f>SUMIFS('свод практик'!$CI$6:$CI$277,'свод практик'!$J$6:$J$277,'свод субъектов ИБ+смежные'!AA$1,'свод практик'!$H$6:$H$277,"мун")</f>
        <v>0</v>
      </c>
      <c r="AB254" s="208">
        <f>SUMIFS('свод практик'!$CI$6:$CI$277,'свод практик'!$J$6:$J$277,'свод субъектов ИБ+смежные'!AB$1,'свод практик'!$H$6:$H$277,"мун")</f>
        <v>26</v>
      </c>
      <c r="AC254" s="208">
        <f>SUMIFS('свод практик'!$CI$6:$CI$277,'свод практик'!$J$6:$J$277,'свод субъектов ИБ+смежные'!AC$1,'свод практик'!$H$6:$H$277,"мун")</f>
        <v>0</v>
      </c>
      <c r="AD254" s="208">
        <f>SUMIFS('свод практик'!$CI$6:$CI$277,'свод практик'!$J$6:$J$277,'свод субъектов ИБ+смежные'!AD$1,'свод практик'!$H$6:$H$277,"мун")</f>
        <v>0</v>
      </c>
      <c r="AE254" s="208">
        <f>SUMIFS('свод практик'!$CI$6:$CI$277,'свод практик'!$J$6:$J$277,'свод субъектов ИБ+смежные'!AE$1,'свод практик'!$H$6:$H$277,"мун")</f>
        <v>0</v>
      </c>
      <c r="AF254" s="208">
        <f>SUMIFS('свод практик'!$CI$6:$CI$277,'свод практик'!$J$6:$J$277,'свод субъектов ИБ+смежные'!AF$1,'свод практик'!$H$6:$H$277,"мун")</f>
        <v>0</v>
      </c>
      <c r="AG254" s="208">
        <f>SUMIFS('свод практик'!$CI$6:$CI$277,'свод практик'!$J$6:$J$277,'свод субъектов ИБ+смежные'!AG$1,'свод практик'!$H$6:$H$277,"мун")</f>
        <v>0</v>
      </c>
      <c r="AH254" s="208">
        <f>SUMIFS('свод практик'!$CI$6:$CI$277,'свод практик'!$J$6:$J$277,'свод субъектов ИБ+смежные'!AH$1,'свод практик'!$H$6:$H$277,"мун")</f>
        <v>0</v>
      </c>
      <c r="AI254" s="208">
        <f>SUMIFS('свод практик'!$CI$6:$CI$277,'свод практик'!$J$6:$J$277,'свод субъектов ИБ+смежные'!AI$1,'свод практик'!$H$6:$H$277,"мун")</f>
        <v>0</v>
      </c>
      <c r="AJ254" s="208">
        <f>SUMIFS('свод практик'!$CI$6:$CI$277,'свод практик'!$J$6:$J$277,'свод субъектов ИБ+смежные'!AJ$1,'свод практик'!$H$6:$H$277,"мун")</f>
        <v>1</v>
      </c>
      <c r="AK254" s="208">
        <f>SUMIFS('свод практик'!$CI$6:$CI$277,'свод практик'!$J$6:$J$277,'свод субъектов ИБ+смежные'!AK$1,'свод практик'!$H$6:$H$277,"мун")</f>
        <v>0</v>
      </c>
      <c r="AL254" s="208">
        <f>SUMIFS('свод практик'!$CI$6:$CI$277,'свод практик'!$J$6:$J$277,'свод субъектов ИБ+смежные'!AL$1,'свод практик'!$H$6:$H$277,"мун")</f>
        <v>0</v>
      </c>
      <c r="AM254" s="208">
        <f>SUMIFS('свод практик'!$CI$6:$CI$277,'свод практик'!$J$6:$J$277,'свод субъектов ИБ+смежные'!AM$1,'свод практик'!$H$6:$H$277,"мун")</f>
        <v>3</v>
      </c>
      <c r="AN254" s="208">
        <f>SUMIFS('свод практик'!$CI$6:$CI$277,'свод практик'!$J$6:$J$277,'свод субъектов ИБ+смежные'!AN$1,'свод практик'!$H$6:$H$277,"мун")</f>
        <v>0</v>
      </c>
      <c r="AO254" s="208">
        <f>SUMIFS('свод практик'!$CI$6:$CI$277,'свод практик'!$J$6:$J$277,'свод субъектов ИБ+смежные'!AO$1,'свод практик'!$H$6:$H$277,"мун")</f>
        <v>0</v>
      </c>
      <c r="AP254" s="208">
        <f>SUMIFS('свод практик'!$CI$6:$CI$277,'свод практик'!$J$6:$J$277,'свод субъектов ИБ+смежные'!AP$1,'свод практик'!$H$6:$H$277,"мун")</f>
        <v>0</v>
      </c>
      <c r="AQ254" s="208">
        <f>SUMIFS('свод практик'!$CI$6:$CI$277,'свод практик'!$J$6:$J$277,'свод субъектов ИБ+смежные'!AQ$1,'свод практик'!$H$6:$H$277,"мун")</f>
        <v>0</v>
      </c>
      <c r="AR254" s="208">
        <f>SUMIFS('свод практик'!$CI$6:$CI$277,'свод практик'!$J$6:$J$277,'свод субъектов ИБ+смежные'!AR$1,'свод практик'!$H$6:$H$277,"мун")</f>
        <v>0</v>
      </c>
      <c r="AS254" s="208">
        <f>SUMIFS('свод практик'!$CI$6:$CI$277,'свод практик'!$J$6:$J$277,'свод субъектов ИБ+смежные'!AS$1,'свод практик'!$H$6:$H$277,"мун")</f>
        <v>0</v>
      </c>
      <c r="AT254" s="208">
        <f>SUMIFS('свод практик'!$CI$6:$CI$277,'свод практик'!$J$6:$J$277,'свод субъектов ИБ+смежные'!AT$1,'свод практик'!$H$6:$H$277,"мун")</f>
        <v>0</v>
      </c>
      <c r="AU254" s="208">
        <f>SUMIFS('свод практик'!$CI$6:$CI$277,'свод практик'!$J$6:$J$277,'свод субъектов ИБ+смежные'!AU$1,'свод практик'!$H$6:$H$277,"мун")</f>
        <v>0</v>
      </c>
      <c r="AV254" s="208">
        <f>SUMIFS('свод практик'!$CI$6:$CI$277,'свод практик'!$J$6:$J$277,'свод субъектов ИБ+смежные'!AV$1,'свод практик'!$H$6:$H$277,"мун")</f>
        <v>3</v>
      </c>
      <c r="AW254" s="208">
        <f>SUMIFS('свод практик'!$CI$6:$CI$277,'свод практик'!$J$6:$J$277,'свод субъектов ИБ+смежные'!AW$1,'свод практик'!$H$6:$H$277,"мун")</f>
        <v>0</v>
      </c>
      <c r="AX254" s="208">
        <f>SUMIFS('свод практик'!$CI$6:$CI$277,'свод практик'!$J$6:$J$277,'свод субъектов ИБ+смежные'!AX$1,'свод практик'!$H$6:$H$277,"мун")</f>
        <v>0</v>
      </c>
      <c r="AY254" s="208">
        <f>SUMIFS('свод практик'!$CI$6:$CI$277,'свод практик'!$J$6:$J$277,'свод субъектов ИБ+смежные'!AY$1,'свод практик'!$H$6:$H$277,"мун")</f>
        <v>0</v>
      </c>
      <c r="AZ254" s="208">
        <f>SUMIFS('свод практик'!$CI$6:$CI$277,'свод практик'!$J$6:$J$277,'свод субъектов ИБ+смежные'!AZ$1,'свод практик'!$H$6:$H$277,"мун")</f>
        <v>0</v>
      </c>
      <c r="BA254" s="208">
        <f>SUMIFS('свод практик'!$CI$6:$CI$277,'свод практик'!$J$6:$J$277,'свод субъектов ИБ+смежные'!BA$1,'свод практик'!$H$6:$H$277,"мун")</f>
        <v>0</v>
      </c>
      <c r="BB254" s="208">
        <f>SUMIFS('свод практик'!$CI$6:$CI$277,'свод практик'!$J$6:$J$277,'свод субъектов ИБ+смежные'!BB$1,'свод практик'!$H$6:$H$277,"мун")</f>
        <v>0</v>
      </c>
      <c r="BC254" s="208">
        <f>SUMIFS('свод практик'!$CI$6:$CI$277,'свод практик'!$J$6:$J$277,'свод субъектов ИБ+смежные'!BC$1,'свод практик'!$H$6:$H$277,"мун")</f>
        <v>0</v>
      </c>
      <c r="BD254" s="208">
        <f>SUMIFS('свод практик'!$CI$6:$CI$277,'свод практик'!$J$6:$J$277,'свод субъектов ИБ+смежные'!BD$1,'свод практик'!$H$6:$H$277,"мун")</f>
        <v>0</v>
      </c>
      <c r="BE254" s="208">
        <f>SUMIFS('свод практик'!$CI$6:$CI$277,'свод практик'!$J$6:$J$277,'свод субъектов ИБ+смежные'!BE$1,'свод практик'!$H$6:$H$277,"мун")</f>
        <v>0</v>
      </c>
      <c r="BF254" s="208">
        <f>SUMIFS('свод практик'!$CI$6:$CI$277,'свод практик'!$J$6:$J$277,'свод субъектов ИБ+смежные'!BF$1,'свод практик'!$H$6:$H$277,"мун")</f>
        <v>2</v>
      </c>
      <c r="BG254" s="208">
        <f>SUMIFS('свод практик'!$CI$6:$CI$277,'свод практик'!$J$6:$J$277,'свод субъектов ИБ+смежные'!BG$1,'свод практик'!$H$6:$H$277,"мун")</f>
        <v>0</v>
      </c>
      <c r="BH254" s="208">
        <f>SUMIFS('свод практик'!$CI$6:$CI$277,'свод практик'!$J$6:$J$277,'свод субъектов ИБ+смежные'!BH$1,'свод практик'!$H$6:$H$277,"мун")</f>
        <v>0</v>
      </c>
      <c r="BI254" s="208">
        <f>SUMIFS('свод практик'!$CI$6:$CI$277,'свод практик'!$J$6:$J$277,'свод субъектов ИБ+смежные'!BI$1,'свод практик'!$H$6:$H$277,"мун")</f>
        <v>0</v>
      </c>
      <c r="BJ254" s="208">
        <f>SUMIFS('свод практик'!$CI$6:$CI$277,'свод практик'!$J$6:$J$277,'свод субъектов ИБ+смежные'!BJ$1,'свод практик'!$H$6:$H$277,"мун")</f>
        <v>0</v>
      </c>
      <c r="BK254" s="208">
        <f>SUMIFS('свод практик'!$CI$6:$CI$277,'свод практик'!$J$6:$J$277,'свод субъектов ИБ+смежные'!BK$1,'свод практик'!$H$6:$H$277,"мун")</f>
        <v>0</v>
      </c>
      <c r="BL254" s="208">
        <f>SUMIFS('свод практик'!$CI$6:$CI$277,'свод практик'!$J$6:$J$277,'свод субъектов ИБ+смежные'!BL$1,'свод практик'!$H$6:$H$277,"мун")</f>
        <v>17</v>
      </c>
      <c r="BM254" s="208">
        <f>SUMIFS('свод практик'!$CI$6:$CI$277,'свод практик'!$J$6:$J$277,'свод субъектов ИБ+смежные'!BM$1,'свод практик'!$H$6:$H$277,"мун")</f>
        <v>11</v>
      </c>
      <c r="BN254" s="208">
        <f>SUMIFS('свод практик'!$CI$6:$CI$277,'свод практик'!$J$6:$J$277,'свод субъектов ИБ+смежные'!BN$1,'свод практик'!$H$6:$H$277,"мун")</f>
        <v>0</v>
      </c>
      <c r="BO254" s="208">
        <f>SUMIFS('свод практик'!$CI$6:$CI$277,'свод практик'!$J$6:$J$277,'свод субъектов ИБ+смежные'!BO$1,'свод практик'!$H$6:$H$277,"мун")</f>
        <v>2</v>
      </c>
      <c r="BP254" s="208">
        <f>SUMIFS('свод практик'!$CI$6:$CI$277,'свод практик'!$J$6:$J$277,'свод субъектов ИБ+смежные'!BP$1,'свод практик'!$H$6:$H$277,"мун")</f>
        <v>0</v>
      </c>
      <c r="BQ254" s="208">
        <f>SUMIFS('свод практик'!$CI$6:$CI$277,'свод практик'!$J$6:$J$277,'свод субъектов ИБ+смежные'!BQ$1,'свод практик'!$H$6:$H$277,"мун")</f>
        <v>0</v>
      </c>
      <c r="BR254" s="208">
        <f>SUMIFS('свод практик'!$CI$6:$CI$277,'свод практик'!$J$6:$J$277,'свод субъектов ИБ+смежные'!BR$1,'свод практик'!$H$6:$H$277,"мун")</f>
        <v>0</v>
      </c>
      <c r="BS254" s="208">
        <f>SUMIFS('свод практик'!$CI$6:$CI$277,'свод практик'!$J$6:$J$277,'свод субъектов ИБ+смежные'!BS$1,'свод практик'!$H$6:$H$277,"мун")</f>
        <v>16</v>
      </c>
      <c r="BT254" s="208">
        <f>SUMIFS('свод практик'!$CI$6:$CI$277,'свод практик'!$J$6:$J$277,'свод субъектов ИБ+смежные'!BT$1,'свод практик'!$H$6:$H$277,"мун")</f>
        <v>0</v>
      </c>
      <c r="BU254" s="208">
        <f>SUMIFS('свод практик'!$CI$6:$CI$277,'свод практик'!$J$6:$J$277,'свод субъектов ИБ+смежные'!BU$1,'свод практик'!$H$6:$H$277,"мун")</f>
        <v>130</v>
      </c>
      <c r="BV254" s="208">
        <f>SUMIFS('свод практик'!$CI$6:$CI$277,'свод практик'!$J$6:$J$277,'свод субъектов ИБ+смежные'!BV$1,'свод практик'!$H$6:$H$277,"мун")</f>
        <v>0</v>
      </c>
      <c r="BW254" s="208">
        <f>SUMIFS('свод практик'!$CI$6:$CI$277,'свод практик'!$J$6:$J$277,'свод субъектов ИБ+смежные'!BW$1,'свод практик'!$H$6:$H$277,"мун")</f>
        <v>0</v>
      </c>
      <c r="BX254" s="208">
        <f>SUMIFS('свод практик'!$CI$6:$CI$277,'свод практик'!$J$6:$J$277,'свод субъектов ИБ+смежные'!BX$1,'свод практик'!$H$6:$H$277,"мун")</f>
        <v>0</v>
      </c>
      <c r="BY254" s="208">
        <f>SUMIFS('свод практик'!$CI$6:$CI$277,'свод практик'!$J$6:$J$277,'свод субъектов ИБ+смежные'!BY$1,'свод практик'!$H$6:$H$277,"мун")</f>
        <v>0</v>
      </c>
      <c r="BZ254" s="208">
        <f>SUMIFS('свод практик'!$CI$6:$CI$277,'свод практик'!$J$6:$J$277,'свод субъектов ИБ+смежные'!BZ$1,'свод практик'!$H$6:$H$277,"мун")</f>
        <v>2</v>
      </c>
      <c r="CA254" s="208">
        <f>SUMIFS('свод практик'!$CI$6:$CI$277,'свод практик'!$J$6:$J$277,'свод субъектов ИБ+смежные'!CA$1,'свод практик'!$H$6:$H$277,"мун")</f>
        <v>0</v>
      </c>
      <c r="CB254" s="208">
        <f>SUMIFS('свод практик'!$CI$6:$CI$277,'свод практик'!$J$6:$J$277,'свод субъектов ИБ+смежные'!CB$1,'свод практик'!$H$6:$H$277,"мун")</f>
        <v>0</v>
      </c>
      <c r="CC254" s="208">
        <f>SUMIFS('свод практик'!$CI$6:$CI$277,'свод практик'!$J$6:$J$277,'свод субъектов ИБ+смежные'!CC$1,'свод практик'!$H$6:$H$277,"мун")</f>
        <v>0</v>
      </c>
      <c r="CD254" s="208">
        <f>SUMIFS('свод практик'!$CI$6:$CI$277,'свод практик'!$J$6:$J$277,'свод субъектов ИБ+смежные'!CD$1,'свод практик'!$H$6:$H$277,"мун")</f>
        <v>0</v>
      </c>
      <c r="CE254" s="208">
        <f>SUMIFS('свод практик'!$CI$6:$CI$277,'свод практик'!$J$6:$J$277,'свод субъектов ИБ+смежные'!CE$1,'свод практик'!$H$6:$H$277,"мун")</f>
        <v>0</v>
      </c>
      <c r="CF254" s="208">
        <f>SUMIFS('свод практик'!$CI$6:$CI$277,'свод практик'!$J$6:$J$277,'свод субъектов ИБ+смежные'!CF$1,'свод практик'!$H$6:$H$277,"мун")</f>
        <v>0</v>
      </c>
      <c r="CG254" s="208">
        <f>SUMIFS('свод практик'!$CI$6:$CI$277,'свод практик'!$J$6:$J$277,'свод субъектов ИБ+смежные'!CG$1,'свод практик'!$H$6:$H$277,"мун")</f>
        <v>0</v>
      </c>
      <c r="CH254" s="208">
        <f>SUMIFS('свод практик'!$CI$6:$CI$277,'свод практик'!$J$6:$J$277,'свод субъектов ИБ+смежные'!CH$1,'свод практик'!$H$6:$H$277,"мун")</f>
        <v>0</v>
      </c>
      <c r="CI254" s="208">
        <f>SUMIFS('свод практик'!$CI$6:$CI$277,'свод практик'!$J$6:$J$277,'свод субъектов ИБ+смежные'!CI$1,'свод практик'!$H$6:$H$277,"мун")</f>
        <v>0</v>
      </c>
      <c r="CJ254" s="208">
        <f>SUMIFS('свод практик'!$CI$6:$CI$277,'свод практик'!$J$6:$J$277,'свод субъектов ИБ+смежные'!CJ$1,'свод практик'!$H$6:$H$277,"мун")</f>
        <v>0</v>
      </c>
      <c r="CK254" s="208">
        <f>SUMIFS('свод практик'!$CI$6:$CI$277,'свод практик'!$J$6:$J$277,'свод субъектов ИБ+смежные'!CK$1,'свод практик'!$H$6:$H$277,"мун")</f>
        <v>0</v>
      </c>
      <c r="CL254" s="208">
        <f>SUMIFS('свод практик'!$CI$6:$CI$277,'свод практик'!$J$6:$J$277,'свод субъектов ИБ+смежные'!CL$1,'свод практик'!$H$6:$H$277,"мун")</f>
        <v>0</v>
      </c>
      <c r="CM254" s="208">
        <f>SUMIFS('свод практик'!$CI$6:$CI$277,'свод практик'!$J$6:$J$277,'свод субъектов ИБ+смежные'!CM$1,'свод практик'!$H$6:$H$277,"мун")</f>
        <v>2</v>
      </c>
      <c r="CN254" s="208">
        <f>SUMIFS('свод практик'!$CI$6:$CI$277,'свод практик'!$J$6:$J$277,'свод субъектов ИБ+смежные'!CN$1,'свод практик'!$H$6:$H$277,"мун")</f>
        <v>0</v>
      </c>
      <c r="CO254" s="208">
        <f>SUMIFS('свод практик'!$CI$6:$CI$277,'свод практик'!$J$6:$J$277,'свод субъектов ИБ+смежные'!CO$1,'свод практик'!$H$6:$H$277,"мун")</f>
        <v>0</v>
      </c>
      <c r="CP254" s="208">
        <f>SUMIFS('свод практик'!$CI$6:$CI$277,'свод практик'!$J$6:$J$277,'свод субъектов ИБ+смежные'!CP$1,'свод практик'!$H$6:$H$277,"мун")</f>
        <v>20</v>
      </c>
      <c r="CQ254" s="208">
        <f>SUMIFS('свод практик'!$CI$6:$CI$277,'свод практик'!$J$6:$J$277,'свод субъектов ИБ+смежные'!CQ$1,'свод практик'!$H$6:$H$277,"мун")</f>
        <v>10</v>
      </c>
      <c r="CR254" s="208">
        <f>SUMIFS('свод практик'!$CI$6:$CI$277,'свод практик'!$J$6:$J$277,'свод субъектов ИБ+смежные'!CR$1,'свод практик'!$H$6:$H$277,"мун")</f>
        <v>0</v>
      </c>
      <c r="CS254" s="208">
        <f>SUMIFS('свод практик'!$CI$6:$CI$277,'свод практик'!$J$6:$J$277,'свод субъектов ИБ+смежные'!CS$1,'свод практик'!$H$6:$H$277,"мун")</f>
        <v>0</v>
      </c>
      <c r="CT254" s="208">
        <f>SUMIFS('свод практик'!$CI$6:$CI$277,'свод практик'!$J$6:$J$277,'свод субъектов ИБ+смежные'!CT$1,'свод практик'!$H$6:$H$277,"мун")</f>
        <v>0</v>
      </c>
      <c r="CU254" s="208">
        <f>SUMIFS('свод практик'!$CI$6:$CI$277,'свод практик'!$J$6:$J$277,'свод субъектов ИБ+смежные'!CU$1,'свод практик'!$H$6:$H$277,"мун")</f>
        <v>5</v>
      </c>
      <c r="CV254" s="208">
        <f>SUMIFS('свод практик'!$CI$6:$CI$277,'свод практик'!$J$6:$J$277,'свод субъектов ИБ+смежные'!CV$1,'свод практик'!$H$6:$H$277,"мун")</f>
        <v>0</v>
      </c>
    </row>
    <row r="255" spans="4:100" ht="14">
      <c r="D255" s="36" t="s">
        <v>4949</v>
      </c>
      <c r="E255" s="36">
        <v>69</v>
      </c>
      <c r="F255" s="36" t="s">
        <v>5591</v>
      </c>
      <c r="H255" s="36" t="s">
        <v>60</v>
      </c>
      <c r="M255" s="36" t="s">
        <v>5497</v>
      </c>
      <c r="N255" s="36">
        <v>0.14405762304921968</v>
      </c>
      <c r="O255" s="226"/>
      <c r="Q255" s="194"/>
      <c r="R255" s="194"/>
      <c r="S255" s="194"/>
    </row>
    <row r="256" spans="4:100" s="208" customFormat="1" ht="28">
      <c r="D256" s="208" t="s">
        <v>4949</v>
      </c>
      <c r="E256" s="208">
        <v>70</v>
      </c>
      <c r="F256" s="208" t="s">
        <v>5592</v>
      </c>
      <c r="G256" s="208" t="s">
        <v>5172</v>
      </c>
      <c r="H256" s="208" t="s">
        <v>5140</v>
      </c>
      <c r="L256" s="208" t="s">
        <v>278</v>
      </c>
      <c r="M256" s="208" t="s">
        <v>5497</v>
      </c>
      <c r="N256" s="208">
        <v>155</v>
      </c>
      <c r="O256" s="226">
        <f t="shared" si="145"/>
        <v>162</v>
      </c>
      <c r="P256" s="208">
        <f>SUMIFS('свод практик'!$CJ$6:$CJ$277,'свод практик'!$J$6:$J$277,'свод субъектов ИБ+смежные'!P$1,'свод практик'!$H$6:$H$277,"мун")</f>
        <v>0</v>
      </c>
      <c r="Q256" s="208">
        <f>SUMIFS('свод практик'!$CJ$6:$CJ$277,'свод практик'!$J$6:$J$277,'свод субъектов ИБ+смежные'!Q$1,'свод практик'!$H$6:$H$277,"мун")</f>
        <v>0</v>
      </c>
      <c r="R256" s="208">
        <f>SUMIFS('свод практик'!$CJ$6:$CJ$277,'свод практик'!$J$6:$J$277,'свод субъектов ИБ+смежные'!R$1,'свод практик'!$H$6:$H$277,"мун")</f>
        <v>0</v>
      </c>
      <c r="S256" s="208">
        <f>SUMIFS('свод практик'!$CJ$6:$CJ$277,'свод практик'!$J$6:$J$277,'свод субъектов ИБ+смежные'!S$1,'свод практик'!$H$6:$H$277,"мун")</f>
        <v>0</v>
      </c>
      <c r="T256" s="208">
        <f>SUMIFS('свод практик'!$CJ$6:$CJ$277,'свод практик'!$J$6:$J$277,'свод субъектов ИБ+смежные'!T$1,'свод практик'!$H$6:$H$277,"мун")</f>
        <v>1</v>
      </c>
      <c r="U256" s="208">
        <f>SUMIFS('свод практик'!$CJ$6:$CJ$277,'свод практик'!$J$6:$J$277,'свод субъектов ИБ+смежные'!U$1,'свод практик'!$H$6:$H$277,"мун")</f>
        <v>0</v>
      </c>
      <c r="V256" s="208">
        <f>SUMIFS('свод практик'!$CJ$6:$CJ$277,'свод практик'!$J$6:$J$277,'свод субъектов ИБ+смежные'!V$1,'свод практик'!$H$6:$H$277,"мун")</f>
        <v>0</v>
      </c>
      <c r="W256" s="208">
        <f>SUMIFS('свод практик'!$CJ$6:$CJ$277,'свод практик'!$J$6:$J$277,'свод субъектов ИБ+смежные'!W$1,'свод практик'!$H$6:$H$277,"мун")</f>
        <v>10</v>
      </c>
      <c r="X256" s="208">
        <f>SUMIFS('свод практик'!$CJ$6:$CJ$277,'свод практик'!$J$6:$J$277,'свод субъектов ИБ+смежные'!X$1,'свод практик'!$H$6:$H$277,"мун")</f>
        <v>0</v>
      </c>
      <c r="Y256" s="208">
        <f>SUMIFS('свод практик'!$CJ$6:$CJ$277,'свод практик'!$J$6:$J$277,'свод субъектов ИБ+смежные'!Y$1,'свод практик'!$H$6:$H$277,"мун")</f>
        <v>0</v>
      </c>
      <c r="Z256" s="208">
        <f>SUMIFS('свод практик'!$CJ$6:$CJ$277,'свод практик'!$J$6:$J$277,'свод субъектов ИБ+смежные'!Z$1,'свод практик'!$H$6:$H$277,"мун")</f>
        <v>0</v>
      </c>
      <c r="AA256" s="208">
        <f>SUMIFS('свод практик'!$CJ$6:$CJ$277,'свод практик'!$J$6:$J$277,'свод субъектов ИБ+смежные'!AA$1,'свод практик'!$H$6:$H$277,"мун")</f>
        <v>0</v>
      </c>
      <c r="AB256" s="208">
        <f>SUMIFS('свод практик'!$CJ$6:$CJ$277,'свод практик'!$J$6:$J$277,'свод субъектов ИБ+смежные'!AB$1,'свод практик'!$H$6:$H$277,"мун")</f>
        <v>9</v>
      </c>
      <c r="AC256" s="208">
        <f>SUMIFS('свод практик'!$CJ$6:$CJ$277,'свод практик'!$J$6:$J$277,'свод субъектов ИБ+смежные'!AC$1,'свод практик'!$H$6:$H$277,"мун")</f>
        <v>0</v>
      </c>
      <c r="AD256" s="208">
        <f>SUMIFS('свод практик'!$CJ$6:$CJ$277,'свод практик'!$J$6:$J$277,'свод субъектов ИБ+смежные'!AD$1,'свод практик'!$H$6:$H$277,"мун")</f>
        <v>0</v>
      </c>
      <c r="AE256" s="208">
        <f>SUMIFS('свод практик'!$CJ$6:$CJ$277,'свод практик'!$J$6:$J$277,'свод субъектов ИБ+смежные'!AE$1,'свод практик'!$H$6:$H$277,"мун")</f>
        <v>0</v>
      </c>
      <c r="AF256" s="208">
        <f>SUMIFS('свод практик'!$CJ$6:$CJ$277,'свод практик'!$J$6:$J$277,'свод субъектов ИБ+смежные'!AF$1,'свод практик'!$H$6:$H$277,"мун")</f>
        <v>0</v>
      </c>
      <c r="AG256" s="208">
        <f>SUMIFS('свод практик'!$CJ$6:$CJ$277,'свод практик'!$J$6:$J$277,'свод субъектов ИБ+смежные'!AG$1,'свод практик'!$H$6:$H$277,"мун")</f>
        <v>0</v>
      </c>
      <c r="AH256" s="208">
        <f>SUMIFS('свод практик'!$CJ$6:$CJ$277,'свод практик'!$J$6:$J$277,'свод субъектов ИБ+смежные'!AH$1,'свод практик'!$H$6:$H$277,"мун")</f>
        <v>0</v>
      </c>
      <c r="AI256" s="208">
        <f>SUMIFS('свод практик'!$CJ$6:$CJ$277,'свод практик'!$J$6:$J$277,'свод субъектов ИБ+смежные'!AI$1,'свод практик'!$H$6:$H$277,"мун")</f>
        <v>0</v>
      </c>
      <c r="AJ256" s="208">
        <f>SUMIFS('свод практик'!$CJ$6:$CJ$277,'свод практик'!$J$6:$J$277,'свод субъектов ИБ+смежные'!AJ$1,'свод практик'!$H$6:$H$277,"мун")</f>
        <v>0</v>
      </c>
      <c r="AK256" s="208">
        <f>SUMIFS('свод практик'!$CJ$6:$CJ$277,'свод практик'!$J$6:$J$277,'свод субъектов ИБ+смежные'!AK$1,'свод практик'!$H$6:$H$277,"мун")</f>
        <v>0</v>
      </c>
      <c r="AL256" s="208">
        <f>SUMIFS('свод практик'!$CJ$6:$CJ$277,'свод практик'!$J$6:$J$277,'свод субъектов ИБ+смежные'!AL$1,'свод практик'!$H$6:$H$277,"мун")</f>
        <v>0</v>
      </c>
      <c r="AM256" s="208">
        <f>SUMIFS('свод практик'!$CJ$6:$CJ$277,'свод практик'!$J$6:$J$277,'свод субъектов ИБ+смежные'!AM$1,'свод практик'!$H$6:$H$277,"мун")</f>
        <v>1</v>
      </c>
      <c r="AN256" s="208">
        <f>SUMIFS('свод практик'!$CJ$6:$CJ$277,'свод практик'!$J$6:$J$277,'свод субъектов ИБ+смежные'!AN$1,'свод практик'!$H$6:$H$277,"мун")</f>
        <v>0</v>
      </c>
      <c r="AO256" s="208">
        <f>SUMIFS('свод практик'!$CJ$6:$CJ$277,'свод практик'!$J$6:$J$277,'свод субъектов ИБ+смежные'!AO$1,'свод практик'!$H$6:$H$277,"мун")</f>
        <v>0</v>
      </c>
      <c r="AP256" s="208">
        <f>SUMIFS('свод практик'!$CJ$6:$CJ$277,'свод практик'!$J$6:$J$277,'свод субъектов ИБ+смежные'!AP$1,'свод практик'!$H$6:$H$277,"мун")</f>
        <v>0</v>
      </c>
      <c r="AQ256" s="208">
        <f>SUMIFS('свод практик'!$CJ$6:$CJ$277,'свод практик'!$J$6:$J$277,'свод субъектов ИБ+смежные'!AQ$1,'свод практик'!$H$6:$H$277,"мун")</f>
        <v>0</v>
      </c>
      <c r="AR256" s="208">
        <f>SUMIFS('свод практик'!$CJ$6:$CJ$277,'свод практик'!$J$6:$J$277,'свод субъектов ИБ+смежные'!AR$1,'свод практик'!$H$6:$H$277,"мун")</f>
        <v>0</v>
      </c>
      <c r="AS256" s="208">
        <f>SUMIFS('свод практик'!$CJ$6:$CJ$277,'свод практик'!$J$6:$J$277,'свод субъектов ИБ+смежные'!AS$1,'свод практик'!$H$6:$H$277,"мун")</f>
        <v>0</v>
      </c>
      <c r="AT256" s="208">
        <f>SUMIFS('свод практик'!$CJ$6:$CJ$277,'свод практик'!$J$6:$J$277,'свод субъектов ИБ+смежные'!AT$1,'свод практик'!$H$6:$H$277,"мун")</f>
        <v>0</v>
      </c>
      <c r="AU256" s="208">
        <f>SUMIFS('свод практик'!$CJ$6:$CJ$277,'свод практик'!$J$6:$J$277,'свод субъектов ИБ+смежные'!AU$1,'свод практик'!$H$6:$H$277,"мун")</f>
        <v>4</v>
      </c>
      <c r="AV256" s="208">
        <f>SUMIFS('свод практик'!$CJ$6:$CJ$277,'свод практик'!$J$6:$J$277,'свод субъектов ИБ+смежные'!AV$1,'свод практик'!$H$6:$H$277,"мун")</f>
        <v>4</v>
      </c>
      <c r="AW256" s="208">
        <f>SUMIFS('свод практик'!$CJ$6:$CJ$277,'свод практик'!$J$6:$J$277,'свод субъектов ИБ+смежные'!AW$1,'свод практик'!$H$6:$H$277,"мун")</f>
        <v>0</v>
      </c>
      <c r="AX256" s="208">
        <f>SUMIFS('свод практик'!$CJ$6:$CJ$277,'свод практик'!$J$6:$J$277,'свод субъектов ИБ+смежные'!AX$1,'свод практик'!$H$6:$H$277,"мун")</f>
        <v>0</v>
      </c>
      <c r="AY256" s="208">
        <f>SUMIFS('свод практик'!$CJ$6:$CJ$277,'свод практик'!$J$6:$J$277,'свод субъектов ИБ+смежные'!AY$1,'свод практик'!$H$6:$H$277,"мун")</f>
        <v>0</v>
      </c>
      <c r="AZ256" s="208">
        <f>SUMIFS('свод практик'!$CJ$6:$CJ$277,'свод практик'!$J$6:$J$277,'свод субъектов ИБ+смежные'!AZ$1,'свод практик'!$H$6:$H$277,"мун")</f>
        <v>2</v>
      </c>
      <c r="BA256" s="208">
        <f>SUMIFS('свод практик'!$CJ$6:$CJ$277,'свод практик'!$J$6:$J$277,'свод субъектов ИБ+смежные'!BA$1,'свод практик'!$H$6:$H$277,"мун")</f>
        <v>0</v>
      </c>
      <c r="BB256" s="208">
        <f>SUMIFS('свод практик'!$CJ$6:$CJ$277,'свод практик'!$J$6:$J$277,'свод субъектов ИБ+смежные'!BB$1,'свод практик'!$H$6:$H$277,"мун")</f>
        <v>0</v>
      </c>
      <c r="BC256" s="208">
        <f>SUMIFS('свод практик'!$CJ$6:$CJ$277,'свод практик'!$J$6:$J$277,'свод субъектов ИБ+смежные'!BC$1,'свод практик'!$H$6:$H$277,"мун")</f>
        <v>0</v>
      </c>
      <c r="BD256" s="208">
        <f>SUMIFS('свод практик'!$CJ$6:$CJ$277,'свод практик'!$J$6:$J$277,'свод субъектов ИБ+смежные'!BD$1,'свод практик'!$H$6:$H$277,"мун")</f>
        <v>0</v>
      </c>
      <c r="BE256" s="208">
        <f>SUMIFS('свод практик'!$CJ$6:$CJ$277,'свод практик'!$J$6:$J$277,'свод субъектов ИБ+смежные'!BE$1,'свод практик'!$H$6:$H$277,"мун")</f>
        <v>0</v>
      </c>
      <c r="BF256" s="208">
        <f>SUMIFS('свод практик'!$CJ$6:$CJ$277,'свод практик'!$J$6:$J$277,'свод субъектов ИБ+смежные'!BF$1,'свод практик'!$H$6:$H$277,"мун")</f>
        <v>1</v>
      </c>
      <c r="BG256" s="208">
        <f>SUMIFS('свод практик'!$CJ$6:$CJ$277,'свод практик'!$J$6:$J$277,'свод субъектов ИБ+смежные'!BG$1,'свод практик'!$H$6:$H$277,"мун")</f>
        <v>0</v>
      </c>
      <c r="BH256" s="208">
        <f>SUMIFS('свод практик'!$CJ$6:$CJ$277,'свод практик'!$J$6:$J$277,'свод субъектов ИБ+смежные'!BH$1,'свод практик'!$H$6:$H$277,"мун")</f>
        <v>0</v>
      </c>
      <c r="BI256" s="208">
        <f>SUMIFS('свод практик'!$CJ$6:$CJ$277,'свод практик'!$J$6:$J$277,'свод субъектов ИБ+смежные'!BI$1,'свод практик'!$H$6:$H$277,"мун")</f>
        <v>0</v>
      </c>
      <c r="BJ256" s="208">
        <f>SUMIFS('свод практик'!$CJ$6:$CJ$277,'свод практик'!$J$6:$J$277,'свод субъектов ИБ+смежные'!BJ$1,'свод практик'!$H$6:$H$277,"мун")</f>
        <v>0</v>
      </c>
      <c r="BK256" s="208">
        <f>SUMIFS('свод практик'!$CJ$6:$CJ$277,'свод практик'!$J$6:$J$277,'свод субъектов ИБ+смежные'!BK$1,'свод практик'!$H$6:$H$277,"мун")</f>
        <v>0</v>
      </c>
      <c r="BL256" s="208">
        <f>SUMIFS('свод практик'!$CJ$6:$CJ$277,'свод практик'!$J$6:$J$277,'свод субъектов ИБ+смежные'!BL$1,'свод практик'!$H$6:$H$277,"мун")</f>
        <v>4</v>
      </c>
      <c r="BM256" s="208">
        <f>SUMIFS('свод практик'!$CJ$6:$CJ$277,'свод практик'!$J$6:$J$277,'свод субъектов ИБ+смежные'!BM$1,'свод практик'!$H$6:$H$277,"мун")</f>
        <v>2</v>
      </c>
      <c r="BN256" s="208">
        <f>SUMIFS('свод практик'!$CJ$6:$CJ$277,'свод практик'!$J$6:$J$277,'свод субъектов ИБ+смежные'!BN$1,'свод практик'!$H$6:$H$277,"мун")</f>
        <v>0</v>
      </c>
      <c r="BO256" s="208">
        <f>SUMIFS('свод практик'!$CJ$6:$CJ$277,'свод практик'!$J$6:$J$277,'свод субъектов ИБ+смежные'!BO$1,'свод практик'!$H$6:$H$277,"мун")</f>
        <v>4</v>
      </c>
      <c r="BP256" s="208">
        <f>SUMIFS('свод практик'!$CJ$6:$CJ$277,'свод практик'!$J$6:$J$277,'свод субъектов ИБ+смежные'!BP$1,'свод практик'!$H$6:$H$277,"мун")</f>
        <v>0</v>
      </c>
      <c r="BQ256" s="208">
        <f>SUMIFS('свод практик'!$CJ$6:$CJ$277,'свод практик'!$J$6:$J$277,'свод субъектов ИБ+смежные'!BQ$1,'свод практик'!$H$6:$H$277,"мун")</f>
        <v>0</v>
      </c>
      <c r="BR256" s="208">
        <f>SUMIFS('свод практик'!$CJ$6:$CJ$277,'свод практик'!$J$6:$J$277,'свод субъектов ИБ+смежные'!BR$1,'свод практик'!$H$6:$H$277,"мун")</f>
        <v>0</v>
      </c>
      <c r="BS256" s="208">
        <f>SUMIFS('свод практик'!$CJ$6:$CJ$277,'свод практик'!$J$6:$J$277,'свод субъектов ИБ+смежные'!BS$1,'свод практик'!$H$6:$H$277,"мун")</f>
        <v>0</v>
      </c>
      <c r="BT256" s="208">
        <f>SUMIFS('свод практик'!$CJ$6:$CJ$277,'свод практик'!$J$6:$J$277,'свод субъектов ИБ+смежные'!BT$1,'свод практик'!$H$6:$H$277,"мун")</f>
        <v>0</v>
      </c>
      <c r="BU256" s="208">
        <f>SUMIFS('свод практик'!$CJ$6:$CJ$277,'свод практик'!$J$6:$J$277,'свод субъектов ИБ+смежные'!BU$1,'свод практик'!$H$6:$H$277,"мун")</f>
        <v>55</v>
      </c>
      <c r="BV256" s="208">
        <f>SUMIFS('свод практик'!$CJ$6:$CJ$277,'свод практик'!$J$6:$J$277,'свод субъектов ИБ+смежные'!BV$1,'свод практик'!$H$6:$H$277,"мун")</f>
        <v>0</v>
      </c>
      <c r="BW256" s="208">
        <f>SUMIFS('свод практик'!$CJ$6:$CJ$277,'свод практик'!$J$6:$J$277,'свод субъектов ИБ+смежные'!BW$1,'свод практик'!$H$6:$H$277,"мун")</f>
        <v>0</v>
      </c>
      <c r="BX256" s="208">
        <f>SUMIFS('свод практик'!$CJ$6:$CJ$277,'свод практик'!$J$6:$J$277,'свод субъектов ИБ+смежные'!BX$1,'свод практик'!$H$6:$H$277,"мун")</f>
        <v>0</v>
      </c>
      <c r="BY256" s="208">
        <f>SUMIFS('свод практик'!$CJ$6:$CJ$277,'свод практик'!$J$6:$J$277,'свод субъектов ИБ+смежные'!BY$1,'свод практик'!$H$6:$H$277,"мун")</f>
        <v>0</v>
      </c>
      <c r="BZ256" s="208">
        <f>SUMIFS('свод практик'!$CJ$6:$CJ$277,'свод практик'!$J$6:$J$277,'свод субъектов ИБ+смежные'!BZ$1,'свод практик'!$H$6:$H$277,"мун")</f>
        <v>0</v>
      </c>
      <c r="CA256" s="208">
        <f>SUMIFS('свод практик'!$CJ$6:$CJ$277,'свод практик'!$J$6:$J$277,'свод субъектов ИБ+смежные'!CA$1,'свод практик'!$H$6:$H$277,"мун")</f>
        <v>0</v>
      </c>
      <c r="CB256" s="208">
        <f>SUMIFS('свод практик'!$CJ$6:$CJ$277,'свод практик'!$J$6:$J$277,'свод субъектов ИБ+смежные'!CB$1,'свод практик'!$H$6:$H$277,"мун")</f>
        <v>0</v>
      </c>
      <c r="CC256" s="208">
        <f>SUMIFS('свод практик'!$CJ$6:$CJ$277,'свод практик'!$J$6:$J$277,'свод субъектов ИБ+смежные'!CC$1,'свод практик'!$H$6:$H$277,"мун")</f>
        <v>0</v>
      </c>
      <c r="CD256" s="208">
        <f>SUMIFS('свод практик'!$CJ$6:$CJ$277,'свод практик'!$J$6:$J$277,'свод субъектов ИБ+смежные'!CD$1,'свод практик'!$H$6:$H$277,"мун")</f>
        <v>4</v>
      </c>
      <c r="CE256" s="208">
        <f>SUMIFS('свод практик'!$CJ$6:$CJ$277,'свод практик'!$J$6:$J$277,'свод субъектов ИБ+смежные'!CE$1,'свод практик'!$H$6:$H$277,"мун")</f>
        <v>0</v>
      </c>
      <c r="CF256" s="208">
        <f>SUMIFS('свод практик'!$CJ$6:$CJ$277,'свод практик'!$J$6:$J$277,'свод субъектов ИБ+смежные'!CF$1,'свод практик'!$H$6:$H$277,"мун")</f>
        <v>0</v>
      </c>
      <c r="CG256" s="208">
        <f>SUMIFS('свод практик'!$CJ$6:$CJ$277,'свод практик'!$J$6:$J$277,'свод субъектов ИБ+смежные'!CG$1,'свод практик'!$H$6:$H$277,"мун")</f>
        <v>0</v>
      </c>
      <c r="CH256" s="208">
        <f>SUMIFS('свод практик'!$CJ$6:$CJ$277,'свод практик'!$J$6:$J$277,'свод субъектов ИБ+смежные'!CH$1,'свод практик'!$H$6:$H$277,"мун")</f>
        <v>0</v>
      </c>
      <c r="CI256" s="208">
        <f>SUMIFS('свод практик'!$CJ$6:$CJ$277,'свод практик'!$J$6:$J$277,'свод субъектов ИБ+смежные'!CI$1,'свод практик'!$H$6:$H$277,"мун")</f>
        <v>0</v>
      </c>
      <c r="CJ256" s="208">
        <f>SUMIFS('свод практик'!$CJ$6:$CJ$277,'свод практик'!$J$6:$J$277,'свод субъектов ИБ+смежные'!CJ$1,'свод практик'!$H$6:$H$277,"мун")</f>
        <v>0</v>
      </c>
      <c r="CK256" s="208">
        <f>SUMIFS('свод практик'!$CJ$6:$CJ$277,'свод практик'!$J$6:$J$277,'свод субъектов ИБ+смежные'!CK$1,'свод практик'!$H$6:$H$277,"мун")</f>
        <v>0</v>
      </c>
      <c r="CL256" s="208">
        <f>SUMIFS('свод практик'!$CJ$6:$CJ$277,'свод практик'!$J$6:$J$277,'свод субъектов ИБ+смежные'!CL$1,'свод практик'!$H$6:$H$277,"мун")</f>
        <v>0</v>
      </c>
      <c r="CM256" s="208">
        <f>SUMIFS('свод практик'!$CJ$6:$CJ$277,'свод практик'!$J$6:$J$277,'свод субъектов ИБ+смежные'!CM$1,'свод практик'!$H$6:$H$277,"мун")</f>
        <v>9</v>
      </c>
      <c r="CN256" s="208">
        <f>SUMIFS('свод практик'!$CJ$6:$CJ$277,'свод практик'!$J$6:$J$277,'свод субъектов ИБ+смежные'!CN$1,'свод практик'!$H$6:$H$277,"мун")</f>
        <v>0</v>
      </c>
      <c r="CO256" s="208">
        <f>SUMIFS('свод практик'!$CJ$6:$CJ$277,'свод практик'!$J$6:$J$277,'свод субъектов ИБ+смежные'!CO$1,'свод практик'!$H$6:$H$277,"мун")</f>
        <v>0</v>
      </c>
      <c r="CP256" s="208">
        <f>SUMIFS('свод практик'!$CJ$6:$CJ$277,'свод практик'!$J$6:$J$277,'свод субъектов ИБ+смежные'!CP$1,'свод практик'!$H$6:$H$277,"мун")</f>
        <v>41</v>
      </c>
      <c r="CQ256" s="208">
        <f>SUMIFS('свод практик'!$CJ$6:$CJ$277,'свод практик'!$J$6:$J$277,'свод субъектов ИБ+смежные'!CQ$1,'свод практик'!$H$6:$H$277,"мун")</f>
        <v>0</v>
      </c>
      <c r="CR256" s="208">
        <f>SUMIFS('свод практик'!$CJ$6:$CJ$277,'свод практик'!$J$6:$J$277,'свод субъектов ИБ+смежные'!CR$1,'свод практик'!$H$6:$H$277,"мун")</f>
        <v>0</v>
      </c>
      <c r="CS256" s="208">
        <f>SUMIFS('свод практик'!$CJ$6:$CJ$277,'свод практик'!$J$6:$J$277,'свод субъектов ИБ+смежные'!CS$1,'свод практик'!$H$6:$H$277,"мун")</f>
        <v>0</v>
      </c>
      <c r="CT256" s="208">
        <f>SUMIFS('свод практик'!$CJ$6:$CJ$277,'свод практик'!$J$6:$J$277,'свод субъектов ИБ+смежные'!CT$1,'свод практик'!$H$6:$H$277,"мун")</f>
        <v>0</v>
      </c>
      <c r="CU256" s="208">
        <f>SUMIFS('свод практик'!$CJ$6:$CJ$277,'свод практик'!$J$6:$J$277,'свод субъектов ИБ+смежные'!CU$1,'свод практик'!$H$6:$H$277,"мун")</f>
        <v>11</v>
      </c>
      <c r="CV256" s="208">
        <f>SUMIFS('свод практик'!$CJ$6:$CJ$277,'свод практик'!$J$6:$J$277,'свод субъектов ИБ+смежные'!CV$1,'свод практик'!$H$6:$H$277,"мун")</f>
        <v>0</v>
      </c>
    </row>
    <row r="257" spans="4:100" ht="14">
      <c r="D257" s="36" t="s">
        <v>4949</v>
      </c>
      <c r="E257" s="36">
        <v>71</v>
      </c>
      <c r="F257" s="36" t="s">
        <v>5593</v>
      </c>
      <c r="H257" s="36" t="s">
        <v>60</v>
      </c>
      <c r="M257" s="36" t="s">
        <v>5497</v>
      </c>
      <c r="N257" s="36">
        <v>0.18607442977190877</v>
      </c>
      <c r="O257" s="226"/>
      <c r="Q257" s="194"/>
      <c r="R257" s="194"/>
      <c r="S257" s="194"/>
    </row>
    <row r="258" spans="4:100" s="208" customFormat="1" ht="14">
      <c r="D258" s="208" t="s">
        <v>4949</v>
      </c>
      <c r="E258" s="208">
        <v>72</v>
      </c>
      <c r="F258" s="208" t="s">
        <v>5594</v>
      </c>
      <c r="G258" s="208" t="s">
        <v>5175</v>
      </c>
      <c r="H258" s="208" t="s">
        <v>5140</v>
      </c>
      <c r="L258" s="208" t="s">
        <v>278</v>
      </c>
      <c r="M258" s="208" t="s">
        <v>5497</v>
      </c>
      <c r="N258" s="208">
        <v>22</v>
      </c>
      <c r="O258" s="226">
        <f t="shared" si="145"/>
        <v>30</v>
      </c>
      <c r="P258" s="208">
        <f>SUMIFS('свод практик'!$CK$6:$CK$277,'свод практик'!$J$6:$J$277,'свод субъектов ИБ+смежные'!P$1,'свод практик'!$H$6:$H$277,"мун")</f>
        <v>0</v>
      </c>
      <c r="Q258" s="208">
        <f>SUMIFS('свод практик'!$CK$6:$CK$277,'свод практик'!$J$6:$J$277,'свод субъектов ИБ+смежные'!Q$1,'свод практик'!$H$6:$H$277,"мун")</f>
        <v>0</v>
      </c>
      <c r="R258" s="208">
        <f>SUMIFS('свод практик'!$CK$6:$CK$277,'свод практик'!$J$6:$J$277,'свод субъектов ИБ+смежные'!R$1,'свод практик'!$H$6:$H$277,"мун")</f>
        <v>0</v>
      </c>
      <c r="S258" s="208">
        <f>SUMIFS('свод практик'!$CK$6:$CK$277,'свод практик'!$J$6:$J$277,'свод субъектов ИБ+смежные'!S$1,'свод практик'!$H$6:$H$277,"мун")</f>
        <v>0</v>
      </c>
      <c r="T258" s="208">
        <f>SUMIFS('свод практик'!$CK$6:$CK$277,'свод практик'!$J$6:$J$277,'свод субъектов ИБ+смежные'!T$1,'свод практик'!$H$6:$H$277,"мун")</f>
        <v>0</v>
      </c>
      <c r="U258" s="208">
        <f>SUMIFS('свод практик'!$CK$6:$CK$277,'свод практик'!$J$6:$J$277,'свод субъектов ИБ+смежные'!U$1,'свод практик'!$H$6:$H$277,"мун")</f>
        <v>0</v>
      </c>
      <c r="V258" s="208">
        <f>SUMIFS('свод практик'!$CK$6:$CK$277,'свод практик'!$J$6:$J$277,'свод субъектов ИБ+смежные'!V$1,'свод практик'!$H$6:$H$277,"мун")</f>
        <v>8</v>
      </c>
      <c r="W258" s="208">
        <f>SUMIFS('свод практик'!$CK$6:$CK$277,'свод практик'!$J$6:$J$277,'свод субъектов ИБ+смежные'!W$1,'свод практик'!$H$6:$H$277,"мун")</f>
        <v>0</v>
      </c>
      <c r="X258" s="208">
        <f>SUMIFS('свод практик'!$CK$6:$CK$277,'свод практик'!$J$6:$J$277,'свод субъектов ИБ+смежные'!X$1,'свод практик'!$H$6:$H$277,"мун")</f>
        <v>0</v>
      </c>
      <c r="Y258" s="208">
        <f>SUMIFS('свод практик'!$CK$6:$CK$277,'свод практик'!$J$6:$J$277,'свод субъектов ИБ+смежные'!Y$1,'свод практик'!$H$6:$H$277,"мун")</f>
        <v>0</v>
      </c>
      <c r="Z258" s="208">
        <f>SUMIFS('свод практик'!$CK$6:$CK$277,'свод практик'!$J$6:$J$277,'свод субъектов ИБ+смежные'!Z$1,'свод практик'!$H$6:$H$277,"мун")</f>
        <v>0</v>
      </c>
      <c r="AA258" s="208">
        <f>SUMIFS('свод практик'!$CK$6:$CK$277,'свод практик'!$J$6:$J$277,'свод субъектов ИБ+смежные'!AA$1,'свод практик'!$H$6:$H$277,"мун")</f>
        <v>0</v>
      </c>
      <c r="AB258" s="208">
        <f>SUMIFS('свод практик'!$CK$6:$CK$277,'свод практик'!$J$6:$J$277,'свод субъектов ИБ+смежные'!AB$1,'свод практик'!$H$6:$H$277,"мун")</f>
        <v>0</v>
      </c>
      <c r="AC258" s="208">
        <f>SUMIFS('свод практик'!$CK$6:$CK$277,'свод практик'!$J$6:$J$277,'свод субъектов ИБ+смежные'!AC$1,'свод практик'!$H$6:$H$277,"мун")</f>
        <v>0</v>
      </c>
      <c r="AD258" s="208">
        <f>SUMIFS('свод практик'!$CK$6:$CK$277,'свод практик'!$J$6:$J$277,'свод субъектов ИБ+смежные'!AD$1,'свод практик'!$H$6:$H$277,"мун")</f>
        <v>0</v>
      </c>
      <c r="AE258" s="208">
        <f>SUMIFS('свод практик'!$CK$6:$CK$277,'свод практик'!$J$6:$J$277,'свод субъектов ИБ+смежные'!AE$1,'свод практик'!$H$6:$H$277,"мун")</f>
        <v>0</v>
      </c>
      <c r="AF258" s="208">
        <f>SUMIFS('свод практик'!$CK$6:$CK$277,'свод практик'!$J$6:$J$277,'свод субъектов ИБ+смежные'!AF$1,'свод практик'!$H$6:$H$277,"мун")</f>
        <v>0</v>
      </c>
      <c r="AG258" s="208">
        <f>SUMIFS('свод практик'!$CK$6:$CK$277,'свод практик'!$J$6:$J$277,'свод субъектов ИБ+смежные'!AG$1,'свод практик'!$H$6:$H$277,"мун")</f>
        <v>0</v>
      </c>
      <c r="AH258" s="208">
        <f>SUMIFS('свод практик'!$CK$6:$CK$277,'свод практик'!$J$6:$J$277,'свод субъектов ИБ+смежные'!AH$1,'свод практик'!$H$6:$H$277,"мун")</f>
        <v>0</v>
      </c>
      <c r="AI258" s="208">
        <f>SUMIFS('свод практик'!$CK$6:$CK$277,'свод практик'!$J$6:$J$277,'свод субъектов ИБ+смежные'!AI$1,'свод практик'!$H$6:$H$277,"мун")</f>
        <v>0</v>
      </c>
      <c r="AJ258" s="208">
        <f>SUMIFS('свод практик'!$CK$6:$CK$277,'свод практик'!$J$6:$J$277,'свод субъектов ИБ+смежные'!AJ$1,'свод практик'!$H$6:$H$277,"мун")</f>
        <v>0</v>
      </c>
      <c r="AK258" s="208">
        <f>SUMIFS('свод практик'!$CK$6:$CK$277,'свод практик'!$J$6:$J$277,'свод субъектов ИБ+смежные'!AK$1,'свод практик'!$H$6:$H$277,"мун")</f>
        <v>0</v>
      </c>
      <c r="AL258" s="208">
        <f>SUMIFS('свод практик'!$CK$6:$CK$277,'свод практик'!$J$6:$J$277,'свод субъектов ИБ+смежные'!AL$1,'свод практик'!$H$6:$H$277,"мун")</f>
        <v>0</v>
      </c>
      <c r="AM258" s="208">
        <f>SUMIFS('свод практик'!$CK$6:$CK$277,'свод практик'!$J$6:$J$277,'свод субъектов ИБ+смежные'!AM$1,'свод практик'!$H$6:$H$277,"мун")</f>
        <v>2</v>
      </c>
      <c r="AN258" s="208">
        <f>SUMIFS('свод практик'!$CK$6:$CK$277,'свод практик'!$J$6:$J$277,'свод субъектов ИБ+смежные'!AN$1,'свод практик'!$H$6:$H$277,"мун")</f>
        <v>0</v>
      </c>
      <c r="AO258" s="208">
        <f>SUMIFS('свод практик'!$CK$6:$CK$277,'свод практик'!$J$6:$J$277,'свод субъектов ИБ+смежные'!AO$1,'свод практик'!$H$6:$H$277,"мун")</f>
        <v>0</v>
      </c>
      <c r="AP258" s="208">
        <f>SUMIFS('свод практик'!$CK$6:$CK$277,'свод практик'!$J$6:$J$277,'свод субъектов ИБ+смежные'!AP$1,'свод практик'!$H$6:$H$277,"мун")</f>
        <v>0</v>
      </c>
      <c r="AQ258" s="208">
        <f>SUMIFS('свод практик'!$CK$6:$CK$277,'свод практик'!$J$6:$J$277,'свод субъектов ИБ+смежные'!AQ$1,'свод практик'!$H$6:$H$277,"мун")</f>
        <v>0</v>
      </c>
      <c r="AR258" s="208">
        <f>SUMIFS('свод практик'!$CK$6:$CK$277,'свод практик'!$J$6:$J$277,'свод субъектов ИБ+смежные'!AR$1,'свод практик'!$H$6:$H$277,"мун")</f>
        <v>0</v>
      </c>
      <c r="AS258" s="208">
        <f>SUMIFS('свод практик'!$CK$6:$CK$277,'свод практик'!$J$6:$J$277,'свод субъектов ИБ+смежные'!AS$1,'свод практик'!$H$6:$H$277,"мун")</f>
        <v>0</v>
      </c>
      <c r="AT258" s="208">
        <f>SUMIFS('свод практик'!$CK$6:$CK$277,'свод практик'!$J$6:$J$277,'свод субъектов ИБ+смежные'!AT$1,'свод практик'!$H$6:$H$277,"мун")</f>
        <v>0</v>
      </c>
      <c r="AU258" s="208">
        <f>SUMIFS('свод практик'!$CK$6:$CK$277,'свод практик'!$J$6:$J$277,'свод субъектов ИБ+смежные'!AU$1,'свод практик'!$H$6:$H$277,"мун")</f>
        <v>0</v>
      </c>
      <c r="AV258" s="208">
        <f>SUMIFS('свод практик'!$CK$6:$CK$277,'свод практик'!$J$6:$J$277,'свод субъектов ИБ+смежные'!AV$1,'свод практик'!$H$6:$H$277,"мун")</f>
        <v>0</v>
      </c>
      <c r="AW258" s="208">
        <f>SUMIFS('свод практик'!$CK$6:$CK$277,'свод практик'!$J$6:$J$277,'свод субъектов ИБ+смежные'!AW$1,'свод практик'!$H$6:$H$277,"мун")</f>
        <v>0</v>
      </c>
      <c r="AX258" s="208">
        <f>SUMIFS('свод практик'!$CK$6:$CK$277,'свод практик'!$J$6:$J$277,'свод субъектов ИБ+смежные'!AX$1,'свод практик'!$H$6:$H$277,"мун")</f>
        <v>0</v>
      </c>
      <c r="AY258" s="208">
        <f>SUMIFS('свод практик'!$CK$6:$CK$277,'свод практик'!$J$6:$J$277,'свод субъектов ИБ+смежные'!AY$1,'свод практик'!$H$6:$H$277,"мун")</f>
        <v>0</v>
      </c>
      <c r="AZ258" s="208">
        <f>SUMIFS('свод практик'!$CK$6:$CK$277,'свод практик'!$J$6:$J$277,'свод субъектов ИБ+смежные'!AZ$1,'свод практик'!$H$6:$H$277,"мун")</f>
        <v>0</v>
      </c>
      <c r="BA258" s="208">
        <f>SUMIFS('свод практик'!$CK$6:$CK$277,'свод практик'!$J$6:$J$277,'свод субъектов ИБ+смежные'!BA$1,'свод практик'!$H$6:$H$277,"мун")</f>
        <v>0</v>
      </c>
      <c r="BB258" s="208">
        <f>SUMIFS('свод практик'!$CK$6:$CK$277,'свод практик'!$J$6:$J$277,'свод субъектов ИБ+смежные'!BB$1,'свод практик'!$H$6:$H$277,"мун")</f>
        <v>0</v>
      </c>
      <c r="BC258" s="208">
        <f>SUMIFS('свод практик'!$CK$6:$CK$277,'свод практик'!$J$6:$J$277,'свод субъектов ИБ+смежные'!BC$1,'свод практик'!$H$6:$H$277,"мун")</f>
        <v>0</v>
      </c>
      <c r="BD258" s="208">
        <f>SUMIFS('свод практик'!$CK$6:$CK$277,'свод практик'!$J$6:$J$277,'свод субъектов ИБ+смежные'!BD$1,'свод практик'!$H$6:$H$277,"мун")</f>
        <v>0</v>
      </c>
      <c r="BE258" s="208">
        <f>SUMIFS('свод практик'!$CK$6:$CK$277,'свод практик'!$J$6:$J$277,'свод субъектов ИБ+смежные'!BE$1,'свод практик'!$H$6:$H$277,"мун")</f>
        <v>0</v>
      </c>
      <c r="BF258" s="208">
        <f>SUMIFS('свод практик'!$CK$6:$CK$277,'свод практик'!$J$6:$J$277,'свод субъектов ИБ+смежные'!BF$1,'свод практик'!$H$6:$H$277,"мун")</f>
        <v>0</v>
      </c>
      <c r="BG258" s="208">
        <f>SUMIFS('свод практик'!$CK$6:$CK$277,'свод практик'!$J$6:$J$277,'свод субъектов ИБ+смежные'!BG$1,'свод практик'!$H$6:$H$277,"мун")</f>
        <v>0</v>
      </c>
      <c r="BH258" s="208">
        <f>SUMIFS('свод практик'!$CK$6:$CK$277,'свод практик'!$J$6:$J$277,'свод субъектов ИБ+смежные'!BH$1,'свод практик'!$H$6:$H$277,"мун")</f>
        <v>0</v>
      </c>
      <c r="BI258" s="208">
        <f>SUMIFS('свод практик'!$CK$6:$CK$277,'свод практик'!$J$6:$J$277,'свод субъектов ИБ+смежные'!BI$1,'свод практик'!$H$6:$H$277,"мун")</f>
        <v>0</v>
      </c>
      <c r="BJ258" s="208">
        <f>SUMIFS('свод практик'!$CK$6:$CK$277,'свод практик'!$J$6:$J$277,'свод субъектов ИБ+смежные'!BJ$1,'свод практик'!$H$6:$H$277,"мун")</f>
        <v>0</v>
      </c>
      <c r="BK258" s="208">
        <f>SUMIFS('свод практик'!$CK$6:$CK$277,'свод практик'!$J$6:$J$277,'свод субъектов ИБ+смежные'!BK$1,'свод практик'!$H$6:$H$277,"мун")</f>
        <v>0</v>
      </c>
      <c r="BL258" s="208">
        <f>SUMIFS('свод практик'!$CK$6:$CK$277,'свод практик'!$J$6:$J$277,'свод субъектов ИБ+смежные'!BL$1,'свод практик'!$H$6:$H$277,"мун")</f>
        <v>1</v>
      </c>
      <c r="BM258" s="208">
        <f>SUMIFS('свод практик'!$CK$6:$CK$277,'свод практик'!$J$6:$J$277,'свод субъектов ИБ+смежные'!BM$1,'свод практик'!$H$6:$H$277,"мун")</f>
        <v>9</v>
      </c>
      <c r="BN258" s="208">
        <f>SUMIFS('свод практик'!$CK$6:$CK$277,'свод практик'!$J$6:$J$277,'свод субъектов ИБ+смежные'!BN$1,'свод практик'!$H$6:$H$277,"мун")</f>
        <v>0</v>
      </c>
      <c r="BO258" s="208">
        <f>SUMIFS('свод практик'!$CK$6:$CK$277,'свод практик'!$J$6:$J$277,'свод субъектов ИБ+смежные'!BO$1,'свод практик'!$H$6:$H$277,"мун")</f>
        <v>0</v>
      </c>
      <c r="BP258" s="208">
        <f>SUMIFS('свод практик'!$CK$6:$CK$277,'свод практик'!$J$6:$J$277,'свод субъектов ИБ+смежные'!BP$1,'свод практик'!$H$6:$H$277,"мун")</f>
        <v>0</v>
      </c>
      <c r="BQ258" s="208">
        <f>SUMIFS('свод практик'!$CK$6:$CK$277,'свод практик'!$J$6:$J$277,'свод субъектов ИБ+смежные'!BQ$1,'свод практик'!$H$6:$H$277,"мун")</f>
        <v>0</v>
      </c>
      <c r="BR258" s="208">
        <f>SUMIFS('свод практик'!$CK$6:$CK$277,'свод практик'!$J$6:$J$277,'свод субъектов ИБ+смежные'!BR$1,'свод практик'!$H$6:$H$277,"мун")</f>
        <v>0</v>
      </c>
      <c r="BS258" s="208">
        <f>SUMIFS('свод практик'!$CK$6:$CK$277,'свод практик'!$J$6:$J$277,'свод субъектов ИБ+смежные'!BS$1,'свод практик'!$H$6:$H$277,"мун")</f>
        <v>0</v>
      </c>
      <c r="BT258" s="208">
        <f>SUMIFS('свод практик'!$CK$6:$CK$277,'свод практик'!$J$6:$J$277,'свод субъектов ИБ+смежные'!BT$1,'свод практик'!$H$6:$H$277,"мун")</f>
        <v>0</v>
      </c>
      <c r="BU258" s="208">
        <f>SUMIFS('свод практик'!$CK$6:$CK$277,'свод практик'!$J$6:$J$277,'свод субъектов ИБ+смежные'!BU$1,'свод практик'!$H$6:$H$277,"мун")</f>
        <v>0</v>
      </c>
      <c r="BV258" s="208">
        <f>SUMIFS('свод практик'!$CK$6:$CK$277,'свод практик'!$J$6:$J$277,'свод субъектов ИБ+смежные'!BV$1,'свод практик'!$H$6:$H$277,"мун")</f>
        <v>0</v>
      </c>
      <c r="BW258" s="208">
        <f>SUMIFS('свод практик'!$CK$6:$CK$277,'свод практик'!$J$6:$J$277,'свод субъектов ИБ+смежные'!BW$1,'свод практик'!$H$6:$H$277,"мун")</f>
        <v>0</v>
      </c>
      <c r="BX258" s="208">
        <f>SUMIFS('свод практик'!$CK$6:$CK$277,'свод практик'!$J$6:$J$277,'свод субъектов ИБ+смежные'!BX$1,'свод практик'!$H$6:$H$277,"мун")</f>
        <v>0</v>
      </c>
      <c r="BY258" s="208">
        <f>SUMIFS('свод практик'!$CK$6:$CK$277,'свод практик'!$J$6:$J$277,'свод субъектов ИБ+смежные'!BY$1,'свод практик'!$H$6:$H$277,"мун")</f>
        <v>0</v>
      </c>
      <c r="BZ258" s="208">
        <f>SUMIFS('свод практик'!$CK$6:$CK$277,'свод практик'!$J$6:$J$277,'свод субъектов ИБ+смежные'!BZ$1,'свод практик'!$H$6:$H$277,"мун")</f>
        <v>0</v>
      </c>
      <c r="CA258" s="208">
        <f>SUMIFS('свод практик'!$CK$6:$CK$277,'свод практик'!$J$6:$J$277,'свод субъектов ИБ+смежные'!CA$1,'свод практик'!$H$6:$H$277,"мун")</f>
        <v>0</v>
      </c>
      <c r="CB258" s="208">
        <f>SUMIFS('свод практик'!$CK$6:$CK$277,'свод практик'!$J$6:$J$277,'свод субъектов ИБ+смежные'!CB$1,'свод практик'!$H$6:$H$277,"мун")</f>
        <v>0</v>
      </c>
      <c r="CC258" s="208">
        <f>SUMIFS('свод практик'!$CK$6:$CK$277,'свод практик'!$J$6:$J$277,'свод субъектов ИБ+смежные'!CC$1,'свод практик'!$H$6:$H$277,"мун")</f>
        <v>0</v>
      </c>
      <c r="CD258" s="208">
        <f>SUMIFS('свод практик'!$CK$6:$CK$277,'свод практик'!$J$6:$J$277,'свод субъектов ИБ+смежные'!CD$1,'свод практик'!$H$6:$H$277,"мун")</f>
        <v>0</v>
      </c>
      <c r="CE258" s="208">
        <f>SUMIFS('свод практик'!$CK$6:$CK$277,'свод практик'!$J$6:$J$277,'свод субъектов ИБ+смежные'!CE$1,'свод практик'!$H$6:$H$277,"мун")</f>
        <v>0</v>
      </c>
      <c r="CF258" s="208">
        <f>SUMIFS('свод практик'!$CK$6:$CK$277,'свод практик'!$J$6:$J$277,'свод субъектов ИБ+смежные'!CF$1,'свод практик'!$H$6:$H$277,"мун")</f>
        <v>0</v>
      </c>
      <c r="CG258" s="208">
        <f>SUMIFS('свод практик'!$CK$6:$CK$277,'свод практик'!$J$6:$J$277,'свод субъектов ИБ+смежные'!CG$1,'свод практик'!$H$6:$H$277,"мун")</f>
        <v>0</v>
      </c>
      <c r="CH258" s="208">
        <f>SUMIFS('свод практик'!$CK$6:$CK$277,'свод практик'!$J$6:$J$277,'свод субъектов ИБ+смежные'!CH$1,'свод практик'!$H$6:$H$277,"мун")</f>
        <v>0</v>
      </c>
      <c r="CI258" s="208">
        <f>SUMIFS('свод практик'!$CK$6:$CK$277,'свод практик'!$J$6:$J$277,'свод субъектов ИБ+смежные'!CI$1,'свод практик'!$H$6:$H$277,"мун")</f>
        <v>0</v>
      </c>
      <c r="CJ258" s="208">
        <f>SUMIFS('свод практик'!$CK$6:$CK$277,'свод практик'!$J$6:$J$277,'свод субъектов ИБ+смежные'!CJ$1,'свод практик'!$H$6:$H$277,"мун")</f>
        <v>0</v>
      </c>
      <c r="CK258" s="208">
        <f>SUMIFS('свод практик'!$CK$6:$CK$277,'свод практик'!$J$6:$J$277,'свод субъектов ИБ+смежные'!CK$1,'свод практик'!$H$6:$H$277,"мун")</f>
        <v>0</v>
      </c>
      <c r="CL258" s="208">
        <f>SUMIFS('свод практик'!$CK$6:$CK$277,'свод практик'!$J$6:$J$277,'свод субъектов ИБ+смежные'!CL$1,'свод практик'!$H$6:$H$277,"мун")</f>
        <v>1</v>
      </c>
      <c r="CM258" s="208">
        <f>SUMIFS('свод практик'!$CK$6:$CK$277,'свод практик'!$J$6:$J$277,'свод субъектов ИБ+смежные'!CM$1,'свод практик'!$H$6:$H$277,"мун")</f>
        <v>2</v>
      </c>
      <c r="CN258" s="208">
        <f>SUMIFS('свод практик'!$CK$6:$CK$277,'свод практик'!$J$6:$J$277,'свод субъектов ИБ+смежные'!CN$1,'свод практик'!$H$6:$H$277,"мун")</f>
        <v>0</v>
      </c>
      <c r="CO258" s="208">
        <f>SUMIFS('свод практик'!$CK$6:$CK$277,'свод практик'!$J$6:$J$277,'свод субъектов ИБ+смежные'!CO$1,'свод практик'!$H$6:$H$277,"мун")</f>
        <v>0</v>
      </c>
      <c r="CP258" s="208">
        <f>SUMIFS('свод практик'!$CK$6:$CK$277,'свод практик'!$J$6:$J$277,'свод субъектов ИБ+смежные'!CP$1,'свод практик'!$H$6:$H$277,"мун")</f>
        <v>5</v>
      </c>
      <c r="CQ258" s="208">
        <f>SUMIFS('свод практик'!$CK$6:$CK$277,'свод практик'!$J$6:$J$277,'свод субъектов ИБ+смежные'!CQ$1,'свод практик'!$H$6:$H$277,"мун")</f>
        <v>0</v>
      </c>
      <c r="CR258" s="208">
        <f>SUMIFS('свод практик'!$CK$6:$CK$277,'свод практик'!$J$6:$J$277,'свод субъектов ИБ+смежные'!CR$1,'свод практик'!$H$6:$H$277,"мун")</f>
        <v>0</v>
      </c>
      <c r="CS258" s="208">
        <f>SUMIFS('свод практик'!$CK$6:$CK$277,'свод практик'!$J$6:$J$277,'свод субъектов ИБ+смежные'!CS$1,'свод практик'!$H$6:$H$277,"мун")</f>
        <v>0</v>
      </c>
      <c r="CT258" s="208">
        <f>SUMIFS('свод практик'!$CK$6:$CK$277,'свод практик'!$J$6:$J$277,'свод субъектов ИБ+смежные'!CT$1,'свод практик'!$H$6:$H$277,"мун")</f>
        <v>0</v>
      </c>
      <c r="CU258" s="208">
        <f>SUMIFS('свод практик'!$CK$6:$CK$277,'свод практик'!$J$6:$J$277,'свод субъектов ИБ+смежные'!CU$1,'свод практик'!$H$6:$H$277,"мун")</f>
        <v>2</v>
      </c>
      <c r="CV258" s="208">
        <f>SUMIFS('свод практик'!$CK$6:$CK$277,'свод практик'!$J$6:$J$277,'свод субъектов ИБ+смежные'!CV$1,'свод практик'!$H$6:$H$277,"мун")</f>
        <v>0</v>
      </c>
    </row>
    <row r="259" spans="4:100" ht="14">
      <c r="D259" s="36" t="s">
        <v>4949</v>
      </c>
      <c r="E259" s="36">
        <v>73</v>
      </c>
      <c r="F259" s="36" t="s">
        <v>5595</v>
      </c>
      <c r="H259" s="36" t="s">
        <v>60</v>
      </c>
      <c r="M259" s="36" t="s">
        <v>5497</v>
      </c>
      <c r="N259" s="36">
        <v>2.6410564225690276E-2</v>
      </c>
      <c r="O259" s="226"/>
      <c r="Q259" s="194"/>
      <c r="R259" s="194"/>
      <c r="S259" s="194"/>
    </row>
    <row r="260" spans="4:100" s="208" customFormat="1" ht="28">
      <c r="D260" s="208" t="s">
        <v>4949</v>
      </c>
      <c r="E260" s="208">
        <v>74</v>
      </c>
      <c r="F260" s="208" t="s">
        <v>5596</v>
      </c>
      <c r="G260" s="208" t="s">
        <v>5178</v>
      </c>
      <c r="H260" s="208" t="s">
        <v>5140</v>
      </c>
      <c r="L260" s="208" t="s">
        <v>278</v>
      </c>
      <c r="M260" s="208" t="s">
        <v>5497</v>
      </c>
      <c r="N260" s="208">
        <v>1</v>
      </c>
      <c r="O260" s="226">
        <f t="shared" si="145"/>
        <v>6</v>
      </c>
      <c r="P260" s="208">
        <f>SUMIFS('свод практик'!$CL$6:$CL$277,'свод практик'!$J$6:$J$277,'свод субъектов ИБ+смежные'!P$1,'свод практик'!$H$6:$H$277,"мун")</f>
        <v>0</v>
      </c>
      <c r="Q260" s="208">
        <f>SUMIFS('свод практик'!$CL$6:$CL$277,'свод практик'!$J$6:$J$277,'свод субъектов ИБ+смежные'!Q$1,'свод практик'!$H$6:$H$277,"мун")</f>
        <v>0</v>
      </c>
      <c r="R260" s="208">
        <f>SUMIFS('свод практик'!$CL$6:$CL$277,'свод практик'!$J$6:$J$277,'свод субъектов ИБ+смежные'!R$1,'свод практик'!$H$6:$H$277,"мун")</f>
        <v>0</v>
      </c>
      <c r="S260" s="208">
        <f>SUMIFS('свод практик'!$CL$6:$CL$277,'свод практик'!$J$6:$J$277,'свод субъектов ИБ+смежные'!S$1,'свод практик'!$H$6:$H$277,"мун")</f>
        <v>0</v>
      </c>
      <c r="T260" s="208">
        <f>SUMIFS('свод практик'!$CL$6:$CL$277,'свод практик'!$J$6:$J$277,'свод субъектов ИБ+смежные'!T$1,'свод практик'!$H$6:$H$277,"мун")</f>
        <v>0</v>
      </c>
      <c r="U260" s="208">
        <f>SUMIFS('свод практик'!$CL$6:$CL$277,'свод практик'!$J$6:$J$277,'свод субъектов ИБ+смежные'!U$1,'свод практик'!$H$6:$H$277,"мун")</f>
        <v>0</v>
      </c>
      <c r="V260" s="208">
        <f>SUMIFS('свод практик'!$CL$6:$CL$277,'свод практик'!$J$6:$J$277,'свод субъектов ИБ+смежные'!V$1,'свод практик'!$H$6:$H$277,"мун")</f>
        <v>0</v>
      </c>
      <c r="W260" s="208">
        <f>SUMIFS('свод практик'!$CL$6:$CL$277,'свод практик'!$J$6:$J$277,'свод субъектов ИБ+смежные'!W$1,'свод практик'!$H$6:$H$277,"мун")</f>
        <v>0</v>
      </c>
      <c r="X260" s="208">
        <f>SUMIFS('свод практик'!$CL$6:$CL$277,'свод практик'!$J$6:$J$277,'свод субъектов ИБ+смежные'!X$1,'свод практик'!$H$6:$H$277,"мун")</f>
        <v>0</v>
      </c>
      <c r="Y260" s="208">
        <f>SUMIFS('свод практик'!$CL$6:$CL$277,'свод практик'!$J$6:$J$277,'свод субъектов ИБ+смежные'!Y$1,'свод практик'!$H$6:$H$277,"мун")</f>
        <v>0</v>
      </c>
      <c r="Z260" s="208">
        <f>SUMIFS('свод практик'!$CL$6:$CL$277,'свод практик'!$J$6:$J$277,'свод субъектов ИБ+смежные'!Z$1,'свод практик'!$H$6:$H$277,"мун")</f>
        <v>0</v>
      </c>
      <c r="AA260" s="208">
        <f>SUMIFS('свод практик'!$CL$6:$CL$277,'свод практик'!$J$6:$J$277,'свод субъектов ИБ+смежные'!AA$1,'свод практик'!$H$6:$H$277,"мун")</f>
        <v>0</v>
      </c>
      <c r="AB260" s="208">
        <f>SUMIFS('свод практик'!$CL$6:$CL$277,'свод практик'!$J$6:$J$277,'свод субъектов ИБ+смежные'!AB$1,'свод практик'!$H$6:$H$277,"мун")</f>
        <v>0</v>
      </c>
      <c r="AC260" s="208">
        <f>SUMIFS('свод практик'!$CL$6:$CL$277,'свод практик'!$J$6:$J$277,'свод субъектов ИБ+смежные'!AC$1,'свод практик'!$H$6:$H$277,"мун")</f>
        <v>0</v>
      </c>
      <c r="AD260" s="208">
        <f>SUMIFS('свод практик'!$CL$6:$CL$277,'свод практик'!$J$6:$J$277,'свод субъектов ИБ+смежные'!AD$1,'свод практик'!$H$6:$H$277,"мун")</f>
        <v>0</v>
      </c>
      <c r="AE260" s="208">
        <f>SUMIFS('свод практик'!$CL$6:$CL$277,'свод практик'!$J$6:$J$277,'свод субъектов ИБ+смежные'!AE$1,'свод практик'!$H$6:$H$277,"мун")</f>
        <v>0</v>
      </c>
      <c r="AF260" s="208">
        <f>SUMIFS('свод практик'!$CL$6:$CL$277,'свод практик'!$J$6:$J$277,'свод субъектов ИБ+смежные'!AF$1,'свод практик'!$H$6:$H$277,"мун")</f>
        <v>0</v>
      </c>
      <c r="AG260" s="208">
        <f>SUMIFS('свод практик'!$CL$6:$CL$277,'свод практик'!$J$6:$J$277,'свод субъектов ИБ+смежные'!AG$1,'свод практик'!$H$6:$H$277,"мун")</f>
        <v>0</v>
      </c>
      <c r="AH260" s="208">
        <f>SUMIFS('свод практик'!$CL$6:$CL$277,'свод практик'!$J$6:$J$277,'свод субъектов ИБ+смежные'!AH$1,'свод практик'!$H$6:$H$277,"мун")</f>
        <v>0</v>
      </c>
      <c r="AI260" s="208">
        <f>SUMIFS('свод практик'!$CL$6:$CL$277,'свод практик'!$J$6:$J$277,'свод субъектов ИБ+смежные'!AI$1,'свод практик'!$H$6:$H$277,"мун")</f>
        <v>0</v>
      </c>
      <c r="AJ260" s="208">
        <f>SUMIFS('свод практик'!$CL$6:$CL$277,'свод практик'!$J$6:$J$277,'свод субъектов ИБ+смежные'!AJ$1,'свод практик'!$H$6:$H$277,"мун")</f>
        <v>0</v>
      </c>
      <c r="AK260" s="208">
        <f>SUMIFS('свод практик'!$CL$6:$CL$277,'свод практик'!$J$6:$J$277,'свод субъектов ИБ+смежные'!AK$1,'свод практик'!$H$6:$H$277,"мун")</f>
        <v>0</v>
      </c>
      <c r="AL260" s="208">
        <f>SUMIFS('свод практик'!$CL$6:$CL$277,'свод практик'!$J$6:$J$277,'свод субъектов ИБ+смежные'!AL$1,'свод практик'!$H$6:$H$277,"мун")</f>
        <v>0</v>
      </c>
      <c r="AM260" s="208">
        <f>SUMIFS('свод практик'!$CL$6:$CL$277,'свод практик'!$J$6:$J$277,'свод субъектов ИБ+смежные'!AM$1,'свод практик'!$H$6:$H$277,"мун")</f>
        <v>0</v>
      </c>
      <c r="AN260" s="208">
        <f>SUMIFS('свод практик'!$CL$6:$CL$277,'свод практик'!$J$6:$J$277,'свод субъектов ИБ+смежные'!AN$1,'свод практик'!$H$6:$H$277,"мун")</f>
        <v>0</v>
      </c>
      <c r="AO260" s="208">
        <f>SUMIFS('свод практик'!$CL$6:$CL$277,'свод практик'!$J$6:$J$277,'свод субъектов ИБ+смежные'!AO$1,'свод практик'!$H$6:$H$277,"мун")</f>
        <v>0</v>
      </c>
      <c r="AP260" s="208">
        <f>SUMIFS('свод практик'!$CL$6:$CL$277,'свод практик'!$J$6:$J$277,'свод субъектов ИБ+смежные'!AP$1,'свод практик'!$H$6:$H$277,"мун")</f>
        <v>0</v>
      </c>
      <c r="AQ260" s="208">
        <f>SUMIFS('свод практик'!$CL$6:$CL$277,'свод практик'!$J$6:$J$277,'свод субъектов ИБ+смежные'!AQ$1,'свод практик'!$H$6:$H$277,"мун")</f>
        <v>0</v>
      </c>
      <c r="AR260" s="208">
        <f>SUMIFS('свод практик'!$CL$6:$CL$277,'свод практик'!$J$6:$J$277,'свод субъектов ИБ+смежные'!AR$1,'свод практик'!$H$6:$H$277,"мун")</f>
        <v>0</v>
      </c>
      <c r="AS260" s="208">
        <f>SUMIFS('свод практик'!$CL$6:$CL$277,'свод практик'!$J$6:$J$277,'свод субъектов ИБ+смежные'!AS$1,'свод практик'!$H$6:$H$277,"мун")</f>
        <v>0</v>
      </c>
      <c r="AT260" s="208">
        <f>SUMIFS('свод практик'!$CL$6:$CL$277,'свод практик'!$J$6:$J$277,'свод субъектов ИБ+смежные'!AT$1,'свод практик'!$H$6:$H$277,"мун")</f>
        <v>0</v>
      </c>
      <c r="AU260" s="208">
        <f>SUMIFS('свод практик'!$CL$6:$CL$277,'свод практик'!$J$6:$J$277,'свод субъектов ИБ+смежные'!AU$1,'свод практик'!$H$6:$H$277,"мун")</f>
        <v>0</v>
      </c>
      <c r="AV260" s="208">
        <f>SUMIFS('свод практик'!$CL$6:$CL$277,'свод практик'!$J$6:$J$277,'свод субъектов ИБ+смежные'!AV$1,'свод практик'!$H$6:$H$277,"мун")</f>
        <v>0</v>
      </c>
      <c r="AW260" s="208">
        <f>SUMIFS('свод практик'!$CL$6:$CL$277,'свод практик'!$J$6:$J$277,'свод субъектов ИБ+смежные'!AW$1,'свод практик'!$H$6:$H$277,"мун")</f>
        <v>0</v>
      </c>
      <c r="AX260" s="208">
        <f>SUMIFS('свод практик'!$CL$6:$CL$277,'свод практик'!$J$6:$J$277,'свод субъектов ИБ+смежные'!AX$1,'свод практик'!$H$6:$H$277,"мун")</f>
        <v>0</v>
      </c>
      <c r="AY260" s="208">
        <f>SUMIFS('свод практик'!$CL$6:$CL$277,'свод практик'!$J$6:$J$277,'свод субъектов ИБ+смежные'!AY$1,'свод практик'!$H$6:$H$277,"мун")</f>
        <v>0</v>
      </c>
      <c r="AZ260" s="208">
        <f>SUMIFS('свод практик'!$CL$6:$CL$277,'свод практик'!$J$6:$J$277,'свод субъектов ИБ+смежные'!AZ$1,'свод практик'!$H$6:$H$277,"мун")</f>
        <v>0</v>
      </c>
      <c r="BA260" s="208">
        <f>SUMIFS('свод практик'!$CL$6:$CL$277,'свод практик'!$J$6:$J$277,'свод субъектов ИБ+смежные'!BA$1,'свод практик'!$H$6:$H$277,"мун")</f>
        <v>0</v>
      </c>
      <c r="BB260" s="208">
        <f>SUMIFS('свод практик'!$CL$6:$CL$277,'свод практик'!$J$6:$J$277,'свод субъектов ИБ+смежные'!BB$1,'свод практик'!$H$6:$H$277,"мун")</f>
        <v>0</v>
      </c>
      <c r="BC260" s="208">
        <f>SUMIFS('свод практик'!$CL$6:$CL$277,'свод практик'!$J$6:$J$277,'свод субъектов ИБ+смежные'!BC$1,'свод практик'!$H$6:$H$277,"мун")</f>
        <v>0</v>
      </c>
      <c r="BD260" s="208">
        <f>SUMIFS('свод практик'!$CL$6:$CL$277,'свод практик'!$J$6:$J$277,'свод субъектов ИБ+смежные'!BD$1,'свод практик'!$H$6:$H$277,"мун")</f>
        <v>0</v>
      </c>
      <c r="BE260" s="208">
        <f>SUMIFS('свод практик'!$CL$6:$CL$277,'свод практик'!$J$6:$J$277,'свод субъектов ИБ+смежные'!BE$1,'свод практик'!$H$6:$H$277,"мун")</f>
        <v>0</v>
      </c>
      <c r="BF260" s="208">
        <f>SUMIFS('свод практик'!$CL$6:$CL$277,'свод практик'!$J$6:$J$277,'свод субъектов ИБ+смежные'!BF$1,'свод практик'!$H$6:$H$277,"мун")</f>
        <v>0</v>
      </c>
      <c r="BG260" s="208">
        <f>SUMIFS('свод практик'!$CL$6:$CL$277,'свод практик'!$J$6:$J$277,'свод субъектов ИБ+смежные'!BG$1,'свод практик'!$H$6:$H$277,"мун")</f>
        <v>0</v>
      </c>
      <c r="BH260" s="208">
        <f>SUMIFS('свод практик'!$CL$6:$CL$277,'свод практик'!$J$6:$J$277,'свод субъектов ИБ+смежные'!BH$1,'свод практик'!$H$6:$H$277,"мун")</f>
        <v>0</v>
      </c>
      <c r="BI260" s="208">
        <f>SUMIFS('свод практик'!$CL$6:$CL$277,'свод практик'!$J$6:$J$277,'свод субъектов ИБ+смежные'!BI$1,'свод практик'!$H$6:$H$277,"мун")</f>
        <v>0</v>
      </c>
      <c r="BJ260" s="208">
        <f>SUMIFS('свод практик'!$CL$6:$CL$277,'свод практик'!$J$6:$J$277,'свод субъектов ИБ+смежные'!BJ$1,'свод практик'!$H$6:$H$277,"мун")</f>
        <v>0</v>
      </c>
      <c r="BK260" s="208">
        <f>SUMIFS('свод практик'!$CL$6:$CL$277,'свод практик'!$J$6:$J$277,'свод субъектов ИБ+смежные'!BK$1,'свод практик'!$H$6:$H$277,"мун")</f>
        <v>0</v>
      </c>
      <c r="BL260" s="208">
        <f>SUMIFS('свод практик'!$CL$6:$CL$277,'свод практик'!$J$6:$J$277,'свод субъектов ИБ+смежные'!BL$1,'свод практик'!$H$6:$H$277,"мун")</f>
        <v>1</v>
      </c>
      <c r="BM260" s="208">
        <f>SUMIFS('свод практик'!$CL$6:$CL$277,'свод практик'!$J$6:$J$277,'свод субъектов ИБ+смежные'!BM$1,'свод практик'!$H$6:$H$277,"мун")</f>
        <v>1</v>
      </c>
      <c r="BN260" s="208">
        <f>SUMIFS('свод практик'!$CL$6:$CL$277,'свод практик'!$J$6:$J$277,'свод субъектов ИБ+смежные'!BN$1,'свод практик'!$H$6:$H$277,"мун")</f>
        <v>0</v>
      </c>
      <c r="BO260" s="208">
        <f>SUMIFS('свод практик'!$CL$6:$CL$277,'свод практик'!$J$6:$J$277,'свод субъектов ИБ+смежные'!BO$1,'свод практик'!$H$6:$H$277,"мун")</f>
        <v>0</v>
      </c>
      <c r="BP260" s="208">
        <f>SUMIFS('свод практик'!$CL$6:$CL$277,'свод практик'!$J$6:$J$277,'свод субъектов ИБ+смежные'!BP$1,'свод практик'!$H$6:$H$277,"мун")</f>
        <v>0</v>
      </c>
      <c r="BQ260" s="208">
        <f>SUMIFS('свод практик'!$CL$6:$CL$277,'свод практик'!$J$6:$J$277,'свод субъектов ИБ+смежные'!BQ$1,'свод практик'!$H$6:$H$277,"мун")</f>
        <v>0</v>
      </c>
      <c r="BR260" s="208">
        <f>SUMIFS('свод практик'!$CL$6:$CL$277,'свод практик'!$J$6:$J$277,'свод субъектов ИБ+смежные'!BR$1,'свод практик'!$H$6:$H$277,"мун")</f>
        <v>0</v>
      </c>
      <c r="BS260" s="208">
        <f>SUMIFS('свод практик'!$CL$6:$CL$277,'свод практик'!$J$6:$J$277,'свод субъектов ИБ+смежные'!BS$1,'свод практик'!$H$6:$H$277,"мун")</f>
        <v>0</v>
      </c>
      <c r="BT260" s="208">
        <f>SUMIFS('свод практик'!$CL$6:$CL$277,'свод практик'!$J$6:$J$277,'свод субъектов ИБ+смежные'!BT$1,'свод практик'!$H$6:$H$277,"мун")</f>
        <v>0</v>
      </c>
      <c r="BU260" s="208">
        <f>SUMIFS('свод практик'!$CL$6:$CL$277,'свод практик'!$J$6:$J$277,'свод субъектов ИБ+смежные'!BU$1,'свод практик'!$H$6:$H$277,"мун")</f>
        <v>0</v>
      </c>
      <c r="BV260" s="208">
        <f>SUMIFS('свод практик'!$CL$6:$CL$277,'свод практик'!$J$6:$J$277,'свод субъектов ИБ+смежные'!BV$1,'свод практик'!$H$6:$H$277,"мун")</f>
        <v>0</v>
      </c>
      <c r="BW260" s="208">
        <f>SUMIFS('свод практик'!$CL$6:$CL$277,'свод практик'!$J$6:$J$277,'свод субъектов ИБ+смежные'!BW$1,'свод практик'!$H$6:$H$277,"мун")</f>
        <v>0</v>
      </c>
      <c r="BX260" s="208">
        <f>SUMIFS('свод практик'!$CL$6:$CL$277,'свод практик'!$J$6:$J$277,'свод субъектов ИБ+смежные'!BX$1,'свод практик'!$H$6:$H$277,"мун")</f>
        <v>0</v>
      </c>
      <c r="BY260" s="208">
        <f>SUMIFS('свод практик'!$CL$6:$CL$277,'свод практик'!$J$6:$J$277,'свод субъектов ИБ+смежные'!BY$1,'свод практик'!$H$6:$H$277,"мун")</f>
        <v>0</v>
      </c>
      <c r="BZ260" s="208">
        <f>SUMIFS('свод практик'!$CL$6:$CL$277,'свод практик'!$J$6:$J$277,'свод субъектов ИБ+смежные'!BZ$1,'свод практик'!$H$6:$H$277,"мун")</f>
        <v>0</v>
      </c>
      <c r="CA260" s="208">
        <f>SUMIFS('свод практик'!$CL$6:$CL$277,'свод практик'!$J$6:$J$277,'свод субъектов ИБ+смежные'!CA$1,'свод практик'!$H$6:$H$277,"мун")</f>
        <v>0</v>
      </c>
      <c r="CB260" s="208">
        <f>SUMIFS('свод практик'!$CL$6:$CL$277,'свод практик'!$J$6:$J$277,'свод субъектов ИБ+смежные'!CB$1,'свод практик'!$H$6:$H$277,"мун")</f>
        <v>0</v>
      </c>
      <c r="CC260" s="208">
        <f>SUMIFS('свод практик'!$CL$6:$CL$277,'свод практик'!$J$6:$J$277,'свод субъектов ИБ+смежные'!CC$1,'свод практик'!$H$6:$H$277,"мун")</f>
        <v>0</v>
      </c>
      <c r="CD260" s="208">
        <f>SUMIFS('свод практик'!$CL$6:$CL$277,'свод практик'!$J$6:$J$277,'свод субъектов ИБ+смежные'!CD$1,'свод практик'!$H$6:$H$277,"мун")</f>
        <v>0</v>
      </c>
      <c r="CE260" s="208">
        <f>SUMIFS('свод практик'!$CL$6:$CL$277,'свод практик'!$J$6:$J$277,'свод субъектов ИБ+смежные'!CE$1,'свод практик'!$H$6:$H$277,"мун")</f>
        <v>0</v>
      </c>
      <c r="CF260" s="208">
        <f>SUMIFS('свод практик'!$CL$6:$CL$277,'свод практик'!$J$6:$J$277,'свод субъектов ИБ+смежные'!CF$1,'свод практик'!$H$6:$H$277,"мун")</f>
        <v>0</v>
      </c>
      <c r="CG260" s="208">
        <f>SUMIFS('свод практик'!$CL$6:$CL$277,'свод практик'!$J$6:$J$277,'свод субъектов ИБ+смежные'!CG$1,'свод практик'!$H$6:$H$277,"мун")</f>
        <v>0</v>
      </c>
      <c r="CH260" s="208">
        <f>SUMIFS('свод практик'!$CL$6:$CL$277,'свод практик'!$J$6:$J$277,'свод субъектов ИБ+смежные'!CH$1,'свод практик'!$H$6:$H$277,"мун")</f>
        <v>0</v>
      </c>
      <c r="CI260" s="208">
        <f>SUMIFS('свод практик'!$CL$6:$CL$277,'свод практик'!$J$6:$J$277,'свод субъектов ИБ+смежные'!CI$1,'свод практик'!$H$6:$H$277,"мун")</f>
        <v>0</v>
      </c>
      <c r="CJ260" s="208">
        <f>SUMIFS('свод практик'!$CL$6:$CL$277,'свод практик'!$J$6:$J$277,'свод субъектов ИБ+смежные'!CJ$1,'свод практик'!$H$6:$H$277,"мун")</f>
        <v>0</v>
      </c>
      <c r="CK260" s="208">
        <f>SUMIFS('свод практик'!$CL$6:$CL$277,'свод практик'!$J$6:$J$277,'свод субъектов ИБ+смежные'!CK$1,'свод практик'!$H$6:$H$277,"мун")</f>
        <v>0</v>
      </c>
      <c r="CL260" s="208">
        <f>SUMIFS('свод практик'!$CL$6:$CL$277,'свод практик'!$J$6:$J$277,'свод субъектов ИБ+смежные'!CL$1,'свод практик'!$H$6:$H$277,"мун")</f>
        <v>0</v>
      </c>
      <c r="CM260" s="208">
        <f>SUMIFS('свод практик'!$CL$6:$CL$277,'свод практик'!$J$6:$J$277,'свод субъектов ИБ+смежные'!CM$1,'свод практик'!$H$6:$H$277,"мун")</f>
        <v>0</v>
      </c>
      <c r="CN260" s="208">
        <f>SUMIFS('свод практик'!$CL$6:$CL$277,'свод практик'!$J$6:$J$277,'свод субъектов ИБ+смежные'!CN$1,'свод практик'!$H$6:$H$277,"мун")</f>
        <v>0</v>
      </c>
      <c r="CO260" s="208">
        <f>SUMIFS('свод практик'!$CL$6:$CL$277,'свод практик'!$J$6:$J$277,'свод субъектов ИБ+смежные'!CO$1,'свод практик'!$H$6:$H$277,"мун")</f>
        <v>0</v>
      </c>
      <c r="CP260" s="208">
        <f>SUMIFS('свод практик'!$CL$6:$CL$277,'свод практик'!$J$6:$J$277,'свод субъектов ИБ+смежные'!CP$1,'свод практик'!$H$6:$H$277,"мун")</f>
        <v>1</v>
      </c>
      <c r="CQ260" s="208">
        <f>SUMIFS('свод практик'!$CL$6:$CL$277,'свод практик'!$J$6:$J$277,'свод субъектов ИБ+смежные'!CQ$1,'свод практик'!$H$6:$H$277,"мун")</f>
        <v>0</v>
      </c>
      <c r="CR260" s="208">
        <f>SUMIFS('свод практик'!$CL$6:$CL$277,'свод практик'!$J$6:$J$277,'свод субъектов ИБ+смежные'!CR$1,'свод практик'!$H$6:$H$277,"мун")</f>
        <v>0</v>
      </c>
      <c r="CS260" s="208">
        <f>SUMIFS('свод практик'!$CL$6:$CL$277,'свод практик'!$J$6:$J$277,'свод субъектов ИБ+смежные'!CS$1,'свод практик'!$H$6:$H$277,"мун")</f>
        <v>0</v>
      </c>
      <c r="CT260" s="208">
        <f>SUMIFS('свод практик'!$CL$6:$CL$277,'свод практик'!$J$6:$J$277,'свод субъектов ИБ+смежные'!CT$1,'свод практик'!$H$6:$H$277,"мун")</f>
        <v>0</v>
      </c>
      <c r="CU260" s="208">
        <f>SUMIFS('свод практик'!$CL$6:$CL$277,'свод практик'!$J$6:$J$277,'свод субъектов ИБ+смежные'!CU$1,'свод практик'!$H$6:$H$277,"мун")</f>
        <v>3</v>
      </c>
      <c r="CV260" s="208">
        <f>SUMIFS('свод практик'!$CL$6:$CL$277,'свод практик'!$J$6:$J$277,'свод субъектов ИБ+смежные'!CV$1,'свод практик'!$H$6:$H$277,"мун")</f>
        <v>0</v>
      </c>
    </row>
    <row r="261" spans="4:100" ht="14">
      <c r="D261" s="36" t="s">
        <v>4949</v>
      </c>
      <c r="E261" s="36">
        <v>75</v>
      </c>
      <c r="F261" s="36" t="s">
        <v>5597</v>
      </c>
      <c r="H261" s="36" t="s">
        <v>60</v>
      </c>
      <c r="M261" s="36" t="s">
        <v>5497</v>
      </c>
      <c r="N261" s="36">
        <v>1.2004801920768306E-3</v>
      </c>
      <c r="O261" s="226"/>
      <c r="Q261" s="194"/>
      <c r="R261" s="194"/>
      <c r="S261" s="194"/>
    </row>
    <row r="262" spans="4:100" s="208" customFormat="1" ht="28">
      <c r="D262" s="208" t="s">
        <v>4949</v>
      </c>
      <c r="E262" s="208">
        <v>76</v>
      </c>
      <c r="F262" s="208" t="s">
        <v>5598</v>
      </c>
      <c r="G262" s="208" t="s">
        <v>5181</v>
      </c>
      <c r="H262" s="208" t="s">
        <v>5140</v>
      </c>
      <c r="L262" s="208" t="s">
        <v>278</v>
      </c>
      <c r="M262" s="208" t="s">
        <v>5497</v>
      </c>
      <c r="N262" s="208">
        <v>15</v>
      </c>
      <c r="O262" s="226">
        <f t="shared" si="145"/>
        <v>41</v>
      </c>
      <c r="P262" s="208">
        <f>SUMIFS('свод практик'!$CM$6:$CM$277,'свод практик'!$J$6:$J$277,'свод субъектов ИБ+смежные'!P$1,'свод практик'!$H$6:$H$277,"мун")</f>
        <v>0</v>
      </c>
      <c r="Q262" s="208">
        <f>SUMIFS('свод практик'!$CM$6:$CM$277,'свод практик'!$J$6:$J$277,'свод субъектов ИБ+смежные'!Q$1,'свод практик'!$H$6:$H$277,"мун")</f>
        <v>0</v>
      </c>
      <c r="R262" s="208">
        <f>SUMIFS('свод практик'!$CM$6:$CM$277,'свод практик'!$J$6:$J$277,'свод субъектов ИБ+смежные'!R$1,'свод практик'!$H$6:$H$277,"мун")</f>
        <v>0</v>
      </c>
      <c r="S262" s="208">
        <f>SUMIFS('свод практик'!$CM$6:$CM$277,'свод практик'!$J$6:$J$277,'свод субъектов ИБ+смежные'!S$1,'свод практик'!$H$6:$H$277,"мун")</f>
        <v>0</v>
      </c>
      <c r="T262" s="208">
        <f>SUMIFS('свод практик'!$CM$6:$CM$277,'свод практик'!$J$6:$J$277,'свод субъектов ИБ+смежные'!T$1,'свод практик'!$H$6:$H$277,"мун")</f>
        <v>0</v>
      </c>
      <c r="U262" s="208">
        <f>SUMIFS('свод практик'!$CM$6:$CM$277,'свод практик'!$J$6:$J$277,'свод субъектов ИБ+смежные'!U$1,'свод практик'!$H$6:$H$277,"мун")</f>
        <v>0</v>
      </c>
      <c r="V262" s="208">
        <f>SUMIFS('свод практик'!$CM$6:$CM$277,'свод практик'!$J$6:$J$277,'свод субъектов ИБ+смежные'!V$1,'свод практик'!$H$6:$H$277,"мун")</f>
        <v>0</v>
      </c>
      <c r="W262" s="208">
        <f>SUMIFS('свод практик'!$CM$6:$CM$277,'свод практик'!$J$6:$J$277,'свод субъектов ИБ+смежные'!W$1,'свод практик'!$H$6:$H$277,"мун")</f>
        <v>0</v>
      </c>
      <c r="X262" s="208">
        <f>SUMIFS('свод практик'!$CM$6:$CM$277,'свод практик'!$J$6:$J$277,'свод субъектов ИБ+смежные'!X$1,'свод практик'!$H$6:$H$277,"мун")</f>
        <v>0</v>
      </c>
      <c r="Y262" s="208">
        <f>SUMIFS('свод практик'!$CM$6:$CM$277,'свод практик'!$J$6:$J$277,'свод субъектов ИБ+смежные'!Y$1,'свод практик'!$H$6:$H$277,"мун")</f>
        <v>0</v>
      </c>
      <c r="Z262" s="208">
        <f>SUMIFS('свод практик'!$CM$6:$CM$277,'свод практик'!$J$6:$J$277,'свод субъектов ИБ+смежные'!Z$1,'свод практик'!$H$6:$H$277,"мун")</f>
        <v>0</v>
      </c>
      <c r="AA262" s="208">
        <f>SUMIFS('свод практик'!$CM$6:$CM$277,'свод практик'!$J$6:$J$277,'свод субъектов ИБ+смежные'!AA$1,'свод практик'!$H$6:$H$277,"мун")</f>
        <v>0</v>
      </c>
      <c r="AB262" s="208">
        <f>SUMIFS('свод практик'!$CM$6:$CM$277,'свод практик'!$J$6:$J$277,'свод субъектов ИБ+смежные'!AB$1,'свод практик'!$H$6:$H$277,"мун")</f>
        <v>0</v>
      </c>
      <c r="AC262" s="208">
        <f>SUMIFS('свод практик'!$CM$6:$CM$277,'свод практик'!$J$6:$J$277,'свод субъектов ИБ+смежные'!AC$1,'свод практик'!$H$6:$H$277,"мун")</f>
        <v>0</v>
      </c>
      <c r="AD262" s="208">
        <f>SUMIFS('свод практик'!$CM$6:$CM$277,'свод практик'!$J$6:$J$277,'свод субъектов ИБ+смежные'!AD$1,'свод практик'!$H$6:$H$277,"мун")</f>
        <v>0</v>
      </c>
      <c r="AE262" s="208">
        <f>SUMIFS('свод практик'!$CM$6:$CM$277,'свод практик'!$J$6:$J$277,'свод субъектов ИБ+смежные'!AE$1,'свод практик'!$H$6:$H$277,"мун")</f>
        <v>0</v>
      </c>
      <c r="AF262" s="208">
        <f>SUMIFS('свод практик'!$CM$6:$CM$277,'свод практик'!$J$6:$J$277,'свод субъектов ИБ+смежные'!AF$1,'свод практик'!$H$6:$H$277,"мун")</f>
        <v>0</v>
      </c>
      <c r="AG262" s="208">
        <f>SUMIFS('свод практик'!$CM$6:$CM$277,'свод практик'!$J$6:$J$277,'свод субъектов ИБ+смежные'!AG$1,'свод практик'!$H$6:$H$277,"мун")</f>
        <v>0</v>
      </c>
      <c r="AH262" s="208">
        <f>SUMIFS('свод практик'!$CM$6:$CM$277,'свод практик'!$J$6:$J$277,'свод субъектов ИБ+смежные'!AH$1,'свод практик'!$H$6:$H$277,"мун")</f>
        <v>0</v>
      </c>
      <c r="AI262" s="208">
        <f>SUMIFS('свод практик'!$CM$6:$CM$277,'свод практик'!$J$6:$J$277,'свод субъектов ИБ+смежные'!AI$1,'свод практик'!$H$6:$H$277,"мун")</f>
        <v>0</v>
      </c>
      <c r="AJ262" s="208">
        <f>SUMIFS('свод практик'!$CM$6:$CM$277,'свод практик'!$J$6:$J$277,'свод субъектов ИБ+смежные'!AJ$1,'свод практик'!$H$6:$H$277,"мун")</f>
        <v>0</v>
      </c>
      <c r="AK262" s="208">
        <f>SUMIFS('свод практик'!$CM$6:$CM$277,'свод практик'!$J$6:$J$277,'свод субъектов ИБ+смежные'!AK$1,'свод практик'!$H$6:$H$277,"мун")</f>
        <v>0</v>
      </c>
      <c r="AL262" s="208">
        <f>SUMIFS('свод практик'!$CM$6:$CM$277,'свод практик'!$J$6:$J$277,'свод субъектов ИБ+смежные'!AL$1,'свод практик'!$H$6:$H$277,"мун")</f>
        <v>0</v>
      </c>
      <c r="AM262" s="208">
        <f>SUMIFS('свод практик'!$CM$6:$CM$277,'свод практик'!$J$6:$J$277,'свод субъектов ИБ+смежные'!AM$1,'свод практик'!$H$6:$H$277,"мун")</f>
        <v>0</v>
      </c>
      <c r="AN262" s="208">
        <f>SUMIFS('свод практик'!$CM$6:$CM$277,'свод практик'!$J$6:$J$277,'свод субъектов ИБ+смежные'!AN$1,'свод практик'!$H$6:$H$277,"мун")</f>
        <v>0</v>
      </c>
      <c r="AO262" s="208">
        <f>SUMIFS('свод практик'!$CM$6:$CM$277,'свод практик'!$J$6:$J$277,'свод субъектов ИБ+смежные'!AO$1,'свод практик'!$H$6:$H$277,"мун")</f>
        <v>0</v>
      </c>
      <c r="AP262" s="208">
        <f>SUMIFS('свод практик'!$CM$6:$CM$277,'свод практик'!$J$6:$J$277,'свод субъектов ИБ+смежные'!AP$1,'свод практик'!$H$6:$H$277,"мун")</f>
        <v>0</v>
      </c>
      <c r="AQ262" s="208">
        <f>SUMIFS('свод практик'!$CM$6:$CM$277,'свод практик'!$J$6:$J$277,'свод субъектов ИБ+смежные'!AQ$1,'свод практик'!$H$6:$H$277,"мун")</f>
        <v>0</v>
      </c>
      <c r="AR262" s="208">
        <f>SUMIFS('свод практик'!$CM$6:$CM$277,'свод практик'!$J$6:$J$277,'свод субъектов ИБ+смежные'!AR$1,'свод практик'!$H$6:$H$277,"мун")</f>
        <v>0</v>
      </c>
      <c r="AS262" s="208">
        <f>SUMIFS('свод практик'!$CM$6:$CM$277,'свод практик'!$J$6:$J$277,'свод субъектов ИБ+смежные'!AS$1,'свод практик'!$H$6:$H$277,"мун")</f>
        <v>0</v>
      </c>
      <c r="AT262" s="208">
        <f>SUMIFS('свод практик'!$CM$6:$CM$277,'свод практик'!$J$6:$J$277,'свод субъектов ИБ+смежные'!AT$1,'свод практик'!$H$6:$H$277,"мун")</f>
        <v>0</v>
      </c>
      <c r="AU262" s="208">
        <f>SUMIFS('свод практик'!$CM$6:$CM$277,'свод практик'!$J$6:$J$277,'свод субъектов ИБ+смежные'!AU$1,'свод практик'!$H$6:$H$277,"мун")</f>
        <v>0</v>
      </c>
      <c r="AV262" s="208">
        <f>SUMIFS('свод практик'!$CM$6:$CM$277,'свод практик'!$J$6:$J$277,'свод субъектов ИБ+смежные'!AV$1,'свод практик'!$H$6:$H$277,"мун")</f>
        <v>1</v>
      </c>
      <c r="AW262" s="208">
        <f>SUMIFS('свод практик'!$CM$6:$CM$277,'свод практик'!$J$6:$J$277,'свод субъектов ИБ+смежные'!AW$1,'свод практик'!$H$6:$H$277,"мун")</f>
        <v>0</v>
      </c>
      <c r="AX262" s="208">
        <f>SUMIFS('свод практик'!$CM$6:$CM$277,'свод практик'!$J$6:$J$277,'свод субъектов ИБ+смежные'!AX$1,'свод практик'!$H$6:$H$277,"мун")</f>
        <v>0</v>
      </c>
      <c r="AY262" s="208">
        <f>SUMIFS('свод практик'!$CM$6:$CM$277,'свод практик'!$J$6:$J$277,'свод субъектов ИБ+смежные'!AY$1,'свод практик'!$H$6:$H$277,"мун")</f>
        <v>0</v>
      </c>
      <c r="AZ262" s="208">
        <f>SUMIFS('свод практик'!$CM$6:$CM$277,'свод практик'!$J$6:$J$277,'свод субъектов ИБ+смежные'!AZ$1,'свод практик'!$H$6:$H$277,"мун")</f>
        <v>0</v>
      </c>
      <c r="BA262" s="208">
        <f>SUMIFS('свод практик'!$CM$6:$CM$277,'свод практик'!$J$6:$J$277,'свод субъектов ИБ+смежные'!BA$1,'свод практик'!$H$6:$H$277,"мун")</f>
        <v>0</v>
      </c>
      <c r="BB262" s="208">
        <f>SUMIFS('свод практик'!$CM$6:$CM$277,'свод практик'!$J$6:$J$277,'свод субъектов ИБ+смежные'!BB$1,'свод практик'!$H$6:$H$277,"мун")</f>
        <v>0</v>
      </c>
      <c r="BC262" s="208">
        <f>SUMIFS('свод практик'!$CM$6:$CM$277,'свод практик'!$J$6:$J$277,'свод субъектов ИБ+смежные'!BC$1,'свод практик'!$H$6:$H$277,"мун")</f>
        <v>0</v>
      </c>
      <c r="BD262" s="208">
        <f>SUMIFS('свод практик'!$CM$6:$CM$277,'свод практик'!$J$6:$J$277,'свод субъектов ИБ+смежные'!BD$1,'свод практик'!$H$6:$H$277,"мун")</f>
        <v>0</v>
      </c>
      <c r="BE262" s="208">
        <f>SUMIFS('свод практик'!$CM$6:$CM$277,'свод практик'!$J$6:$J$277,'свод субъектов ИБ+смежные'!BE$1,'свод практик'!$H$6:$H$277,"мун")</f>
        <v>0</v>
      </c>
      <c r="BF262" s="208">
        <f>SUMIFS('свод практик'!$CM$6:$CM$277,'свод практик'!$J$6:$J$277,'свод субъектов ИБ+смежные'!BF$1,'свод практик'!$H$6:$H$277,"мун")</f>
        <v>0</v>
      </c>
      <c r="BG262" s="208">
        <f>SUMIFS('свод практик'!$CM$6:$CM$277,'свод практик'!$J$6:$J$277,'свод субъектов ИБ+смежные'!BG$1,'свод практик'!$H$6:$H$277,"мун")</f>
        <v>0</v>
      </c>
      <c r="BH262" s="208">
        <f>SUMIFS('свод практик'!$CM$6:$CM$277,'свод практик'!$J$6:$J$277,'свод субъектов ИБ+смежные'!BH$1,'свод практик'!$H$6:$H$277,"мун")</f>
        <v>0</v>
      </c>
      <c r="BI262" s="208">
        <f>SUMIFS('свод практик'!$CM$6:$CM$277,'свод практик'!$J$6:$J$277,'свод субъектов ИБ+смежные'!BI$1,'свод практик'!$H$6:$H$277,"мун")</f>
        <v>0</v>
      </c>
      <c r="BJ262" s="208">
        <f>SUMIFS('свод практик'!$CM$6:$CM$277,'свод практик'!$J$6:$J$277,'свод субъектов ИБ+смежные'!BJ$1,'свод практик'!$H$6:$H$277,"мун")</f>
        <v>0</v>
      </c>
      <c r="BK262" s="208">
        <f>SUMIFS('свод практик'!$CM$6:$CM$277,'свод практик'!$J$6:$J$277,'свод субъектов ИБ+смежные'!BK$1,'свод практик'!$H$6:$H$277,"мун")</f>
        <v>0</v>
      </c>
      <c r="BL262" s="208">
        <f>SUMIFS('свод практик'!$CM$6:$CM$277,'свод практик'!$J$6:$J$277,'свод субъектов ИБ+смежные'!BL$1,'свод практик'!$H$6:$H$277,"мун")</f>
        <v>33</v>
      </c>
      <c r="BM262" s="208">
        <f>SUMIFS('свод практик'!$CM$6:$CM$277,'свод практик'!$J$6:$J$277,'свод субъектов ИБ+смежные'!BM$1,'свод практик'!$H$6:$H$277,"мун")</f>
        <v>0</v>
      </c>
      <c r="BN262" s="208">
        <f>SUMIFS('свод практик'!$CM$6:$CM$277,'свод практик'!$J$6:$J$277,'свод субъектов ИБ+смежные'!BN$1,'свод практик'!$H$6:$H$277,"мун")</f>
        <v>0</v>
      </c>
      <c r="BO262" s="208">
        <f>SUMIFS('свод практик'!$CM$6:$CM$277,'свод практик'!$J$6:$J$277,'свод субъектов ИБ+смежные'!BO$1,'свод практик'!$H$6:$H$277,"мун")</f>
        <v>0</v>
      </c>
      <c r="BP262" s="208">
        <f>SUMIFS('свод практик'!$CM$6:$CM$277,'свод практик'!$J$6:$J$277,'свод субъектов ИБ+смежные'!BP$1,'свод практик'!$H$6:$H$277,"мун")</f>
        <v>0</v>
      </c>
      <c r="BQ262" s="208">
        <f>SUMIFS('свод практик'!$CM$6:$CM$277,'свод практик'!$J$6:$J$277,'свод субъектов ИБ+смежные'!BQ$1,'свод практик'!$H$6:$H$277,"мун")</f>
        <v>0</v>
      </c>
      <c r="BR262" s="208">
        <f>SUMIFS('свод практик'!$CM$6:$CM$277,'свод практик'!$J$6:$J$277,'свод субъектов ИБ+смежные'!BR$1,'свод практик'!$H$6:$H$277,"мун")</f>
        <v>0</v>
      </c>
      <c r="BS262" s="208">
        <f>SUMIFS('свод практик'!$CM$6:$CM$277,'свод практик'!$J$6:$J$277,'свод субъектов ИБ+смежные'!BS$1,'свод практик'!$H$6:$H$277,"мун")</f>
        <v>0</v>
      </c>
      <c r="BT262" s="208">
        <f>SUMIFS('свод практик'!$CM$6:$CM$277,'свод практик'!$J$6:$J$277,'свод субъектов ИБ+смежные'!BT$1,'свод практик'!$H$6:$H$277,"мун")</f>
        <v>0</v>
      </c>
      <c r="BU262" s="208">
        <f>SUMIFS('свод практик'!$CM$6:$CM$277,'свод практик'!$J$6:$J$277,'свод субъектов ИБ+смежные'!BU$1,'свод практик'!$H$6:$H$277,"мун")</f>
        <v>1</v>
      </c>
      <c r="BV262" s="208">
        <f>SUMIFS('свод практик'!$CM$6:$CM$277,'свод практик'!$J$6:$J$277,'свод субъектов ИБ+смежные'!BV$1,'свод практик'!$H$6:$H$277,"мун")</f>
        <v>0</v>
      </c>
      <c r="BW262" s="208">
        <f>SUMIFS('свод практик'!$CM$6:$CM$277,'свод практик'!$J$6:$J$277,'свод субъектов ИБ+смежные'!BW$1,'свод практик'!$H$6:$H$277,"мун")</f>
        <v>0</v>
      </c>
      <c r="BX262" s="208">
        <f>SUMIFS('свод практик'!$CM$6:$CM$277,'свод практик'!$J$6:$J$277,'свод субъектов ИБ+смежные'!BX$1,'свод практик'!$H$6:$H$277,"мун")</f>
        <v>0</v>
      </c>
      <c r="BY262" s="208">
        <f>SUMIFS('свод практик'!$CM$6:$CM$277,'свод практик'!$J$6:$J$277,'свод субъектов ИБ+смежные'!BY$1,'свод практик'!$H$6:$H$277,"мун")</f>
        <v>0</v>
      </c>
      <c r="BZ262" s="208">
        <f>SUMIFS('свод практик'!$CM$6:$CM$277,'свод практик'!$J$6:$J$277,'свод субъектов ИБ+смежные'!BZ$1,'свод практик'!$H$6:$H$277,"мун")</f>
        <v>0</v>
      </c>
      <c r="CA262" s="208">
        <f>SUMIFS('свод практик'!$CM$6:$CM$277,'свод практик'!$J$6:$J$277,'свод субъектов ИБ+смежные'!CA$1,'свод практик'!$H$6:$H$277,"мун")</f>
        <v>0</v>
      </c>
      <c r="CB262" s="208">
        <f>SUMIFS('свод практик'!$CM$6:$CM$277,'свод практик'!$J$6:$J$277,'свод субъектов ИБ+смежные'!CB$1,'свод практик'!$H$6:$H$277,"мун")</f>
        <v>0</v>
      </c>
      <c r="CC262" s="208">
        <f>SUMIFS('свод практик'!$CM$6:$CM$277,'свод практик'!$J$6:$J$277,'свод субъектов ИБ+смежные'!CC$1,'свод практик'!$H$6:$H$277,"мун")</f>
        <v>0</v>
      </c>
      <c r="CD262" s="208">
        <f>SUMIFS('свод практик'!$CM$6:$CM$277,'свод практик'!$J$6:$J$277,'свод субъектов ИБ+смежные'!CD$1,'свод практик'!$H$6:$H$277,"мун")</f>
        <v>0</v>
      </c>
      <c r="CE262" s="208">
        <f>SUMIFS('свод практик'!$CM$6:$CM$277,'свод практик'!$J$6:$J$277,'свод субъектов ИБ+смежные'!CE$1,'свод практик'!$H$6:$H$277,"мун")</f>
        <v>0</v>
      </c>
      <c r="CF262" s="208">
        <f>SUMIFS('свод практик'!$CM$6:$CM$277,'свод практик'!$J$6:$J$277,'свод субъектов ИБ+смежные'!CF$1,'свод практик'!$H$6:$H$277,"мун")</f>
        <v>0</v>
      </c>
      <c r="CG262" s="208">
        <f>SUMIFS('свод практик'!$CM$6:$CM$277,'свод практик'!$J$6:$J$277,'свод субъектов ИБ+смежные'!CG$1,'свод практик'!$H$6:$H$277,"мун")</f>
        <v>0</v>
      </c>
      <c r="CH262" s="208">
        <f>SUMIFS('свод практик'!$CM$6:$CM$277,'свод практик'!$J$6:$J$277,'свод субъектов ИБ+смежные'!CH$1,'свод практик'!$H$6:$H$277,"мун")</f>
        <v>0</v>
      </c>
      <c r="CI262" s="208">
        <f>SUMIFS('свод практик'!$CM$6:$CM$277,'свод практик'!$J$6:$J$277,'свод субъектов ИБ+смежные'!CI$1,'свод практик'!$H$6:$H$277,"мун")</f>
        <v>0</v>
      </c>
      <c r="CJ262" s="208">
        <f>SUMIFS('свод практик'!$CM$6:$CM$277,'свод практик'!$J$6:$J$277,'свод субъектов ИБ+смежные'!CJ$1,'свод практик'!$H$6:$H$277,"мун")</f>
        <v>0</v>
      </c>
      <c r="CK262" s="208">
        <f>SUMIFS('свод практик'!$CM$6:$CM$277,'свод практик'!$J$6:$J$277,'свод субъектов ИБ+смежные'!CK$1,'свод практик'!$H$6:$H$277,"мун")</f>
        <v>0</v>
      </c>
      <c r="CL262" s="208">
        <f>SUMIFS('свод практик'!$CM$6:$CM$277,'свод практик'!$J$6:$J$277,'свод субъектов ИБ+смежные'!CL$1,'свод практик'!$H$6:$H$277,"мун")</f>
        <v>0</v>
      </c>
      <c r="CM262" s="208">
        <f>SUMIFS('свод практик'!$CM$6:$CM$277,'свод практик'!$J$6:$J$277,'свод субъектов ИБ+смежные'!CM$1,'свод практик'!$H$6:$H$277,"мун")</f>
        <v>0</v>
      </c>
      <c r="CN262" s="208">
        <f>SUMIFS('свод практик'!$CM$6:$CM$277,'свод практик'!$J$6:$J$277,'свод субъектов ИБ+смежные'!CN$1,'свод практик'!$H$6:$H$277,"мун")</f>
        <v>0</v>
      </c>
      <c r="CO262" s="208">
        <f>SUMIFS('свод практик'!$CM$6:$CM$277,'свод практик'!$J$6:$J$277,'свод субъектов ИБ+смежные'!CO$1,'свод практик'!$H$6:$H$277,"мун")</f>
        <v>0</v>
      </c>
      <c r="CP262" s="208">
        <f>SUMIFS('свод практик'!$CM$6:$CM$277,'свод практик'!$J$6:$J$277,'свод субъектов ИБ+смежные'!CP$1,'свод практик'!$H$6:$H$277,"мун")</f>
        <v>2</v>
      </c>
      <c r="CQ262" s="208">
        <f>SUMIFS('свод практик'!$CM$6:$CM$277,'свод практик'!$J$6:$J$277,'свод субъектов ИБ+смежные'!CQ$1,'свод практик'!$H$6:$H$277,"мун")</f>
        <v>0</v>
      </c>
      <c r="CR262" s="208">
        <f>SUMIFS('свод практик'!$CM$6:$CM$277,'свод практик'!$J$6:$J$277,'свод субъектов ИБ+смежные'!CR$1,'свод практик'!$H$6:$H$277,"мун")</f>
        <v>0</v>
      </c>
      <c r="CS262" s="208">
        <f>SUMIFS('свод практик'!$CM$6:$CM$277,'свод практик'!$J$6:$J$277,'свод субъектов ИБ+смежные'!CS$1,'свод практик'!$H$6:$H$277,"мун")</f>
        <v>0</v>
      </c>
      <c r="CT262" s="208">
        <f>SUMIFS('свод практик'!$CM$6:$CM$277,'свод практик'!$J$6:$J$277,'свод субъектов ИБ+смежные'!CT$1,'свод практик'!$H$6:$H$277,"мун")</f>
        <v>0</v>
      </c>
      <c r="CU262" s="208">
        <f>SUMIFS('свод практик'!$CM$6:$CM$277,'свод практик'!$J$6:$J$277,'свод субъектов ИБ+смежные'!CU$1,'свод практик'!$H$6:$H$277,"мун")</f>
        <v>4</v>
      </c>
      <c r="CV262" s="208">
        <f>SUMIFS('свод практик'!$CM$6:$CM$277,'свод практик'!$J$6:$J$277,'свод субъектов ИБ+смежные'!CV$1,'свод практик'!$H$6:$H$277,"мун")</f>
        <v>0</v>
      </c>
    </row>
    <row r="263" spans="4:100" ht="14">
      <c r="D263" s="36" t="s">
        <v>4949</v>
      </c>
      <c r="E263" s="36">
        <v>77</v>
      </c>
      <c r="F263" s="36" t="s">
        <v>5599</v>
      </c>
      <c r="H263" s="36" t="s">
        <v>60</v>
      </c>
      <c r="M263" s="36" t="s">
        <v>5497</v>
      </c>
      <c r="N263" s="36">
        <v>1.800720288115246E-2</v>
      </c>
      <c r="O263" s="226"/>
      <c r="Q263" s="194"/>
      <c r="R263" s="194"/>
      <c r="S263" s="194"/>
    </row>
    <row r="264" spans="4:100" s="208" customFormat="1" ht="42">
      <c r="D264" s="208" t="s">
        <v>4949</v>
      </c>
      <c r="E264" s="208">
        <v>78</v>
      </c>
      <c r="F264" s="208" t="s">
        <v>5600</v>
      </c>
      <c r="G264" s="208" t="s">
        <v>5184</v>
      </c>
      <c r="H264" s="208" t="s">
        <v>5140</v>
      </c>
      <c r="L264" s="208" t="s">
        <v>278</v>
      </c>
      <c r="M264" s="208" t="s">
        <v>5497</v>
      </c>
      <c r="N264" s="208">
        <v>36</v>
      </c>
      <c r="O264" s="226">
        <f t="shared" si="145"/>
        <v>31</v>
      </c>
      <c r="P264" s="208">
        <f>SUMIFS('свод практик'!$CN$6:$CN$277,'свод практик'!$J$6:$J$277,'свод субъектов ИБ+смежные'!P$1,'свод практик'!$H$6:$H$277,"мун")</f>
        <v>0</v>
      </c>
      <c r="Q264" s="208">
        <f>SUMIFS('свод практик'!$CN$6:$CN$277,'свод практик'!$J$6:$J$277,'свод субъектов ИБ+смежные'!Q$1,'свод практик'!$H$6:$H$277,"мун")</f>
        <v>0</v>
      </c>
      <c r="R264" s="208">
        <f>SUMIFS('свод практик'!$CN$6:$CN$277,'свод практик'!$J$6:$J$277,'свод субъектов ИБ+смежные'!R$1,'свод практик'!$H$6:$H$277,"мун")</f>
        <v>0</v>
      </c>
      <c r="S264" s="208">
        <f>SUMIFS('свод практик'!$CN$6:$CN$277,'свод практик'!$J$6:$J$277,'свод субъектов ИБ+смежные'!S$1,'свод практик'!$H$6:$H$277,"мун")</f>
        <v>0</v>
      </c>
      <c r="T264" s="208">
        <f>SUMIFS('свод практик'!$CN$6:$CN$277,'свод практик'!$J$6:$J$277,'свод субъектов ИБ+смежные'!T$1,'свод практик'!$H$6:$H$277,"мун")</f>
        <v>0</v>
      </c>
      <c r="U264" s="208">
        <f>SUMIFS('свод практик'!$CN$6:$CN$277,'свод практик'!$J$6:$J$277,'свод субъектов ИБ+смежные'!U$1,'свод практик'!$H$6:$H$277,"мун")</f>
        <v>0</v>
      </c>
      <c r="V264" s="208">
        <f>SUMIFS('свод практик'!$CN$6:$CN$277,'свод практик'!$J$6:$J$277,'свод субъектов ИБ+смежные'!V$1,'свод практик'!$H$6:$H$277,"мун")</f>
        <v>0</v>
      </c>
      <c r="W264" s="208">
        <f>SUMIFS('свод практик'!$CN$6:$CN$277,'свод практик'!$J$6:$J$277,'свод субъектов ИБ+смежные'!W$1,'свод практик'!$H$6:$H$277,"мун")</f>
        <v>0</v>
      </c>
      <c r="X264" s="208">
        <f>SUMIFS('свод практик'!$CN$6:$CN$277,'свод практик'!$J$6:$J$277,'свод субъектов ИБ+смежные'!X$1,'свод практик'!$H$6:$H$277,"мун")</f>
        <v>0</v>
      </c>
      <c r="Y264" s="208">
        <f>SUMIFS('свод практик'!$CN$6:$CN$277,'свод практик'!$J$6:$J$277,'свод субъектов ИБ+смежные'!Y$1,'свод практик'!$H$6:$H$277,"мун")</f>
        <v>0</v>
      </c>
      <c r="Z264" s="208">
        <f>SUMIFS('свод практик'!$CN$6:$CN$277,'свод практик'!$J$6:$J$277,'свод субъектов ИБ+смежные'!Z$1,'свод практик'!$H$6:$H$277,"мун")</f>
        <v>0</v>
      </c>
      <c r="AA264" s="208">
        <f>SUMIFS('свод практик'!$CN$6:$CN$277,'свод практик'!$J$6:$J$277,'свод субъектов ИБ+смежные'!AA$1,'свод практик'!$H$6:$H$277,"мун")</f>
        <v>0</v>
      </c>
      <c r="AB264" s="208">
        <f>SUMIFS('свод практик'!$CN$6:$CN$277,'свод практик'!$J$6:$J$277,'свод субъектов ИБ+смежные'!AB$1,'свод практик'!$H$6:$H$277,"мун")</f>
        <v>1</v>
      </c>
      <c r="AC264" s="208">
        <f>SUMIFS('свод практик'!$CN$6:$CN$277,'свод практик'!$J$6:$J$277,'свод субъектов ИБ+смежные'!AC$1,'свод практик'!$H$6:$H$277,"мун")</f>
        <v>0</v>
      </c>
      <c r="AD264" s="208">
        <f>SUMIFS('свод практик'!$CN$6:$CN$277,'свод практик'!$J$6:$J$277,'свод субъектов ИБ+смежные'!AD$1,'свод практик'!$H$6:$H$277,"мун")</f>
        <v>0</v>
      </c>
      <c r="AE264" s="208">
        <f>SUMIFS('свод практик'!$CN$6:$CN$277,'свод практик'!$J$6:$J$277,'свод субъектов ИБ+смежные'!AE$1,'свод практик'!$H$6:$H$277,"мун")</f>
        <v>0</v>
      </c>
      <c r="AF264" s="208">
        <f>SUMIFS('свод практик'!$CN$6:$CN$277,'свод практик'!$J$6:$J$277,'свод субъектов ИБ+смежные'!AF$1,'свод практик'!$H$6:$H$277,"мун")</f>
        <v>0</v>
      </c>
      <c r="AG264" s="208">
        <f>SUMIFS('свод практик'!$CN$6:$CN$277,'свод практик'!$J$6:$J$277,'свод субъектов ИБ+смежные'!AG$1,'свод практик'!$H$6:$H$277,"мун")</f>
        <v>0</v>
      </c>
      <c r="AH264" s="208">
        <f>SUMIFS('свод практик'!$CN$6:$CN$277,'свод практик'!$J$6:$J$277,'свод субъектов ИБ+смежные'!AH$1,'свод практик'!$H$6:$H$277,"мун")</f>
        <v>0</v>
      </c>
      <c r="AI264" s="208">
        <f>SUMIFS('свод практик'!$CN$6:$CN$277,'свод практик'!$J$6:$J$277,'свод субъектов ИБ+смежные'!AI$1,'свод практик'!$H$6:$H$277,"мун")</f>
        <v>0</v>
      </c>
      <c r="AJ264" s="208">
        <f>SUMIFS('свод практик'!$CN$6:$CN$277,'свод практик'!$J$6:$J$277,'свод субъектов ИБ+смежные'!AJ$1,'свод практик'!$H$6:$H$277,"мун")</f>
        <v>0</v>
      </c>
      <c r="AK264" s="208">
        <f>SUMIFS('свод практик'!$CN$6:$CN$277,'свод практик'!$J$6:$J$277,'свод субъектов ИБ+смежные'!AK$1,'свод практик'!$H$6:$H$277,"мун")</f>
        <v>0</v>
      </c>
      <c r="AL264" s="208">
        <f>SUMIFS('свод практик'!$CN$6:$CN$277,'свод практик'!$J$6:$J$277,'свод субъектов ИБ+смежные'!AL$1,'свод практик'!$H$6:$H$277,"мун")</f>
        <v>0</v>
      </c>
      <c r="AM264" s="208">
        <f>SUMIFS('свод практик'!$CN$6:$CN$277,'свод практик'!$J$6:$J$277,'свод субъектов ИБ+смежные'!AM$1,'свод практик'!$H$6:$H$277,"мун")</f>
        <v>0</v>
      </c>
      <c r="AN264" s="208">
        <f>SUMIFS('свод практик'!$CN$6:$CN$277,'свод практик'!$J$6:$J$277,'свод субъектов ИБ+смежные'!AN$1,'свод практик'!$H$6:$H$277,"мун")</f>
        <v>0</v>
      </c>
      <c r="AO264" s="208">
        <f>SUMIFS('свод практик'!$CN$6:$CN$277,'свод практик'!$J$6:$J$277,'свод субъектов ИБ+смежные'!AO$1,'свод практик'!$H$6:$H$277,"мун")</f>
        <v>0</v>
      </c>
      <c r="AP264" s="208">
        <f>SUMIFS('свод практик'!$CN$6:$CN$277,'свод практик'!$J$6:$J$277,'свод субъектов ИБ+смежные'!AP$1,'свод практик'!$H$6:$H$277,"мун")</f>
        <v>0</v>
      </c>
      <c r="AQ264" s="208">
        <f>SUMIFS('свод практик'!$CN$6:$CN$277,'свод практик'!$J$6:$J$277,'свод субъектов ИБ+смежные'!AQ$1,'свод практик'!$H$6:$H$277,"мун")</f>
        <v>0</v>
      </c>
      <c r="AR264" s="208">
        <f>SUMIFS('свод практик'!$CN$6:$CN$277,'свод практик'!$J$6:$J$277,'свод субъектов ИБ+смежные'!AR$1,'свод практик'!$H$6:$H$277,"мун")</f>
        <v>0</v>
      </c>
      <c r="AS264" s="208">
        <f>SUMIFS('свод практик'!$CN$6:$CN$277,'свод практик'!$J$6:$J$277,'свод субъектов ИБ+смежные'!AS$1,'свод практик'!$H$6:$H$277,"мун")</f>
        <v>0</v>
      </c>
      <c r="AT264" s="208">
        <f>SUMIFS('свод практик'!$CN$6:$CN$277,'свод практик'!$J$6:$J$277,'свод субъектов ИБ+смежные'!AT$1,'свод практик'!$H$6:$H$277,"мун")</f>
        <v>0</v>
      </c>
      <c r="AU264" s="208">
        <f>SUMIFS('свод практик'!$CN$6:$CN$277,'свод практик'!$J$6:$J$277,'свод субъектов ИБ+смежные'!AU$1,'свод практик'!$H$6:$H$277,"мун")</f>
        <v>0</v>
      </c>
      <c r="AV264" s="208">
        <f>SUMIFS('свод практик'!$CN$6:$CN$277,'свод практик'!$J$6:$J$277,'свод субъектов ИБ+смежные'!AV$1,'свод практик'!$H$6:$H$277,"мун")</f>
        <v>0</v>
      </c>
      <c r="AW264" s="208">
        <f>SUMIFS('свод практик'!$CN$6:$CN$277,'свод практик'!$J$6:$J$277,'свод субъектов ИБ+смежные'!AW$1,'свод практик'!$H$6:$H$277,"мун")</f>
        <v>0</v>
      </c>
      <c r="AX264" s="208">
        <f>SUMIFS('свод практик'!$CN$6:$CN$277,'свод практик'!$J$6:$J$277,'свод субъектов ИБ+смежные'!AX$1,'свод практик'!$H$6:$H$277,"мун")</f>
        <v>0</v>
      </c>
      <c r="AY264" s="208">
        <f>SUMIFS('свод практик'!$CN$6:$CN$277,'свод практик'!$J$6:$J$277,'свод субъектов ИБ+смежные'!AY$1,'свод практик'!$H$6:$H$277,"мун")</f>
        <v>0</v>
      </c>
      <c r="AZ264" s="208">
        <f>SUMIFS('свод практик'!$CN$6:$CN$277,'свод практик'!$J$6:$J$277,'свод субъектов ИБ+смежные'!AZ$1,'свод практик'!$H$6:$H$277,"мун")</f>
        <v>0</v>
      </c>
      <c r="BA264" s="208">
        <f>SUMIFS('свод практик'!$CN$6:$CN$277,'свод практик'!$J$6:$J$277,'свод субъектов ИБ+смежные'!BA$1,'свод практик'!$H$6:$H$277,"мун")</f>
        <v>0</v>
      </c>
      <c r="BB264" s="208">
        <f>SUMIFS('свод практик'!$CN$6:$CN$277,'свод практик'!$J$6:$J$277,'свод субъектов ИБ+смежные'!BB$1,'свод практик'!$H$6:$H$277,"мун")</f>
        <v>0</v>
      </c>
      <c r="BC264" s="208">
        <f>SUMIFS('свод практик'!$CN$6:$CN$277,'свод практик'!$J$6:$J$277,'свод субъектов ИБ+смежные'!BC$1,'свод практик'!$H$6:$H$277,"мун")</f>
        <v>0</v>
      </c>
      <c r="BD264" s="208">
        <f>SUMIFS('свод практик'!$CN$6:$CN$277,'свод практик'!$J$6:$J$277,'свод субъектов ИБ+смежные'!BD$1,'свод практик'!$H$6:$H$277,"мун")</f>
        <v>0</v>
      </c>
      <c r="BE264" s="208">
        <f>SUMIFS('свод практик'!$CN$6:$CN$277,'свод практик'!$J$6:$J$277,'свод субъектов ИБ+смежные'!BE$1,'свод практик'!$H$6:$H$277,"мун")</f>
        <v>0</v>
      </c>
      <c r="BF264" s="208">
        <f>SUMIFS('свод практик'!$CN$6:$CN$277,'свод практик'!$J$6:$J$277,'свод субъектов ИБ+смежные'!BF$1,'свод практик'!$H$6:$H$277,"мун")</f>
        <v>0</v>
      </c>
      <c r="BG264" s="208">
        <f>SUMIFS('свод практик'!$CN$6:$CN$277,'свод практик'!$J$6:$J$277,'свод субъектов ИБ+смежные'!BG$1,'свод практик'!$H$6:$H$277,"мун")</f>
        <v>0</v>
      </c>
      <c r="BH264" s="208">
        <f>SUMIFS('свод практик'!$CN$6:$CN$277,'свод практик'!$J$6:$J$277,'свод субъектов ИБ+смежные'!BH$1,'свод практик'!$H$6:$H$277,"мун")</f>
        <v>0</v>
      </c>
      <c r="BI264" s="208">
        <f>SUMIFS('свод практик'!$CN$6:$CN$277,'свод практик'!$J$6:$J$277,'свод субъектов ИБ+смежные'!BI$1,'свод практик'!$H$6:$H$277,"мун")</f>
        <v>0</v>
      </c>
      <c r="BJ264" s="208">
        <f>SUMIFS('свод практик'!$CN$6:$CN$277,'свод практик'!$J$6:$J$277,'свод субъектов ИБ+смежные'!BJ$1,'свод практик'!$H$6:$H$277,"мун")</f>
        <v>0</v>
      </c>
      <c r="BK264" s="208">
        <f>SUMIFS('свод практик'!$CN$6:$CN$277,'свод практик'!$J$6:$J$277,'свод субъектов ИБ+смежные'!BK$1,'свод практик'!$H$6:$H$277,"мун")</f>
        <v>0</v>
      </c>
      <c r="BL264" s="208">
        <f>SUMIFS('свод практик'!$CN$6:$CN$277,'свод практик'!$J$6:$J$277,'свод субъектов ИБ+смежные'!BL$1,'свод практик'!$H$6:$H$277,"мун")</f>
        <v>0</v>
      </c>
      <c r="BM264" s="208">
        <f>SUMIFS('свод практик'!$CN$6:$CN$277,'свод практик'!$J$6:$J$277,'свод субъектов ИБ+смежные'!BM$1,'свод практик'!$H$6:$H$277,"мун")</f>
        <v>0</v>
      </c>
      <c r="BN264" s="208">
        <f>SUMIFS('свод практик'!$CN$6:$CN$277,'свод практик'!$J$6:$J$277,'свод субъектов ИБ+смежные'!BN$1,'свод практик'!$H$6:$H$277,"мун")</f>
        <v>0</v>
      </c>
      <c r="BO264" s="208">
        <f>SUMIFS('свод практик'!$CN$6:$CN$277,'свод практик'!$J$6:$J$277,'свод субъектов ИБ+смежные'!BO$1,'свод практик'!$H$6:$H$277,"мун")</f>
        <v>18</v>
      </c>
      <c r="BP264" s="208">
        <f>SUMIFS('свод практик'!$CN$6:$CN$277,'свод практик'!$J$6:$J$277,'свод субъектов ИБ+смежные'!BP$1,'свод практик'!$H$6:$H$277,"мун")</f>
        <v>0</v>
      </c>
      <c r="BQ264" s="208">
        <f>SUMIFS('свод практик'!$CN$6:$CN$277,'свод практик'!$J$6:$J$277,'свод субъектов ИБ+смежные'!BQ$1,'свод практик'!$H$6:$H$277,"мун")</f>
        <v>0</v>
      </c>
      <c r="BR264" s="208">
        <f>SUMIFS('свод практик'!$CN$6:$CN$277,'свод практик'!$J$6:$J$277,'свод субъектов ИБ+смежные'!BR$1,'свод практик'!$H$6:$H$277,"мун")</f>
        <v>0</v>
      </c>
      <c r="BS264" s="208">
        <f>SUMIFS('свод практик'!$CN$6:$CN$277,'свод практик'!$J$6:$J$277,'свод субъектов ИБ+смежные'!BS$1,'свод практик'!$H$6:$H$277,"мун")</f>
        <v>0</v>
      </c>
      <c r="BT264" s="208">
        <f>SUMIFS('свод практик'!$CN$6:$CN$277,'свод практик'!$J$6:$J$277,'свод субъектов ИБ+смежные'!BT$1,'свод практик'!$H$6:$H$277,"мун")</f>
        <v>0</v>
      </c>
      <c r="BU264" s="208">
        <f>SUMIFS('свод практик'!$CN$6:$CN$277,'свод практик'!$J$6:$J$277,'свод субъектов ИБ+смежные'!BU$1,'свод практик'!$H$6:$H$277,"мун")</f>
        <v>0</v>
      </c>
      <c r="BV264" s="208">
        <f>SUMIFS('свод практик'!$CN$6:$CN$277,'свод практик'!$J$6:$J$277,'свод субъектов ИБ+смежные'!BV$1,'свод практик'!$H$6:$H$277,"мун")</f>
        <v>0</v>
      </c>
      <c r="BW264" s="208">
        <f>SUMIFS('свод практик'!$CN$6:$CN$277,'свод практик'!$J$6:$J$277,'свод субъектов ИБ+смежные'!BW$1,'свод практик'!$H$6:$H$277,"мун")</f>
        <v>0</v>
      </c>
      <c r="BX264" s="208">
        <f>SUMIFS('свод практик'!$CN$6:$CN$277,'свод практик'!$J$6:$J$277,'свод субъектов ИБ+смежные'!BX$1,'свод практик'!$H$6:$H$277,"мун")</f>
        <v>0</v>
      </c>
      <c r="BY264" s="208">
        <f>SUMIFS('свод практик'!$CN$6:$CN$277,'свод практик'!$J$6:$J$277,'свод субъектов ИБ+смежные'!BY$1,'свод практик'!$H$6:$H$277,"мун")</f>
        <v>0</v>
      </c>
      <c r="BZ264" s="208">
        <f>SUMIFS('свод практик'!$CN$6:$CN$277,'свод практик'!$J$6:$J$277,'свод субъектов ИБ+смежные'!BZ$1,'свод практик'!$H$6:$H$277,"мун")</f>
        <v>0</v>
      </c>
      <c r="CA264" s="208">
        <f>SUMIFS('свод практик'!$CN$6:$CN$277,'свод практик'!$J$6:$J$277,'свод субъектов ИБ+смежные'!CA$1,'свод практик'!$H$6:$H$277,"мун")</f>
        <v>0</v>
      </c>
      <c r="CB264" s="208">
        <f>SUMIFS('свод практик'!$CN$6:$CN$277,'свод практик'!$J$6:$J$277,'свод субъектов ИБ+смежные'!CB$1,'свод практик'!$H$6:$H$277,"мун")</f>
        <v>0</v>
      </c>
      <c r="CC264" s="208">
        <f>SUMIFS('свод практик'!$CN$6:$CN$277,'свод практик'!$J$6:$J$277,'свод субъектов ИБ+смежные'!CC$1,'свод практик'!$H$6:$H$277,"мун")</f>
        <v>0</v>
      </c>
      <c r="CD264" s="208">
        <f>SUMIFS('свод практик'!$CN$6:$CN$277,'свод практик'!$J$6:$J$277,'свод субъектов ИБ+смежные'!CD$1,'свод практик'!$H$6:$H$277,"мун")</f>
        <v>0</v>
      </c>
      <c r="CE264" s="208">
        <f>SUMIFS('свод практик'!$CN$6:$CN$277,'свод практик'!$J$6:$J$277,'свод субъектов ИБ+смежные'!CE$1,'свод практик'!$H$6:$H$277,"мун")</f>
        <v>0</v>
      </c>
      <c r="CF264" s="208">
        <f>SUMIFS('свод практик'!$CN$6:$CN$277,'свод практик'!$J$6:$J$277,'свод субъектов ИБ+смежные'!CF$1,'свод практик'!$H$6:$H$277,"мун")</f>
        <v>0</v>
      </c>
      <c r="CG264" s="208">
        <f>SUMIFS('свод практик'!$CN$6:$CN$277,'свод практик'!$J$6:$J$277,'свод субъектов ИБ+смежные'!CG$1,'свод практик'!$H$6:$H$277,"мун")</f>
        <v>0</v>
      </c>
      <c r="CH264" s="208">
        <f>SUMIFS('свод практик'!$CN$6:$CN$277,'свод практик'!$J$6:$J$277,'свод субъектов ИБ+смежные'!CH$1,'свод практик'!$H$6:$H$277,"мун")</f>
        <v>0</v>
      </c>
      <c r="CI264" s="208">
        <f>SUMIFS('свод практик'!$CN$6:$CN$277,'свод практик'!$J$6:$J$277,'свод субъектов ИБ+смежные'!CI$1,'свод практик'!$H$6:$H$277,"мун")</f>
        <v>0</v>
      </c>
      <c r="CJ264" s="208">
        <f>SUMIFS('свод практик'!$CN$6:$CN$277,'свод практик'!$J$6:$J$277,'свод субъектов ИБ+смежные'!CJ$1,'свод практик'!$H$6:$H$277,"мун")</f>
        <v>0</v>
      </c>
      <c r="CK264" s="208">
        <f>SUMIFS('свод практик'!$CN$6:$CN$277,'свод практик'!$J$6:$J$277,'свод субъектов ИБ+смежные'!CK$1,'свод практик'!$H$6:$H$277,"мун")</f>
        <v>0</v>
      </c>
      <c r="CL264" s="208">
        <f>SUMIFS('свод практик'!$CN$6:$CN$277,'свод практик'!$J$6:$J$277,'свод субъектов ИБ+смежные'!CL$1,'свод практик'!$H$6:$H$277,"мун")</f>
        <v>0</v>
      </c>
      <c r="CM264" s="208">
        <f>SUMIFS('свод практик'!$CN$6:$CN$277,'свод практик'!$J$6:$J$277,'свод субъектов ИБ+смежные'!CM$1,'свод практик'!$H$6:$H$277,"мун")</f>
        <v>0</v>
      </c>
      <c r="CN264" s="208">
        <f>SUMIFS('свод практик'!$CN$6:$CN$277,'свод практик'!$J$6:$J$277,'свод субъектов ИБ+смежные'!CN$1,'свод практик'!$H$6:$H$277,"мун")</f>
        <v>0</v>
      </c>
      <c r="CO264" s="208">
        <f>SUMIFS('свод практик'!$CN$6:$CN$277,'свод практик'!$J$6:$J$277,'свод субъектов ИБ+смежные'!CO$1,'свод практик'!$H$6:$H$277,"мун")</f>
        <v>0</v>
      </c>
      <c r="CP264" s="208">
        <f>SUMIFS('свод практик'!$CN$6:$CN$277,'свод практик'!$J$6:$J$277,'свод субъектов ИБ+смежные'!CP$1,'свод практик'!$H$6:$H$277,"мун")</f>
        <v>0</v>
      </c>
      <c r="CQ264" s="208">
        <f>SUMIFS('свод практик'!$CN$6:$CN$277,'свод практик'!$J$6:$J$277,'свод субъектов ИБ+смежные'!CQ$1,'свод практик'!$H$6:$H$277,"мун")</f>
        <v>10</v>
      </c>
      <c r="CR264" s="208">
        <f>SUMIFS('свод практик'!$CN$6:$CN$277,'свод практик'!$J$6:$J$277,'свод субъектов ИБ+смежные'!CR$1,'свод практик'!$H$6:$H$277,"мун")</f>
        <v>0</v>
      </c>
      <c r="CS264" s="208">
        <f>SUMIFS('свод практик'!$CN$6:$CN$277,'свод практик'!$J$6:$J$277,'свод субъектов ИБ+смежные'!CS$1,'свод практик'!$H$6:$H$277,"мун")</f>
        <v>1</v>
      </c>
      <c r="CT264" s="208">
        <f>SUMIFS('свод практик'!$CN$6:$CN$277,'свод практик'!$J$6:$J$277,'свод субъектов ИБ+смежные'!CT$1,'свод практик'!$H$6:$H$277,"мун")</f>
        <v>0</v>
      </c>
      <c r="CU264" s="208">
        <f>SUMIFS('свод практик'!$CN$6:$CN$277,'свод практик'!$J$6:$J$277,'свод субъектов ИБ+смежные'!CU$1,'свод практик'!$H$6:$H$277,"мун")</f>
        <v>1</v>
      </c>
      <c r="CV264" s="208">
        <f>SUMIFS('свод практик'!$CN$6:$CN$277,'свод практик'!$J$6:$J$277,'свод субъектов ИБ+смежные'!CV$1,'свод практик'!$H$6:$H$277,"мун")</f>
        <v>0</v>
      </c>
    </row>
    <row r="265" spans="4:100" ht="14">
      <c r="D265" s="36" t="s">
        <v>4949</v>
      </c>
      <c r="E265" s="36">
        <v>79</v>
      </c>
      <c r="F265" s="36" t="s">
        <v>5601</v>
      </c>
      <c r="H265" s="36" t="s">
        <v>60</v>
      </c>
      <c r="M265" s="36" t="s">
        <v>5497</v>
      </c>
      <c r="N265" s="36">
        <v>4.3217286914765909E-2</v>
      </c>
      <c r="O265" s="226"/>
      <c r="Q265" s="194"/>
      <c r="R265" s="194"/>
      <c r="S265" s="194"/>
    </row>
    <row r="266" spans="4:100" s="208" customFormat="1" ht="42">
      <c r="D266" s="208" t="s">
        <v>4949</v>
      </c>
      <c r="E266" s="208">
        <v>80</v>
      </c>
      <c r="F266" s="208" t="s">
        <v>5602</v>
      </c>
      <c r="G266" s="208" t="s">
        <v>5187</v>
      </c>
      <c r="H266" s="208" t="s">
        <v>5140</v>
      </c>
      <c r="L266" s="208" t="s">
        <v>278</v>
      </c>
      <c r="M266" s="208" t="s">
        <v>5497</v>
      </c>
      <c r="N266" s="208">
        <v>0</v>
      </c>
      <c r="O266" s="226">
        <f t="shared" si="145"/>
        <v>0</v>
      </c>
      <c r="P266" s="208">
        <f>SUMIFS('свод практик'!$CO$6:$CO$277,'свод практик'!$J$6:$J$277,'свод субъектов ИБ+смежные'!P$1,'свод практик'!$H$6:$H$277,"мун")</f>
        <v>0</v>
      </c>
      <c r="Q266" s="208">
        <f>SUMIFS('свод практик'!$CO$6:$CO$277,'свод практик'!$J$6:$J$277,'свод субъектов ИБ+смежные'!Q$1,'свод практик'!$H$6:$H$277,"мун")</f>
        <v>0</v>
      </c>
      <c r="R266" s="208">
        <f>SUMIFS('свод практик'!$CO$6:$CO$277,'свод практик'!$J$6:$J$277,'свод субъектов ИБ+смежные'!R$1,'свод практик'!$H$6:$H$277,"мун")</f>
        <v>0</v>
      </c>
      <c r="S266" s="208">
        <f>SUMIFS('свод практик'!$CO$6:$CO$277,'свод практик'!$J$6:$J$277,'свод субъектов ИБ+смежные'!S$1,'свод практик'!$H$6:$H$277,"мун")</f>
        <v>0</v>
      </c>
      <c r="T266" s="208">
        <f>SUMIFS('свод практик'!$CO$6:$CO$277,'свод практик'!$J$6:$J$277,'свод субъектов ИБ+смежные'!T$1,'свод практик'!$H$6:$H$277,"мун")</f>
        <v>0</v>
      </c>
      <c r="U266" s="208">
        <f>SUMIFS('свод практик'!$CO$6:$CO$277,'свод практик'!$J$6:$J$277,'свод субъектов ИБ+смежные'!U$1,'свод практик'!$H$6:$H$277,"мун")</f>
        <v>0</v>
      </c>
      <c r="V266" s="208">
        <f>SUMIFS('свод практик'!$CO$6:$CO$277,'свод практик'!$J$6:$J$277,'свод субъектов ИБ+смежные'!V$1,'свод практик'!$H$6:$H$277,"мун")</f>
        <v>0</v>
      </c>
      <c r="W266" s="208">
        <f>SUMIFS('свод практик'!$CO$6:$CO$277,'свод практик'!$J$6:$J$277,'свод субъектов ИБ+смежные'!W$1,'свод практик'!$H$6:$H$277,"мун")</f>
        <v>0</v>
      </c>
      <c r="X266" s="208">
        <f>SUMIFS('свод практик'!$CO$6:$CO$277,'свод практик'!$J$6:$J$277,'свод субъектов ИБ+смежные'!X$1,'свод практик'!$H$6:$H$277,"мун")</f>
        <v>0</v>
      </c>
      <c r="Y266" s="208">
        <f>SUMIFS('свод практик'!$CO$6:$CO$277,'свод практик'!$J$6:$J$277,'свод субъектов ИБ+смежные'!Y$1,'свод практик'!$H$6:$H$277,"мун")</f>
        <v>0</v>
      </c>
      <c r="Z266" s="208">
        <f>SUMIFS('свод практик'!$CO$6:$CO$277,'свод практик'!$J$6:$J$277,'свод субъектов ИБ+смежные'!Z$1,'свод практик'!$H$6:$H$277,"мун")</f>
        <v>0</v>
      </c>
      <c r="AA266" s="208">
        <f>SUMIFS('свод практик'!$CO$6:$CO$277,'свод практик'!$J$6:$J$277,'свод субъектов ИБ+смежные'!AA$1,'свод практик'!$H$6:$H$277,"мун")</f>
        <v>0</v>
      </c>
      <c r="AB266" s="208">
        <f>SUMIFS('свод практик'!$CO$6:$CO$277,'свод практик'!$J$6:$J$277,'свод субъектов ИБ+смежные'!AB$1,'свод практик'!$H$6:$H$277,"мун")</f>
        <v>0</v>
      </c>
      <c r="AC266" s="208">
        <f>SUMIFS('свод практик'!$CO$6:$CO$277,'свод практик'!$J$6:$J$277,'свод субъектов ИБ+смежные'!AC$1,'свод практик'!$H$6:$H$277,"мун")</f>
        <v>0</v>
      </c>
      <c r="AD266" s="208">
        <f>SUMIFS('свод практик'!$CO$6:$CO$277,'свод практик'!$J$6:$J$277,'свод субъектов ИБ+смежные'!AD$1,'свод практик'!$H$6:$H$277,"мун")</f>
        <v>0</v>
      </c>
      <c r="AE266" s="208">
        <f>SUMIFS('свод практик'!$CO$6:$CO$277,'свод практик'!$J$6:$J$277,'свод субъектов ИБ+смежные'!AE$1,'свод практик'!$H$6:$H$277,"мун")</f>
        <v>0</v>
      </c>
      <c r="AF266" s="208">
        <f>SUMIFS('свод практик'!$CO$6:$CO$277,'свод практик'!$J$6:$J$277,'свод субъектов ИБ+смежные'!AF$1,'свод практик'!$H$6:$H$277,"мун")</f>
        <v>0</v>
      </c>
      <c r="AG266" s="208">
        <f>SUMIFS('свод практик'!$CO$6:$CO$277,'свод практик'!$J$6:$J$277,'свод субъектов ИБ+смежные'!AG$1,'свод практик'!$H$6:$H$277,"мун")</f>
        <v>0</v>
      </c>
      <c r="AH266" s="208">
        <f>SUMIFS('свод практик'!$CO$6:$CO$277,'свод практик'!$J$6:$J$277,'свод субъектов ИБ+смежные'!AH$1,'свод практик'!$H$6:$H$277,"мун")</f>
        <v>0</v>
      </c>
      <c r="AI266" s="208">
        <f>SUMIFS('свод практик'!$CO$6:$CO$277,'свод практик'!$J$6:$J$277,'свод субъектов ИБ+смежные'!AI$1,'свод практик'!$H$6:$H$277,"мун")</f>
        <v>0</v>
      </c>
      <c r="AJ266" s="208">
        <f>SUMIFS('свод практик'!$CO$6:$CO$277,'свод практик'!$J$6:$J$277,'свод субъектов ИБ+смежные'!AJ$1,'свод практик'!$H$6:$H$277,"мун")</f>
        <v>0</v>
      </c>
      <c r="AK266" s="208">
        <f>SUMIFS('свод практик'!$CO$6:$CO$277,'свод практик'!$J$6:$J$277,'свод субъектов ИБ+смежные'!AK$1,'свод практик'!$H$6:$H$277,"мун")</f>
        <v>0</v>
      </c>
      <c r="AL266" s="208">
        <f>SUMIFS('свод практик'!$CO$6:$CO$277,'свод практик'!$J$6:$J$277,'свод субъектов ИБ+смежные'!AL$1,'свод практик'!$H$6:$H$277,"мун")</f>
        <v>0</v>
      </c>
      <c r="AM266" s="208">
        <f>SUMIFS('свод практик'!$CO$6:$CO$277,'свод практик'!$J$6:$J$277,'свод субъектов ИБ+смежные'!AM$1,'свод практик'!$H$6:$H$277,"мун")</f>
        <v>0</v>
      </c>
      <c r="AN266" s="208">
        <f>SUMIFS('свод практик'!$CO$6:$CO$277,'свод практик'!$J$6:$J$277,'свод субъектов ИБ+смежные'!AN$1,'свод практик'!$H$6:$H$277,"мун")</f>
        <v>0</v>
      </c>
      <c r="AO266" s="208">
        <f>SUMIFS('свод практик'!$CO$6:$CO$277,'свод практик'!$J$6:$J$277,'свод субъектов ИБ+смежные'!AO$1,'свод практик'!$H$6:$H$277,"мун")</f>
        <v>0</v>
      </c>
      <c r="AP266" s="208">
        <f>SUMIFS('свод практик'!$CO$6:$CO$277,'свод практик'!$J$6:$J$277,'свод субъектов ИБ+смежные'!AP$1,'свод практик'!$H$6:$H$277,"мун")</f>
        <v>0</v>
      </c>
      <c r="AQ266" s="208">
        <f>SUMIFS('свод практик'!$CO$6:$CO$277,'свод практик'!$J$6:$J$277,'свод субъектов ИБ+смежные'!AQ$1,'свод практик'!$H$6:$H$277,"мун")</f>
        <v>0</v>
      </c>
      <c r="AR266" s="208">
        <f>SUMIFS('свод практик'!$CO$6:$CO$277,'свод практик'!$J$6:$J$277,'свод субъектов ИБ+смежные'!AR$1,'свод практик'!$H$6:$H$277,"мун")</f>
        <v>0</v>
      </c>
      <c r="AS266" s="208">
        <f>SUMIFS('свод практик'!$CO$6:$CO$277,'свод практик'!$J$6:$J$277,'свод субъектов ИБ+смежные'!AS$1,'свод практик'!$H$6:$H$277,"мун")</f>
        <v>0</v>
      </c>
      <c r="AT266" s="208">
        <f>SUMIFS('свод практик'!$CO$6:$CO$277,'свод практик'!$J$6:$J$277,'свод субъектов ИБ+смежные'!AT$1,'свод практик'!$H$6:$H$277,"мун")</f>
        <v>0</v>
      </c>
      <c r="AU266" s="208">
        <f>SUMIFS('свод практик'!$CO$6:$CO$277,'свод практик'!$J$6:$J$277,'свод субъектов ИБ+смежные'!AU$1,'свод практик'!$H$6:$H$277,"мун")</f>
        <v>0</v>
      </c>
      <c r="AV266" s="208">
        <f>SUMIFS('свод практик'!$CO$6:$CO$277,'свод практик'!$J$6:$J$277,'свод субъектов ИБ+смежные'!AV$1,'свод практик'!$H$6:$H$277,"мун")</f>
        <v>0</v>
      </c>
      <c r="AW266" s="208">
        <f>SUMIFS('свод практик'!$CO$6:$CO$277,'свод практик'!$J$6:$J$277,'свод субъектов ИБ+смежные'!AW$1,'свод практик'!$H$6:$H$277,"мун")</f>
        <v>0</v>
      </c>
      <c r="AX266" s="208">
        <f>SUMIFS('свод практик'!$CO$6:$CO$277,'свод практик'!$J$6:$J$277,'свод субъектов ИБ+смежные'!AX$1,'свод практик'!$H$6:$H$277,"мун")</f>
        <v>0</v>
      </c>
      <c r="AY266" s="208">
        <f>SUMIFS('свод практик'!$CO$6:$CO$277,'свод практик'!$J$6:$J$277,'свод субъектов ИБ+смежные'!AY$1,'свод практик'!$H$6:$H$277,"мун")</f>
        <v>0</v>
      </c>
      <c r="AZ266" s="208">
        <f>SUMIFS('свод практик'!$CO$6:$CO$277,'свод практик'!$J$6:$J$277,'свод субъектов ИБ+смежные'!AZ$1,'свод практик'!$H$6:$H$277,"мун")</f>
        <v>0</v>
      </c>
      <c r="BA266" s="208">
        <f>SUMIFS('свод практик'!$CO$6:$CO$277,'свод практик'!$J$6:$J$277,'свод субъектов ИБ+смежные'!BA$1,'свод практик'!$H$6:$H$277,"мун")</f>
        <v>0</v>
      </c>
      <c r="BB266" s="208">
        <f>SUMIFS('свод практик'!$CO$6:$CO$277,'свод практик'!$J$6:$J$277,'свод субъектов ИБ+смежные'!BB$1,'свод практик'!$H$6:$H$277,"мун")</f>
        <v>0</v>
      </c>
      <c r="BC266" s="208">
        <f>SUMIFS('свод практик'!$CO$6:$CO$277,'свод практик'!$J$6:$J$277,'свод субъектов ИБ+смежные'!BC$1,'свод практик'!$H$6:$H$277,"мун")</f>
        <v>0</v>
      </c>
      <c r="BD266" s="208">
        <f>SUMIFS('свод практик'!$CO$6:$CO$277,'свод практик'!$J$6:$J$277,'свод субъектов ИБ+смежные'!BD$1,'свод практик'!$H$6:$H$277,"мун")</f>
        <v>0</v>
      </c>
      <c r="BE266" s="208">
        <f>SUMIFS('свод практик'!$CO$6:$CO$277,'свод практик'!$J$6:$J$277,'свод субъектов ИБ+смежные'!BE$1,'свод практик'!$H$6:$H$277,"мун")</f>
        <v>0</v>
      </c>
      <c r="BF266" s="208">
        <f>SUMIFS('свод практик'!$CO$6:$CO$277,'свод практик'!$J$6:$J$277,'свод субъектов ИБ+смежные'!BF$1,'свод практик'!$H$6:$H$277,"мун")</f>
        <v>0</v>
      </c>
      <c r="BG266" s="208">
        <f>SUMIFS('свод практик'!$CO$6:$CO$277,'свод практик'!$J$6:$J$277,'свод субъектов ИБ+смежные'!BG$1,'свод практик'!$H$6:$H$277,"мун")</f>
        <v>0</v>
      </c>
      <c r="BH266" s="208">
        <f>SUMIFS('свод практик'!$CO$6:$CO$277,'свод практик'!$J$6:$J$277,'свод субъектов ИБ+смежные'!BH$1,'свод практик'!$H$6:$H$277,"мун")</f>
        <v>0</v>
      </c>
      <c r="BI266" s="208">
        <f>SUMIFS('свод практик'!$CO$6:$CO$277,'свод практик'!$J$6:$J$277,'свод субъектов ИБ+смежные'!BI$1,'свод практик'!$H$6:$H$277,"мун")</f>
        <v>0</v>
      </c>
      <c r="BJ266" s="208">
        <f>SUMIFS('свод практик'!$CO$6:$CO$277,'свод практик'!$J$6:$J$277,'свод субъектов ИБ+смежные'!BJ$1,'свод практик'!$H$6:$H$277,"мун")</f>
        <v>0</v>
      </c>
      <c r="BK266" s="208">
        <f>SUMIFS('свод практик'!$CO$6:$CO$277,'свод практик'!$J$6:$J$277,'свод субъектов ИБ+смежные'!BK$1,'свод практик'!$H$6:$H$277,"мун")</f>
        <v>0</v>
      </c>
      <c r="BL266" s="208">
        <f>SUMIFS('свод практик'!$CO$6:$CO$277,'свод практик'!$J$6:$J$277,'свод субъектов ИБ+смежные'!BL$1,'свод практик'!$H$6:$H$277,"мун")</f>
        <v>0</v>
      </c>
      <c r="BM266" s="208">
        <f>SUMIFS('свод практик'!$CO$6:$CO$277,'свод практик'!$J$6:$J$277,'свод субъектов ИБ+смежные'!BM$1,'свод практик'!$H$6:$H$277,"мун")</f>
        <v>0</v>
      </c>
      <c r="BN266" s="208">
        <f>SUMIFS('свод практик'!$CO$6:$CO$277,'свод практик'!$J$6:$J$277,'свод субъектов ИБ+смежные'!BN$1,'свод практик'!$H$6:$H$277,"мун")</f>
        <v>0</v>
      </c>
      <c r="BO266" s="208">
        <f>SUMIFS('свод практик'!$CO$6:$CO$277,'свод практик'!$J$6:$J$277,'свод субъектов ИБ+смежные'!BO$1,'свод практик'!$H$6:$H$277,"мун")</f>
        <v>0</v>
      </c>
      <c r="BP266" s="208">
        <f>SUMIFS('свод практик'!$CO$6:$CO$277,'свод практик'!$J$6:$J$277,'свод субъектов ИБ+смежные'!BP$1,'свод практик'!$H$6:$H$277,"мун")</f>
        <v>0</v>
      </c>
      <c r="BQ266" s="208">
        <f>SUMIFS('свод практик'!$CO$6:$CO$277,'свод практик'!$J$6:$J$277,'свод субъектов ИБ+смежные'!BQ$1,'свод практик'!$H$6:$H$277,"мун")</f>
        <v>0</v>
      </c>
      <c r="BR266" s="208">
        <f>SUMIFS('свод практик'!$CO$6:$CO$277,'свод практик'!$J$6:$J$277,'свод субъектов ИБ+смежные'!BR$1,'свод практик'!$H$6:$H$277,"мун")</f>
        <v>0</v>
      </c>
      <c r="BS266" s="208">
        <f>SUMIFS('свод практик'!$CO$6:$CO$277,'свод практик'!$J$6:$J$277,'свод субъектов ИБ+смежные'!BS$1,'свод практик'!$H$6:$H$277,"мун")</f>
        <v>0</v>
      </c>
      <c r="BT266" s="208">
        <f>SUMIFS('свод практик'!$CO$6:$CO$277,'свод практик'!$J$6:$J$277,'свод субъектов ИБ+смежные'!BT$1,'свод практик'!$H$6:$H$277,"мун")</f>
        <v>0</v>
      </c>
      <c r="BU266" s="208">
        <f>SUMIFS('свод практик'!$CO$6:$CO$277,'свод практик'!$J$6:$J$277,'свод субъектов ИБ+смежные'!BU$1,'свод практик'!$H$6:$H$277,"мун")</f>
        <v>0</v>
      </c>
      <c r="BV266" s="208">
        <f>SUMIFS('свод практик'!$CO$6:$CO$277,'свод практик'!$J$6:$J$277,'свод субъектов ИБ+смежные'!BV$1,'свод практик'!$H$6:$H$277,"мун")</f>
        <v>0</v>
      </c>
      <c r="BW266" s="208">
        <f>SUMIFS('свод практик'!$CO$6:$CO$277,'свод практик'!$J$6:$J$277,'свод субъектов ИБ+смежные'!BW$1,'свод практик'!$H$6:$H$277,"мун")</f>
        <v>0</v>
      </c>
      <c r="BX266" s="208">
        <f>SUMIFS('свод практик'!$CO$6:$CO$277,'свод практик'!$J$6:$J$277,'свод субъектов ИБ+смежные'!BX$1,'свод практик'!$H$6:$H$277,"мун")</f>
        <v>0</v>
      </c>
      <c r="BY266" s="208">
        <f>SUMIFS('свод практик'!$CO$6:$CO$277,'свод практик'!$J$6:$J$277,'свод субъектов ИБ+смежные'!BY$1,'свод практик'!$H$6:$H$277,"мун")</f>
        <v>0</v>
      </c>
      <c r="BZ266" s="208">
        <f>SUMIFS('свод практик'!$CO$6:$CO$277,'свод практик'!$J$6:$J$277,'свод субъектов ИБ+смежные'!BZ$1,'свод практик'!$H$6:$H$277,"мун")</f>
        <v>0</v>
      </c>
      <c r="CA266" s="208">
        <f>SUMIFS('свод практик'!$CO$6:$CO$277,'свод практик'!$J$6:$J$277,'свод субъектов ИБ+смежные'!CA$1,'свод практик'!$H$6:$H$277,"мун")</f>
        <v>0</v>
      </c>
      <c r="CB266" s="208">
        <f>SUMIFS('свод практик'!$CO$6:$CO$277,'свод практик'!$J$6:$J$277,'свод субъектов ИБ+смежные'!CB$1,'свод практик'!$H$6:$H$277,"мун")</f>
        <v>0</v>
      </c>
      <c r="CC266" s="208">
        <f>SUMIFS('свод практик'!$CO$6:$CO$277,'свод практик'!$J$6:$J$277,'свод субъектов ИБ+смежные'!CC$1,'свод практик'!$H$6:$H$277,"мун")</f>
        <v>0</v>
      </c>
      <c r="CD266" s="208">
        <f>SUMIFS('свод практик'!$CO$6:$CO$277,'свод практик'!$J$6:$J$277,'свод субъектов ИБ+смежные'!CD$1,'свод практик'!$H$6:$H$277,"мун")</f>
        <v>0</v>
      </c>
      <c r="CE266" s="208">
        <f>SUMIFS('свод практик'!$CO$6:$CO$277,'свод практик'!$J$6:$J$277,'свод субъектов ИБ+смежные'!CE$1,'свод практик'!$H$6:$H$277,"мун")</f>
        <v>0</v>
      </c>
      <c r="CF266" s="208">
        <f>SUMIFS('свод практик'!$CO$6:$CO$277,'свод практик'!$J$6:$J$277,'свод субъектов ИБ+смежные'!CF$1,'свод практик'!$H$6:$H$277,"мун")</f>
        <v>0</v>
      </c>
      <c r="CG266" s="208">
        <f>SUMIFS('свод практик'!$CO$6:$CO$277,'свод практик'!$J$6:$J$277,'свод субъектов ИБ+смежные'!CG$1,'свод практик'!$H$6:$H$277,"мун")</f>
        <v>0</v>
      </c>
      <c r="CH266" s="208">
        <f>SUMIFS('свод практик'!$CO$6:$CO$277,'свод практик'!$J$6:$J$277,'свод субъектов ИБ+смежные'!CH$1,'свод практик'!$H$6:$H$277,"мун")</f>
        <v>0</v>
      </c>
      <c r="CI266" s="208">
        <f>SUMIFS('свод практик'!$CO$6:$CO$277,'свод практик'!$J$6:$J$277,'свод субъектов ИБ+смежные'!CI$1,'свод практик'!$H$6:$H$277,"мун")</f>
        <v>0</v>
      </c>
      <c r="CJ266" s="208">
        <f>SUMIFS('свод практик'!$CO$6:$CO$277,'свод практик'!$J$6:$J$277,'свод субъектов ИБ+смежные'!CJ$1,'свод практик'!$H$6:$H$277,"мун")</f>
        <v>0</v>
      </c>
      <c r="CK266" s="208">
        <f>SUMIFS('свод практик'!$CO$6:$CO$277,'свод практик'!$J$6:$J$277,'свод субъектов ИБ+смежные'!CK$1,'свод практик'!$H$6:$H$277,"мун")</f>
        <v>0</v>
      </c>
      <c r="CL266" s="208">
        <f>SUMIFS('свод практик'!$CO$6:$CO$277,'свод практик'!$J$6:$J$277,'свод субъектов ИБ+смежные'!CL$1,'свод практик'!$H$6:$H$277,"мун")</f>
        <v>0</v>
      </c>
      <c r="CM266" s="208">
        <f>SUMIFS('свод практик'!$CO$6:$CO$277,'свод практик'!$J$6:$J$277,'свод субъектов ИБ+смежные'!CM$1,'свод практик'!$H$6:$H$277,"мун")</f>
        <v>0</v>
      </c>
      <c r="CN266" s="208">
        <f>SUMIFS('свод практик'!$CO$6:$CO$277,'свод практик'!$J$6:$J$277,'свод субъектов ИБ+смежные'!CN$1,'свод практик'!$H$6:$H$277,"мун")</f>
        <v>0</v>
      </c>
      <c r="CO266" s="208">
        <f>SUMIFS('свод практик'!$CO$6:$CO$277,'свод практик'!$J$6:$J$277,'свод субъектов ИБ+смежные'!CO$1,'свод практик'!$H$6:$H$277,"мун")</f>
        <v>0</v>
      </c>
      <c r="CP266" s="208">
        <f>SUMIFS('свод практик'!$CO$6:$CO$277,'свод практик'!$J$6:$J$277,'свод субъектов ИБ+смежные'!CP$1,'свод практик'!$H$6:$H$277,"мун")</f>
        <v>0</v>
      </c>
      <c r="CQ266" s="208">
        <f>SUMIFS('свод практик'!$CO$6:$CO$277,'свод практик'!$J$6:$J$277,'свод субъектов ИБ+смежные'!CQ$1,'свод практик'!$H$6:$H$277,"мун")</f>
        <v>0</v>
      </c>
      <c r="CR266" s="208">
        <f>SUMIFS('свод практик'!$CO$6:$CO$277,'свод практик'!$J$6:$J$277,'свод субъектов ИБ+смежные'!CR$1,'свод практик'!$H$6:$H$277,"мун")</f>
        <v>0</v>
      </c>
      <c r="CS266" s="208">
        <f>SUMIFS('свод практик'!$CO$6:$CO$277,'свод практик'!$J$6:$J$277,'свод субъектов ИБ+смежные'!CS$1,'свод практик'!$H$6:$H$277,"мун")</f>
        <v>0</v>
      </c>
      <c r="CT266" s="208">
        <f>SUMIFS('свод практик'!$CO$6:$CO$277,'свод практик'!$J$6:$J$277,'свод субъектов ИБ+смежные'!CT$1,'свод практик'!$H$6:$H$277,"мун")</f>
        <v>0</v>
      </c>
      <c r="CU266" s="208">
        <f>SUMIFS('свод практик'!$CO$6:$CO$277,'свод практик'!$J$6:$J$277,'свод субъектов ИБ+смежные'!CU$1,'свод практик'!$H$6:$H$277,"мун")</f>
        <v>0</v>
      </c>
      <c r="CV266" s="208">
        <f>SUMIFS('свод практик'!$CO$6:$CO$277,'свод практик'!$J$6:$J$277,'свод субъектов ИБ+смежные'!CV$1,'свод практик'!$H$6:$H$277,"мун")</f>
        <v>0</v>
      </c>
    </row>
    <row r="267" spans="4:100" ht="14">
      <c r="D267" s="36" t="s">
        <v>4949</v>
      </c>
      <c r="E267" s="36">
        <v>81</v>
      </c>
      <c r="F267" s="36" t="s">
        <v>5603</v>
      </c>
      <c r="H267" s="36" t="s">
        <v>60</v>
      </c>
      <c r="M267" s="36" t="s">
        <v>5497</v>
      </c>
      <c r="N267" s="36">
        <v>0</v>
      </c>
      <c r="O267" s="226"/>
      <c r="Q267" s="194"/>
      <c r="R267" s="194"/>
      <c r="S267" s="194"/>
    </row>
    <row r="268" spans="4:100" s="208" customFormat="1" ht="28">
      <c r="D268" s="208" t="s">
        <v>4949</v>
      </c>
      <c r="E268" s="208">
        <v>82</v>
      </c>
      <c r="F268" s="208" t="s">
        <v>5604</v>
      </c>
      <c r="G268" s="208" t="s">
        <v>5190</v>
      </c>
      <c r="H268" s="208" t="s">
        <v>5140</v>
      </c>
      <c r="L268" s="208" t="s">
        <v>278</v>
      </c>
      <c r="M268" s="208" t="s">
        <v>5497</v>
      </c>
      <c r="N268" s="208">
        <v>11</v>
      </c>
      <c r="O268" s="226">
        <f t="shared" si="145"/>
        <v>9</v>
      </c>
      <c r="P268" s="208">
        <f>SUMIFS('свод практик'!$CP$6:$CP$277,'свод практик'!$J$6:$J$277,'свод субъектов ИБ+смежные'!P$1,'свод практик'!$H$6:$H$277,"мун")</f>
        <v>0</v>
      </c>
      <c r="Q268" s="208">
        <f>SUMIFS('свод практик'!$CP$6:$CP$277,'свод практик'!$J$6:$J$277,'свод субъектов ИБ+смежные'!Q$1,'свод практик'!$H$6:$H$277,"мун")</f>
        <v>0</v>
      </c>
      <c r="R268" s="208">
        <f>SUMIFS('свод практик'!$CP$6:$CP$277,'свод практик'!$J$6:$J$277,'свод субъектов ИБ+смежные'!R$1,'свод практик'!$H$6:$H$277,"мун")</f>
        <v>0</v>
      </c>
      <c r="S268" s="208">
        <f>SUMIFS('свод практик'!$CP$6:$CP$277,'свод практик'!$J$6:$J$277,'свод субъектов ИБ+смежные'!S$1,'свод практик'!$H$6:$H$277,"мун")</f>
        <v>0</v>
      </c>
      <c r="T268" s="208">
        <f>SUMIFS('свод практик'!$CP$6:$CP$277,'свод практик'!$J$6:$J$277,'свод субъектов ИБ+смежные'!T$1,'свод практик'!$H$6:$H$277,"мун")</f>
        <v>0</v>
      </c>
      <c r="U268" s="208">
        <f>SUMIFS('свод практик'!$CP$6:$CP$277,'свод практик'!$J$6:$J$277,'свод субъектов ИБ+смежные'!U$1,'свод практик'!$H$6:$H$277,"мун")</f>
        <v>0</v>
      </c>
      <c r="V268" s="208">
        <f>SUMIFS('свод практик'!$CP$6:$CP$277,'свод практик'!$J$6:$J$277,'свод субъектов ИБ+смежные'!V$1,'свод практик'!$H$6:$H$277,"мун")</f>
        <v>0</v>
      </c>
      <c r="W268" s="208">
        <f>SUMIFS('свод практик'!$CP$6:$CP$277,'свод практик'!$J$6:$J$277,'свод субъектов ИБ+смежные'!W$1,'свод практик'!$H$6:$H$277,"мун")</f>
        <v>6</v>
      </c>
      <c r="X268" s="208">
        <f>SUMIFS('свод практик'!$CP$6:$CP$277,'свод практик'!$J$6:$J$277,'свод субъектов ИБ+смежные'!X$1,'свод практик'!$H$6:$H$277,"мун")</f>
        <v>0</v>
      </c>
      <c r="Y268" s="208">
        <f>SUMIFS('свод практик'!$CP$6:$CP$277,'свод практик'!$J$6:$J$277,'свод субъектов ИБ+смежные'!Y$1,'свод практик'!$H$6:$H$277,"мун")</f>
        <v>0</v>
      </c>
      <c r="Z268" s="208">
        <f>SUMIFS('свод практик'!$CP$6:$CP$277,'свод практик'!$J$6:$J$277,'свод субъектов ИБ+смежные'!Z$1,'свод практик'!$H$6:$H$277,"мун")</f>
        <v>0</v>
      </c>
      <c r="AA268" s="208">
        <f>SUMIFS('свод практик'!$CP$6:$CP$277,'свод практик'!$J$6:$J$277,'свод субъектов ИБ+смежные'!AA$1,'свод практик'!$H$6:$H$277,"мун")</f>
        <v>0</v>
      </c>
      <c r="AB268" s="208">
        <f>SUMIFS('свод практик'!$CP$6:$CP$277,'свод практик'!$J$6:$J$277,'свод субъектов ИБ+смежные'!AB$1,'свод практик'!$H$6:$H$277,"мун")</f>
        <v>0</v>
      </c>
      <c r="AC268" s="208">
        <f>SUMIFS('свод практик'!$CP$6:$CP$277,'свод практик'!$J$6:$J$277,'свод субъектов ИБ+смежные'!AC$1,'свод практик'!$H$6:$H$277,"мун")</f>
        <v>0</v>
      </c>
      <c r="AD268" s="208">
        <f>SUMIFS('свод практик'!$CP$6:$CP$277,'свод практик'!$J$6:$J$277,'свод субъектов ИБ+смежные'!AD$1,'свод практик'!$H$6:$H$277,"мун")</f>
        <v>0</v>
      </c>
      <c r="AE268" s="208">
        <f>SUMIFS('свод практик'!$CP$6:$CP$277,'свод практик'!$J$6:$J$277,'свод субъектов ИБ+смежные'!AE$1,'свод практик'!$H$6:$H$277,"мун")</f>
        <v>0</v>
      </c>
      <c r="AF268" s="208">
        <f>SUMIFS('свод практик'!$CP$6:$CP$277,'свод практик'!$J$6:$J$277,'свод субъектов ИБ+смежные'!AF$1,'свод практик'!$H$6:$H$277,"мун")</f>
        <v>0</v>
      </c>
      <c r="AG268" s="208">
        <f>SUMIFS('свод практик'!$CP$6:$CP$277,'свод практик'!$J$6:$J$277,'свод субъектов ИБ+смежные'!AG$1,'свод практик'!$H$6:$H$277,"мун")</f>
        <v>0</v>
      </c>
      <c r="AH268" s="208">
        <f>SUMIFS('свод практик'!$CP$6:$CP$277,'свод практик'!$J$6:$J$277,'свод субъектов ИБ+смежные'!AH$1,'свод практик'!$H$6:$H$277,"мун")</f>
        <v>0</v>
      </c>
      <c r="AI268" s="208">
        <f>SUMIFS('свод практик'!$CP$6:$CP$277,'свод практик'!$J$6:$J$277,'свод субъектов ИБ+смежные'!AI$1,'свод практик'!$H$6:$H$277,"мун")</f>
        <v>0</v>
      </c>
      <c r="AJ268" s="208">
        <f>SUMIFS('свод практик'!$CP$6:$CP$277,'свод практик'!$J$6:$J$277,'свод субъектов ИБ+смежные'!AJ$1,'свод практик'!$H$6:$H$277,"мун")</f>
        <v>0</v>
      </c>
      <c r="AK268" s="208">
        <f>SUMIFS('свод практик'!$CP$6:$CP$277,'свод практик'!$J$6:$J$277,'свод субъектов ИБ+смежные'!AK$1,'свод практик'!$H$6:$H$277,"мун")</f>
        <v>0</v>
      </c>
      <c r="AL268" s="208">
        <f>SUMIFS('свод практик'!$CP$6:$CP$277,'свод практик'!$J$6:$J$277,'свод субъектов ИБ+смежные'!AL$1,'свод практик'!$H$6:$H$277,"мун")</f>
        <v>0</v>
      </c>
      <c r="AM268" s="208">
        <f>SUMIFS('свод практик'!$CP$6:$CP$277,'свод практик'!$J$6:$J$277,'свод субъектов ИБ+смежные'!AM$1,'свод практик'!$H$6:$H$277,"мун")</f>
        <v>0</v>
      </c>
      <c r="AN268" s="208">
        <f>SUMIFS('свод практик'!$CP$6:$CP$277,'свод практик'!$J$6:$J$277,'свод субъектов ИБ+смежные'!AN$1,'свод практик'!$H$6:$H$277,"мун")</f>
        <v>0</v>
      </c>
      <c r="AO268" s="208">
        <f>SUMIFS('свод практик'!$CP$6:$CP$277,'свод практик'!$J$6:$J$277,'свод субъектов ИБ+смежные'!AO$1,'свод практик'!$H$6:$H$277,"мун")</f>
        <v>0</v>
      </c>
      <c r="AP268" s="208">
        <f>SUMIFS('свод практик'!$CP$6:$CP$277,'свод практик'!$J$6:$J$277,'свод субъектов ИБ+смежные'!AP$1,'свод практик'!$H$6:$H$277,"мун")</f>
        <v>0</v>
      </c>
      <c r="AQ268" s="208">
        <f>SUMIFS('свод практик'!$CP$6:$CP$277,'свод практик'!$J$6:$J$277,'свод субъектов ИБ+смежные'!AQ$1,'свод практик'!$H$6:$H$277,"мун")</f>
        <v>0</v>
      </c>
      <c r="AR268" s="208">
        <f>SUMIFS('свод практик'!$CP$6:$CP$277,'свод практик'!$J$6:$J$277,'свод субъектов ИБ+смежные'!AR$1,'свод практик'!$H$6:$H$277,"мун")</f>
        <v>0</v>
      </c>
      <c r="AS268" s="208">
        <f>SUMIFS('свод практик'!$CP$6:$CP$277,'свод практик'!$J$6:$J$277,'свод субъектов ИБ+смежные'!AS$1,'свод практик'!$H$6:$H$277,"мун")</f>
        <v>0</v>
      </c>
      <c r="AT268" s="208">
        <f>SUMIFS('свод практик'!$CP$6:$CP$277,'свод практик'!$J$6:$J$277,'свод субъектов ИБ+смежные'!AT$1,'свод практик'!$H$6:$H$277,"мун")</f>
        <v>0</v>
      </c>
      <c r="AU268" s="208">
        <f>SUMIFS('свод практик'!$CP$6:$CP$277,'свод практик'!$J$6:$J$277,'свод субъектов ИБ+смежные'!AU$1,'свод практик'!$H$6:$H$277,"мун")</f>
        <v>0</v>
      </c>
      <c r="AV268" s="208">
        <f>SUMIFS('свод практик'!$CP$6:$CP$277,'свод практик'!$J$6:$J$277,'свод субъектов ИБ+смежные'!AV$1,'свод практик'!$H$6:$H$277,"мун")</f>
        <v>0</v>
      </c>
      <c r="AW268" s="208">
        <f>SUMIFS('свод практик'!$CP$6:$CP$277,'свод практик'!$J$6:$J$277,'свод субъектов ИБ+смежные'!AW$1,'свод практик'!$H$6:$H$277,"мун")</f>
        <v>0</v>
      </c>
      <c r="AX268" s="208">
        <f>SUMIFS('свод практик'!$CP$6:$CP$277,'свод практик'!$J$6:$J$277,'свод субъектов ИБ+смежные'!AX$1,'свод практик'!$H$6:$H$277,"мун")</f>
        <v>0</v>
      </c>
      <c r="AY268" s="208">
        <f>SUMIFS('свод практик'!$CP$6:$CP$277,'свод практик'!$J$6:$J$277,'свод субъектов ИБ+смежные'!AY$1,'свод практик'!$H$6:$H$277,"мун")</f>
        <v>0</v>
      </c>
      <c r="AZ268" s="208">
        <f>SUMIFS('свод практик'!$CP$6:$CP$277,'свод практик'!$J$6:$J$277,'свод субъектов ИБ+смежные'!AZ$1,'свод практик'!$H$6:$H$277,"мун")</f>
        <v>0</v>
      </c>
      <c r="BA268" s="208">
        <f>SUMIFS('свод практик'!$CP$6:$CP$277,'свод практик'!$J$6:$J$277,'свод субъектов ИБ+смежные'!BA$1,'свод практик'!$H$6:$H$277,"мун")</f>
        <v>0</v>
      </c>
      <c r="BB268" s="208">
        <f>SUMIFS('свод практик'!$CP$6:$CP$277,'свод практик'!$J$6:$J$277,'свод субъектов ИБ+смежные'!BB$1,'свод практик'!$H$6:$H$277,"мун")</f>
        <v>0</v>
      </c>
      <c r="BC268" s="208">
        <f>SUMIFS('свод практик'!$CP$6:$CP$277,'свод практик'!$J$6:$J$277,'свод субъектов ИБ+смежные'!BC$1,'свод практик'!$H$6:$H$277,"мун")</f>
        <v>0</v>
      </c>
      <c r="BD268" s="208">
        <f>SUMIFS('свод практик'!$CP$6:$CP$277,'свод практик'!$J$6:$J$277,'свод субъектов ИБ+смежные'!BD$1,'свод практик'!$H$6:$H$277,"мун")</f>
        <v>0</v>
      </c>
      <c r="BE268" s="208">
        <f>SUMIFS('свод практик'!$CP$6:$CP$277,'свод практик'!$J$6:$J$277,'свод субъектов ИБ+смежные'!BE$1,'свод практик'!$H$6:$H$277,"мун")</f>
        <v>0</v>
      </c>
      <c r="BF268" s="208">
        <f>SUMIFS('свод практик'!$CP$6:$CP$277,'свод практик'!$J$6:$J$277,'свод субъектов ИБ+смежные'!BF$1,'свод практик'!$H$6:$H$277,"мун")</f>
        <v>0</v>
      </c>
      <c r="BG268" s="208">
        <f>SUMIFS('свод практик'!$CP$6:$CP$277,'свод практик'!$J$6:$J$277,'свод субъектов ИБ+смежные'!BG$1,'свод практик'!$H$6:$H$277,"мун")</f>
        <v>0</v>
      </c>
      <c r="BH268" s="208">
        <f>SUMIFS('свод практик'!$CP$6:$CP$277,'свод практик'!$J$6:$J$277,'свод субъектов ИБ+смежные'!BH$1,'свод практик'!$H$6:$H$277,"мун")</f>
        <v>0</v>
      </c>
      <c r="BI268" s="208">
        <f>SUMIFS('свод практик'!$CP$6:$CP$277,'свод практик'!$J$6:$J$277,'свод субъектов ИБ+смежные'!BI$1,'свод практик'!$H$6:$H$277,"мун")</f>
        <v>0</v>
      </c>
      <c r="BJ268" s="208">
        <f>SUMIFS('свод практик'!$CP$6:$CP$277,'свод практик'!$J$6:$J$277,'свод субъектов ИБ+смежные'!BJ$1,'свод практик'!$H$6:$H$277,"мун")</f>
        <v>0</v>
      </c>
      <c r="BK268" s="208">
        <f>SUMIFS('свод практик'!$CP$6:$CP$277,'свод практик'!$J$6:$J$277,'свод субъектов ИБ+смежные'!BK$1,'свод практик'!$H$6:$H$277,"мун")</f>
        <v>0</v>
      </c>
      <c r="BL268" s="208">
        <f>SUMIFS('свод практик'!$CP$6:$CP$277,'свод практик'!$J$6:$J$277,'свод субъектов ИБ+смежные'!BL$1,'свод практик'!$H$6:$H$277,"мун")</f>
        <v>0</v>
      </c>
      <c r="BM268" s="208">
        <f>SUMIFS('свод практик'!$CP$6:$CP$277,'свод практик'!$J$6:$J$277,'свод субъектов ИБ+смежные'!BM$1,'свод практик'!$H$6:$H$277,"мун")</f>
        <v>0</v>
      </c>
      <c r="BN268" s="208">
        <f>SUMIFS('свод практик'!$CP$6:$CP$277,'свод практик'!$J$6:$J$277,'свод субъектов ИБ+смежные'!BN$1,'свод практик'!$H$6:$H$277,"мун")</f>
        <v>0</v>
      </c>
      <c r="BO268" s="208">
        <f>SUMIFS('свод практик'!$CP$6:$CP$277,'свод практик'!$J$6:$J$277,'свод субъектов ИБ+смежные'!BO$1,'свод практик'!$H$6:$H$277,"мун")</f>
        <v>2</v>
      </c>
      <c r="BP268" s="208">
        <f>SUMIFS('свод практик'!$CP$6:$CP$277,'свод практик'!$J$6:$J$277,'свод субъектов ИБ+смежные'!BP$1,'свод практик'!$H$6:$H$277,"мун")</f>
        <v>0</v>
      </c>
      <c r="BQ268" s="208">
        <f>SUMIFS('свод практик'!$CP$6:$CP$277,'свод практик'!$J$6:$J$277,'свод субъектов ИБ+смежные'!BQ$1,'свод практик'!$H$6:$H$277,"мун")</f>
        <v>0</v>
      </c>
      <c r="BR268" s="208">
        <f>SUMIFS('свод практик'!$CP$6:$CP$277,'свод практик'!$J$6:$J$277,'свод субъектов ИБ+смежные'!BR$1,'свод практик'!$H$6:$H$277,"мун")</f>
        <v>0</v>
      </c>
      <c r="BS268" s="208">
        <f>SUMIFS('свод практик'!$CP$6:$CP$277,'свод практик'!$J$6:$J$277,'свод субъектов ИБ+смежные'!BS$1,'свод практик'!$H$6:$H$277,"мун")</f>
        <v>0</v>
      </c>
      <c r="BT268" s="208">
        <f>SUMIFS('свод практик'!$CP$6:$CP$277,'свод практик'!$J$6:$J$277,'свод субъектов ИБ+смежные'!BT$1,'свод практик'!$H$6:$H$277,"мун")</f>
        <v>0</v>
      </c>
      <c r="BU268" s="208">
        <f>SUMIFS('свод практик'!$CP$6:$CP$277,'свод практик'!$J$6:$J$277,'свод субъектов ИБ+смежные'!BU$1,'свод практик'!$H$6:$H$277,"мун")</f>
        <v>0</v>
      </c>
      <c r="BV268" s="208">
        <f>SUMIFS('свод практик'!$CP$6:$CP$277,'свод практик'!$J$6:$J$277,'свод субъектов ИБ+смежные'!BV$1,'свод практик'!$H$6:$H$277,"мун")</f>
        <v>0</v>
      </c>
      <c r="BW268" s="208">
        <f>SUMIFS('свод практик'!$CP$6:$CP$277,'свод практик'!$J$6:$J$277,'свод субъектов ИБ+смежные'!BW$1,'свод практик'!$H$6:$H$277,"мун")</f>
        <v>0</v>
      </c>
      <c r="BX268" s="208">
        <f>SUMIFS('свод практик'!$CP$6:$CP$277,'свод практик'!$J$6:$J$277,'свод субъектов ИБ+смежные'!BX$1,'свод практик'!$H$6:$H$277,"мун")</f>
        <v>0</v>
      </c>
      <c r="BY268" s="208">
        <f>SUMIFS('свод практик'!$CP$6:$CP$277,'свод практик'!$J$6:$J$277,'свод субъектов ИБ+смежные'!BY$1,'свод практик'!$H$6:$H$277,"мун")</f>
        <v>0</v>
      </c>
      <c r="BZ268" s="208">
        <f>SUMIFS('свод практик'!$CP$6:$CP$277,'свод практик'!$J$6:$J$277,'свод субъектов ИБ+смежные'!BZ$1,'свод практик'!$H$6:$H$277,"мун")</f>
        <v>0</v>
      </c>
      <c r="CA268" s="208">
        <f>SUMIFS('свод практик'!$CP$6:$CP$277,'свод практик'!$J$6:$J$277,'свод субъектов ИБ+смежные'!CA$1,'свод практик'!$H$6:$H$277,"мун")</f>
        <v>0</v>
      </c>
      <c r="CB268" s="208">
        <f>SUMIFS('свод практик'!$CP$6:$CP$277,'свод практик'!$J$6:$J$277,'свод субъектов ИБ+смежные'!CB$1,'свод практик'!$H$6:$H$277,"мун")</f>
        <v>0</v>
      </c>
      <c r="CC268" s="208">
        <f>SUMIFS('свод практик'!$CP$6:$CP$277,'свод практик'!$J$6:$J$277,'свод субъектов ИБ+смежные'!CC$1,'свод практик'!$H$6:$H$277,"мун")</f>
        <v>0</v>
      </c>
      <c r="CD268" s="208">
        <f>SUMIFS('свод практик'!$CP$6:$CP$277,'свод практик'!$J$6:$J$277,'свод субъектов ИБ+смежные'!CD$1,'свод практик'!$H$6:$H$277,"мун")</f>
        <v>0</v>
      </c>
      <c r="CE268" s="208">
        <f>SUMIFS('свод практик'!$CP$6:$CP$277,'свод практик'!$J$6:$J$277,'свод субъектов ИБ+смежные'!CE$1,'свод практик'!$H$6:$H$277,"мун")</f>
        <v>0</v>
      </c>
      <c r="CF268" s="208">
        <f>SUMIFS('свод практик'!$CP$6:$CP$277,'свод практик'!$J$6:$J$277,'свод субъектов ИБ+смежные'!CF$1,'свод практик'!$H$6:$H$277,"мун")</f>
        <v>0</v>
      </c>
      <c r="CG268" s="208">
        <f>SUMIFS('свод практик'!$CP$6:$CP$277,'свод практик'!$J$6:$J$277,'свод субъектов ИБ+смежные'!CG$1,'свод практик'!$H$6:$H$277,"мун")</f>
        <v>0</v>
      </c>
      <c r="CH268" s="208">
        <f>SUMIFS('свод практик'!$CP$6:$CP$277,'свод практик'!$J$6:$J$277,'свод субъектов ИБ+смежные'!CH$1,'свод практик'!$H$6:$H$277,"мун")</f>
        <v>0</v>
      </c>
      <c r="CI268" s="208">
        <f>SUMIFS('свод практик'!$CP$6:$CP$277,'свод практик'!$J$6:$J$277,'свод субъектов ИБ+смежные'!CI$1,'свод практик'!$H$6:$H$277,"мун")</f>
        <v>0</v>
      </c>
      <c r="CJ268" s="208">
        <f>SUMIFS('свод практик'!$CP$6:$CP$277,'свод практик'!$J$6:$J$277,'свод субъектов ИБ+смежные'!CJ$1,'свод практик'!$H$6:$H$277,"мун")</f>
        <v>0</v>
      </c>
      <c r="CK268" s="208">
        <f>SUMIFS('свод практик'!$CP$6:$CP$277,'свод практик'!$J$6:$J$277,'свод субъектов ИБ+смежные'!CK$1,'свод практик'!$H$6:$H$277,"мун")</f>
        <v>0</v>
      </c>
      <c r="CL268" s="208">
        <f>SUMIFS('свод практик'!$CP$6:$CP$277,'свод практик'!$J$6:$J$277,'свод субъектов ИБ+смежные'!CL$1,'свод практик'!$H$6:$H$277,"мун")</f>
        <v>0</v>
      </c>
      <c r="CM268" s="208">
        <f>SUMIFS('свод практик'!$CP$6:$CP$277,'свод практик'!$J$6:$J$277,'свод субъектов ИБ+смежные'!CM$1,'свод практик'!$H$6:$H$277,"мун")</f>
        <v>0</v>
      </c>
      <c r="CN268" s="208">
        <f>SUMIFS('свод практик'!$CP$6:$CP$277,'свод практик'!$J$6:$J$277,'свод субъектов ИБ+смежные'!CN$1,'свод практик'!$H$6:$H$277,"мун")</f>
        <v>0</v>
      </c>
      <c r="CO268" s="208">
        <f>SUMIFS('свод практик'!$CP$6:$CP$277,'свод практик'!$J$6:$J$277,'свод субъектов ИБ+смежные'!CO$1,'свод практик'!$H$6:$H$277,"мун")</f>
        <v>0</v>
      </c>
      <c r="CP268" s="208">
        <f>SUMIFS('свод практик'!$CP$6:$CP$277,'свод практик'!$J$6:$J$277,'свод субъектов ИБ+смежные'!CP$1,'свод практик'!$H$6:$H$277,"мун")</f>
        <v>0</v>
      </c>
      <c r="CQ268" s="208">
        <f>SUMIFS('свод практик'!$CP$6:$CP$277,'свод практик'!$J$6:$J$277,'свод субъектов ИБ+смежные'!CQ$1,'свод практик'!$H$6:$H$277,"мун")</f>
        <v>0</v>
      </c>
      <c r="CR268" s="208">
        <f>SUMIFS('свод практик'!$CP$6:$CP$277,'свод практик'!$J$6:$J$277,'свод субъектов ИБ+смежные'!CR$1,'свод практик'!$H$6:$H$277,"мун")</f>
        <v>0</v>
      </c>
      <c r="CS268" s="208">
        <f>SUMIFS('свод практик'!$CP$6:$CP$277,'свод практик'!$J$6:$J$277,'свод субъектов ИБ+смежные'!CS$1,'свод практик'!$H$6:$H$277,"мун")</f>
        <v>0</v>
      </c>
      <c r="CT268" s="208">
        <f>SUMIFS('свод практик'!$CP$6:$CP$277,'свод практик'!$J$6:$J$277,'свод субъектов ИБ+смежные'!CT$1,'свод практик'!$H$6:$H$277,"мун")</f>
        <v>0</v>
      </c>
      <c r="CU268" s="208">
        <f>SUMIFS('свод практик'!$CP$6:$CP$277,'свод практик'!$J$6:$J$277,'свод субъектов ИБ+смежные'!CU$1,'свод практик'!$H$6:$H$277,"мун")</f>
        <v>1</v>
      </c>
      <c r="CV268" s="208">
        <f>SUMIFS('свод практик'!$CP$6:$CP$277,'свод практик'!$J$6:$J$277,'свод субъектов ИБ+смежные'!CV$1,'свод практик'!$H$6:$H$277,"мун")</f>
        <v>0</v>
      </c>
    </row>
    <row r="269" spans="4:100" ht="14">
      <c r="D269" s="36" t="s">
        <v>4949</v>
      </c>
      <c r="E269" s="36">
        <v>83</v>
      </c>
      <c r="F269" s="36" t="s">
        <v>5605</v>
      </c>
      <c r="H269" s="36" t="s">
        <v>60</v>
      </c>
      <c r="M269" s="36" t="s">
        <v>5497</v>
      </c>
      <c r="N269" s="36">
        <v>1.3205282112845138E-2</v>
      </c>
      <c r="O269" s="226"/>
      <c r="Q269" s="194"/>
      <c r="R269" s="194"/>
      <c r="S269" s="194"/>
    </row>
    <row r="270" spans="4:100" s="208" customFormat="1" ht="42">
      <c r="D270" s="208" t="s">
        <v>4949</v>
      </c>
      <c r="E270" s="208">
        <v>91</v>
      </c>
      <c r="F270" s="208" t="s">
        <v>5606</v>
      </c>
      <c r="G270" s="208" t="s">
        <v>39</v>
      </c>
      <c r="H270" s="208" t="s">
        <v>5140</v>
      </c>
      <c r="M270" s="208" t="s">
        <v>5497</v>
      </c>
      <c r="N270" s="208">
        <v>21</v>
      </c>
      <c r="O270" s="226">
        <f t="shared" si="145"/>
        <v>34</v>
      </c>
      <c r="P270" s="208">
        <f>SUMIFS('свод практик'!$CQ$6:$CQ$277,'свод практик'!$J$6:$J$277,'свод субъектов ИБ+смежные'!P$1,'свод практик'!$H$6:$H$277,"мун")</f>
        <v>0</v>
      </c>
      <c r="Q270" s="208">
        <f>SUMIFS('свод практик'!$CQ$6:$CQ$277,'свод практик'!$J$6:$J$277,'свод субъектов ИБ+смежные'!Q$1,'свод практик'!$H$6:$H$277,"мун")</f>
        <v>0</v>
      </c>
      <c r="R270" s="208">
        <f>SUMIFS('свод практик'!$CQ$6:$CQ$277,'свод практик'!$J$6:$J$277,'свод субъектов ИБ+смежные'!R$1,'свод практик'!$H$6:$H$277,"мун")</f>
        <v>0</v>
      </c>
      <c r="S270" s="208">
        <f>SUMIFS('свод практик'!$CQ$6:$CQ$277,'свод практик'!$J$6:$J$277,'свод субъектов ИБ+смежные'!S$1,'свод практик'!$H$6:$H$277,"мун")</f>
        <v>0</v>
      </c>
      <c r="T270" s="208">
        <f>SUMIFS('свод практик'!$CQ$6:$CQ$277,'свод практик'!$J$6:$J$277,'свод субъектов ИБ+смежные'!T$1,'свод практик'!$H$6:$H$277,"мун")</f>
        <v>0</v>
      </c>
      <c r="U270" s="208">
        <f>SUMIFS('свод практик'!$CQ$6:$CQ$277,'свод практик'!$J$6:$J$277,'свод субъектов ИБ+смежные'!U$1,'свод практик'!$H$6:$H$277,"мун")</f>
        <v>0</v>
      </c>
      <c r="V270" s="208">
        <f>SUMIFS('свод практик'!$CQ$6:$CQ$277,'свод практик'!$J$6:$J$277,'свод субъектов ИБ+смежные'!V$1,'свод практик'!$H$6:$H$277,"мун")</f>
        <v>0</v>
      </c>
      <c r="W270" s="208">
        <f>SUMIFS('свод практик'!$CQ$6:$CQ$277,'свод практик'!$J$6:$J$277,'свод субъектов ИБ+смежные'!W$1,'свод практик'!$H$6:$H$277,"мун")</f>
        <v>0</v>
      </c>
      <c r="X270" s="208">
        <f>SUMIFS('свод практик'!$CQ$6:$CQ$277,'свод практик'!$J$6:$J$277,'свод субъектов ИБ+смежные'!X$1,'свод практик'!$H$6:$H$277,"мун")</f>
        <v>0</v>
      </c>
      <c r="Y270" s="208">
        <f>SUMIFS('свод практик'!$CQ$6:$CQ$277,'свод практик'!$J$6:$J$277,'свод субъектов ИБ+смежные'!Y$1,'свод практик'!$H$6:$H$277,"мун")</f>
        <v>0</v>
      </c>
      <c r="Z270" s="208">
        <f>SUMIFS('свод практик'!$CQ$6:$CQ$277,'свод практик'!$J$6:$J$277,'свод субъектов ИБ+смежные'!Z$1,'свод практик'!$H$6:$H$277,"мун")</f>
        <v>0</v>
      </c>
      <c r="AA270" s="208">
        <f>SUMIFS('свод практик'!$CQ$6:$CQ$277,'свод практик'!$J$6:$J$277,'свод субъектов ИБ+смежные'!AA$1,'свод практик'!$H$6:$H$277,"мун")</f>
        <v>0</v>
      </c>
      <c r="AB270" s="208">
        <f>SUMIFS('свод практик'!$CQ$6:$CQ$277,'свод практик'!$J$6:$J$277,'свод субъектов ИБ+смежные'!AB$1,'свод практик'!$H$6:$H$277,"мун")</f>
        <v>1</v>
      </c>
      <c r="AC270" s="208">
        <f>SUMIFS('свод практик'!$CQ$6:$CQ$277,'свод практик'!$J$6:$J$277,'свод субъектов ИБ+смежные'!AC$1,'свод практик'!$H$6:$H$277,"мун")</f>
        <v>0</v>
      </c>
      <c r="AD270" s="208">
        <f>SUMIFS('свод практик'!$CQ$6:$CQ$277,'свод практик'!$J$6:$J$277,'свод субъектов ИБ+смежные'!AD$1,'свод практик'!$H$6:$H$277,"мун")</f>
        <v>0</v>
      </c>
      <c r="AE270" s="208">
        <f>SUMIFS('свод практик'!$CQ$6:$CQ$277,'свод практик'!$J$6:$J$277,'свод субъектов ИБ+смежные'!AE$1,'свод практик'!$H$6:$H$277,"мун")</f>
        <v>0</v>
      </c>
      <c r="AF270" s="208">
        <f>SUMIFS('свод практик'!$CQ$6:$CQ$277,'свод практик'!$J$6:$J$277,'свод субъектов ИБ+смежные'!AF$1,'свод практик'!$H$6:$H$277,"мун")</f>
        <v>0</v>
      </c>
      <c r="AG270" s="208">
        <f>SUMIFS('свод практик'!$CQ$6:$CQ$277,'свод практик'!$J$6:$J$277,'свод субъектов ИБ+смежные'!AG$1,'свод практик'!$H$6:$H$277,"мун")</f>
        <v>0</v>
      </c>
      <c r="AH270" s="208">
        <f>SUMIFS('свод практик'!$CQ$6:$CQ$277,'свод практик'!$J$6:$J$277,'свод субъектов ИБ+смежные'!AH$1,'свод практик'!$H$6:$H$277,"мун")</f>
        <v>0</v>
      </c>
      <c r="AI270" s="208">
        <f>SUMIFS('свод практик'!$CQ$6:$CQ$277,'свод практик'!$J$6:$J$277,'свод субъектов ИБ+смежные'!AI$1,'свод практик'!$H$6:$H$277,"мун")</f>
        <v>0</v>
      </c>
      <c r="AJ270" s="208">
        <f>SUMIFS('свод практик'!$CQ$6:$CQ$277,'свод практик'!$J$6:$J$277,'свод субъектов ИБ+смежные'!AJ$1,'свод практик'!$H$6:$H$277,"мун")</f>
        <v>0</v>
      </c>
      <c r="AK270" s="208">
        <f>SUMIFS('свод практик'!$CQ$6:$CQ$277,'свод практик'!$J$6:$J$277,'свод субъектов ИБ+смежные'!AK$1,'свод практик'!$H$6:$H$277,"мун")</f>
        <v>0</v>
      </c>
      <c r="AL270" s="208">
        <f>SUMIFS('свод практик'!$CQ$6:$CQ$277,'свод практик'!$J$6:$J$277,'свод субъектов ИБ+смежные'!AL$1,'свод практик'!$H$6:$H$277,"мун")</f>
        <v>0</v>
      </c>
      <c r="AM270" s="208">
        <f>SUMIFS('свод практик'!$CQ$6:$CQ$277,'свод практик'!$J$6:$J$277,'свод субъектов ИБ+смежные'!AM$1,'свод практик'!$H$6:$H$277,"мун")</f>
        <v>0</v>
      </c>
      <c r="AN270" s="208">
        <f>SUMIFS('свод практик'!$CQ$6:$CQ$277,'свод практик'!$J$6:$J$277,'свод субъектов ИБ+смежные'!AN$1,'свод практик'!$H$6:$H$277,"мун")</f>
        <v>0</v>
      </c>
      <c r="AO270" s="208">
        <f>SUMIFS('свод практик'!$CQ$6:$CQ$277,'свод практик'!$J$6:$J$277,'свод субъектов ИБ+смежные'!AO$1,'свод практик'!$H$6:$H$277,"мун")</f>
        <v>0</v>
      </c>
      <c r="AP270" s="208">
        <f>SUMIFS('свод практик'!$CQ$6:$CQ$277,'свод практик'!$J$6:$J$277,'свод субъектов ИБ+смежные'!AP$1,'свод практик'!$H$6:$H$277,"мун")</f>
        <v>0</v>
      </c>
      <c r="AQ270" s="208">
        <f>SUMIFS('свод практик'!$CQ$6:$CQ$277,'свод практик'!$J$6:$J$277,'свод субъектов ИБ+смежные'!AQ$1,'свод практик'!$H$6:$H$277,"мун")</f>
        <v>0</v>
      </c>
      <c r="AR270" s="208">
        <f>SUMIFS('свод практик'!$CQ$6:$CQ$277,'свод практик'!$J$6:$J$277,'свод субъектов ИБ+смежные'!AR$1,'свод практик'!$H$6:$H$277,"мун")</f>
        <v>0</v>
      </c>
      <c r="AS270" s="208">
        <f>SUMIFS('свод практик'!$CQ$6:$CQ$277,'свод практик'!$J$6:$J$277,'свод субъектов ИБ+смежные'!AS$1,'свод практик'!$H$6:$H$277,"мун")</f>
        <v>0</v>
      </c>
      <c r="AT270" s="208">
        <f>SUMIFS('свод практик'!$CQ$6:$CQ$277,'свод практик'!$J$6:$J$277,'свод субъектов ИБ+смежные'!AT$1,'свод практик'!$H$6:$H$277,"мун")</f>
        <v>0</v>
      </c>
      <c r="AU270" s="208">
        <f>SUMIFS('свод практик'!$CQ$6:$CQ$277,'свод практик'!$J$6:$J$277,'свод субъектов ИБ+смежные'!AU$1,'свод практик'!$H$6:$H$277,"мун")</f>
        <v>0</v>
      </c>
      <c r="AV270" s="208">
        <f>SUMIFS('свод практик'!$CQ$6:$CQ$277,'свод практик'!$J$6:$J$277,'свод субъектов ИБ+смежные'!AV$1,'свод практик'!$H$6:$H$277,"мун")</f>
        <v>0</v>
      </c>
      <c r="AW270" s="208">
        <f>SUMIFS('свод практик'!$CQ$6:$CQ$277,'свод практик'!$J$6:$J$277,'свод субъектов ИБ+смежные'!AW$1,'свод практик'!$H$6:$H$277,"мун")</f>
        <v>0</v>
      </c>
      <c r="AX270" s="208">
        <f>SUMIFS('свод практик'!$CQ$6:$CQ$277,'свод практик'!$J$6:$J$277,'свод субъектов ИБ+смежные'!AX$1,'свод практик'!$H$6:$H$277,"мун")</f>
        <v>0</v>
      </c>
      <c r="AY270" s="208">
        <f>SUMIFS('свод практик'!$CQ$6:$CQ$277,'свод практик'!$J$6:$J$277,'свод субъектов ИБ+смежные'!AY$1,'свод практик'!$H$6:$H$277,"мун")</f>
        <v>0</v>
      </c>
      <c r="AZ270" s="208">
        <f>SUMIFS('свод практик'!$CQ$6:$CQ$277,'свод практик'!$J$6:$J$277,'свод субъектов ИБ+смежные'!AZ$1,'свод практик'!$H$6:$H$277,"мун")</f>
        <v>0</v>
      </c>
      <c r="BA270" s="208">
        <f>SUMIFS('свод практик'!$CQ$6:$CQ$277,'свод практик'!$J$6:$J$277,'свод субъектов ИБ+смежные'!BA$1,'свод практик'!$H$6:$H$277,"мун")</f>
        <v>0</v>
      </c>
      <c r="BB270" s="208">
        <f>SUMIFS('свод практик'!$CQ$6:$CQ$277,'свод практик'!$J$6:$J$277,'свод субъектов ИБ+смежные'!BB$1,'свод практик'!$H$6:$H$277,"мун")</f>
        <v>0</v>
      </c>
      <c r="BC270" s="208">
        <f>SUMIFS('свод практик'!$CQ$6:$CQ$277,'свод практик'!$J$6:$J$277,'свод субъектов ИБ+смежные'!BC$1,'свод практик'!$H$6:$H$277,"мун")</f>
        <v>0</v>
      </c>
      <c r="BD270" s="208">
        <f>SUMIFS('свод практик'!$CQ$6:$CQ$277,'свод практик'!$J$6:$J$277,'свод субъектов ИБ+смежные'!BD$1,'свод практик'!$H$6:$H$277,"мун")</f>
        <v>0</v>
      </c>
      <c r="BE270" s="208">
        <f>SUMIFS('свод практик'!$CQ$6:$CQ$277,'свод практик'!$J$6:$J$277,'свод субъектов ИБ+смежные'!BE$1,'свод практик'!$H$6:$H$277,"мун")</f>
        <v>0</v>
      </c>
      <c r="BF270" s="208">
        <f>SUMIFS('свод практик'!$CQ$6:$CQ$277,'свод практик'!$J$6:$J$277,'свод субъектов ИБ+смежные'!BF$1,'свод практик'!$H$6:$H$277,"мун")</f>
        <v>0</v>
      </c>
      <c r="BG270" s="208">
        <f>SUMIFS('свод практик'!$CQ$6:$CQ$277,'свод практик'!$J$6:$J$277,'свод субъектов ИБ+смежные'!BG$1,'свод практик'!$H$6:$H$277,"мун")</f>
        <v>0</v>
      </c>
      <c r="BH270" s="208">
        <f>SUMIFS('свод практик'!$CQ$6:$CQ$277,'свод практик'!$J$6:$J$277,'свод субъектов ИБ+смежные'!BH$1,'свод практик'!$H$6:$H$277,"мун")</f>
        <v>0</v>
      </c>
      <c r="BI270" s="208">
        <f>SUMIFS('свод практик'!$CQ$6:$CQ$277,'свод практик'!$J$6:$J$277,'свод субъектов ИБ+смежные'!BI$1,'свод практик'!$H$6:$H$277,"мун")</f>
        <v>0</v>
      </c>
      <c r="BJ270" s="208">
        <f>SUMIFS('свод практик'!$CQ$6:$CQ$277,'свод практик'!$J$6:$J$277,'свод субъектов ИБ+смежные'!BJ$1,'свод практик'!$H$6:$H$277,"мун")</f>
        <v>0</v>
      </c>
      <c r="BK270" s="208">
        <f>SUMIFS('свод практик'!$CQ$6:$CQ$277,'свод практик'!$J$6:$J$277,'свод субъектов ИБ+смежные'!BK$1,'свод практик'!$H$6:$H$277,"мун")</f>
        <v>0</v>
      </c>
      <c r="BL270" s="208">
        <f>SUMIFS('свод практик'!$CQ$6:$CQ$277,'свод практик'!$J$6:$J$277,'свод субъектов ИБ+смежные'!BL$1,'свод практик'!$H$6:$H$277,"мун")</f>
        <v>10</v>
      </c>
      <c r="BM270" s="208">
        <f>SUMIFS('свод практик'!$CQ$6:$CQ$277,'свод практик'!$J$6:$J$277,'свод субъектов ИБ+смежные'!BM$1,'свод практик'!$H$6:$H$277,"мун")</f>
        <v>0</v>
      </c>
      <c r="BN270" s="208">
        <f>SUMIFS('свод практик'!$CQ$6:$CQ$277,'свод практик'!$J$6:$J$277,'свод субъектов ИБ+смежные'!BN$1,'свод практик'!$H$6:$H$277,"мун")</f>
        <v>0</v>
      </c>
      <c r="BO270" s="208">
        <f>SUMIFS('свод практик'!$CQ$6:$CQ$277,'свод практик'!$J$6:$J$277,'свод субъектов ИБ+смежные'!BO$1,'свод практик'!$H$6:$H$277,"мун")</f>
        <v>1</v>
      </c>
      <c r="BP270" s="208">
        <f>SUMIFS('свод практик'!$CQ$6:$CQ$277,'свод практик'!$J$6:$J$277,'свод субъектов ИБ+смежные'!BP$1,'свод практик'!$H$6:$H$277,"мун")</f>
        <v>0</v>
      </c>
      <c r="BQ270" s="208">
        <f>SUMIFS('свод практик'!$CQ$6:$CQ$277,'свод практик'!$J$6:$J$277,'свод субъектов ИБ+смежные'!BQ$1,'свод практик'!$H$6:$H$277,"мун")</f>
        <v>0</v>
      </c>
      <c r="BR270" s="208">
        <f>SUMIFS('свод практик'!$CQ$6:$CQ$277,'свод практик'!$J$6:$J$277,'свод субъектов ИБ+смежные'!BR$1,'свод практик'!$H$6:$H$277,"мун")</f>
        <v>0</v>
      </c>
      <c r="BS270" s="208">
        <f>SUMIFS('свод практик'!$CQ$6:$CQ$277,'свод практик'!$J$6:$J$277,'свод субъектов ИБ+смежные'!BS$1,'свод практик'!$H$6:$H$277,"мун")</f>
        <v>0</v>
      </c>
      <c r="BT270" s="208">
        <f>SUMIFS('свод практик'!$CQ$6:$CQ$277,'свод практик'!$J$6:$J$277,'свод субъектов ИБ+смежные'!BT$1,'свод практик'!$H$6:$H$277,"мун")</f>
        <v>0</v>
      </c>
      <c r="BU270" s="208">
        <f>SUMIFS('свод практик'!$CQ$6:$CQ$277,'свод практик'!$J$6:$J$277,'свод субъектов ИБ+смежные'!BU$1,'свод практик'!$H$6:$H$277,"мун")</f>
        <v>14</v>
      </c>
      <c r="BV270" s="208">
        <f>SUMIFS('свод практик'!$CQ$6:$CQ$277,'свод практик'!$J$6:$J$277,'свод субъектов ИБ+смежные'!BV$1,'свод практик'!$H$6:$H$277,"мун")</f>
        <v>0</v>
      </c>
      <c r="BW270" s="208">
        <f>SUMIFS('свод практик'!$CQ$6:$CQ$277,'свод практик'!$J$6:$J$277,'свод субъектов ИБ+смежные'!BW$1,'свод практик'!$H$6:$H$277,"мун")</f>
        <v>0</v>
      </c>
      <c r="BX270" s="208">
        <f>SUMIFS('свод практик'!$CQ$6:$CQ$277,'свод практик'!$J$6:$J$277,'свод субъектов ИБ+смежные'!BX$1,'свод практик'!$H$6:$H$277,"мун")</f>
        <v>0</v>
      </c>
      <c r="BY270" s="208">
        <f>SUMIFS('свод практик'!$CQ$6:$CQ$277,'свод практик'!$J$6:$J$277,'свод субъектов ИБ+смежные'!BY$1,'свод практик'!$H$6:$H$277,"мун")</f>
        <v>0</v>
      </c>
      <c r="BZ270" s="208">
        <f>SUMIFS('свод практик'!$CQ$6:$CQ$277,'свод практик'!$J$6:$J$277,'свод субъектов ИБ+смежные'!BZ$1,'свод практик'!$H$6:$H$277,"мун")</f>
        <v>4</v>
      </c>
      <c r="CA270" s="208">
        <f>SUMIFS('свод практик'!$CQ$6:$CQ$277,'свод практик'!$J$6:$J$277,'свод субъектов ИБ+смежные'!CA$1,'свод практик'!$H$6:$H$277,"мун")</f>
        <v>0</v>
      </c>
      <c r="CB270" s="208">
        <f>SUMIFS('свод практик'!$CQ$6:$CQ$277,'свод практик'!$J$6:$J$277,'свод субъектов ИБ+смежные'!CB$1,'свод практик'!$H$6:$H$277,"мун")</f>
        <v>0</v>
      </c>
      <c r="CC270" s="208">
        <f>SUMIFS('свод практик'!$CQ$6:$CQ$277,'свод практик'!$J$6:$J$277,'свод субъектов ИБ+смежные'!CC$1,'свод практик'!$H$6:$H$277,"мун")</f>
        <v>0</v>
      </c>
      <c r="CD270" s="208">
        <f>SUMIFS('свод практик'!$CQ$6:$CQ$277,'свод практик'!$J$6:$J$277,'свод субъектов ИБ+смежные'!CD$1,'свод практик'!$H$6:$H$277,"мун")</f>
        <v>0</v>
      </c>
      <c r="CE270" s="208">
        <f>SUMIFS('свод практик'!$CQ$6:$CQ$277,'свод практик'!$J$6:$J$277,'свод субъектов ИБ+смежные'!CE$1,'свод практик'!$H$6:$H$277,"мун")</f>
        <v>0</v>
      </c>
      <c r="CF270" s="208">
        <f>SUMIFS('свод практик'!$CQ$6:$CQ$277,'свод практик'!$J$6:$J$277,'свод субъектов ИБ+смежные'!CF$1,'свод практик'!$H$6:$H$277,"мун")</f>
        <v>0</v>
      </c>
      <c r="CG270" s="208">
        <f>SUMIFS('свод практик'!$CQ$6:$CQ$277,'свод практик'!$J$6:$J$277,'свод субъектов ИБ+смежные'!CG$1,'свод практик'!$H$6:$H$277,"мун")</f>
        <v>0</v>
      </c>
      <c r="CH270" s="208">
        <f>SUMIFS('свод практик'!$CQ$6:$CQ$277,'свод практик'!$J$6:$J$277,'свод субъектов ИБ+смежные'!CH$1,'свод практик'!$H$6:$H$277,"мун")</f>
        <v>0</v>
      </c>
      <c r="CI270" s="208">
        <f>SUMIFS('свод практик'!$CQ$6:$CQ$277,'свод практик'!$J$6:$J$277,'свод субъектов ИБ+смежные'!CI$1,'свод практик'!$H$6:$H$277,"мун")</f>
        <v>0</v>
      </c>
      <c r="CJ270" s="208">
        <f>SUMIFS('свод практик'!$CQ$6:$CQ$277,'свод практик'!$J$6:$J$277,'свод субъектов ИБ+смежные'!CJ$1,'свод практик'!$H$6:$H$277,"мун")</f>
        <v>0</v>
      </c>
      <c r="CK270" s="208">
        <f>SUMIFS('свод практик'!$CQ$6:$CQ$277,'свод практик'!$J$6:$J$277,'свод субъектов ИБ+смежные'!CK$1,'свод практик'!$H$6:$H$277,"мун")</f>
        <v>0</v>
      </c>
      <c r="CL270" s="208">
        <f>SUMIFS('свод практик'!$CQ$6:$CQ$277,'свод практик'!$J$6:$J$277,'свод субъектов ИБ+смежные'!CL$1,'свод практик'!$H$6:$H$277,"мун")</f>
        <v>0</v>
      </c>
      <c r="CM270" s="208">
        <f>SUMIFS('свод практик'!$CQ$6:$CQ$277,'свод практик'!$J$6:$J$277,'свод субъектов ИБ+смежные'!CM$1,'свод практик'!$H$6:$H$277,"мун")</f>
        <v>0</v>
      </c>
      <c r="CN270" s="208">
        <f>SUMIFS('свод практик'!$CQ$6:$CQ$277,'свод практик'!$J$6:$J$277,'свод субъектов ИБ+смежные'!CN$1,'свод практик'!$H$6:$H$277,"мун")</f>
        <v>0</v>
      </c>
      <c r="CO270" s="208">
        <f>SUMIFS('свод практик'!$CQ$6:$CQ$277,'свод практик'!$J$6:$J$277,'свод субъектов ИБ+смежные'!CO$1,'свод практик'!$H$6:$H$277,"мун")</f>
        <v>0</v>
      </c>
      <c r="CP270" s="208">
        <f>SUMIFS('свод практик'!$CQ$6:$CQ$277,'свод практик'!$J$6:$J$277,'свод субъектов ИБ+смежные'!CP$1,'свод практик'!$H$6:$H$277,"мун")</f>
        <v>0</v>
      </c>
      <c r="CQ270" s="208">
        <f>SUMIFS('свод практик'!$CQ$6:$CQ$277,'свод практик'!$J$6:$J$277,'свод субъектов ИБ+смежные'!CQ$1,'свод практик'!$H$6:$H$277,"мун")</f>
        <v>0</v>
      </c>
      <c r="CR270" s="208">
        <f>SUMIFS('свод практик'!$CQ$6:$CQ$277,'свод практик'!$J$6:$J$277,'свод субъектов ИБ+смежные'!CR$1,'свод практик'!$H$6:$H$277,"мун")</f>
        <v>0</v>
      </c>
      <c r="CS270" s="208">
        <f>SUMIFS('свод практик'!$CQ$6:$CQ$277,'свод практик'!$J$6:$J$277,'свод субъектов ИБ+смежные'!CS$1,'свод практик'!$H$6:$H$277,"мун")</f>
        <v>0</v>
      </c>
      <c r="CT270" s="208">
        <f>SUMIFS('свод практик'!$CQ$6:$CQ$277,'свод практик'!$J$6:$J$277,'свод субъектов ИБ+смежные'!CT$1,'свод практик'!$H$6:$H$277,"мун")</f>
        <v>0</v>
      </c>
      <c r="CU270" s="208">
        <f>SUMIFS('свод практик'!$CQ$6:$CQ$277,'свод практик'!$J$6:$J$277,'свод субъектов ИБ+смежные'!CU$1,'свод практик'!$H$6:$H$277,"мун")</f>
        <v>4</v>
      </c>
      <c r="CV270" s="208">
        <f>SUMIFS('свод практик'!$CQ$6:$CQ$277,'свод практик'!$J$6:$J$277,'свод субъектов ИБ+смежные'!CV$1,'свод практик'!$H$6:$H$277,"мун")</f>
        <v>0</v>
      </c>
    </row>
    <row r="271" spans="4:100" ht="14">
      <c r="D271" s="36" t="s">
        <v>4949</v>
      </c>
      <c r="E271" s="36">
        <v>92</v>
      </c>
      <c r="F271" s="36" t="s">
        <v>5607</v>
      </c>
      <c r="H271" s="36" t="s">
        <v>60</v>
      </c>
      <c r="M271" s="36" t="s">
        <v>5497</v>
      </c>
      <c r="N271" s="36">
        <v>2.5210084033613446E-2</v>
      </c>
      <c r="O271" s="226"/>
      <c r="Q271" s="194"/>
      <c r="R271" s="194"/>
      <c r="S271" s="194"/>
    </row>
    <row r="272" spans="4:100" s="208" customFormat="1" ht="14">
      <c r="D272" s="208" t="s">
        <v>4949</v>
      </c>
      <c r="E272" s="208">
        <v>84</v>
      </c>
      <c r="F272" s="208" t="s">
        <v>5608</v>
      </c>
      <c r="G272" s="208" t="s">
        <v>5195</v>
      </c>
      <c r="H272" s="208" t="s">
        <v>5140</v>
      </c>
      <c r="L272" s="208" t="s">
        <v>278</v>
      </c>
      <c r="M272" s="208" t="s">
        <v>5497</v>
      </c>
      <c r="N272" s="208">
        <v>24</v>
      </c>
      <c r="O272" s="226">
        <f t="shared" si="145"/>
        <v>72</v>
      </c>
      <c r="P272" s="208">
        <f>SUMIFS('свод практик'!$CR$6:$CR$277,'свод практик'!$J$6:$J$277,'свод субъектов ИБ+смежные'!P$1,'свод практик'!$H$6:$H$277,"мун")</f>
        <v>0</v>
      </c>
      <c r="Q272" s="208">
        <f>SUMIFS('свод практик'!$CR$6:$CR$277,'свод практик'!$J$6:$J$277,'свод субъектов ИБ+смежные'!Q$1,'свод практик'!$H$6:$H$277,"мун")</f>
        <v>0</v>
      </c>
      <c r="R272" s="208">
        <f>SUMIFS('свод практик'!$CR$6:$CR$277,'свод практик'!$J$6:$J$277,'свод субъектов ИБ+смежные'!R$1,'свод практик'!$H$6:$H$277,"мун")</f>
        <v>0</v>
      </c>
      <c r="S272" s="208">
        <f>SUMIFS('свод практик'!$CR$6:$CR$277,'свод практик'!$J$6:$J$277,'свод субъектов ИБ+смежные'!S$1,'свод практик'!$H$6:$H$277,"мун")</f>
        <v>0</v>
      </c>
      <c r="T272" s="208">
        <f>SUMIFS('свод практик'!$CR$6:$CR$277,'свод практик'!$J$6:$J$277,'свод субъектов ИБ+смежные'!T$1,'свод практик'!$H$6:$H$277,"мун")</f>
        <v>0</v>
      </c>
      <c r="U272" s="208">
        <f>SUMIFS('свод практик'!$CR$6:$CR$277,'свод практик'!$J$6:$J$277,'свод субъектов ИБ+смежные'!U$1,'свод практик'!$H$6:$H$277,"мун")</f>
        <v>0</v>
      </c>
      <c r="V272" s="208">
        <f>SUMIFS('свод практик'!$CR$6:$CR$277,'свод практик'!$J$6:$J$277,'свод субъектов ИБ+смежные'!V$1,'свод практик'!$H$6:$H$277,"мун")</f>
        <v>0</v>
      </c>
      <c r="W272" s="208">
        <f>SUMIFS('свод практик'!$CR$6:$CR$277,'свод практик'!$J$6:$J$277,'свод субъектов ИБ+смежные'!W$1,'свод практик'!$H$6:$H$277,"мун")</f>
        <v>4</v>
      </c>
      <c r="X272" s="208">
        <f>SUMIFS('свод практик'!$CR$6:$CR$277,'свод практик'!$J$6:$J$277,'свод субъектов ИБ+смежные'!X$1,'свод практик'!$H$6:$H$277,"мун")</f>
        <v>0</v>
      </c>
      <c r="Y272" s="208">
        <f>SUMIFS('свод практик'!$CR$6:$CR$277,'свод практик'!$J$6:$J$277,'свод субъектов ИБ+смежные'!Y$1,'свод практик'!$H$6:$H$277,"мун")</f>
        <v>0</v>
      </c>
      <c r="Z272" s="208">
        <f>SUMIFS('свод практик'!$CR$6:$CR$277,'свод практик'!$J$6:$J$277,'свод субъектов ИБ+смежные'!Z$1,'свод практик'!$H$6:$H$277,"мун")</f>
        <v>0</v>
      </c>
      <c r="AA272" s="208">
        <f>SUMIFS('свод практик'!$CR$6:$CR$277,'свод практик'!$J$6:$J$277,'свод субъектов ИБ+смежные'!AA$1,'свод практик'!$H$6:$H$277,"мун")</f>
        <v>0</v>
      </c>
      <c r="AB272" s="208">
        <f>SUMIFS('свод практик'!$CR$6:$CR$277,'свод практик'!$J$6:$J$277,'свод субъектов ИБ+смежные'!AB$1,'свод практик'!$H$6:$H$277,"мун")</f>
        <v>0</v>
      </c>
      <c r="AC272" s="208">
        <f>SUMIFS('свод практик'!$CR$6:$CR$277,'свод практик'!$J$6:$J$277,'свод субъектов ИБ+смежные'!AC$1,'свод практик'!$H$6:$H$277,"мун")</f>
        <v>0</v>
      </c>
      <c r="AD272" s="208">
        <f>SUMIFS('свод практик'!$CR$6:$CR$277,'свод практик'!$J$6:$J$277,'свод субъектов ИБ+смежные'!AD$1,'свод практик'!$H$6:$H$277,"мун")</f>
        <v>0</v>
      </c>
      <c r="AE272" s="208">
        <f>SUMIFS('свод практик'!$CR$6:$CR$277,'свод практик'!$J$6:$J$277,'свод субъектов ИБ+смежные'!AE$1,'свод практик'!$H$6:$H$277,"мун")</f>
        <v>0</v>
      </c>
      <c r="AF272" s="208">
        <f>SUMIFS('свод практик'!$CR$6:$CR$277,'свод практик'!$J$6:$J$277,'свод субъектов ИБ+смежные'!AF$1,'свод практик'!$H$6:$H$277,"мун")</f>
        <v>0</v>
      </c>
      <c r="AG272" s="208">
        <f>SUMIFS('свод практик'!$CR$6:$CR$277,'свод практик'!$J$6:$J$277,'свод субъектов ИБ+смежные'!AG$1,'свод практик'!$H$6:$H$277,"мун")</f>
        <v>0</v>
      </c>
      <c r="AH272" s="208">
        <f>SUMIFS('свод практик'!$CR$6:$CR$277,'свод практик'!$J$6:$J$277,'свод субъектов ИБ+смежные'!AH$1,'свод практик'!$H$6:$H$277,"мун")</f>
        <v>0</v>
      </c>
      <c r="AI272" s="208">
        <f>SUMIFS('свод практик'!$CR$6:$CR$277,'свод практик'!$J$6:$J$277,'свод субъектов ИБ+смежные'!AI$1,'свод практик'!$H$6:$H$277,"мун")</f>
        <v>0</v>
      </c>
      <c r="AJ272" s="208">
        <f>SUMIFS('свод практик'!$CR$6:$CR$277,'свод практик'!$J$6:$J$277,'свод субъектов ИБ+смежные'!AJ$1,'свод практик'!$H$6:$H$277,"мун")</f>
        <v>0</v>
      </c>
      <c r="AK272" s="208">
        <f>SUMIFS('свод практик'!$CR$6:$CR$277,'свод практик'!$J$6:$J$277,'свод субъектов ИБ+смежные'!AK$1,'свод практик'!$H$6:$H$277,"мун")</f>
        <v>0</v>
      </c>
      <c r="AL272" s="208">
        <f>SUMIFS('свод практик'!$CR$6:$CR$277,'свод практик'!$J$6:$J$277,'свод субъектов ИБ+смежные'!AL$1,'свод практик'!$H$6:$H$277,"мун")</f>
        <v>0</v>
      </c>
      <c r="AM272" s="208">
        <f>SUMIFS('свод практик'!$CR$6:$CR$277,'свод практик'!$J$6:$J$277,'свод субъектов ИБ+смежные'!AM$1,'свод практик'!$H$6:$H$277,"мун")</f>
        <v>5</v>
      </c>
      <c r="AN272" s="208">
        <f>SUMIFS('свод практик'!$CR$6:$CR$277,'свод практик'!$J$6:$J$277,'свод субъектов ИБ+смежные'!AN$1,'свод практик'!$H$6:$H$277,"мун")</f>
        <v>0</v>
      </c>
      <c r="AO272" s="208">
        <f>SUMIFS('свод практик'!$CR$6:$CR$277,'свод практик'!$J$6:$J$277,'свод субъектов ИБ+смежные'!AO$1,'свод практик'!$H$6:$H$277,"мун")</f>
        <v>0</v>
      </c>
      <c r="AP272" s="208">
        <f>SUMIFS('свод практик'!$CR$6:$CR$277,'свод практик'!$J$6:$J$277,'свод субъектов ИБ+смежные'!AP$1,'свод практик'!$H$6:$H$277,"мун")</f>
        <v>0</v>
      </c>
      <c r="AQ272" s="208">
        <f>SUMIFS('свод практик'!$CR$6:$CR$277,'свод практик'!$J$6:$J$277,'свод субъектов ИБ+смежные'!AQ$1,'свод практик'!$H$6:$H$277,"мун")</f>
        <v>0</v>
      </c>
      <c r="AR272" s="208">
        <f>SUMIFS('свод практик'!$CR$6:$CR$277,'свод практик'!$J$6:$J$277,'свод субъектов ИБ+смежные'!AR$1,'свод практик'!$H$6:$H$277,"мун")</f>
        <v>0</v>
      </c>
      <c r="AS272" s="208">
        <f>SUMIFS('свод практик'!$CR$6:$CR$277,'свод практик'!$J$6:$J$277,'свод субъектов ИБ+смежные'!AS$1,'свод практик'!$H$6:$H$277,"мун")</f>
        <v>0</v>
      </c>
      <c r="AT272" s="208">
        <f>SUMIFS('свод практик'!$CR$6:$CR$277,'свод практик'!$J$6:$J$277,'свод субъектов ИБ+смежные'!AT$1,'свод практик'!$H$6:$H$277,"мун")</f>
        <v>0</v>
      </c>
      <c r="AU272" s="208">
        <f>SUMIFS('свод практик'!$CR$6:$CR$277,'свод практик'!$J$6:$J$277,'свод субъектов ИБ+смежные'!AU$1,'свод практик'!$H$6:$H$277,"мун")</f>
        <v>0</v>
      </c>
      <c r="AV272" s="208">
        <f>SUMIFS('свод практик'!$CR$6:$CR$277,'свод практик'!$J$6:$J$277,'свод субъектов ИБ+смежные'!AV$1,'свод практик'!$H$6:$H$277,"мун")</f>
        <v>0</v>
      </c>
      <c r="AW272" s="208">
        <f>SUMIFS('свод практик'!$CR$6:$CR$277,'свод практик'!$J$6:$J$277,'свод субъектов ИБ+смежные'!AW$1,'свод практик'!$H$6:$H$277,"мун")</f>
        <v>0</v>
      </c>
      <c r="AX272" s="208">
        <f>SUMIFS('свод практик'!$CR$6:$CR$277,'свод практик'!$J$6:$J$277,'свод субъектов ИБ+смежные'!AX$1,'свод практик'!$H$6:$H$277,"мун")</f>
        <v>0</v>
      </c>
      <c r="AY272" s="208">
        <f>SUMIFS('свод практик'!$CR$6:$CR$277,'свод практик'!$J$6:$J$277,'свод субъектов ИБ+смежные'!AY$1,'свод практик'!$H$6:$H$277,"мун")</f>
        <v>0</v>
      </c>
      <c r="AZ272" s="208">
        <f>SUMIFS('свод практик'!$CR$6:$CR$277,'свод практик'!$J$6:$J$277,'свод субъектов ИБ+смежные'!AZ$1,'свод практик'!$H$6:$H$277,"мун")</f>
        <v>1</v>
      </c>
      <c r="BA272" s="208">
        <f>SUMIFS('свод практик'!$CR$6:$CR$277,'свод практик'!$J$6:$J$277,'свод субъектов ИБ+смежные'!BA$1,'свод практик'!$H$6:$H$277,"мун")</f>
        <v>0</v>
      </c>
      <c r="BB272" s="208">
        <f>SUMIFS('свод практик'!$CR$6:$CR$277,'свод практик'!$J$6:$J$277,'свод субъектов ИБ+смежные'!BB$1,'свод практик'!$H$6:$H$277,"мун")</f>
        <v>0</v>
      </c>
      <c r="BC272" s="208">
        <f>SUMIFS('свод практик'!$CR$6:$CR$277,'свод практик'!$J$6:$J$277,'свод субъектов ИБ+смежные'!BC$1,'свод практик'!$H$6:$H$277,"мун")</f>
        <v>0</v>
      </c>
      <c r="BD272" s="208">
        <f>SUMIFS('свод практик'!$CR$6:$CR$277,'свод практик'!$J$6:$J$277,'свод субъектов ИБ+смежные'!BD$1,'свод практик'!$H$6:$H$277,"мун")</f>
        <v>0</v>
      </c>
      <c r="BE272" s="208">
        <f>SUMIFS('свод практик'!$CR$6:$CR$277,'свод практик'!$J$6:$J$277,'свод субъектов ИБ+смежные'!BE$1,'свод практик'!$H$6:$H$277,"мун")</f>
        <v>0</v>
      </c>
      <c r="BF272" s="208">
        <f>SUMIFS('свод практик'!$CR$6:$CR$277,'свод практик'!$J$6:$J$277,'свод субъектов ИБ+смежные'!BF$1,'свод практик'!$H$6:$H$277,"мун")</f>
        <v>0</v>
      </c>
      <c r="BG272" s="208">
        <f>SUMIFS('свод практик'!$CR$6:$CR$277,'свод практик'!$J$6:$J$277,'свод субъектов ИБ+смежные'!BG$1,'свод практик'!$H$6:$H$277,"мун")</f>
        <v>0</v>
      </c>
      <c r="BH272" s="208">
        <f>SUMIFS('свод практик'!$CR$6:$CR$277,'свод практик'!$J$6:$J$277,'свод субъектов ИБ+смежные'!BH$1,'свод практик'!$H$6:$H$277,"мун")</f>
        <v>0</v>
      </c>
      <c r="BI272" s="208">
        <f>SUMIFS('свод практик'!$CR$6:$CR$277,'свод практик'!$J$6:$J$277,'свод субъектов ИБ+смежные'!BI$1,'свод практик'!$H$6:$H$277,"мун")</f>
        <v>0</v>
      </c>
      <c r="BJ272" s="208">
        <f>SUMIFS('свод практик'!$CR$6:$CR$277,'свод практик'!$J$6:$J$277,'свод субъектов ИБ+смежные'!BJ$1,'свод практик'!$H$6:$H$277,"мун")</f>
        <v>0</v>
      </c>
      <c r="BK272" s="208">
        <f>SUMIFS('свод практик'!$CR$6:$CR$277,'свод практик'!$J$6:$J$277,'свод субъектов ИБ+смежные'!BK$1,'свод практик'!$H$6:$H$277,"мун")</f>
        <v>0</v>
      </c>
      <c r="BL272" s="208">
        <f>SUMIFS('свод практик'!$CR$6:$CR$277,'свод практик'!$J$6:$J$277,'свод субъектов ИБ+смежные'!BL$1,'свод практик'!$H$6:$H$277,"мун")</f>
        <v>0</v>
      </c>
      <c r="BM272" s="208">
        <f>SUMIFS('свод практик'!$CR$6:$CR$277,'свод практик'!$J$6:$J$277,'свод субъектов ИБ+смежные'!BM$1,'свод практик'!$H$6:$H$277,"мун")</f>
        <v>0</v>
      </c>
      <c r="BN272" s="208">
        <f>SUMIFS('свод практик'!$CR$6:$CR$277,'свод практик'!$J$6:$J$277,'свод субъектов ИБ+смежные'!BN$1,'свод практик'!$H$6:$H$277,"мун")</f>
        <v>0</v>
      </c>
      <c r="BO272" s="208">
        <f>SUMIFS('свод практик'!$CR$6:$CR$277,'свод практик'!$J$6:$J$277,'свод субъектов ИБ+смежные'!BO$1,'свод практик'!$H$6:$H$277,"мун")</f>
        <v>0</v>
      </c>
      <c r="BP272" s="208">
        <f>SUMIFS('свод практик'!$CR$6:$CR$277,'свод практик'!$J$6:$J$277,'свод субъектов ИБ+смежные'!BP$1,'свод практик'!$H$6:$H$277,"мун")</f>
        <v>0</v>
      </c>
      <c r="BQ272" s="208">
        <f>SUMIFS('свод практик'!$CR$6:$CR$277,'свод практик'!$J$6:$J$277,'свод субъектов ИБ+смежные'!BQ$1,'свод практик'!$H$6:$H$277,"мун")</f>
        <v>0</v>
      </c>
      <c r="BR272" s="208">
        <f>SUMIFS('свод практик'!$CR$6:$CR$277,'свод практик'!$J$6:$J$277,'свод субъектов ИБ+смежные'!BR$1,'свод практик'!$H$6:$H$277,"мун")</f>
        <v>0</v>
      </c>
      <c r="BS272" s="208">
        <f>SUMIFS('свод практик'!$CR$6:$CR$277,'свод практик'!$J$6:$J$277,'свод субъектов ИБ+смежные'!BS$1,'свод практик'!$H$6:$H$277,"мун")</f>
        <v>1</v>
      </c>
      <c r="BT272" s="208">
        <f>SUMIFS('свод практик'!$CR$6:$CR$277,'свод практик'!$J$6:$J$277,'свод субъектов ИБ+смежные'!BT$1,'свод практик'!$H$6:$H$277,"мун")</f>
        <v>0</v>
      </c>
      <c r="BU272" s="208">
        <f>SUMIFS('свод практик'!$CR$6:$CR$277,'свод практик'!$J$6:$J$277,'свод субъектов ИБ+смежные'!BU$1,'свод практик'!$H$6:$H$277,"мун")</f>
        <v>1</v>
      </c>
      <c r="BV272" s="208">
        <f>SUMIFS('свод практик'!$CR$6:$CR$277,'свод практик'!$J$6:$J$277,'свод субъектов ИБ+смежные'!BV$1,'свод практик'!$H$6:$H$277,"мун")</f>
        <v>0</v>
      </c>
      <c r="BW272" s="208">
        <f>SUMIFS('свод практик'!$CR$6:$CR$277,'свод практик'!$J$6:$J$277,'свод субъектов ИБ+смежные'!BW$1,'свод практик'!$H$6:$H$277,"мун")</f>
        <v>0</v>
      </c>
      <c r="BX272" s="208">
        <f>SUMIFS('свод практик'!$CR$6:$CR$277,'свод практик'!$J$6:$J$277,'свод субъектов ИБ+смежные'!BX$1,'свод практик'!$H$6:$H$277,"мун")</f>
        <v>0</v>
      </c>
      <c r="BY272" s="208">
        <f>SUMIFS('свод практик'!$CR$6:$CR$277,'свод практик'!$J$6:$J$277,'свод субъектов ИБ+смежные'!BY$1,'свод практик'!$H$6:$H$277,"мун")</f>
        <v>0</v>
      </c>
      <c r="BZ272" s="208">
        <f>SUMIFS('свод практик'!$CR$6:$CR$277,'свод практик'!$J$6:$J$277,'свод субъектов ИБ+смежные'!BZ$1,'свод практик'!$H$6:$H$277,"мун")</f>
        <v>0</v>
      </c>
      <c r="CA272" s="208">
        <f>SUMIFS('свод практик'!$CR$6:$CR$277,'свод практик'!$J$6:$J$277,'свод субъектов ИБ+смежные'!CA$1,'свод практик'!$H$6:$H$277,"мун")</f>
        <v>0</v>
      </c>
      <c r="CB272" s="208">
        <f>SUMIFS('свод практик'!$CR$6:$CR$277,'свод практик'!$J$6:$J$277,'свод субъектов ИБ+смежные'!CB$1,'свод практик'!$H$6:$H$277,"мун")</f>
        <v>0</v>
      </c>
      <c r="CC272" s="208">
        <f>SUMIFS('свод практик'!$CR$6:$CR$277,'свод практик'!$J$6:$J$277,'свод субъектов ИБ+смежные'!CC$1,'свод практик'!$H$6:$H$277,"мун")</f>
        <v>0</v>
      </c>
      <c r="CD272" s="208">
        <f>SUMIFS('свод практик'!$CR$6:$CR$277,'свод практик'!$J$6:$J$277,'свод субъектов ИБ+смежные'!CD$1,'свод практик'!$H$6:$H$277,"мун")</f>
        <v>1</v>
      </c>
      <c r="CE272" s="208">
        <f>SUMIFS('свод практик'!$CR$6:$CR$277,'свод практик'!$J$6:$J$277,'свод субъектов ИБ+смежные'!CE$1,'свод практик'!$H$6:$H$277,"мун")</f>
        <v>0</v>
      </c>
      <c r="CF272" s="208">
        <f>SUMIFS('свод практик'!$CR$6:$CR$277,'свод практик'!$J$6:$J$277,'свод субъектов ИБ+смежные'!CF$1,'свод практик'!$H$6:$H$277,"мун")</f>
        <v>0</v>
      </c>
      <c r="CG272" s="208">
        <f>SUMIFS('свод практик'!$CR$6:$CR$277,'свод практик'!$J$6:$J$277,'свод субъектов ИБ+смежные'!CG$1,'свод практик'!$H$6:$H$277,"мун")</f>
        <v>0</v>
      </c>
      <c r="CH272" s="208">
        <f>SUMIFS('свод практик'!$CR$6:$CR$277,'свод практик'!$J$6:$J$277,'свод субъектов ИБ+смежные'!CH$1,'свод практик'!$H$6:$H$277,"мун")</f>
        <v>0</v>
      </c>
      <c r="CI272" s="208">
        <f>SUMIFS('свод практик'!$CR$6:$CR$277,'свод практик'!$J$6:$J$277,'свод субъектов ИБ+смежные'!CI$1,'свод практик'!$H$6:$H$277,"мун")</f>
        <v>0</v>
      </c>
      <c r="CJ272" s="208">
        <f>SUMIFS('свод практик'!$CR$6:$CR$277,'свод практик'!$J$6:$J$277,'свод субъектов ИБ+смежные'!CJ$1,'свод практик'!$H$6:$H$277,"мун")</f>
        <v>0</v>
      </c>
      <c r="CK272" s="208">
        <f>SUMIFS('свод практик'!$CR$6:$CR$277,'свод практик'!$J$6:$J$277,'свод субъектов ИБ+смежные'!CK$1,'свод практик'!$H$6:$H$277,"мун")</f>
        <v>0</v>
      </c>
      <c r="CL272" s="208">
        <f>SUMIFS('свод практик'!$CR$6:$CR$277,'свод практик'!$J$6:$J$277,'свод субъектов ИБ+смежные'!CL$1,'свод практик'!$H$6:$H$277,"мун")</f>
        <v>0</v>
      </c>
      <c r="CM272" s="208">
        <f>SUMIFS('свод практик'!$CR$6:$CR$277,'свод практик'!$J$6:$J$277,'свод субъектов ИБ+смежные'!CM$1,'свод практик'!$H$6:$H$277,"мун")</f>
        <v>0</v>
      </c>
      <c r="CN272" s="208">
        <f>SUMIFS('свод практик'!$CR$6:$CR$277,'свод практик'!$J$6:$J$277,'свод субъектов ИБ+смежные'!CN$1,'свод практик'!$H$6:$H$277,"мун")</f>
        <v>0</v>
      </c>
      <c r="CO272" s="208">
        <f>SUMIFS('свод практик'!$CR$6:$CR$277,'свод практик'!$J$6:$J$277,'свод субъектов ИБ+смежные'!CO$1,'свод практик'!$H$6:$H$277,"мун")</f>
        <v>0</v>
      </c>
      <c r="CP272" s="208">
        <f>SUMIFS('свод практик'!$CR$6:$CR$277,'свод практик'!$J$6:$J$277,'свод субъектов ИБ+смежные'!CP$1,'свод практик'!$H$6:$H$277,"мун")</f>
        <v>27</v>
      </c>
      <c r="CQ272" s="208">
        <f>SUMIFS('свод практик'!$CR$6:$CR$277,'свод практик'!$J$6:$J$277,'свод субъектов ИБ+смежные'!CQ$1,'свод практик'!$H$6:$H$277,"мун")</f>
        <v>19</v>
      </c>
      <c r="CR272" s="208">
        <f>SUMIFS('свод практик'!$CR$6:$CR$277,'свод практик'!$J$6:$J$277,'свод субъектов ИБ+смежные'!CR$1,'свод практик'!$H$6:$H$277,"мун")</f>
        <v>0</v>
      </c>
      <c r="CS272" s="208">
        <f>SUMIFS('свод практик'!$CR$6:$CR$277,'свод практик'!$J$6:$J$277,'свод субъектов ИБ+смежные'!CS$1,'свод практик'!$H$6:$H$277,"мун")</f>
        <v>0</v>
      </c>
      <c r="CT272" s="208">
        <f>SUMIFS('свод практик'!$CR$6:$CR$277,'свод практик'!$J$6:$J$277,'свод субъектов ИБ+смежные'!CT$1,'свод практик'!$H$6:$H$277,"мун")</f>
        <v>0</v>
      </c>
      <c r="CU272" s="208">
        <f>SUMIFS('свод практик'!$CR$6:$CR$277,'свод практик'!$J$6:$J$277,'свод субъектов ИБ+смежные'!CU$1,'свод практик'!$H$6:$H$277,"мун")</f>
        <v>13</v>
      </c>
      <c r="CV272" s="208">
        <f>SUMIFS('свод практик'!$CR$6:$CR$277,'свод практик'!$J$6:$J$277,'свод субъектов ИБ+смежные'!CV$1,'свод практик'!$H$6:$H$277,"мун")</f>
        <v>0</v>
      </c>
    </row>
    <row r="273" spans="1:100" ht="14">
      <c r="D273" s="36" t="s">
        <v>4949</v>
      </c>
      <c r="E273" s="36">
        <v>85</v>
      </c>
      <c r="F273" s="36" t="s">
        <v>5609</v>
      </c>
      <c r="H273" s="36" t="s">
        <v>60</v>
      </c>
      <c r="M273" s="36" t="s">
        <v>5497</v>
      </c>
      <c r="N273" s="36">
        <v>2.8811524609843937E-2</v>
      </c>
    </row>
    <row r="274" spans="1:100" s="286" customFormat="1" ht="42">
      <c r="A274" s="286" t="s">
        <v>5610</v>
      </c>
      <c r="B274" s="286" t="s">
        <v>4990</v>
      </c>
      <c r="C274" s="286" t="s">
        <v>5198</v>
      </c>
      <c r="D274" s="286" t="s">
        <v>4949</v>
      </c>
      <c r="E274" s="286">
        <v>86</v>
      </c>
      <c r="F274" s="286" t="s">
        <v>5611</v>
      </c>
      <c r="G274" s="286" t="s">
        <v>5633</v>
      </c>
      <c r="H274" s="286" t="s">
        <v>5140</v>
      </c>
      <c r="I274" s="286" t="s">
        <v>5090</v>
      </c>
      <c r="L274" s="286" t="s">
        <v>278</v>
      </c>
      <c r="M274" s="286" t="s">
        <v>5497</v>
      </c>
      <c r="N274" s="286">
        <v>833</v>
      </c>
      <c r="O274" s="287">
        <f>SUM(O234,O236,O238,O240,O242,O244,O246,O248,O250,O252,O254,O256,O258,O260,O262,O264,O266,O268,O270,O272)</f>
        <v>1708</v>
      </c>
      <c r="P274" s="286">
        <f>SUM(P234,P236,P238,P240,P242,P244,P246,P248,P250,P252,P254,P256,P258,P260,P262,P264,P266,P268,P270,P272)</f>
        <v>0</v>
      </c>
      <c r="Q274" s="286">
        <f>SUM(Q234,Q236,Q238,Q240,Q242,Q244,Q246,Q248,Q250,Q252,Q254,Q256,Q258,Q260,Q262,Q264,Q266,Q268,Q270,Q272)</f>
        <v>0</v>
      </c>
      <c r="R274" s="286">
        <f>SUM(R234,R236,R238,R240,R242,R244,R246,R248,R250,R252,R254,R256,R258,R260,R262,R264,R266,R268,R270,R272)</f>
        <v>0</v>
      </c>
    </row>
    <row r="275" spans="1:100" ht="86" customHeight="1">
      <c r="A275" s="36" t="s">
        <v>5613</v>
      </c>
      <c r="B275" s="36" t="s">
        <v>4947</v>
      </c>
      <c r="C275" s="36" t="s">
        <v>5201</v>
      </c>
      <c r="D275" s="36" t="s">
        <v>4949</v>
      </c>
      <c r="E275" s="36">
        <v>87</v>
      </c>
      <c r="F275" s="36" t="s">
        <v>5614</v>
      </c>
      <c r="G275" s="36" t="s">
        <v>5634</v>
      </c>
      <c r="H275" s="36" t="s">
        <v>5082</v>
      </c>
      <c r="I275" s="36" t="s">
        <v>5203</v>
      </c>
      <c r="M275" s="36" t="s">
        <v>5497</v>
      </c>
      <c r="N275" s="232">
        <v>0.8954690276110443</v>
      </c>
      <c r="O275" s="233">
        <f>O62/O274</f>
        <v>0.54691440309718975</v>
      </c>
      <c r="P275" s="233" t="e">
        <f t="shared" ref="P275:CA275" si="146">P62/P274</f>
        <v>#DIV/0!</v>
      </c>
      <c r="Q275" s="233" t="e">
        <f t="shared" si="146"/>
        <v>#DIV/0!</v>
      </c>
      <c r="R275" s="233" t="e">
        <f t="shared" si="146"/>
        <v>#DIV/0!</v>
      </c>
      <c r="S275" s="233" t="e">
        <f t="shared" si="146"/>
        <v>#DIV/0!</v>
      </c>
      <c r="T275" s="233" t="e">
        <f t="shared" si="146"/>
        <v>#DIV/0!</v>
      </c>
      <c r="U275" s="233" t="e">
        <f t="shared" si="146"/>
        <v>#DIV/0!</v>
      </c>
      <c r="V275" s="233" t="e">
        <f t="shared" si="146"/>
        <v>#DIV/0!</v>
      </c>
      <c r="W275" s="233" t="e">
        <f t="shared" si="146"/>
        <v>#DIV/0!</v>
      </c>
      <c r="X275" s="233" t="e">
        <f t="shared" si="146"/>
        <v>#DIV/0!</v>
      </c>
      <c r="Y275" s="233" t="e">
        <f t="shared" si="146"/>
        <v>#DIV/0!</v>
      </c>
      <c r="Z275" s="233" t="e">
        <f t="shared" si="146"/>
        <v>#DIV/0!</v>
      </c>
      <c r="AA275" s="233" t="e">
        <f t="shared" si="146"/>
        <v>#DIV/0!</v>
      </c>
      <c r="AB275" s="233" t="e">
        <f t="shared" si="146"/>
        <v>#DIV/0!</v>
      </c>
      <c r="AC275" s="233" t="e">
        <f t="shared" si="146"/>
        <v>#DIV/0!</v>
      </c>
      <c r="AD275" s="233" t="e">
        <f t="shared" si="146"/>
        <v>#DIV/0!</v>
      </c>
      <c r="AE275" s="233" t="e">
        <f t="shared" si="146"/>
        <v>#DIV/0!</v>
      </c>
      <c r="AF275" s="233" t="e">
        <f t="shared" si="146"/>
        <v>#DIV/0!</v>
      </c>
      <c r="AG275" s="233" t="e">
        <f t="shared" si="146"/>
        <v>#DIV/0!</v>
      </c>
      <c r="AH275" s="233" t="e">
        <f t="shared" si="146"/>
        <v>#DIV/0!</v>
      </c>
      <c r="AI275" s="233" t="e">
        <f t="shared" si="146"/>
        <v>#DIV/0!</v>
      </c>
      <c r="AJ275" s="233" t="e">
        <f t="shared" si="146"/>
        <v>#DIV/0!</v>
      </c>
      <c r="AK275" s="233" t="e">
        <f t="shared" si="146"/>
        <v>#DIV/0!</v>
      </c>
      <c r="AL275" s="233" t="e">
        <f t="shared" si="146"/>
        <v>#DIV/0!</v>
      </c>
      <c r="AM275" s="233" t="e">
        <f t="shared" si="146"/>
        <v>#DIV/0!</v>
      </c>
      <c r="AN275" s="233" t="e">
        <f t="shared" si="146"/>
        <v>#DIV/0!</v>
      </c>
      <c r="AO275" s="233" t="e">
        <f t="shared" si="146"/>
        <v>#DIV/0!</v>
      </c>
      <c r="AP275" s="233" t="e">
        <f t="shared" si="146"/>
        <v>#DIV/0!</v>
      </c>
      <c r="AQ275" s="233" t="e">
        <f t="shared" si="146"/>
        <v>#DIV/0!</v>
      </c>
      <c r="AR275" s="233" t="e">
        <f t="shared" si="146"/>
        <v>#DIV/0!</v>
      </c>
      <c r="AS275" s="233" t="e">
        <f t="shared" si="146"/>
        <v>#DIV/0!</v>
      </c>
      <c r="AT275" s="233" t="e">
        <f t="shared" si="146"/>
        <v>#DIV/0!</v>
      </c>
      <c r="AU275" s="233" t="e">
        <f t="shared" si="146"/>
        <v>#DIV/0!</v>
      </c>
      <c r="AV275" s="233" t="e">
        <f t="shared" si="146"/>
        <v>#DIV/0!</v>
      </c>
      <c r="AW275" s="233" t="e">
        <f t="shared" si="146"/>
        <v>#DIV/0!</v>
      </c>
      <c r="AX275" s="233" t="e">
        <f t="shared" si="146"/>
        <v>#DIV/0!</v>
      </c>
      <c r="AY275" s="233" t="e">
        <f t="shared" si="146"/>
        <v>#DIV/0!</v>
      </c>
      <c r="AZ275" s="233" t="e">
        <f t="shared" si="146"/>
        <v>#DIV/0!</v>
      </c>
      <c r="BA275" s="233" t="e">
        <f t="shared" si="146"/>
        <v>#DIV/0!</v>
      </c>
      <c r="BB275" s="233" t="e">
        <f t="shared" si="146"/>
        <v>#DIV/0!</v>
      </c>
      <c r="BC275" s="233" t="e">
        <f t="shared" si="146"/>
        <v>#DIV/0!</v>
      </c>
      <c r="BD275" s="233" t="e">
        <f t="shared" si="146"/>
        <v>#DIV/0!</v>
      </c>
      <c r="BE275" s="233" t="e">
        <f t="shared" si="146"/>
        <v>#DIV/0!</v>
      </c>
      <c r="BF275" s="233" t="e">
        <f t="shared" si="146"/>
        <v>#DIV/0!</v>
      </c>
      <c r="BG275" s="233" t="e">
        <f t="shared" si="146"/>
        <v>#DIV/0!</v>
      </c>
      <c r="BH275" s="233" t="e">
        <f t="shared" si="146"/>
        <v>#DIV/0!</v>
      </c>
      <c r="BI275" s="233" t="e">
        <f t="shared" si="146"/>
        <v>#DIV/0!</v>
      </c>
      <c r="BJ275" s="233" t="e">
        <f t="shared" si="146"/>
        <v>#DIV/0!</v>
      </c>
      <c r="BK275" s="233" t="e">
        <f t="shared" si="146"/>
        <v>#DIV/0!</v>
      </c>
      <c r="BL275" s="233" t="e">
        <f t="shared" si="146"/>
        <v>#DIV/0!</v>
      </c>
      <c r="BM275" s="233" t="e">
        <f t="shared" si="146"/>
        <v>#DIV/0!</v>
      </c>
      <c r="BN275" s="233" t="e">
        <f t="shared" si="146"/>
        <v>#DIV/0!</v>
      </c>
      <c r="BO275" s="233" t="e">
        <f t="shared" si="146"/>
        <v>#DIV/0!</v>
      </c>
      <c r="BP275" s="233" t="e">
        <f t="shared" si="146"/>
        <v>#DIV/0!</v>
      </c>
      <c r="BQ275" s="233" t="e">
        <f t="shared" si="146"/>
        <v>#DIV/0!</v>
      </c>
      <c r="BR275" s="233" t="e">
        <f t="shared" si="146"/>
        <v>#DIV/0!</v>
      </c>
      <c r="BS275" s="233" t="e">
        <f t="shared" si="146"/>
        <v>#DIV/0!</v>
      </c>
      <c r="BT275" s="233" t="e">
        <f t="shared" si="146"/>
        <v>#DIV/0!</v>
      </c>
      <c r="BU275" s="233" t="e">
        <f t="shared" si="146"/>
        <v>#DIV/0!</v>
      </c>
      <c r="BV275" s="233" t="e">
        <f t="shared" si="146"/>
        <v>#DIV/0!</v>
      </c>
      <c r="BW275" s="233" t="e">
        <f t="shared" si="146"/>
        <v>#DIV/0!</v>
      </c>
      <c r="BX275" s="233" t="e">
        <f t="shared" si="146"/>
        <v>#DIV/0!</v>
      </c>
      <c r="BY275" s="233" t="e">
        <f t="shared" si="146"/>
        <v>#DIV/0!</v>
      </c>
      <c r="BZ275" s="233" t="e">
        <f t="shared" si="146"/>
        <v>#DIV/0!</v>
      </c>
      <c r="CA275" s="233" t="e">
        <f t="shared" si="146"/>
        <v>#DIV/0!</v>
      </c>
      <c r="CB275" s="233" t="e">
        <f t="shared" ref="CB275:CV275" si="147">CB62/CB274</f>
        <v>#DIV/0!</v>
      </c>
      <c r="CC275" s="233" t="e">
        <f t="shared" si="147"/>
        <v>#DIV/0!</v>
      </c>
      <c r="CD275" s="233" t="e">
        <f t="shared" si="147"/>
        <v>#DIV/0!</v>
      </c>
      <c r="CE275" s="233" t="e">
        <f t="shared" si="147"/>
        <v>#DIV/0!</v>
      </c>
      <c r="CF275" s="233" t="e">
        <f t="shared" si="147"/>
        <v>#DIV/0!</v>
      </c>
      <c r="CG275" s="233" t="e">
        <f t="shared" si="147"/>
        <v>#DIV/0!</v>
      </c>
      <c r="CH275" s="233" t="e">
        <f t="shared" si="147"/>
        <v>#DIV/0!</v>
      </c>
      <c r="CI275" s="233" t="e">
        <f t="shared" si="147"/>
        <v>#DIV/0!</v>
      </c>
      <c r="CJ275" s="233" t="e">
        <f t="shared" si="147"/>
        <v>#DIV/0!</v>
      </c>
      <c r="CK275" s="233" t="e">
        <f t="shared" si="147"/>
        <v>#DIV/0!</v>
      </c>
      <c r="CL275" s="233" t="e">
        <f t="shared" si="147"/>
        <v>#DIV/0!</v>
      </c>
      <c r="CM275" s="233" t="e">
        <f t="shared" si="147"/>
        <v>#DIV/0!</v>
      </c>
      <c r="CN275" s="233" t="e">
        <f t="shared" si="147"/>
        <v>#DIV/0!</v>
      </c>
      <c r="CO275" s="233" t="e">
        <f t="shared" si="147"/>
        <v>#DIV/0!</v>
      </c>
      <c r="CP275" s="233" t="e">
        <f t="shared" si="147"/>
        <v>#DIV/0!</v>
      </c>
      <c r="CQ275" s="233" t="e">
        <f t="shared" si="147"/>
        <v>#DIV/0!</v>
      </c>
      <c r="CR275" s="233" t="e">
        <f t="shared" si="147"/>
        <v>#DIV/0!</v>
      </c>
      <c r="CS275" s="233" t="e">
        <f t="shared" si="147"/>
        <v>#DIV/0!</v>
      </c>
      <c r="CT275" s="233" t="e">
        <f t="shared" si="147"/>
        <v>#DIV/0!</v>
      </c>
      <c r="CU275" s="233" t="e">
        <f t="shared" si="147"/>
        <v>#DIV/0!</v>
      </c>
      <c r="CV275" s="233" t="e">
        <f t="shared" si="147"/>
        <v>#DIV/0!</v>
      </c>
    </row>
    <row r="276" spans="1:100" ht="112">
      <c r="A276" s="36" t="s">
        <v>5616</v>
      </c>
      <c r="B276" s="36" t="s">
        <v>4947</v>
      </c>
      <c r="C276" s="36" t="s">
        <v>5205</v>
      </c>
      <c r="D276" s="36" t="s">
        <v>4949</v>
      </c>
      <c r="E276" s="36">
        <v>88</v>
      </c>
      <c r="F276" s="36" t="s">
        <v>5617</v>
      </c>
      <c r="G276" s="36" t="s">
        <v>5635</v>
      </c>
      <c r="H276" s="36" t="s">
        <v>5082</v>
      </c>
      <c r="I276" s="36" t="s">
        <v>5208</v>
      </c>
      <c r="M276" s="36" t="s">
        <v>5497</v>
      </c>
      <c r="N276" s="232">
        <v>0.57448265306122448</v>
      </c>
      <c r="O276" s="233">
        <f>O218/O274</f>
        <v>0.43114958304449641</v>
      </c>
      <c r="P276" s="224" t="e">
        <f t="shared" ref="P276:CA276" si="148">P218/P274</f>
        <v>#DIV/0!</v>
      </c>
      <c r="Q276" s="224" t="e">
        <f t="shared" si="148"/>
        <v>#DIV/0!</v>
      </c>
      <c r="R276" s="224" t="e">
        <f t="shared" si="148"/>
        <v>#DIV/0!</v>
      </c>
      <c r="S276" s="224" t="e">
        <f t="shared" si="148"/>
        <v>#DIV/0!</v>
      </c>
      <c r="T276" s="224" t="e">
        <f t="shared" si="148"/>
        <v>#DIV/0!</v>
      </c>
      <c r="U276" s="224" t="e">
        <f t="shared" si="148"/>
        <v>#DIV/0!</v>
      </c>
      <c r="V276" s="224" t="e">
        <f t="shared" si="148"/>
        <v>#DIV/0!</v>
      </c>
      <c r="W276" s="224" t="e">
        <f t="shared" si="148"/>
        <v>#DIV/0!</v>
      </c>
      <c r="X276" s="224" t="e">
        <f t="shared" si="148"/>
        <v>#DIV/0!</v>
      </c>
      <c r="Y276" s="224" t="e">
        <f t="shared" si="148"/>
        <v>#DIV/0!</v>
      </c>
      <c r="Z276" s="224" t="e">
        <f t="shared" si="148"/>
        <v>#DIV/0!</v>
      </c>
      <c r="AA276" s="224" t="e">
        <f t="shared" si="148"/>
        <v>#DIV/0!</v>
      </c>
      <c r="AB276" s="224" t="e">
        <f t="shared" si="148"/>
        <v>#DIV/0!</v>
      </c>
      <c r="AC276" s="224" t="e">
        <f t="shared" si="148"/>
        <v>#DIV/0!</v>
      </c>
      <c r="AD276" s="224" t="e">
        <f t="shared" si="148"/>
        <v>#DIV/0!</v>
      </c>
      <c r="AE276" s="224" t="e">
        <f t="shared" si="148"/>
        <v>#DIV/0!</v>
      </c>
      <c r="AF276" s="224" t="e">
        <f t="shared" si="148"/>
        <v>#DIV/0!</v>
      </c>
      <c r="AG276" s="224" t="e">
        <f t="shared" si="148"/>
        <v>#DIV/0!</v>
      </c>
      <c r="AH276" s="224" t="e">
        <f t="shared" si="148"/>
        <v>#DIV/0!</v>
      </c>
      <c r="AI276" s="224" t="e">
        <f t="shared" si="148"/>
        <v>#DIV/0!</v>
      </c>
      <c r="AJ276" s="224" t="e">
        <f t="shared" si="148"/>
        <v>#DIV/0!</v>
      </c>
      <c r="AK276" s="224" t="e">
        <f t="shared" si="148"/>
        <v>#DIV/0!</v>
      </c>
      <c r="AL276" s="224" t="e">
        <f t="shared" si="148"/>
        <v>#DIV/0!</v>
      </c>
      <c r="AM276" s="224" t="e">
        <f t="shared" si="148"/>
        <v>#DIV/0!</v>
      </c>
      <c r="AN276" s="224" t="e">
        <f t="shared" si="148"/>
        <v>#DIV/0!</v>
      </c>
      <c r="AO276" s="224" t="e">
        <f t="shared" si="148"/>
        <v>#DIV/0!</v>
      </c>
      <c r="AP276" s="224" t="e">
        <f t="shared" si="148"/>
        <v>#DIV/0!</v>
      </c>
      <c r="AQ276" s="224" t="e">
        <f t="shared" si="148"/>
        <v>#DIV/0!</v>
      </c>
      <c r="AR276" s="224" t="e">
        <f t="shared" si="148"/>
        <v>#DIV/0!</v>
      </c>
      <c r="AS276" s="224" t="e">
        <f t="shared" si="148"/>
        <v>#DIV/0!</v>
      </c>
      <c r="AT276" s="224" t="e">
        <f t="shared" si="148"/>
        <v>#DIV/0!</v>
      </c>
      <c r="AU276" s="224" t="e">
        <f t="shared" si="148"/>
        <v>#DIV/0!</v>
      </c>
      <c r="AV276" s="224" t="e">
        <f t="shared" si="148"/>
        <v>#DIV/0!</v>
      </c>
      <c r="AW276" s="224" t="e">
        <f t="shared" si="148"/>
        <v>#DIV/0!</v>
      </c>
      <c r="AX276" s="224" t="e">
        <f t="shared" si="148"/>
        <v>#DIV/0!</v>
      </c>
      <c r="AY276" s="224" t="e">
        <f t="shared" si="148"/>
        <v>#DIV/0!</v>
      </c>
      <c r="AZ276" s="224" t="e">
        <f t="shared" si="148"/>
        <v>#DIV/0!</v>
      </c>
      <c r="BA276" s="224" t="e">
        <f t="shared" si="148"/>
        <v>#DIV/0!</v>
      </c>
      <c r="BB276" s="224" t="e">
        <f t="shared" si="148"/>
        <v>#DIV/0!</v>
      </c>
      <c r="BC276" s="224" t="e">
        <f t="shared" si="148"/>
        <v>#DIV/0!</v>
      </c>
      <c r="BD276" s="224" t="e">
        <f t="shared" si="148"/>
        <v>#DIV/0!</v>
      </c>
      <c r="BE276" s="224" t="e">
        <f t="shared" si="148"/>
        <v>#DIV/0!</v>
      </c>
      <c r="BF276" s="224" t="e">
        <f t="shared" si="148"/>
        <v>#DIV/0!</v>
      </c>
      <c r="BG276" s="224" t="e">
        <f t="shared" si="148"/>
        <v>#DIV/0!</v>
      </c>
      <c r="BH276" s="224" t="e">
        <f t="shared" si="148"/>
        <v>#DIV/0!</v>
      </c>
      <c r="BI276" s="224" t="e">
        <f t="shared" si="148"/>
        <v>#DIV/0!</v>
      </c>
      <c r="BJ276" s="224" t="e">
        <f t="shared" si="148"/>
        <v>#DIV/0!</v>
      </c>
      <c r="BK276" s="224" t="e">
        <f t="shared" si="148"/>
        <v>#DIV/0!</v>
      </c>
      <c r="BL276" s="224" t="e">
        <f t="shared" si="148"/>
        <v>#DIV/0!</v>
      </c>
      <c r="BM276" s="224" t="e">
        <f t="shared" si="148"/>
        <v>#DIV/0!</v>
      </c>
      <c r="BN276" s="224" t="e">
        <f t="shared" si="148"/>
        <v>#DIV/0!</v>
      </c>
      <c r="BO276" s="224" t="e">
        <f t="shared" si="148"/>
        <v>#DIV/0!</v>
      </c>
      <c r="BP276" s="224" t="e">
        <f t="shared" si="148"/>
        <v>#DIV/0!</v>
      </c>
      <c r="BQ276" s="224" t="e">
        <f t="shared" si="148"/>
        <v>#DIV/0!</v>
      </c>
      <c r="BR276" s="224" t="e">
        <f t="shared" si="148"/>
        <v>#DIV/0!</v>
      </c>
      <c r="BS276" s="224" t="e">
        <f t="shared" si="148"/>
        <v>#DIV/0!</v>
      </c>
      <c r="BT276" s="224" t="e">
        <f t="shared" si="148"/>
        <v>#DIV/0!</v>
      </c>
      <c r="BU276" s="224" t="e">
        <f t="shared" si="148"/>
        <v>#DIV/0!</v>
      </c>
      <c r="BV276" s="224" t="e">
        <f t="shared" si="148"/>
        <v>#DIV/0!</v>
      </c>
      <c r="BW276" s="224" t="e">
        <f t="shared" si="148"/>
        <v>#DIV/0!</v>
      </c>
      <c r="BX276" s="224" t="e">
        <f t="shared" si="148"/>
        <v>#DIV/0!</v>
      </c>
      <c r="BY276" s="224" t="e">
        <f t="shared" si="148"/>
        <v>#DIV/0!</v>
      </c>
      <c r="BZ276" s="224" t="e">
        <f t="shared" si="148"/>
        <v>#DIV/0!</v>
      </c>
      <c r="CA276" s="224" t="e">
        <f t="shared" si="148"/>
        <v>#DIV/0!</v>
      </c>
      <c r="CB276" s="224" t="e">
        <f t="shared" ref="CB276:CV276" si="149">CB218/CB274</f>
        <v>#DIV/0!</v>
      </c>
      <c r="CC276" s="224" t="e">
        <f t="shared" si="149"/>
        <v>#DIV/0!</v>
      </c>
      <c r="CD276" s="224" t="e">
        <f t="shared" si="149"/>
        <v>#DIV/0!</v>
      </c>
      <c r="CE276" s="224" t="e">
        <f t="shared" si="149"/>
        <v>#DIV/0!</v>
      </c>
      <c r="CF276" s="224" t="e">
        <f t="shared" si="149"/>
        <v>#DIV/0!</v>
      </c>
      <c r="CG276" s="224" t="e">
        <f t="shared" si="149"/>
        <v>#DIV/0!</v>
      </c>
      <c r="CH276" s="224" t="e">
        <f t="shared" si="149"/>
        <v>#DIV/0!</v>
      </c>
      <c r="CI276" s="224" t="e">
        <f t="shared" si="149"/>
        <v>#DIV/0!</v>
      </c>
      <c r="CJ276" s="224" t="e">
        <f t="shared" si="149"/>
        <v>#DIV/0!</v>
      </c>
      <c r="CK276" s="224" t="e">
        <f t="shared" si="149"/>
        <v>#DIV/0!</v>
      </c>
      <c r="CL276" s="224" t="e">
        <f t="shared" si="149"/>
        <v>#DIV/0!</v>
      </c>
      <c r="CM276" s="224" t="e">
        <f t="shared" si="149"/>
        <v>#DIV/0!</v>
      </c>
      <c r="CN276" s="224" t="e">
        <f t="shared" si="149"/>
        <v>#DIV/0!</v>
      </c>
      <c r="CO276" s="224" t="e">
        <f t="shared" si="149"/>
        <v>#DIV/0!</v>
      </c>
      <c r="CP276" s="224" t="e">
        <f t="shared" si="149"/>
        <v>#DIV/0!</v>
      </c>
      <c r="CQ276" s="224" t="e">
        <f t="shared" si="149"/>
        <v>#DIV/0!</v>
      </c>
      <c r="CR276" s="224" t="e">
        <f t="shared" si="149"/>
        <v>#DIV/0!</v>
      </c>
      <c r="CS276" s="224" t="e">
        <f t="shared" si="149"/>
        <v>#DIV/0!</v>
      </c>
      <c r="CT276" s="224" t="e">
        <f t="shared" si="149"/>
        <v>#DIV/0!</v>
      </c>
      <c r="CU276" s="224" t="e">
        <f t="shared" si="149"/>
        <v>#DIV/0!</v>
      </c>
      <c r="CV276" s="224" t="e">
        <f t="shared" si="149"/>
        <v>#DIV/0!</v>
      </c>
    </row>
    <row r="277" spans="1:100" ht="98">
      <c r="D277" s="36" t="s">
        <v>4949</v>
      </c>
      <c r="E277" s="36">
        <v>89</v>
      </c>
      <c r="F277" s="36" t="s">
        <v>5619</v>
      </c>
      <c r="G277" s="36" t="s">
        <v>5636</v>
      </c>
      <c r="H277" s="36" t="s">
        <v>5082</v>
      </c>
      <c r="I277" s="36" t="s">
        <v>5211</v>
      </c>
      <c r="M277" s="36" t="s">
        <v>5497</v>
      </c>
      <c r="N277" s="232">
        <v>0.32086134453781512</v>
      </c>
      <c r="O277" s="233">
        <f>O226/O274</f>
        <v>0.11725729021077283</v>
      </c>
      <c r="P277" s="224" t="e">
        <f t="shared" ref="P277:CA277" si="150">P226/P274</f>
        <v>#DIV/0!</v>
      </c>
      <c r="Q277" s="224" t="e">
        <f t="shared" si="150"/>
        <v>#DIV/0!</v>
      </c>
      <c r="R277" s="224" t="e">
        <f t="shared" si="150"/>
        <v>#DIV/0!</v>
      </c>
      <c r="S277" s="224" t="e">
        <f t="shared" si="150"/>
        <v>#DIV/0!</v>
      </c>
      <c r="T277" s="224" t="e">
        <f t="shared" si="150"/>
        <v>#DIV/0!</v>
      </c>
      <c r="U277" s="224" t="e">
        <f t="shared" si="150"/>
        <v>#DIV/0!</v>
      </c>
      <c r="V277" s="224" t="e">
        <f t="shared" si="150"/>
        <v>#DIV/0!</v>
      </c>
      <c r="W277" s="224" t="e">
        <f t="shared" si="150"/>
        <v>#DIV/0!</v>
      </c>
      <c r="X277" s="224" t="e">
        <f t="shared" si="150"/>
        <v>#DIV/0!</v>
      </c>
      <c r="Y277" s="224" t="e">
        <f t="shared" si="150"/>
        <v>#DIV/0!</v>
      </c>
      <c r="Z277" s="224" t="e">
        <f t="shared" si="150"/>
        <v>#DIV/0!</v>
      </c>
      <c r="AA277" s="224" t="e">
        <f t="shared" si="150"/>
        <v>#DIV/0!</v>
      </c>
      <c r="AB277" s="224" t="e">
        <f t="shared" si="150"/>
        <v>#DIV/0!</v>
      </c>
      <c r="AC277" s="224" t="e">
        <f t="shared" si="150"/>
        <v>#DIV/0!</v>
      </c>
      <c r="AD277" s="224" t="e">
        <f t="shared" si="150"/>
        <v>#DIV/0!</v>
      </c>
      <c r="AE277" s="224" t="e">
        <f t="shared" si="150"/>
        <v>#DIV/0!</v>
      </c>
      <c r="AF277" s="224" t="e">
        <f t="shared" si="150"/>
        <v>#DIV/0!</v>
      </c>
      <c r="AG277" s="224" t="e">
        <f t="shared" si="150"/>
        <v>#DIV/0!</v>
      </c>
      <c r="AH277" s="224" t="e">
        <f t="shared" si="150"/>
        <v>#DIV/0!</v>
      </c>
      <c r="AI277" s="224" t="e">
        <f t="shared" si="150"/>
        <v>#DIV/0!</v>
      </c>
      <c r="AJ277" s="224" t="e">
        <f t="shared" si="150"/>
        <v>#DIV/0!</v>
      </c>
      <c r="AK277" s="224" t="e">
        <f t="shared" si="150"/>
        <v>#DIV/0!</v>
      </c>
      <c r="AL277" s="224" t="e">
        <f t="shared" si="150"/>
        <v>#DIV/0!</v>
      </c>
      <c r="AM277" s="224" t="e">
        <f t="shared" si="150"/>
        <v>#DIV/0!</v>
      </c>
      <c r="AN277" s="224" t="e">
        <f t="shared" si="150"/>
        <v>#DIV/0!</v>
      </c>
      <c r="AO277" s="224" t="e">
        <f t="shared" si="150"/>
        <v>#DIV/0!</v>
      </c>
      <c r="AP277" s="224" t="e">
        <f t="shared" si="150"/>
        <v>#DIV/0!</v>
      </c>
      <c r="AQ277" s="224" t="e">
        <f t="shared" si="150"/>
        <v>#DIV/0!</v>
      </c>
      <c r="AR277" s="224" t="e">
        <f t="shared" si="150"/>
        <v>#DIV/0!</v>
      </c>
      <c r="AS277" s="224" t="e">
        <f t="shared" si="150"/>
        <v>#DIV/0!</v>
      </c>
      <c r="AT277" s="224" t="e">
        <f t="shared" si="150"/>
        <v>#DIV/0!</v>
      </c>
      <c r="AU277" s="224" t="e">
        <f t="shared" si="150"/>
        <v>#DIV/0!</v>
      </c>
      <c r="AV277" s="224" t="e">
        <f t="shared" si="150"/>
        <v>#DIV/0!</v>
      </c>
      <c r="AW277" s="224" t="e">
        <f t="shared" si="150"/>
        <v>#DIV/0!</v>
      </c>
      <c r="AX277" s="224" t="e">
        <f t="shared" si="150"/>
        <v>#DIV/0!</v>
      </c>
      <c r="AY277" s="224" t="e">
        <f t="shared" si="150"/>
        <v>#DIV/0!</v>
      </c>
      <c r="AZ277" s="224" t="e">
        <f t="shared" si="150"/>
        <v>#DIV/0!</v>
      </c>
      <c r="BA277" s="224" t="e">
        <f t="shared" si="150"/>
        <v>#DIV/0!</v>
      </c>
      <c r="BB277" s="224" t="e">
        <f t="shared" si="150"/>
        <v>#DIV/0!</v>
      </c>
      <c r="BC277" s="224" t="e">
        <f t="shared" si="150"/>
        <v>#DIV/0!</v>
      </c>
      <c r="BD277" s="224" t="e">
        <f t="shared" si="150"/>
        <v>#DIV/0!</v>
      </c>
      <c r="BE277" s="224" t="e">
        <f t="shared" si="150"/>
        <v>#DIV/0!</v>
      </c>
      <c r="BF277" s="224" t="e">
        <f t="shared" si="150"/>
        <v>#DIV/0!</v>
      </c>
      <c r="BG277" s="224" t="e">
        <f t="shared" si="150"/>
        <v>#DIV/0!</v>
      </c>
      <c r="BH277" s="224" t="e">
        <f t="shared" si="150"/>
        <v>#DIV/0!</v>
      </c>
      <c r="BI277" s="224" t="e">
        <f t="shared" si="150"/>
        <v>#DIV/0!</v>
      </c>
      <c r="BJ277" s="224" t="e">
        <f t="shared" si="150"/>
        <v>#DIV/0!</v>
      </c>
      <c r="BK277" s="224" t="e">
        <f t="shared" si="150"/>
        <v>#DIV/0!</v>
      </c>
      <c r="BL277" s="224" t="e">
        <f t="shared" si="150"/>
        <v>#DIV/0!</v>
      </c>
      <c r="BM277" s="224" t="e">
        <f t="shared" si="150"/>
        <v>#DIV/0!</v>
      </c>
      <c r="BN277" s="224" t="e">
        <f t="shared" si="150"/>
        <v>#DIV/0!</v>
      </c>
      <c r="BO277" s="224" t="e">
        <f t="shared" si="150"/>
        <v>#DIV/0!</v>
      </c>
      <c r="BP277" s="224" t="e">
        <f t="shared" si="150"/>
        <v>#DIV/0!</v>
      </c>
      <c r="BQ277" s="224" t="e">
        <f t="shared" si="150"/>
        <v>#DIV/0!</v>
      </c>
      <c r="BR277" s="224" t="e">
        <f t="shared" si="150"/>
        <v>#DIV/0!</v>
      </c>
      <c r="BS277" s="224" t="e">
        <f t="shared" si="150"/>
        <v>#DIV/0!</v>
      </c>
      <c r="BT277" s="224" t="e">
        <f t="shared" si="150"/>
        <v>#DIV/0!</v>
      </c>
      <c r="BU277" s="224" t="e">
        <f t="shared" si="150"/>
        <v>#DIV/0!</v>
      </c>
      <c r="BV277" s="224" t="e">
        <f t="shared" si="150"/>
        <v>#DIV/0!</v>
      </c>
      <c r="BW277" s="224" t="e">
        <f t="shared" si="150"/>
        <v>#DIV/0!</v>
      </c>
      <c r="BX277" s="224" t="e">
        <f t="shared" si="150"/>
        <v>#DIV/0!</v>
      </c>
      <c r="BY277" s="224" t="e">
        <f t="shared" si="150"/>
        <v>#DIV/0!</v>
      </c>
      <c r="BZ277" s="224" t="e">
        <f t="shared" si="150"/>
        <v>#DIV/0!</v>
      </c>
      <c r="CA277" s="224" t="e">
        <f t="shared" si="150"/>
        <v>#DIV/0!</v>
      </c>
      <c r="CB277" s="224" t="e">
        <f t="shared" ref="CB277:CV277" si="151">CB226/CB274</f>
        <v>#DIV/0!</v>
      </c>
      <c r="CC277" s="224" t="e">
        <f t="shared" si="151"/>
        <v>#DIV/0!</v>
      </c>
      <c r="CD277" s="224" t="e">
        <f t="shared" si="151"/>
        <v>#DIV/0!</v>
      </c>
      <c r="CE277" s="224" t="e">
        <f t="shared" si="151"/>
        <v>#DIV/0!</v>
      </c>
      <c r="CF277" s="224" t="e">
        <f t="shared" si="151"/>
        <v>#DIV/0!</v>
      </c>
      <c r="CG277" s="224" t="e">
        <f t="shared" si="151"/>
        <v>#DIV/0!</v>
      </c>
      <c r="CH277" s="224" t="e">
        <f t="shared" si="151"/>
        <v>#DIV/0!</v>
      </c>
      <c r="CI277" s="224" t="e">
        <f t="shared" si="151"/>
        <v>#DIV/0!</v>
      </c>
      <c r="CJ277" s="224" t="e">
        <f t="shared" si="151"/>
        <v>#DIV/0!</v>
      </c>
      <c r="CK277" s="224" t="e">
        <f t="shared" si="151"/>
        <v>#DIV/0!</v>
      </c>
      <c r="CL277" s="224" t="e">
        <f t="shared" si="151"/>
        <v>#DIV/0!</v>
      </c>
      <c r="CM277" s="224" t="e">
        <f t="shared" si="151"/>
        <v>#DIV/0!</v>
      </c>
      <c r="CN277" s="224" t="e">
        <f t="shared" si="151"/>
        <v>#DIV/0!</v>
      </c>
      <c r="CO277" s="224" t="e">
        <f t="shared" si="151"/>
        <v>#DIV/0!</v>
      </c>
      <c r="CP277" s="224" t="e">
        <f t="shared" si="151"/>
        <v>#DIV/0!</v>
      </c>
      <c r="CQ277" s="224" t="e">
        <f t="shared" si="151"/>
        <v>#DIV/0!</v>
      </c>
      <c r="CR277" s="224" t="e">
        <f t="shared" si="151"/>
        <v>#DIV/0!</v>
      </c>
      <c r="CS277" s="224" t="e">
        <f t="shared" si="151"/>
        <v>#DIV/0!</v>
      </c>
      <c r="CT277" s="224" t="e">
        <f t="shared" si="151"/>
        <v>#DIV/0!</v>
      </c>
      <c r="CU277" s="224" t="e">
        <f t="shared" si="151"/>
        <v>#DIV/0!</v>
      </c>
      <c r="CV277" s="224" t="e">
        <f t="shared" si="151"/>
        <v>#DIV/0!</v>
      </c>
    </row>
  </sheetData>
  <mergeCells count="87">
    <mergeCell ref="A139:A140"/>
    <mergeCell ref="B139:B140"/>
    <mergeCell ref="C139:C140"/>
    <mergeCell ref="A133:A138"/>
    <mergeCell ref="B133:B138"/>
    <mergeCell ref="C133:C138"/>
    <mergeCell ref="G124:G125"/>
    <mergeCell ref="G102:G103"/>
    <mergeCell ref="G106:G107"/>
    <mergeCell ref="G108:G109"/>
    <mergeCell ref="G110:G111"/>
    <mergeCell ref="G112:G113"/>
    <mergeCell ref="G114:G115"/>
    <mergeCell ref="A4:A10"/>
    <mergeCell ref="B4:B10"/>
    <mergeCell ref="C4:C10"/>
    <mergeCell ref="A130:A132"/>
    <mergeCell ref="B130:B132"/>
    <mergeCell ref="C130:C132"/>
    <mergeCell ref="A128:A129"/>
    <mergeCell ref="B128:B129"/>
    <mergeCell ref="C128:C129"/>
    <mergeCell ref="A79:A81"/>
    <mergeCell ref="A82:A83"/>
    <mergeCell ref="B82:B83"/>
    <mergeCell ref="C82:C83"/>
    <mergeCell ref="A86:A125"/>
    <mergeCell ref="B86:B125"/>
    <mergeCell ref="C86:C125"/>
    <mergeCell ref="A76:A77"/>
    <mergeCell ref="B76:B77"/>
    <mergeCell ref="C76:C77"/>
    <mergeCell ref="B67:B68"/>
    <mergeCell ref="C67:C68"/>
    <mergeCell ref="A69:A70"/>
    <mergeCell ref="B69:B70"/>
    <mergeCell ref="C69:C70"/>
    <mergeCell ref="B73:B74"/>
    <mergeCell ref="C73:C74"/>
    <mergeCell ref="A73:A74"/>
    <mergeCell ref="G96:G97"/>
    <mergeCell ref="G98:G99"/>
    <mergeCell ref="G100:G101"/>
    <mergeCell ref="G104:G105"/>
    <mergeCell ref="G122:G123"/>
    <mergeCell ref="G116:G117"/>
    <mergeCell ref="G118:G119"/>
    <mergeCell ref="G120:G121"/>
    <mergeCell ref="G86:G87"/>
    <mergeCell ref="G88:G89"/>
    <mergeCell ref="G90:G91"/>
    <mergeCell ref="G92:G93"/>
    <mergeCell ref="G94:G95"/>
    <mergeCell ref="B23:B24"/>
    <mergeCell ref="A16:A18"/>
    <mergeCell ref="B16:B18"/>
    <mergeCell ref="C16:C18"/>
    <mergeCell ref="A19:A20"/>
    <mergeCell ref="C19:C20"/>
    <mergeCell ref="A84:A85"/>
    <mergeCell ref="A28:A29"/>
    <mergeCell ref="A11:A15"/>
    <mergeCell ref="B11:B15"/>
    <mergeCell ref="C11:C15"/>
    <mergeCell ref="A23:A27"/>
    <mergeCell ref="C23:C27"/>
    <mergeCell ref="A30:A36"/>
    <mergeCell ref="C30:C36"/>
    <mergeCell ref="C60:C62"/>
    <mergeCell ref="A60:A62"/>
    <mergeCell ref="A37:A43"/>
    <mergeCell ref="C37:C43"/>
    <mergeCell ref="A52:A59"/>
    <mergeCell ref="C52:C59"/>
    <mergeCell ref="A44:A51"/>
    <mergeCell ref="B44:B50"/>
    <mergeCell ref="C44:C51"/>
    <mergeCell ref="A63:A64"/>
    <mergeCell ref="B63:B64"/>
    <mergeCell ref="A71:A72"/>
    <mergeCell ref="B71:B72"/>
    <mergeCell ref="C71:C72"/>
    <mergeCell ref="C63:C64"/>
    <mergeCell ref="A65:A66"/>
    <mergeCell ref="B65:B66"/>
    <mergeCell ref="C65:C66"/>
    <mergeCell ref="A67:A68"/>
  </mergeCells>
  <pageMargins left="0.7" right="0.7" top="0.75" bottom="0.75" header="0.3" footer="0.3"/>
  <pageSetup paperSize="9"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D2:O145"/>
  <sheetViews>
    <sheetView topLeftCell="B1" zoomScale="70" zoomScaleNormal="70" workbookViewId="0">
      <selection activeCell="J125" sqref="J125"/>
    </sheetView>
  </sheetViews>
  <sheetFormatPr baseColWidth="10" defaultColWidth="8.6640625" defaultRowHeight="18"/>
  <cols>
    <col min="1" max="4" width="8.6640625" style="289"/>
    <col min="5" max="5" width="60.83203125" style="289" customWidth="1"/>
    <col min="6" max="6" width="18.83203125" style="289" customWidth="1"/>
    <col min="7" max="7" width="20.1640625" style="289" customWidth="1"/>
    <col min="8" max="8" width="15.6640625" style="289" customWidth="1"/>
    <col min="9" max="9" width="14.83203125" style="289" customWidth="1"/>
    <col min="10" max="10" width="14.5" style="289" customWidth="1"/>
    <col min="11" max="11" width="8.6640625" style="289" customWidth="1"/>
    <col min="12" max="12" width="17.33203125" style="289" customWidth="1"/>
    <col min="13" max="14" width="12.1640625" style="289" customWidth="1"/>
    <col min="15" max="23" width="8.6640625" style="289"/>
    <col min="24" max="24" width="15.6640625" style="289" customWidth="1"/>
    <col min="25" max="16384" width="8.6640625" style="289"/>
  </cols>
  <sheetData>
    <row r="2" spans="5:15" ht="19" thickBot="1"/>
    <row r="3" spans="5:15" ht="54" customHeight="1" thickBot="1">
      <c r="E3" s="785" t="s">
        <v>5710</v>
      </c>
      <c r="F3" s="786"/>
      <c r="G3" s="786"/>
      <c r="H3" s="786"/>
      <c r="I3" s="786"/>
      <c r="J3" s="787"/>
    </row>
    <row r="4" spans="5:15" ht="48" customHeight="1" thickBot="1">
      <c r="E4" s="243" t="s">
        <v>5471</v>
      </c>
      <c r="F4" s="244">
        <v>2015</v>
      </c>
      <c r="G4" s="244">
        <v>2016</v>
      </c>
      <c r="H4" s="245">
        <v>2017</v>
      </c>
      <c r="I4" s="245">
        <v>2018</v>
      </c>
      <c r="J4" s="245">
        <v>2019</v>
      </c>
      <c r="M4" s="290"/>
      <c r="N4" s="290"/>
    </row>
    <row r="5" spans="5:15" ht="49" customHeight="1" thickBot="1">
      <c r="E5" s="248" t="s">
        <v>5472</v>
      </c>
      <c r="F5" s="253">
        <v>2394.98</v>
      </c>
      <c r="G5" s="253">
        <v>6995.6</v>
      </c>
      <c r="H5" s="254">
        <v>14501.733461</v>
      </c>
      <c r="I5" s="255">
        <v>19314.295638039996</v>
      </c>
      <c r="J5" s="255">
        <f>'свод субъектов ИБ+смежные'!O60</f>
        <v>24064.186236270001</v>
      </c>
      <c r="L5" s="291"/>
      <c r="M5" s="292"/>
      <c r="N5" s="293"/>
    </row>
    <row r="6" spans="5:15" ht="39" thickBot="1">
      <c r="E6" s="248" t="s">
        <v>5473</v>
      </c>
      <c r="F6" s="253">
        <v>1375.84</v>
      </c>
      <c r="G6" s="253">
        <v>5132.6000000000004</v>
      </c>
      <c r="H6" s="254">
        <v>7678.9611190000014</v>
      </c>
      <c r="I6" s="255">
        <v>10499.313935439999</v>
      </c>
      <c r="J6" s="255">
        <f>'свод субъектов ИБ+смежные'!O63</f>
        <v>13110.686485000002</v>
      </c>
      <c r="M6" s="294"/>
      <c r="N6" s="294"/>
    </row>
    <row r="7" spans="5:15" ht="63.5" customHeight="1" thickBot="1">
      <c r="E7" s="243" t="s">
        <v>5474</v>
      </c>
      <c r="F7" s="250">
        <v>1019.1399999999999</v>
      </c>
      <c r="G7" s="250">
        <v>1863.0000000000002</v>
      </c>
      <c r="H7" s="250">
        <v>6822.7723420000011</v>
      </c>
      <c r="I7" s="250">
        <v>8814.9845745499988</v>
      </c>
      <c r="J7" s="250">
        <f>SUM(J8:J12)</f>
        <v>10953.608815630001</v>
      </c>
      <c r="K7" s="295"/>
      <c r="L7" s="295"/>
      <c r="M7" s="788"/>
      <c r="N7" s="788"/>
      <c r="O7" s="295"/>
    </row>
    <row r="8" spans="5:15" ht="82" customHeight="1" thickBot="1">
      <c r="E8" s="248" t="s">
        <v>5475</v>
      </c>
      <c r="F8" s="253" t="s">
        <v>5476</v>
      </c>
      <c r="G8" s="253">
        <v>22.3</v>
      </c>
      <c r="H8" s="254">
        <v>3782.6800000000007</v>
      </c>
      <c r="I8" s="255">
        <v>3907.3331850799996</v>
      </c>
      <c r="J8" s="255">
        <f>'свод субъектов ИБ+смежные'!O76</f>
        <v>4835.6631719199995</v>
      </c>
      <c r="L8" s="295"/>
    </row>
    <row r="9" spans="5:15" ht="39" thickBot="1">
      <c r="E9" s="248" t="s">
        <v>5477</v>
      </c>
      <c r="F9" s="253">
        <v>614.91</v>
      </c>
      <c r="G9" s="253">
        <v>1137</v>
      </c>
      <c r="H9" s="254">
        <v>1910.853108</v>
      </c>
      <c r="I9" s="255">
        <v>2964.5685994099999</v>
      </c>
      <c r="J9" s="255">
        <f>'свод субъектов ИБ+смежные'!O65</f>
        <v>3937.5416459700004</v>
      </c>
    </row>
    <row r="10" spans="5:15" ht="63" customHeight="1" thickBot="1">
      <c r="E10" s="248" t="s">
        <v>5478</v>
      </c>
      <c r="F10" s="253">
        <v>205.45</v>
      </c>
      <c r="G10" s="253">
        <v>478.1</v>
      </c>
      <c r="H10" s="254">
        <v>776.5529130000001</v>
      </c>
      <c r="I10" s="255">
        <v>1123.1145690999999</v>
      </c>
      <c r="J10" s="255">
        <f>'свод субъектов ИБ+смежные'!O67</f>
        <v>1267.2471590900002</v>
      </c>
    </row>
    <row r="11" spans="5:15" ht="46" customHeight="1" thickBot="1">
      <c r="E11" s="248" t="s">
        <v>5479</v>
      </c>
      <c r="F11" s="253">
        <v>182.07</v>
      </c>
      <c r="G11" s="253">
        <v>218.9</v>
      </c>
      <c r="H11" s="254">
        <v>344.49962099999993</v>
      </c>
      <c r="I11" s="255">
        <v>714.58004827000002</v>
      </c>
      <c r="J11" s="255">
        <f>'свод субъектов ИБ+смежные'!O69</f>
        <v>811.29691905000004</v>
      </c>
    </row>
    <row r="12" spans="5:15" ht="20" thickBot="1">
      <c r="E12" s="248" t="s">
        <v>5480</v>
      </c>
      <c r="F12" s="253">
        <v>16.71</v>
      </c>
      <c r="G12" s="253">
        <v>6.7</v>
      </c>
      <c r="H12" s="254">
        <v>8.1867000000000001</v>
      </c>
      <c r="I12" s="255">
        <v>105.38817269000002</v>
      </c>
      <c r="J12" s="255">
        <f>'свод субъектов ИБ+смежные'!O71</f>
        <v>101.8599196</v>
      </c>
    </row>
    <row r="19" spans="5:10" ht="19" thickBot="1"/>
    <row r="20" spans="5:10" ht="41.5" customHeight="1" thickBot="1">
      <c r="E20" s="780" t="s">
        <v>5692</v>
      </c>
      <c r="F20" s="780"/>
      <c r="G20" s="780"/>
      <c r="H20" s="780"/>
      <c r="I20" s="780"/>
      <c r="J20" s="780"/>
    </row>
    <row r="21" spans="5:10" ht="20" thickBot="1">
      <c r="E21" s="256" t="s">
        <v>5471</v>
      </c>
      <c r="F21" s="257">
        <v>2015</v>
      </c>
      <c r="G21" s="257">
        <v>2016</v>
      </c>
      <c r="H21" s="258">
        <v>2017</v>
      </c>
      <c r="I21" s="258">
        <v>2018</v>
      </c>
      <c r="J21" s="258">
        <v>2019</v>
      </c>
    </row>
    <row r="22" spans="5:10" ht="20" thickBot="1">
      <c r="E22" s="259" t="s">
        <v>5472</v>
      </c>
      <c r="F22" s="260">
        <v>0.99999999999999989</v>
      </c>
      <c r="G22" s="260">
        <v>1</v>
      </c>
      <c r="H22" s="260">
        <v>1.0000000000000002</v>
      </c>
      <c r="I22" s="260">
        <v>1.0000001486955599</v>
      </c>
      <c r="J22" s="261">
        <v>1.0000001486955599</v>
      </c>
    </row>
    <row r="23" spans="5:10" ht="39" thickBot="1">
      <c r="E23" s="259" t="s">
        <v>5473</v>
      </c>
      <c r="F23" s="262">
        <v>0.57446826278298768</v>
      </c>
      <c r="G23" s="262">
        <v>0.73368974784150043</v>
      </c>
      <c r="H23" s="262">
        <v>0.52952022181701863</v>
      </c>
      <c r="I23" s="262">
        <v>0.54360325285491307</v>
      </c>
      <c r="J23" s="263">
        <f>'свод субъектов ИБ+смежные'!O64</f>
        <v>0.54482151842888105</v>
      </c>
    </row>
    <row r="24" spans="5:10" ht="39" thickBot="1">
      <c r="E24" s="259" t="s">
        <v>5474</v>
      </c>
      <c r="F24" s="262">
        <v>0.42553173721701221</v>
      </c>
      <c r="G24" s="262">
        <v>0.26631025215849963</v>
      </c>
      <c r="H24" s="262">
        <v>0.47047977818298153</v>
      </c>
      <c r="I24" s="262">
        <v>0.4563968958406468</v>
      </c>
      <c r="J24" s="263">
        <f>SUM(J25:J29)</f>
        <v>0.45518301379834369</v>
      </c>
    </row>
    <row r="25" spans="5:10" ht="39" thickBot="1">
      <c r="E25" s="259" t="s">
        <v>5475</v>
      </c>
      <c r="F25" s="264" t="s">
        <v>5476</v>
      </c>
      <c r="G25" s="262">
        <v>3.1877179941677625E-3</v>
      </c>
      <c r="H25" s="262">
        <v>0.2608432991940508</v>
      </c>
      <c r="I25" s="262">
        <v>0.20230264972150513</v>
      </c>
      <c r="J25" s="263">
        <f>'свод субъектов ИБ+смежные'!O77</f>
        <v>0.20094854338484114</v>
      </c>
    </row>
    <row r="26" spans="5:10" ht="45.5" customHeight="1" thickBot="1">
      <c r="E26" s="259" t="s">
        <v>5477</v>
      </c>
      <c r="F26" s="263">
        <v>0.25674953444287635</v>
      </c>
      <c r="G26" s="263">
        <v>0.16253073360397963</v>
      </c>
      <c r="H26" s="263">
        <v>0.13176722032155133</v>
      </c>
      <c r="I26" s="263">
        <v>0.15349089891588938</v>
      </c>
      <c r="J26" s="263">
        <f>'свод субъектов ИБ+смежные'!O66</f>
        <v>0.16362662785726212</v>
      </c>
    </row>
    <row r="27" spans="5:10" ht="45.5" customHeight="1" thickBot="1">
      <c r="E27" s="259" t="s">
        <v>5478</v>
      </c>
      <c r="F27" s="263">
        <v>8.5783597357806746E-2</v>
      </c>
      <c r="G27" s="263">
        <v>6.8342958431013776E-2</v>
      </c>
      <c r="H27" s="263">
        <v>5.3548971582494602E-2</v>
      </c>
      <c r="I27" s="263">
        <v>5.8149393078979143E-2</v>
      </c>
      <c r="J27" s="263">
        <f>'свод субъектов ИБ+смежные'!O68</f>
        <v>5.2661126648861328E-2</v>
      </c>
    </row>
    <row r="28" spans="5:10" ht="68.5" customHeight="1" thickBot="1">
      <c r="E28" s="259" t="s">
        <v>5479</v>
      </c>
      <c r="F28" s="263">
        <v>7.6021511661892791E-2</v>
      </c>
      <c r="G28" s="263">
        <v>3.1291097261135568E-2</v>
      </c>
      <c r="H28" s="263">
        <v>2.3755754574201378E-2</v>
      </c>
      <c r="I28" s="263">
        <v>3.6997468696845275E-2</v>
      </c>
      <c r="J28" s="263">
        <f>'свод субъектов ИБ+смежные'!O70</f>
        <v>3.3713873017953866E-2</v>
      </c>
    </row>
    <row r="29" spans="5:10" ht="20" thickBot="1">
      <c r="E29" s="259" t="s">
        <v>5480</v>
      </c>
      <c r="F29" s="263">
        <v>6.9770937544363634E-3</v>
      </c>
      <c r="G29" s="263">
        <v>9.5774486820287034E-4</v>
      </c>
      <c r="H29" s="263">
        <v>5.6453251068341371E-4</v>
      </c>
      <c r="I29" s="263">
        <v>5.4564854274279278E-3</v>
      </c>
      <c r="J29" s="263">
        <f>'свод субъектов ИБ+смежные'!O72</f>
        <v>4.2328428894252311E-3</v>
      </c>
    </row>
    <row r="33" spans="5:10" ht="19" thickBot="1"/>
    <row r="34" spans="5:10" ht="34" customHeight="1" thickBot="1">
      <c r="E34" s="781" t="s">
        <v>5489</v>
      </c>
      <c r="F34" s="781"/>
      <c r="G34" s="781"/>
      <c r="H34" s="781"/>
      <c r="I34" s="781"/>
      <c r="J34" s="781"/>
    </row>
    <row r="35" spans="5:10" ht="20" thickBot="1">
      <c r="E35" s="243" t="s">
        <v>5471</v>
      </c>
      <c r="F35" s="244">
        <v>2015</v>
      </c>
      <c r="G35" s="244">
        <v>2016</v>
      </c>
      <c r="H35" s="245">
        <v>2017</v>
      </c>
      <c r="I35" s="245">
        <v>2018</v>
      </c>
      <c r="J35" s="245">
        <v>2019</v>
      </c>
    </row>
    <row r="36" spans="5:10" ht="20" thickBot="1">
      <c r="E36" s="243" t="s">
        <v>5472</v>
      </c>
      <c r="F36" s="250">
        <v>2394.98</v>
      </c>
      <c r="G36" s="250">
        <v>6995.6</v>
      </c>
      <c r="H36" s="251">
        <v>14501.733461</v>
      </c>
      <c r="I36" s="252">
        <v>19314.295638039996</v>
      </c>
      <c r="J36" s="252">
        <f>'свод субъектов ИБ+смежные'!O60</f>
        <v>24064.186236270001</v>
      </c>
    </row>
    <row r="37" spans="5:10" ht="39" thickBot="1">
      <c r="E37" s="243" t="s">
        <v>5481</v>
      </c>
      <c r="F37" s="252">
        <v>1990.75</v>
      </c>
      <c r="G37" s="252">
        <v>6291.9000000000005</v>
      </c>
      <c r="H37" s="252">
        <v>13372.494227000001</v>
      </c>
      <c r="I37" s="252">
        <v>17371.215719929998</v>
      </c>
      <c r="J37" s="252">
        <f>SUM(J38:J40)</f>
        <v>21883.891302889999</v>
      </c>
    </row>
    <row r="38" spans="5:10" ht="39" thickBot="1">
      <c r="E38" s="248" t="s">
        <v>5482</v>
      </c>
      <c r="F38" s="253" t="s">
        <v>5476</v>
      </c>
      <c r="G38" s="253">
        <v>22.3</v>
      </c>
      <c r="H38" s="254">
        <v>3782.6800000000007</v>
      </c>
      <c r="I38" s="255">
        <v>3907.3331850799996</v>
      </c>
      <c r="J38" s="255">
        <f>'свод субъектов ИБ+смежные'!O76</f>
        <v>4835.6631719199995</v>
      </c>
    </row>
    <row r="39" spans="5:10" ht="39" thickBot="1">
      <c r="E39" s="248" t="s">
        <v>5483</v>
      </c>
      <c r="F39" s="253">
        <v>1375.84</v>
      </c>
      <c r="G39" s="253">
        <v>5132.6000000000004</v>
      </c>
      <c r="H39" s="254">
        <v>7678.9611190000014</v>
      </c>
      <c r="I39" s="255">
        <v>10499.313935439999</v>
      </c>
      <c r="J39" s="255">
        <f>'свод субъектов ИБ+смежные'!O63</f>
        <v>13110.686485000002</v>
      </c>
    </row>
    <row r="40" spans="5:10" ht="39" thickBot="1">
      <c r="E40" s="248" t="s">
        <v>5484</v>
      </c>
      <c r="F40" s="253">
        <v>614.91</v>
      </c>
      <c r="G40" s="253">
        <v>1137</v>
      </c>
      <c r="H40" s="254">
        <v>1910.853108</v>
      </c>
      <c r="I40" s="255">
        <v>2964.5685994099999</v>
      </c>
      <c r="J40" s="255">
        <f>'свод субъектов ИБ+смежные'!O65</f>
        <v>3937.5416459700004</v>
      </c>
    </row>
    <row r="41" spans="5:10" ht="39" thickBot="1">
      <c r="E41" s="243" t="s">
        <v>5485</v>
      </c>
      <c r="F41" s="252">
        <v>404.22999999999996</v>
      </c>
      <c r="G41" s="252">
        <v>703.7</v>
      </c>
      <c r="H41" s="252">
        <v>1129.2392339999999</v>
      </c>
      <c r="I41" s="252">
        <v>1943.0827900599998</v>
      </c>
      <c r="J41" s="252">
        <f>SUM(J42:J44)</f>
        <v>2180.4039977400002</v>
      </c>
    </row>
    <row r="42" spans="5:10" ht="55.5" customHeight="1" thickBot="1">
      <c r="E42" s="248" t="s">
        <v>5486</v>
      </c>
      <c r="F42" s="253">
        <v>205.45</v>
      </c>
      <c r="G42" s="253">
        <v>478.1</v>
      </c>
      <c r="H42" s="254">
        <v>776.5529130000001</v>
      </c>
      <c r="I42" s="255">
        <v>1123.1145690999999</v>
      </c>
      <c r="J42" s="255">
        <f>'свод субъектов ИБ+смежные'!O67</f>
        <v>1267.2471590900002</v>
      </c>
    </row>
    <row r="43" spans="5:10" ht="57.5" customHeight="1" thickBot="1">
      <c r="E43" s="248" t="s">
        <v>5487</v>
      </c>
      <c r="F43" s="253">
        <v>182.07</v>
      </c>
      <c r="G43" s="253">
        <v>218.9</v>
      </c>
      <c r="H43" s="254">
        <v>344.49962099999993</v>
      </c>
      <c r="I43" s="255">
        <v>714.58004827000002</v>
      </c>
      <c r="J43" s="255">
        <f>'свод субъектов ИБ+смежные'!O69</f>
        <v>811.29691905000004</v>
      </c>
    </row>
    <row r="44" spans="5:10" ht="20" thickBot="1">
      <c r="E44" s="248" t="s">
        <v>5488</v>
      </c>
      <c r="F44" s="253">
        <v>16.71</v>
      </c>
      <c r="G44" s="253">
        <v>6.7</v>
      </c>
      <c r="H44" s="254">
        <v>8.1867000000000001</v>
      </c>
      <c r="I44" s="255">
        <v>105.38817269000002</v>
      </c>
      <c r="J44" s="255">
        <f>'свод субъектов ИБ+смежные'!O71</f>
        <v>101.8599196</v>
      </c>
    </row>
    <row r="47" spans="5:10" ht="19" thickBot="1"/>
    <row r="48" spans="5:10" ht="14" customHeight="1" thickBot="1">
      <c r="E48" s="781" t="s">
        <v>5691</v>
      </c>
      <c r="F48" s="781"/>
      <c r="G48" s="781"/>
      <c r="H48" s="781"/>
      <c r="I48" s="781"/>
      <c r="J48" s="781"/>
    </row>
    <row r="49" spans="4:13" ht="20" thickBot="1">
      <c r="E49" s="243" t="s">
        <v>5471</v>
      </c>
      <c r="F49" s="244">
        <v>2015</v>
      </c>
      <c r="G49" s="244">
        <v>2016</v>
      </c>
      <c r="H49" s="245">
        <v>2017</v>
      </c>
      <c r="I49" s="245">
        <v>2018</v>
      </c>
      <c r="J49" s="245">
        <v>2019</v>
      </c>
    </row>
    <row r="50" spans="4:13" ht="20" thickBot="1">
      <c r="E50" s="243" t="s">
        <v>5472</v>
      </c>
      <c r="F50" s="246">
        <v>1</v>
      </c>
      <c r="G50" s="246">
        <v>1</v>
      </c>
      <c r="H50" s="246">
        <v>1.0000000000000002</v>
      </c>
      <c r="I50" s="246">
        <v>1.0000001486955599</v>
      </c>
      <c r="J50" s="246">
        <v>1.0000001486955599</v>
      </c>
    </row>
    <row r="51" spans="4:13" ht="39" thickBot="1">
      <c r="E51" s="243" t="s">
        <v>5481</v>
      </c>
      <c r="F51" s="247">
        <v>0.83121779722586409</v>
      </c>
      <c r="G51" s="247">
        <v>0.89940819943964778</v>
      </c>
      <c r="H51" s="247">
        <v>0.92213074133262074</v>
      </c>
      <c r="I51" s="247">
        <v>0.89939680149230761</v>
      </c>
      <c r="J51" s="247">
        <f>SUM(J52:J54)</f>
        <v>0.9093966896709843</v>
      </c>
    </row>
    <row r="52" spans="4:13" ht="39" thickBot="1">
      <c r="E52" s="248" t="s">
        <v>5482</v>
      </c>
      <c r="F52" s="249" t="s">
        <v>5476</v>
      </c>
      <c r="G52" s="249">
        <v>3.1877179941677625E-3</v>
      </c>
      <c r="H52" s="249">
        <v>0.2608432991940508</v>
      </c>
      <c r="I52" s="249">
        <v>0.20230264972150513</v>
      </c>
      <c r="J52" s="249">
        <f>'свод субъектов ИБ+смежные'!O77</f>
        <v>0.20094854338484114</v>
      </c>
    </row>
    <row r="53" spans="4:13" ht="39" thickBot="1">
      <c r="E53" s="248" t="s">
        <v>5483</v>
      </c>
      <c r="F53" s="249">
        <v>0.57446826278298768</v>
      </c>
      <c r="G53" s="249">
        <v>0.73368974784150043</v>
      </c>
      <c r="H53" s="249">
        <v>0.52952022181701863</v>
      </c>
      <c r="I53" s="249">
        <v>0.54360325285491307</v>
      </c>
      <c r="J53" s="249">
        <f>'свод субъектов ИБ+смежные'!O64</f>
        <v>0.54482151842888105</v>
      </c>
    </row>
    <row r="54" spans="4:13" ht="39" thickBot="1">
      <c r="E54" s="248" t="s">
        <v>5484</v>
      </c>
      <c r="F54" s="249">
        <v>0.25674953444287635</v>
      </c>
      <c r="G54" s="249">
        <v>0.16253073360397963</v>
      </c>
      <c r="H54" s="249">
        <v>0.13176722032155133</v>
      </c>
      <c r="I54" s="249">
        <v>0.15349089891588938</v>
      </c>
      <c r="J54" s="249">
        <f>'свод субъектов ИБ+смежные'!O66</f>
        <v>0.16362662785726212</v>
      </c>
    </row>
    <row r="55" spans="4:13" ht="39" thickBot="1">
      <c r="E55" s="243" t="s">
        <v>5485</v>
      </c>
      <c r="F55" s="247">
        <v>0.16878220277413589</v>
      </c>
      <c r="G55" s="247">
        <v>0.1005918005603522</v>
      </c>
      <c r="H55" s="247">
        <v>7.7869258667379398E-2</v>
      </c>
      <c r="I55" s="247">
        <v>0.10060334720325234</v>
      </c>
      <c r="J55" s="247">
        <f>SUM(J56:J58)</f>
        <v>9.0607842556240423E-2</v>
      </c>
    </row>
    <row r="56" spans="4:13" ht="39" thickBot="1">
      <c r="E56" s="248" t="s">
        <v>5486</v>
      </c>
      <c r="F56" s="249">
        <v>8.5783597357806746E-2</v>
      </c>
      <c r="G56" s="249">
        <v>6.8342958431013776E-2</v>
      </c>
      <c r="H56" s="249">
        <v>5.3548971582494602E-2</v>
      </c>
      <c r="I56" s="249">
        <v>5.8149393078979143E-2</v>
      </c>
      <c r="J56" s="249">
        <f>'свод субъектов ИБ+смежные'!O68</f>
        <v>5.2661126648861328E-2</v>
      </c>
    </row>
    <row r="57" spans="4:13" ht="39" thickBot="1">
      <c r="E57" s="248" t="s">
        <v>5487</v>
      </c>
      <c r="F57" s="249">
        <v>7.6021511661892791E-2</v>
      </c>
      <c r="G57" s="249">
        <v>3.1291097261135568E-2</v>
      </c>
      <c r="H57" s="249">
        <v>2.3755754574201378E-2</v>
      </c>
      <c r="I57" s="249">
        <v>3.6997468696845275E-2</v>
      </c>
      <c r="J57" s="249">
        <f>'свод субъектов ИБ+смежные'!O70</f>
        <v>3.3713873017953866E-2</v>
      </c>
    </row>
    <row r="58" spans="4:13" ht="20" thickBot="1">
      <c r="E58" s="248" t="s">
        <v>5488</v>
      </c>
      <c r="F58" s="249">
        <v>6.9770937544363634E-3</v>
      </c>
      <c r="G58" s="249">
        <v>9.5774486820287034E-4</v>
      </c>
      <c r="H58" s="249">
        <v>5.6453251068341371E-4</v>
      </c>
      <c r="I58" s="249">
        <v>5.4564854274279278E-3</v>
      </c>
      <c r="J58" s="249">
        <f>'свод субъектов ИБ+смежные'!O72</f>
        <v>4.2328428894252311E-3</v>
      </c>
    </row>
    <row r="61" spans="4:13" ht="19" thickBot="1"/>
    <row r="62" spans="4:13" ht="74" customHeight="1" thickBot="1">
      <c r="D62" s="780" t="s">
        <v>5711</v>
      </c>
      <c r="E62" s="780"/>
      <c r="F62" s="780"/>
      <c r="G62" s="780"/>
      <c r="H62" s="780"/>
      <c r="I62" s="780"/>
      <c r="J62" s="780"/>
      <c r="K62" s="780"/>
      <c r="L62" s="780"/>
      <c r="M62" s="780"/>
    </row>
    <row r="63" spans="4:13" ht="20" thickBot="1">
      <c r="D63" s="296" t="s">
        <v>4941</v>
      </c>
      <c r="E63" s="296" t="s">
        <v>5490</v>
      </c>
      <c r="F63" s="792" t="s">
        <v>5491</v>
      </c>
      <c r="G63" s="792"/>
      <c r="H63" s="779" t="s">
        <v>5492</v>
      </c>
      <c r="I63" s="779"/>
      <c r="J63" s="779" t="s">
        <v>5493</v>
      </c>
      <c r="K63" s="779"/>
      <c r="L63" s="779" t="s">
        <v>5505</v>
      </c>
      <c r="M63" s="779"/>
    </row>
    <row r="64" spans="4:13" ht="39" thickBot="1">
      <c r="D64" s="296"/>
      <c r="E64" s="296"/>
      <c r="F64" s="297" t="s">
        <v>5494</v>
      </c>
      <c r="G64" s="296" t="s">
        <v>5495</v>
      </c>
      <c r="H64" s="297" t="s">
        <v>5494</v>
      </c>
      <c r="I64" s="256" t="s">
        <v>5495</v>
      </c>
      <c r="J64" s="297" t="s">
        <v>5494</v>
      </c>
      <c r="K64" s="256" t="s">
        <v>5495</v>
      </c>
      <c r="L64" s="297" t="s">
        <v>5494</v>
      </c>
      <c r="M64" s="256" t="s">
        <v>5495</v>
      </c>
    </row>
    <row r="65" spans="4:13" ht="20" thickBot="1">
      <c r="D65" s="298">
        <v>1</v>
      </c>
      <c r="E65" s="299" t="s">
        <v>19</v>
      </c>
      <c r="F65" s="300">
        <v>1016</v>
      </c>
      <c r="G65" s="301">
        <v>0.10971922246220302</v>
      </c>
      <c r="H65" s="300">
        <v>1554</v>
      </c>
      <c r="I65" s="302">
        <v>9.7478359051561908E-2</v>
      </c>
      <c r="J65" s="300">
        <v>1605</v>
      </c>
      <c r="K65" s="301">
        <v>8.5105254785513548E-2</v>
      </c>
      <c r="L65" s="300">
        <f>'свод субъектов ИБ+смежные'!O86</f>
        <v>1551</v>
      </c>
      <c r="M65" s="303">
        <f>'свод субъектов ИБ+смежные'!O87</f>
        <v>7.1013231994872028E-2</v>
      </c>
    </row>
    <row r="66" spans="4:13" ht="39" thickBot="1">
      <c r="D66" s="298">
        <v>2</v>
      </c>
      <c r="E66" s="299" t="s">
        <v>20</v>
      </c>
      <c r="F66" s="300">
        <v>1344</v>
      </c>
      <c r="G66" s="301">
        <v>0.14514038876889848</v>
      </c>
      <c r="H66" s="300">
        <v>2079</v>
      </c>
      <c r="I66" s="302">
        <v>0.13041023710952201</v>
      </c>
      <c r="J66" s="300">
        <v>2853</v>
      </c>
      <c r="K66" s="301">
        <v>0.15128055570284746</v>
      </c>
      <c r="L66" s="300">
        <f>'свод субъектов ИБ+смежные'!O88</f>
        <v>3288</v>
      </c>
      <c r="M66" s="301">
        <f>L66/$L$85</f>
        <v>0.1505425575752026</v>
      </c>
    </row>
    <row r="67" spans="4:13" ht="20" thickBot="1">
      <c r="D67" s="298">
        <v>3</v>
      </c>
      <c r="E67" s="299" t="s">
        <v>21</v>
      </c>
      <c r="F67" s="300">
        <v>805</v>
      </c>
      <c r="G67" s="301">
        <v>8.6933045356371488E-2</v>
      </c>
      <c r="H67" s="300">
        <v>1145</v>
      </c>
      <c r="I67" s="302">
        <v>7.182285785974156E-2</v>
      </c>
      <c r="J67" s="300">
        <v>1576</v>
      </c>
      <c r="K67" s="301">
        <v>8.356752744047935E-2</v>
      </c>
      <c r="L67" s="300">
        <f>'свод субъектов ИБ+смежные'!O90</f>
        <v>1318</v>
      </c>
      <c r="M67" s="301">
        <f t="shared" ref="M67:M84" si="0">L67/$L$85</f>
        <v>6.0345222288356759E-2</v>
      </c>
    </row>
    <row r="68" spans="4:13" ht="20" thickBot="1">
      <c r="D68" s="298">
        <v>4</v>
      </c>
      <c r="E68" s="299" t="s">
        <v>22</v>
      </c>
      <c r="F68" s="300">
        <v>257</v>
      </c>
      <c r="G68" s="301">
        <v>2.775377969762419E-2</v>
      </c>
      <c r="H68" s="300">
        <v>436</v>
      </c>
      <c r="I68" s="302">
        <v>2.7349140634801154E-2</v>
      </c>
      <c r="J68" s="300">
        <v>503</v>
      </c>
      <c r="K68" s="301">
        <v>2.6671615674213903E-2</v>
      </c>
      <c r="L68" s="300">
        <f>'свод субъектов ИБ+смежные'!O92</f>
        <v>570</v>
      </c>
      <c r="M68" s="301">
        <f t="shared" si="0"/>
        <v>2.6097706148985853E-2</v>
      </c>
    </row>
    <row r="69" spans="4:13" ht="20" thickBot="1">
      <c r="D69" s="298">
        <v>5</v>
      </c>
      <c r="E69" s="299" t="s">
        <v>5496</v>
      </c>
      <c r="F69" s="300">
        <v>19</v>
      </c>
      <c r="G69" s="301">
        <v>2.0518358531317494E-3</v>
      </c>
      <c r="H69" s="300">
        <v>36</v>
      </c>
      <c r="I69" s="302">
        <v>2.2581859239744072E-3</v>
      </c>
      <c r="J69" s="300">
        <v>18</v>
      </c>
      <c r="K69" s="301">
        <v>9.5445145553846973E-4</v>
      </c>
      <c r="L69" s="300">
        <f>'свод субъектов ИБ+смежные'!O94</f>
        <v>15</v>
      </c>
      <c r="M69" s="301">
        <f t="shared" si="0"/>
        <v>6.8678174076278555E-4</v>
      </c>
    </row>
    <row r="70" spans="4:13" ht="20" thickBot="1">
      <c r="D70" s="298">
        <v>6</v>
      </c>
      <c r="E70" s="299" t="s">
        <v>23</v>
      </c>
      <c r="F70" s="300">
        <v>191</v>
      </c>
      <c r="G70" s="301">
        <v>2.0626349892008639E-2</v>
      </c>
      <c r="H70" s="300">
        <v>352</v>
      </c>
      <c r="I70" s="302">
        <v>2.2080040145527537E-2</v>
      </c>
      <c r="J70" s="300">
        <v>412</v>
      </c>
      <c r="K70" s="301">
        <v>2.1846333315658308E-2</v>
      </c>
      <c r="L70" s="300">
        <f>'свод субъектов ИБ+смежные'!O96</f>
        <v>625</v>
      </c>
      <c r="M70" s="301">
        <f t="shared" si="0"/>
        <v>2.8615905865116066E-2</v>
      </c>
    </row>
    <row r="71" spans="4:13" ht="20" thickBot="1">
      <c r="D71" s="298">
        <v>7</v>
      </c>
      <c r="E71" s="299" t="s">
        <v>24</v>
      </c>
      <c r="F71" s="300" t="s">
        <v>5497</v>
      </c>
      <c r="G71" s="304" t="s">
        <v>5497</v>
      </c>
      <c r="H71" s="300" t="s">
        <v>5497</v>
      </c>
      <c r="I71" s="300" t="s">
        <v>5497</v>
      </c>
      <c r="J71" s="300">
        <v>1051</v>
      </c>
      <c r="K71" s="301">
        <v>5.5729359987273984E-2</v>
      </c>
      <c r="L71" s="300">
        <f>'свод субъектов ИБ+смежные'!O98</f>
        <v>1573</v>
      </c>
      <c r="M71" s="301">
        <f t="shared" si="0"/>
        <v>7.202051188132412E-2</v>
      </c>
    </row>
    <row r="72" spans="4:13" ht="58" thickBot="1">
      <c r="D72" s="298">
        <v>8</v>
      </c>
      <c r="E72" s="299" t="s">
        <v>5712</v>
      </c>
      <c r="F72" s="300">
        <v>1082</v>
      </c>
      <c r="G72" s="301">
        <v>0.11684665226781857</v>
      </c>
      <c r="H72" s="300">
        <v>1618</v>
      </c>
      <c r="I72" s="302">
        <v>0.1014929118052942</v>
      </c>
      <c r="J72" s="300">
        <v>1451</v>
      </c>
      <c r="K72" s="301">
        <v>7.6939392332573311E-2</v>
      </c>
      <c r="L72" s="305">
        <f>'свод субъектов ИБ+смежные'!O100</f>
        <v>1477</v>
      </c>
      <c r="M72" s="301">
        <f t="shared" si="0"/>
        <v>6.7625108740442294E-2</v>
      </c>
    </row>
    <row r="73" spans="4:13" ht="20" thickBot="1">
      <c r="D73" s="298">
        <v>9</v>
      </c>
      <c r="E73" s="299" t="s">
        <v>26</v>
      </c>
      <c r="F73" s="300">
        <v>425</v>
      </c>
      <c r="G73" s="301">
        <v>4.5896328293736501E-2</v>
      </c>
      <c r="H73" s="300">
        <v>733</v>
      </c>
      <c r="I73" s="302">
        <v>4.5979174507590016E-2</v>
      </c>
      <c r="J73" s="300">
        <v>1007</v>
      </c>
      <c r="K73" s="301">
        <v>5.3396256429291057E-2</v>
      </c>
      <c r="L73" s="305">
        <f>'свод субъектов ИБ+смежные'!O102</f>
        <v>1453</v>
      </c>
      <c r="M73" s="301">
        <f t="shared" si="0"/>
        <v>6.6526257955221824E-2</v>
      </c>
    </row>
    <row r="74" spans="4:13" ht="20" thickBot="1">
      <c r="D74" s="298">
        <v>10</v>
      </c>
      <c r="E74" s="299" t="s">
        <v>5166</v>
      </c>
      <c r="F74" s="300" t="s">
        <v>5497</v>
      </c>
      <c r="G74" s="304" t="s">
        <v>5497</v>
      </c>
      <c r="H74" s="300" t="s">
        <v>5497</v>
      </c>
      <c r="I74" s="300" t="s">
        <v>5497</v>
      </c>
      <c r="J74" s="300">
        <v>1578</v>
      </c>
      <c r="K74" s="301">
        <v>8.367357760220584E-2</v>
      </c>
      <c r="L74" s="305">
        <f>'свод субъектов ИБ+смежные'!O104</f>
        <v>2440</v>
      </c>
      <c r="M74" s="301">
        <f t="shared" si="0"/>
        <v>0.11171649649741312</v>
      </c>
    </row>
    <row r="75" spans="4:13" ht="20" thickBot="1">
      <c r="D75" s="298">
        <v>11</v>
      </c>
      <c r="E75" s="299" t="s">
        <v>28</v>
      </c>
      <c r="F75" s="300">
        <v>819</v>
      </c>
      <c r="G75" s="301">
        <v>8.8444924406047509E-2</v>
      </c>
      <c r="H75" s="300">
        <v>1295</v>
      </c>
      <c r="I75" s="302">
        <v>8.123196587630159E-2</v>
      </c>
      <c r="J75" s="300">
        <v>1475</v>
      </c>
      <c r="K75" s="301">
        <v>7.8211994273291272E-2</v>
      </c>
      <c r="L75" s="305">
        <f>'свод субъектов ИБ+смежные'!O106</f>
        <v>1756</v>
      </c>
      <c r="M75" s="301">
        <f t="shared" si="0"/>
        <v>8.0399249118630098E-2</v>
      </c>
    </row>
    <row r="76" spans="4:13" ht="39" thickBot="1">
      <c r="D76" s="298">
        <v>12</v>
      </c>
      <c r="E76" s="299" t="s">
        <v>5498</v>
      </c>
      <c r="F76" s="300">
        <v>1673</v>
      </c>
      <c r="G76" s="301">
        <v>0.18066954643628511</v>
      </c>
      <c r="H76" s="300">
        <v>2854</v>
      </c>
      <c r="I76" s="302">
        <v>0.17902396186174885</v>
      </c>
      <c r="J76" s="300">
        <v>1779</v>
      </c>
      <c r="K76" s="301">
        <v>9.4331618855718752E-2</v>
      </c>
      <c r="L76" s="305">
        <f>'свод субъектов ИБ+смежные'!O108</f>
        <v>2336</v>
      </c>
      <c r="M76" s="301">
        <f t="shared" si="0"/>
        <v>0.10695480976145781</v>
      </c>
    </row>
    <row r="77" spans="4:13" ht="20" thickBot="1">
      <c r="D77" s="298">
        <v>13</v>
      </c>
      <c r="E77" s="299" t="s">
        <v>5499</v>
      </c>
      <c r="F77" s="300">
        <v>341</v>
      </c>
      <c r="G77" s="301">
        <v>3.6825053995680347E-2</v>
      </c>
      <c r="H77" s="300">
        <v>603</v>
      </c>
      <c r="I77" s="302">
        <v>3.7824614226571324E-2</v>
      </c>
      <c r="J77" s="300">
        <v>919</v>
      </c>
      <c r="K77" s="301">
        <v>4.8730049313325204E-2</v>
      </c>
      <c r="L77" s="305">
        <f>'свод субъектов ИБ+смежные'!O110</f>
        <v>1072</v>
      </c>
      <c r="M77" s="301">
        <f t="shared" si="0"/>
        <v>4.908200173984708E-2</v>
      </c>
    </row>
    <row r="78" spans="4:13" ht="39" thickBot="1">
      <c r="D78" s="298">
        <v>14</v>
      </c>
      <c r="E78" s="299" t="s">
        <v>5500</v>
      </c>
      <c r="F78" s="300">
        <v>491</v>
      </c>
      <c r="G78" s="301">
        <v>5.3023758099352052E-2</v>
      </c>
      <c r="H78" s="300">
        <v>476</v>
      </c>
      <c r="I78" s="302">
        <v>2.9858236105883829E-2</v>
      </c>
      <c r="J78" s="300">
        <v>579</v>
      </c>
      <c r="K78" s="301">
        <v>3.0701521819820776E-2</v>
      </c>
      <c r="L78" s="305">
        <f>'свод субъектов ИБ+смежные'!O112</f>
        <v>756</v>
      </c>
      <c r="M78" s="301">
        <f t="shared" si="0"/>
        <v>3.4613799734444395E-2</v>
      </c>
    </row>
    <row r="79" spans="4:13" ht="20" thickBot="1">
      <c r="D79" s="298">
        <v>15</v>
      </c>
      <c r="E79" s="299" t="s">
        <v>33</v>
      </c>
      <c r="F79" s="300">
        <v>425</v>
      </c>
      <c r="G79" s="301">
        <v>4.5896328293736501E-2</v>
      </c>
      <c r="H79" s="300">
        <v>594</v>
      </c>
      <c r="I79" s="302">
        <v>3.7260067745577719E-2</v>
      </c>
      <c r="J79" s="300">
        <v>561</v>
      </c>
      <c r="K79" s="301">
        <v>2.9747070364282306E-2</v>
      </c>
      <c r="L79" s="305">
        <f>'свод субъектов ИБ+смежные'!O114</f>
        <v>96</v>
      </c>
      <c r="M79" s="301">
        <f t="shared" si="0"/>
        <v>4.3954031408818279E-3</v>
      </c>
    </row>
    <row r="80" spans="4:13" ht="39" thickBot="1">
      <c r="D80" s="298">
        <v>16</v>
      </c>
      <c r="E80" s="299" t="s">
        <v>5501</v>
      </c>
      <c r="F80" s="300" t="s">
        <v>5497</v>
      </c>
      <c r="G80" s="304" t="s">
        <v>5497</v>
      </c>
      <c r="H80" s="300">
        <v>213</v>
      </c>
      <c r="I80" s="302">
        <v>1.3360933383515242E-2</v>
      </c>
      <c r="J80" s="300">
        <v>359</v>
      </c>
      <c r="K80" s="301">
        <v>1.9036004029906146E-2</v>
      </c>
      <c r="L80" s="305">
        <f>'свод субъектов ИБ+смежные'!O116</f>
        <v>198</v>
      </c>
      <c r="M80" s="301">
        <f t="shared" si="0"/>
        <v>9.0655189780687699E-3</v>
      </c>
    </row>
    <row r="81" spans="4:13" ht="39" thickBot="1">
      <c r="D81" s="298">
        <v>17</v>
      </c>
      <c r="E81" s="299" t="s">
        <v>5502</v>
      </c>
      <c r="F81" s="300" t="s">
        <v>5497</v>
      </c>
      <c r="G81" s="304" t="s">
        <v>5497</v>
      </c>
      <c r="H81" s="300">
        <v>40</v>
      </c>
      <c r="I81" s="302">
        <v>2.5090954710826749E-3</v>
      </c>
      <c r="J81" s="300">
        <v>41</v>
      </c>
      <c r="K81" s="301">
        <v>2.1740283153931809E-3</v>
      </c>
      <c r="L81" s="305">
        <f>'свод субъектов ИБ+смежные'!O118</f>
        <v>58</v>
      </c>
      <c r="M81" s="301">
        <f t="shared" si="0"/>
        <v>2.6555560642827708E-3</v>
      </c>
    </row>
    <row r="82" spans="4:13" ht="20" thickBot="1">
      <c r="D82" s="298">
        <v>18</v>
      </c>
      <c r="E82" s="299" t="s">
        <v>37</v>
      </c>
      <c r="F82" s="300" t="s">
        <v>5497</v>
      </c>
      <c r="G82" s="304" t="s">
        <v>5497</v>
      </c>
      <c r="H82" s="300">
        <v>646</v>
      </c>
      <c r="I82" s="302">
        <v>4.0521891857985194E-2</v>
      </c>
      <c r="J82" s="300">
        <v>311</v>
      </c>
      <c r="K82" s="301">
        <v>1.6490800148470226E-2</v>
      </c>
      <c r="L82" s="305">
        <f>'свод субъектов ИБ+смежные'!O120</f>
        <v>417</v>
      </c>
      <c r="M82" s="301">
        <f t="shared" si="0"/>
        <v>1.9092532393205439E-2</v>
      </c>
    </row>
    <row r="83" spans="4:13" ht="39" thickBot="1">
      <c r="D83" s="298">
        <v>19</v>
      </c>
      <c r="E83" s="299" t="s">
        <v>39</v>
      </c>
      <c r="F83" s="300" t="s">
        <v>5497</v>
      </c>
      <c r="G83" s="304" t="s">
        <v>5497</v>
      </c>
      <c r="H83" s="300" t="s">
        <v>5497</v>
      </c>
      <c r="I83" s="300" t="s">
        <v>5497</v>
      </c>
      <c r="J83" s="300">
        <v>557</v>
      </c>
      <c r="K83" s="301">
        <v>2.9534970040829313E-2</v>
      </c>
      <c r="L83" s="305">
        <f>'свод субъектов ИБ+смежные'!O122</f>
        <v>110</v>
      </c>
      <c r="M83" s="301">
        <f t="shared" si="0"/>
        <v>5.0363994322604275E-3</v>
      </c>
    </row>
    <row r="84" spans="4:13" ht="20" thickBot="1">
      <c r="D84" s="298">
        <v>20</v>
      </c>
      <c r="E84" s="298" t="s">
        <v>5503</v>
      </c>
      <c r="F84" s="300">
        <v>372</v>
      </c>
      <c r="G84" s="301">
        <v>4.0172786177105832E-2</v>
      </c>
      <c r="H84" s="300">
        <v>1268</v>
      </c>
      <c r="I84" s="302">
        <v>7.9538326433320788E-2</v>
      </c>
      <c r="J84" s="300">
        <v>224</v>
      </c>
      <c r="K84" s="301">
        <v>1.1877618113367622E-2</v>
      </c>
      <c r="L84" s="305">
        <f>'свод субъектов ИБ+смежные'!O124</f>
        <v>732</v>
      </c>
      <c r="M84" s="301">
        <f t="shared" si="0"/>
        <v>3.3514948949223938E-2</v>
      </c>
    </row>
    <row r="85" spans="4:13" ht="20" thickBot="1">
      <c r="D85" s="306"/>
      <c r="E85" s="296" t="s">
        <v>5504</v>
      </c>
      <c r="F85" s="307">
        <v>9260</v>
      </c>
      <c r="G85" s="308">
        <v>0.99999999999999989</v>
      </c>
      <c r="H85" s="307">
        <v>15942</v>
      </c>
      <c r="I85" s="309">
        <v>1</v>
      </c>
      <c r="J85" s="307">
        <v>18859</v>
      </c>
      <c r="K85" s="309">
        <v>1</v>
      </c>
      <c r="L85" s="307">
        <f>'свод субъектов ИБ+смежные'!O126</f>
        <v>21841</v>
      </c>
      <c r="M85" s="309">
        <v>1</v>
      </c>
    </row>
    <row r="87" spans="4:13" ht="19" thickBot="1"/>
    <row r="88" spans="4:13" ht="36" customHeight="1" thickBot="1">
      <c r="E88" s="789" t="s">
        <v>5676</v>
      </c>
      <c r="F88" s="790"/>
      <c r="G88" s="790"/>
      <c r="H88" s="790"/>
      <c r="I88" s="790"/>
      <c r="J88" s="791"/>
    </row>
    <row r="89" spans="4:13" ht="20" thickBot="1">
      <c r="E89" s="236" t="s">
        <v>5471</v>
      </c>
      <c r="F89" s="235">
        <v>2015</v>
      </c>
      <c r="G89" s="235">
        <v>2016</v>
      </c>
      <c r="H89" s="235">
        <v>2017</v>
      </c>
      <c r="I89" s="235">
        <v>2018</v>
      </c>
      <c r="J89" s="235">
        <v>2019</v>
      </c>
    </row>
    <row r="90" spans="4:13" ht="20" thickBot="1">
      <c r="E90" s="236" t="s">
        <v>5670</v>
      </c>
      <c r="F90" s="235" t="s">
        <v>5497</v>
      </c>
      <c r="G90" s="235" t="s">
        <v>5497</v>
      </c>
      <c r="H90" s="235" t="s">
        <v>5497</v>
      </c>
      <c r="I90" s="235">
        <v>79285</v>
      </c>
      <c r="J90" s="235">
        <f>'свод субъектов ИБ+смежные'!O133</f>
        <v>152385</v>
      </c>
    </row>
    <row r="91" spans="4:13" ht="75" customHeight="1" thickBot="1">
      <c r="E91" s="236" t="s">
        <v>5671</v>
      </c>
      <c r="F91" s="235">
        <v>4237</v>
      </c>
      <c r="G91" s="235">
        <v>13531</v>
      </c>
      <c r="H91" s="235">
        <v>22253</v>
      </c>
      <c r="I91" s="235">
        <v>19154</v>
      </c>
      <c r="J91" s="235">
        <f>'свод субъектов ИБ+смежные'!O134</f>
        <v>24380</v>
      </c>
    </row>
    <row r="92" spans="4:13" ht="38" customHeight="1" thickBot="1">
      <c r="E92" s="236" t="s">
        <v>5672</v>
      </c>
      <c r="F92" s="235">
        <v>2657</v>
      </c>
      <c r="G92" s="235">
        <v>9461</v>
      </c>
      <c r="H92" s="235">
        <v>13964</v>
      </c>
      <c r="I92" s="235">
        <v>18725</v>
      </c>
      <c r="J92" s="235">
        <f>'свод субъектов ИБ+смежные'!O135</f>
        <v>20369</v>
      </c>
    </row>
    <row r="93" spans="4:13" ht="58.5" customHeight="1" thickBot="1">
      <c r="E93" s="236" t="s">
        <v>5673</v>
      </c>
      <c r="F93" s="235" t="s">
        <v>5476</v>
      </c>
      <c r="G93" s="235">
        <v>8732</v>
      </c>
      <c r="H93" s="235">
        <v>15942</v>
      </c>
      <c r="I93" s="235">
        <v>18859</v>
      </c>
      <c r="J93" s="235">
        <f>'свод субъектов ИБ+смежные'!O126</f>
        <v>21841</v>
      </c>
    </row>
    <row r="94" spans="4:13" ht="20" thickBot="1">
      <c r="E94" s="236" t="s">
        <v>5674</v>
      </c>
      <c r="F94" s="235" t="s">
        <v>5476</v>
      </c>
      <c r="G94" s="235">
        <v>729</v>
      </c>
      <c r="H94" s="235">
        <v>452</v>
      </c>
      <c r="I94" s="235" t="s">
        <v>5497</v>
      </c>
      <c r="J94" s="235" t="s">
        <v>5497</v>
      </c>
    </row>
    <row r="97" spans="5:10" ht="19" thickBot="1"/>
    <row r="98" spans="5:10" ht="34.5" customHeight="1" thickBot="1">
      <c r="E98" s="782" t="s">
        <v>5677</v>
      </c>
      <c r="F98" s="783"/>
      <c r="G98" s="783"/>
      <c r="H98" s="783"/>
      <c r="I98" s="783"/>
      <c r="J98" s="784"/>
    </row>
    <row r="99" spans="5:10" ht="20" thickBot="1">
      <c r="E99" s="236" t="s">
        <v>5471</v>
      </c>
      <c r="F99" s="236">
        <v>2015</v>
      </c>
      <c r="G99" s="236">
        <v>2016</v>
      </c>
      <c r="H99" s="236">
        <v>2017</v>
      </c>
      <c r="I99" s="236">
        <v>2018</v>
      </c>
      <c r="J99" s="235">
        <v>2019</v>
      </c>
    </row>
    <row r="100" spans="5:10" ht="39" thickBot="1">
      <c r="E100" s="236" t="s">
        <v>5675</v>
      </c>
      <c r="F100" s="236">
        <v>31</v>
      </c>
      <c r="G100" s="236">
        <v>40</v>
      </c>
      <c r="H100" s="236">
        <v>112</v>
      </c>
      <c r="I100" s="236">
        <v>193</v>
      </c>
      <c r="J100" s="235">
        <f>'свод субъектов ИБ+смежные'!O6</f>
        <v>249</v>
      </c>
    </row>
    <row r="101" spans="5:10" ht="58" thickBot="1">
      <c r="E101" s="236" t="s">
        <v>5506</v>
      </c>
      <c r="F101" s="236">
        <v>17</v>
      </c>
      <c r="G101" s="236">
        <v>18</v>
      </c>
      <c r="H101" s="236">
        <v>38</v>
      </c>
      <c r="I101" s="236">
        <v>107</v>
      </c>
      <c r="J101" s="235">
        <f>'свод субъектов ИБ+смежные'!O11</f>
        <v>180</v>
      </c>
    </row>
    <row r="102" spans="5:10" ht="58" thickBot="1">
      <c r="E102" s="236" t="s">
        <v>5507</v>
      </c>
      <c r="F102" s="236">
        <v>14</v>
      </c>
      <c r="G102" s="236">
        <v>22</v>
      </c>
      <c r="H102" s="236">
        <v>74</v>
      </c>
      <c r="I102" s="236">
        <v>86</v>
      </c>
      <c r="J102" s="235">
        <f>'свод субъектов ИБ+смежные'!O12</f>
        <v>69</v>
      </c>
    </row>
    <row r="105" spans="5:10" ht="19" thickBot="1"/>
    <row r="106" spans="5:10" ht="15" customHeight="1" thickBot="1">
      <c r="E106" s="782" t="s">
        <v>5690</v>
      </c>
      <c r="F106" s="783"/>
      <c r="G106" s="783"/>
      <c r="H106" s="783"/>
      <c r="I106" s="783"/>
      <c r="J106" s="784"/>
    </row>
    <row r="107" spans="5:10" ht="19" thickBot="1">
      <c r="E107" s="235"/>
      <c r="F107" s="235">
        <v>2015</v>
      </c>
      <c r="G107" s="235">
        <v>2016</v>
      </c>
      <c r="H107" s="235">
        <v>2017</v>
      </c>
      <c r="I107" s="235">
        <v>2018</v>
      </c>
      <c r="J107" s="235">
        <v>2019</v>
      </c>
    </row>
    <row r="108" spans="5:10" ht="58" thickBot="1">
      <c r="E108" s="236" t="s">
        <v>5678</v>
      </c>
      <c r="F108" s="237" t="s">
        <v>5497</v>
      </c>
      <c r="G108" s="238">
        <v>8732</v>
      </c>
      <c r="H108" s="238">
        <v>15942</v>
      </c>
      <c r="I108" s="238">
        <v>18859</v>
      </c>
      <c r="J108" s="237">
        <f>J93</f>
        <v>21841</v>
      </c>
    </row>
    <row r="109" spans="5:10" ht="58" thickBot="1">
      <c r="E109" s="236" t="s">
        <v>5679</v>
      </c>
      <c r="F109" s="237" t="s">
        <v>5497</v>
      </c>
      <c r="G109" s="239">
        <v>0.80114521300961983</v>
      </c>
      <c r="H109" s="239">
        <v>0.90965584374607955</v>
      </c>
      <c r="I109" s="239">
        <v>1.0241420880237551</v>
      </c>
      <c r="J109" s="239">
        <f>J5/J108</f>
        <v>1.1017895808923586</v>
      </c>
    </row>
    <row r="110" spans="5:10" ht="58" thickBot="1">
      <c r="E110" s="236" t="s">
        <v>5680</v>
      </c>
      <c r="F110" s="237" t="s">
        <v>5497</v>
      </c>
      <c r="G110" s="239">
        <v>0.72055657352267533</v>
      </c>
      <c r="H110" s="239">
        <v>0.83882161755112283</v>
      </c>
      <c r="I110" s="239">
        <v>0.92111011824221845</v>
      </c>
      <c r="J110" s="239">
        <f>J37/J108</f>
        <v>1.0019637975774918</v>
      </c>
    </row>
    <row r="111" spans="5:10" ht="39" thickBot="1">
      <c r="E111" s="236" t="s">
        <v>5681</v>
      </c>
      <c r="F111" s="237" t="s">
        <v>5497</v>
      </c>
      <c r="G111" s="239">
        <v>0.58779202931745311</v>
      </c>
      <c r="H111" s="239">
        <v>0.48168116415757128</v>
      </c>
      <c r="I111" s="239">
        <v>0.55672697043533592</v>
      </c>
      <c r="J111" s="239">
        <f>J39/J108</f>
        <v>0.60027867245089517</v>
      </c>
    </row>
    <row r="112" spans="5:10" ht="39" thickBot="1">
      <c r="E112" s="236" t="s">
        <v>5682</v>
      </c>
      <c r="F112" s="237" t="s">
        <v>5497</v>
      </c>
      <c r="G112" s="239">
        <v>0.13021071919377003</v>
      </c>
      <c r="H112" s="239">
        <v>0.11986282197967633</v>
      </c>
      <c r="I112" s="239">
        <v>0.15719648970836206</v>
      </c>
      <c r="J112" s="239">
        <f>J40/J108</f>
        <v>0.18028211372968272</v>
      </c>
    </row>
    <row r="113" spans="5:10" ht="39" thickBot="1">
      <c r="E113" s="236" t="s">
        <v>5210</v>
      </c>
      <c r="F113" s="237" t="s">
        <v>5497</v>
      </c>
      <c r="G113" s="239">
        <v>8.0588639486944572E-2</v>
      </c>
      <c r="H113" s="239">
        <v>7.0834226194956718E-2</v>
      </c>
      <c r="I113" s="239">
        <v>0.10303212206691764</v>
      </c>
      <c r="J113" s="239">
        <f>J41/J108</f>
        <v>9.9830776875600949E-2</v>
      </c>
    </row>
    <row r="114" spans="5:10" ht="39" thickBot="1">
      <c r="E114" s="236" t="s">
        <v>5683</v>
      </c>
      <c r="F114" s="237" t="s">
        <v>5684</v>
      </c>
      <c r="G114" s="239" t="s">
        <v>5684</v>
      </c>
      <c r="H114" s="239">
        <v>151.49940797452095</v>
      </c>
      <c r="I114" s="239">
        <v>161.83562221886461</v>
      </c>
      <c r="J114" s="239">
        <f>'свод субъектов ИБ+смежные'!O79</f>
        <v>196.03077949056186</v>
      </c>
    </row>
    <row r="115" spans="5:10" ht="19" thickBot="1">
      <c r="E115" s="240"/>
      <c r="F115" s="241"/>
      <c r="G115" s="241"/>
      <c r="H115" s="241"/>
      <c r="I115" s="241"/>
      <c r="J115" s="241"/>
    </row>
    <row r="116" spans="5:10" ht="20" thickBot="1">
      <c r="E116" s="236" t="s">
        <v>5685</v>
      </c>
      <c r="F116" s="237"/>
      <c r="G116" s="237"/>
      <c r="H116" s="239">
        <v>333.35210659223816</v>
      </c>
      <c r="I116" s="239">
        <v>343.51835528226104</v>
      </c>
      <c r="J116" s="239">
        <f>'свод субъектов ИБ+смежные'!O22</f>
        <v>409.04981680155589</v>
      </c>
    </row>
    <row r="117" spans="5:10" ht="39" thickBot="1">
      <c r="E117" s="236" t="s">
        <v>5686</v>
      </c>
      <c r="F117" s="237"/>
      <c r="G117" s="237"/>
      <c r="H117" s="239">
        <v>2.0175438596491229</v>
      </c>
      <c r="I117" s="239">
        <v>1.7882352941176471</v>
      </c>
      <c r="J117" s="239">
        <f>'свод субъектов ИБ+смежные'!O51</f>
        <v>1.8235294117647058</v>
      </c>
    </row>
    <row r="118" spans="5:10" ht="39" thickBot="1">
      <c r="E118" s="236" t="s">
        <v>5687</v>
      </c>
      <c r="F118" s="237"/>
      <c r="G118" s="237"/>
      <c r="H118" s="242">
        <v>0.62751089740709121</v>
      </c>
      <c r="I118" s="242">
        <v>0.9776025895374334</v>
      </c>
      <c r="J118" s="242">
        <f>'свод субъектов ИБ+смежные'!O137</f>
        <v>0.83547990155865459</v>
      </c>
    </row>
    <row r="119" spans="5:10" ht="39" thickBot="1">
      <c r="E119" s="236" t="s">
        <v>5688</v>
      </c>
      <c r="F119" s="281"/>
      <c r="G119" s="281"/>
      <c r="H119" s="282" t="s">
        <v>5708</v>
      </c>
      <c r="I119" s="282" t="s">
        <v>5708</v>
      </c>
      <c r="J119" s="281" t="s">
        <v>5708</v>
      </c>
    </row>
    <row r="120" spans="5:10" ht="19" thickBot="1">
      <c r="E120" s="236"/>
      <c r="F120" s="237"/>
      <c r="G120" s="237"/>
      <c r="H120" s="242"/>
      <c r="I120" s="242"/>
      <c r="J120" s="237"/>
    </row>
    <row r="121" spans="5:10" ht="39" thickBot="1">
      <c r="E121" s="236" t="s">
        <v>5689</v>
      </c>
      <c r="F121" s="237"/>
      <c r="G121" s="237"/>
      <c r="H121" s="242">
        <v>0.30423266850489755</v>
      </c>
      <c r="I121" s="242">
        <v>0.23273051478324078</v>
      </c>
      <c r="J121" s="242">
        <f>'свод субъектов ИБ+смежные'!O140</f>
        <v>0.34298511101524443</v>
      </c>
    </row>
    <row r="124" spans="5:10" ht="19" thickBot="1"/>
    <row r="125" spans="5:10" ht="58" customHeight="1" thickBot="1">
      <c r="E125" s="778" t="s">
        <v>5700</v>
      </c>
      <c r="F125" s="778"/>
      <c r="G125" s="778"/>
    </row>
    <row r="126" spans="5:10" ht="39" thickBot="1">
      <c r="E126" s="235" t="s">
        <v>5471</v>
      </c>
      <c r="F126" s="236" t="s">
        <v>5698</v>
      </c>
      <c r="G126" s="236" t="s">
        <v>5699</v>
      </c>
    </row>
    <row r="127" spans="5:10" ht="20" thickBot="1">
      <c r="E127" s="283" t="s">
        <v>5472</v>
      </c>
      <c r="F127" s="284">
        <f>'свод субъектов ИБ+смежные'!O61</f>
        <v>23130.056435779999</v>
      </c>
      <c r="G127" s="284">
        <f>'свод субъектов ИБ+смежные'!O62</f>
        <v>934.12980049000009</v>
      </c>
    </row>
    <row r="128" spans="5:10" ht="39" thickBot="1">
      <c r="E128" s="283" t="s">
        <v>5481</v>
      </c>
      <c r="F128" s="284">
        <f>SUM(F129:F131)</f>
        <v>21147.487815049997</v>
      </c>
      <c r="G128" s="284">
        <f>SUM(G129:G131)</f>
        <v>736.40348783999991</v>
      </c>
    </row>
    <row r="129" spans="5:7" ht="39" thickBot="1">
      <c r="E129" s="236" t="s">
        <v>5482</v>
      </c>
      <c r="F129" s="285">
        <f>'свод субъектов ИБ+смежные'!O162</f>
        <v>4835.6631719199995</v>
      </c>
      <c r="G129" s="285">
        <f>'свод субъектов ИБ+смежные'!O229</f>
        <v>0</v>
      </c>
    </row>
    <row r="130" spans="5:7" ht="39" thickBot="1">
      <c r="E130" s="236" t="s">
        <v>5483</v>
      </c>
      <c r="F130" s="285">
        <f>'свод субъектов ИБ+смежные'!O149</f>
        <v>13110.686485000002</v>
      </c>
      <c r="G130" s="285">
        <f>'свод субъектов ИБ+смежные'!O216</f>
        <v>0</v>
      </c>
    </row>
    <row r="131" spans="5:7" ht="39" thickBot="1">
      <c r="E131" s="236" t="s">
        <v>5484</v>
      </c>
      <c r="F131" s="285">
        <f>'свод субъектов ИБ+смежные'!O151</f>
        <v>3201.1381581299984</v>
      </c>
      <c r="G131" s="285">
        <f>'свод субъектов ИБ+смежные'!O218</f>
        <v>736.40348783999991</v>
      </c>
    </row>
    <row r="132" spans="5:7" ht="39" thickBot="1">
      <c r="E132" s="283" t="s">
        <v>5485</v>
      </c>
      <c r="F132" s="284">
        <f>SUM(F133:F135)</f>
        <v>1980.12854606</v>
      </c>
      <c r="G132" s="284">
        <f>SUM(G133:G135)</f>
        <v>200.27545168</v>
      </c>
    </row>
    <row r="133" spans="5:7" ht="39" thickBot="1">
      <c r="E133" s="236" t="s">
        <v>5486</v>
      </c>
      <c r="F133" s="285">
        <f>'свод субъектов ИБ+смежные'!O153</f>
        <v>1154.97429216</v>
      </c>
      <c r="G133" s="285">
        <f>'свод субъектов ИБ+смежные'!O220</f>
        <v>112.27286693000001</v>
      </c>
    </row>
    <row r="134" spans="5:7" ht="39" thickBot="1">
      <c r="E134" s="236" t="s">
        <v>5487</v>
      </c>
      <c r="F134" s="285">
        <f>'свод субъектов ИБ+смежные'!O155</f>
        <v>743.74485430000004</v>
      </c>
      <c r="G134" s="285">
        <f>'свод субъектов ИБ+смежные'!O222</f>
        <v>67.55206475</v>
      </c>
    </row>
    <row r="135" spans="5:7" ht="20" thickBot="1">
      <c r="E135" s="236" t="s">
        <v>5488</v>
      </c>
      <c r="F135" s="285">
        <f>'свод субъектов ИБ+смежные'!O157</f>
        <v>81.4093996</v>
      </c>
      <c r="G135" s="285">
        <f>'свод субъектов ИБ+смежные'!O224</f>
        <v>20.450519999999997</v>
      </c>
    </row>
    <row r="138" spans="5:7" ht="19" thickBot="1"/>
    <row r="139" spans="5:7" ht="35.5" customHeight="1" thickBot="1">
      <c r="E139" s="778" t="s">
        <v>5704</v>
      </c>
      <c r="F139" s="778"/>
      <c r="G139" s="778"/>
    </row>
    <row r="140" spans="5:7" ht="39" thickBot="1">
      <c r="E140" s="236"/>
      <c r="F140" s="236" t="s">
        <v>5698</v>
      </c>
      <c r="G140" s="236" t="s">
        <v>5699</v>
      </c>
    </row>
    <row r="141" spans="5:7" ht="39" thickBot="1">
      <c r="E141" s="236" t="s">
        <v>5701</v>
      </c>
      <c r="F141" s="235">
        <f>'свод субъектов ИБ+смежные'!O207</f>
        <v>20133</v>
      </c>
      <c r="G141" s="235">
        <f>'свод субъектов ИБ+смежные'!O274</f>
        <v>1708</v>
      </c>
    </row>
    <row r="142" spans="5:7" ht="58" thickBot="1">
      <c r="E142" s="236" t="s">
        <v>5702</v>
      </c>
      <c r="F142" s="285">
        <f>F127/F141</f>
        <v>1.1488628836129737</v>
      </c>
      <c r="G142" s="285">
        <f>G127/G141</f>
        <v>0.54691440309718975</v>
      </c>
    </row>
    <row r="143" spans="5:7" ht="39" thickBot="1">
      <c r="E143" s="236" t="s">
        <v>5207</v>
      </c>
      <c r="F143" s="285">
        <f>F130/F141</f>
        <v>0.65120381885461687</v>
      </c>
      <c r="G143" s="288" t="s">
        <v>5709</v>
      </c>
    </row>
    <row r="144" spans="5:7" ht="39" thickBot="1">
      <c r="E144" s="236" t="s">
        <v>5703</v>
      </c>
      <c r="F144" s="285">
        <f>F131/F141</f>
        <v>0.15899956082700037</v>
      </c>
      <c r="G144" s="285">
        <f>G131/G141</f>
        <v>0.43114958304449641</v>
      </c>
    </row>
    <row r="145" spans="5:7" ht="39" thickBot="1">
      <c r="E145" s="236" t="s">
        <v>5210</v>
      </c>
      <c r="F145" s="285">
        <f>F132/F141</f>
        <v>9.8352383949734265E-2</v>
      </c>
      <c r="G145" s="285">
        <f>G132/G141</f>
        <v>0.11725729021077283</v>
      </c>
    </row>
  </sheetData>
  <mergeCells count="15">
    <mergeCell ref="E3:J3"/>
    <mergeCell ref="M7:N7"/>
    <mergeCell ref="E34:J34"/>
    <mergeCell ref="E20:J20"/>
    <mergeCell ref="E88:J88"/>
    <mergeCell ref="J63:K63"/>
    <mergeCell ref="F63:G63"/>
    <mergeCell ref="H63:I63"/>
    <mergeCell ref="E125:G125"/>
    <mergeCell ref="E139:G139"/>
    <mergeCell ref="L63:M63"/>
    <mergeCell ref="D62:M62"/>
    <mergeCell ref="E48:J48"/>
    <mergeCell ref="E98:J98"/>
    <mergeCell ref="E106:J106"/>
  </mergeCells>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G102"/>
  <sheetViews>
    <sheetView topLeftCell="C39" zoomScale="70" zoomScaleNormal="70" workbookViewId="0">
      <selection activeCell="H19" sqref="H19"/>
    </sheetView>
  </sheetViews>
  <sheetFormatPr baseColWidth="10" defaultColWidth="8.83203125" defaultRowHeight="15"/>
  <cols>
    <col min="2" max="2" width="24.5" customWidth="1"/>
    <col min="4" max="4" width="25.6640625" style="188" customWidth="1"/>
    <col min="5" max="5" width="16.5" customWidth="1"/>
    <col min="6" max="6" width="18" customWidth="1"/>
    <col min="7" max="7" width="20.83203125" customWidth="1"/>
  </cols>
  <sheetData>
    <row r="2" spans="2:7">
      <c r="B2" s="187"/>
    </row>
    <row r="7" spans="2:7">
      <c r="E7" s="188"/>
    </row>
    <row r="8" spans="2:7">
      <c r="E8" s="198"/>
      <c r="F8" s="198"/>
      <c r="G8" s="198"/>
    </row>
    <row r="11" spans="2:7" ht="67" customHeight="1">
      <c r="D11" s="214" t="s">
        <v>5522</v>
      </c>
      <c r="E11" s="214" t="s">
        <v>5637</v>
      </c>
      <c r="F11" s="214" t="s">
        <v>5638</v>
      </c>
      <c r="G11" s="214" t="s">
        <v>5526</v>
      </c>
    </row>
    <row r="12" spans="2:7" ht="16">
      <c r="D12" s="215" t="s">
        <v>5654</v>
      </c>
      <c r="E12" s="217">
        <v>1.1000000000000001E-3</v>
      </c>
      <c r="F12" s="219">
        <v>90.1</v>
      </c>
      <c r="G12" s="216">
        <v>1</v>
      </c>
    </row>
    <row r="13" spans="2:7" ht="16">
      <c r="D13" s="215" t="s">
        <v>5655</v>
      </c>
      <c r="E13" s="217">
        <v>8.9999999999999998E-4</v>
      </c>
      <c r="F13" s="219">
        <v>60.94</v>
      </c>
      <c r="G13" s="216">
        <v>1</v>
      </c>
    </row>
    <row r="14" spans="2:7" ht="16">
      <c r="D14" s="215" t="s">
        <v>5656</v>
      </c>
      <c r="E14" s="217">
        <v>0</v>
      </c>
      <c r="F14" s="219">
        <v>0</v>
      </c>
      <c r="G14" s="216">
        <v>0</v>
      </c>
    </row>
    <row r="15" spans="2:7" ht="16">
      <c r="D15" s="215" t="s">
        <v>5657</v>
      </c>
      <c r="E15" s="217">
        <v>2.9999999999999997E-4</v>
      </c>
      <c r="F15" s="219">
        <v>23.65</v>
      </c>
      <c r="G15" s="216">
        <v>1</v>
      </c>
    </row>
    <row r="16" spans="2:7" ht="16">
      <c r="D16" s="215" t="s">
        <v>5658</v>
      </c>
      <c r="E16" s="217">
        <v>0</v>
      </c>
      <c r="F16" s="219">
        <v>0</v>
      </c>
      <c r="G16" s="218">
        <v>0</v>
      </c>
    </row>
    <row r="17" spans="4:7" ht="16">
      <c r="D17" s="215" t="s">
        <v>5659</v>
      </c>
      <c r="E17" s="217">
        <v>0</v>
      </c>
      <c r="F17" s="219">
        <v>0</v>
      </c>
      <c r="G17" s="216">
        <v>0</v>
      </c>
    </row>
    <row r="18" spans="4:7" ht="16">
      <c r="D18" s="215" t="s">
        <v>5660</v>
      </c>
      <c r="E18" s="217">
        <v>0</v>
      </c>
      <c r="F18" s="219">
        <v>0</v>
      </c>
      <c r="G18" s="216">
        <v>0</v>
      </c>
    </row>
    <row r="19" spans="4:7" ht="16">
      <c r="D19" s="215" t="s">
        <v>5661</v>
      </c>
      <c r="E19" s="217">
        <v>2.3E-3</v>
      </c>
      <c r="F19" s="219">
        <v>515.16</v>
      </c>
      <c r="G19" s="216">
        <v>1</v>
      </c>
    </row>
    <row r="20" spans="4:7" ht="16">
      <c r="D20" s="215" t="s">
        <v>5662</v>
      </c>
      <c r="E20" s="217">
        <v>4.4999999999999997E-3</v>
      </c>
      <c r="F20" s="219">
        <v>1666.23</v>
      </c>
      <c r="G20" s="216">
        <v>3</v>
      </c>
    </row>
    <row r="21" spans="4:7" ht="16">
      <c r="D21" s="215" t="s">
        <v>5663</v>
      </c>
      <c r="E21" s="217">
        <v>9.3000000000000005E-4</v>
      </c>
      <c r="F21" s="219">
        <v>91.08</v>
      </c>
      <c r="G21" s="216">
        <v>2</v>
      </c>
    </row>
    <row r="22" spans="4:7" ht="16">
      <c r="D22" s="215" t="s">
        <v>5664</v>
      </c>
      <c r="E22" s="217">
        <v>4.0000000000000002E-4</v>
      </c>
      <c r="F22" s="219">
        <v>426.84</v>
      </c>
      <c r="G22" s="216">
        <v>1</v>
      </c>
    </row>
    <row r="24" spans="4:7" ht="68" customHeight="1">
      <c r="D24" s="214" t="s">
        <v>5520</v>
      </c>
      <c r="E24" s="214" t="s">
        <v>5637</v>
      </c>
      <c r="F24" s="214" t="s">
        <v>5638</v>
      </c>
      <c r="G24" s="214" t="s">
        <v>5526</v>
      </c>
    </row>
    <row r="25" spans="4:7" ht="16">
      <c r="D25" s="188" t="s">
        <v>5639</v>
      </c>
      <c r="E25" s="198">
        <v>1.2500000000000001E-2</v>
      </c>
      <c r="F25" s="219">
        <v>667.38</v>
      </c>
      <c r="G25" t="s">
        <v>5653</v>
      </c>
    </row>
    <row r="26" spans="4:7" ht="16">
      <c r="D26" s="188" t="s">
        <v>5640</v>
      </c>
      <c r="E26" s="198">
        <v>4.4000000000000003E-3</v>
      </c>
      <c r="F26" s="219">
        <v>204.84</v>
      </c>
    </row>
    <row r="27" spans="4:7" ht="19" customHeight="1">
      <c r="D27" s="188" t="s">
        <v>5641</v>
      </c>
      <c r="E27" s="198">
        <v>6.9999999999999999E-4</v>
      </c>
      <c r="F27" s="219">
        <v>32.04</v>
      </c>
    </row>
    <row r="28" spans="4:7" s="104" customFormat="1" ht="18" customHeight="1">
      <c r="D28" s="188" t="s">
        <v>5642</v>
      </c>
      <c r="E28" s="198">
        <v>0</v>
      </c>
      <c r="F28" s="219">
        <v>0</v>
      </c>
    </row>
    <row r="29" spans="4:7" ht="15.5" customHeight="1">
      <c r="D29" s="188" t="s">
        <v>5643</v>
      </c>
      <c r="E29" s="198">
        <v>1.8709589236779644E-3</v>
      </c>
      <c r="F29" s="219">
        <v>113.47</v>
      </c>
    </row>
    <row r="30" spans="4:7" s="104" customFormat="1" ht="16">
      <c r="D30" s="188" t="s">
        <v>5644</v>
      </c>
      <c r="E30" s="198">
        <v>6.9999999999999999E-4</v>
      </c>
      <c r="F30" s="219">
        <v>35.72</v>
      </c>
    </row>
    <row r="31" spans="4:7" s="104" customFormat="1" ht="16">
      <c r="D31" s="188" t="s">
        <v>5645</v>
      </c>
      <c r="E31" s="198">
        <v>1E-4</v>
      </c>
      <c r="F31" s="219">
        <v>3.13</v>
      </c>
    </row>
    <row r="32" spans="4:7" s="104" customFormat="1" ht="16">
      <c r="D32" s="188" t="s">
        <v>5646</v>
      </c>
      <c r="E32" s="198">
        <v>9.1751418188019713E-4</v>
      </c>
      <c r="F32" s="219">
        <v>44.43</v>
      </c>
    </row>
    <row r="33" spans="4:6" s="104" customFormat="1" ht="16">
      <c r="D33" s="188" t="s">
        <v>5647</v>
      </c>
      <c r="E33" s="198">
        <v>8.9999999999999998E-4</v>
      </c>
      <c r="F33" s="219">
        <v>51.9</v>
      </c>
    </row>
    <row r="34" spans="4:6" s="104" customFormat="1" ht="16">
      <c r="D34" s="188" t="s">
        <v>5648</v>
      </c>
      <c r="E34" s="198">
        <v>7.2900000000000005E-4</v>
      </c>
      <c r="F34" s="219">
        <v>31.25</v>
      </c>
    </row>
    <row r="35" spans="4:6" s="104" customFormat="1" ht="16">
      <c r="D35" s="188" t="s">
        <v>5649</v>
      </c>
      <c r="E35" s="198">
        <v>3.8500000000000001E-3</v>
      </c>
      <c r="F35" s="219">
        <v>272.13</v>
      </c>
    </row>
    <row r="36" spans="4:6" s="104" customFormat="1" ht="16">
      <c r="D36" s="188" t="s">
        <v>5650</v>
      </c>
      <c r="E36" s="198">
        <v>5.5999999999999995E-4</v>
      </c>
      <c r="F36" s="219">
        <v>32.340000000000003</v>
      </c>
    </row>
    <row r="37" spans="4:6" s="104" customFormat="1" ht="16">
      <c r="D37" s="188" t="s">
        <v>5651</v>
      </c>
      <c r="E37" s="198">
        <v>1.8E-3</v>
      </c>
      <c r="F37" s="219">
        <v>91.56</v>
      </c>
    </row>
    <row r="38" spans="4:6" s="104" customFormat="1" ht="16">
      <c r="D38" s="188" t="s">
        <v>5652</v>
      </c>
      <c r="E38" s="198">
        <v>4.5841460080453386E-3</v>
      </c>
      <c r="F38" s="219">
        <v>215.89</v>
      </c>
    </row>
    <row r="39" spans="4:6" s="104" customFormat="1">
      <c r="D39" s="188"/>
      <c r="E39"/>
    </row>
    <row r="40" spans="4:6" s="104" customFormat="1">
      <c r="D40" s="188"/>
      <c r="E40" t="s">
        <v>5527</v>
      </c>
    </row>
    <row r="41" spans="4:6" s="104" customFormat="1">
      <c r="D41" s="104" t="s">
        <v>253</v>
      </c>
      <c r="E41" s="104">
        <v>1666.2303898621201</v>
      </c>
    </row>
    <row r="42" spans="4:6">
      <c r="D42" s="104" t="s">
        <v>213</v>
      </c>
      <c r="E42" s="104">
        <v>897.16444453709676</v>
      </c>
    </row>
    <row r="43" spans="4:6" s="104" customFormat="1">
      <c r="D43" s="104" t="s">
        <v>198</v>
      </c>
      <c r="E43" s="104">
        <v>667.37815416095327</v>
      </c>
    </row>
    <row r="44" spans="4:6" s="104" customFormat="1">
      <c r="D44" s="104" t="s">
        <v>252</v>
      </c>
      <c r="E44" s="104">
        <v>515.16086608459045</v>
      </c>
    </row>
    <row r="45" spans="4:6" s="104" customFormat="1">
      <c r="D45" s="104" t="s">
        <v>238</v>
      </c>
      <c r="E45" s="104">
        <v>468.85923624685807</v>
      </c>
    </row>
    <row r="46" spans="4:6">
      <c r="D46" s="104" t="s">
        <v>236</v>
      </c>
      <c r="E46" s="104">
        <v>443.05208096429391</v>
      </c>
    </row>
    <row r="47" spans="4:6">
      <c r="D47" s="104" t="s">
        <v>274</v>
      </c>
      <c r="E47" s="104">
        <v>426.837139969985</v>
      </c>
    </row>
    <row r="48" spans="4:6">
      <c r="D48" s="104" t="s">
        <v>263</v>
      </c>
      <c r="E48" s="104">
        <v>304.25026757724424</v>
      </c>
    </row>
    <row r="49" spans="4:5">
      <c r="D49" s="104" t="s">
        <v>260</v>
      </c>
      <c r="E49" s="104">
        <v>272.13428774612527</v>
      </c>
    </row>
    <row r="50" spans="4:5">
      <c r="D50" s="104" t="s">
        <v>211</v>
      </c>
      <c r="E50" s="104">
        <v>271.45791274758005</v>
      </c>
    </row>
    <row r="51" spans="4:5">
      <c r="D51" s="104" t="s">
        <v>228</v>
      </c>
      <c r="E51" s="104">
        <v>237.07186987851929</v>
      </c>
    </row>
    <row r="52" spans="4:5">
      <c r="D52" s="104" t="s">
        <v>273</v>
      </c>
      <c r="E52" s="104">
        <v>215.89194396793025</v>
      </c>
    </row>
    <row r="53" spans="4:5">
      <c r="D53" s="104" t="s">
        <v>220</v>
      </c>
      <c r="E53" s="104">
        <v>204.83643781243711</v>
      </c>
    </row>
    <row r="54" spans="4:5">
      <c r="D54" s="104" t="s">
        <v>270</v>
      </c>
      <c r="E54" s="104">
        <v>189.62267768008837</v>
      </c>
    </row>
    <row r="55" spans="4:5">
      <c r="D55" s="104" t="s">
        <v>222</v>
      </c>
      <c r="E55" s="104">
        <v>145.92980841221367</v>
      </c>
    </row>
    <row r="56" spans="4:5">
      <c r="D56" s="104" t="s">
        <v>258</v>
      </c>
      <c r="E56" s="104">
        <v>141.51563473420094</v>
      </c>
    </row>
    <row r="57" spans="4:5">
      <c r="D57" s="104" t="s">
        <v>276</v>
      </c>
      <c r="E57" s="104">
        <v>135.21676465040616</v>
      </c>
    </row>
    <row r="58" spans="4:5">
      <c r="D58" s="104" t="s">
        <v>248</v>
      </c>
      <c r="E58" s="104">
        <v>130.05671655756407</v>
      </c>
    </row>
    <row r="59" spans="4:5">
      <c r="D59" s="104" t="s">
        <v>259</v>
      </c>
      <c r="E59" s="104">
        <v>124.04422968348467</v>
      </c>
    </row>
    <row r="60" spans="4:5">
      <c r="D60" s="104" t="s">
        <v>218</v>
      </c>
      <c r="E60" s="104">
        <v>123.03996563711272</v>
      </c>
    </row>
    <row r="61" spans="4:5">
      <c r="D61" s="104" t="s">
        <v>237</v>
      </c>
      <c r="E61" s="104">
        <v>113.47254490406804</v>
      </c>
    </row>
    <row r="62" spans="4:5">
      <c r="D62" s="104" t="s">
        <v>221</v>
      </c>
      <c r="E62" s="104">
        <v>109.09500782809569</v>
      </c>
    </row>
    <row r="63" spans="4:5">
      <c r="D63" s="104" t="s">
        <v>226</v>
      </c>
      <c r="E63" s="104">
        <v>101.70697334476685</v>
      </c>
    </row>
    <row r="64" spans="4:5">
      <c r="D64" s="104" t="s">
        <v>261</v>
      </c>
      <c r="E64" s="104">
        <v>92.963912452658349</v>
      </c>
    </row>
    <row r="65" spans="4:5">
      <c r="D65" s="104" t="s">
        <v>215</v>
      </c>
      <c r="E65" s="104">
        <v>91.982130821946413</v>
      </c>
    </row>
    <row r="66" spans="4:5">
      <c r="D66" s="104" t="s">
        <v>267</v>
      </c>
      <c r="E66" s="104">
        <v>91.563219135902514</v>
      </c>
    </row>
    <row r="67" spans="4:5">
      <c r="D67" s="104" t="s">
        <v>268</v>
      </c>
      <c r="E67" s="104">
        <v>91.084351929034227</v>
      </c>
    </row>
    <row r="68" spans="4:5">
      <c r="D68" s="104" t="s">
        <v>195</v>
      </c>
      <c r="E68" s="104">
        <v>90.102688288179039</v>
      </c>
    </row>
    <row r="69" spans="4:5">
      <c r="D69" s="104" t="s">
        <v>205</v>
      </c>
      <c r="E69" s="104">
        <v>87.593233571781425</v>
      </c>
    </row>
    <row r="70" spans="4:5">
      <c r="D70" s="104" t="s">
        <v>265</v>
      </c>
      <c r="E70" s="104">
        <v>84.623977207952848</v>
      </c>
    </row>
    <row r="71" spans="4:5">
      <c r="D71" s="104" t="s">
        <v>200</v>
      </c>
      <c r="E71" s="104">
        <v>80.244813552011607</v>
      </c>
    </row>
    <row r="72" spans="4:5">
      <c r="D72" s="104" t="s">
        <v>204</v>
      </c>
      <c r="E72" s="104">
        <v>70.491779338000271</v>
      </c>
    </row>
    <row r="73" spans="4:5">
      <c r="D73" s="104" t="s">
        <v>229</v>
      </c>
      <c r="E73" s="104">
        <v>61.887159410109277</v>
      </c>
    </row>
    <row r="74" spans="4:5">
      <c r="D74" s="104" t="s">
        <v>201</v>
      </c>
      <c r="E74" s="104">
        <v>60.938143325883402</v>
      </c>
    </row>
    <row r="75" spans="4:5">
      <c r="D75" s="104" t="s">
        <v>249</v>
      </c>
      <c r="E75" s="104">
        <v>51.899153958227572</v>
      </c>
    </row>
    <row r="76" spans="4:5">
      <c r="D76" s="104" t="s">
        <v>194</v>
      </c>
      <c r="E76" s="104">
        <v>50.710048202502989</v>
      </c>
    </row>
    <row r="77" spans="4:5">
      <c r="D77" s="104" t="s">
        <v>202</v>
      </c>
      <c r="E77" s="104">
        <v>45.472832590613095</v>
      </c>
    </row>
    <row r="78" spans="4:5">
      <c r="D78" s="104" t="s">
        <v>244</v>
      </c>
      <c r="E78" s="104">
        <v>44.429470389976316</v>
      </c>
    </row>
    <row r="79" spans="4:5">
      <c r="D79" s="104" t="s">
        <v>239</v>
      </c>
      <c r="E79" s="104">
        <v>40.346565552259712</v>
      </c>
    </row>
    <row r="80" spans="4:5">
      <c r="D80" s="104" t="s">
        <v>262</v>
      </c>
      <c r="E80" s="104">
        <v>36.556196437504838</v>
      </c>
    </row>
    <row r="81" spans="4:5">
      <c r="D81" s="104" t="s">
        <v>241</v>
      </c>
      <c r="E81" s="104">
        <v>35.715725276682072</v>
      </c>
    </row>
    <row r="82" spans="4:5">
      <c r="D82" s="104" t="s">
        <v>224</v>
      </c>
      <c r="E82" s="104">
        <v>34.353724905405308</v>
      </c>
    </row>
    <row r="83" spans="4:5">
      <c r="D83" s="104" t="s">
        <v>250</v>
      </c>
      <c r="E83" s="104">
        <v>33.667225810831688</v>
      </c>
    </row>
    <row r="84" spans="4:5">
      <c r="D84" s="104" t="s">
        <v>219</v>
      </c>
      <c r="E84" s="104">
        <v>32.857536697479986</v>
      </c>
    </row>
    <row r="85" spans="4:5">
      <c r="D85" s="104" t="s">
        <v>266</v>
      </c>
      <c r="E85" s="104">
        <v>32.343375624596121</v>
      </c>
    </row>
    <row r="86" spans="4:5">
      <c r="D86" s="104" t="s">
        <v>254</v>
      </c>
      <c r="E86" s="104">
        <v>32.335023497689647</v>
      </c>
    </row>
    <row r="87" spans="4:5">
      <c r="D87" s="104" t="s">
        <v>231</v>
      </c>
      <c r="E87" s="104">
        <v>32.043740262794323</v>
      </c>
    </row>
    <row r="88" spans="4:5">
      <c r="D88" s="104" t="s">
        <v>251</v>
      </c>
      <c r="E88" s="104">
        <v>31.25421832681776</v>
      </c>
    </row>
    <row r="89" spans="4:5">
      <c r="D89" s="104" t="s">
        <v>235</v>
      </c>
      <c r="E89" s="104">
        <v>30.34656896253097</v>
      </c>
    </row>
    <row r="90" spans="4:5">
      <c r="D90" s="104" t="s">
        <v>208</v>
      </c>
      <c r="E90" s="104">
        <v>23.654941650936919</v>
      </c>
    </row>
    <row r="91" spans="4:5">
      <c r="D91" s="104" t="s">
        <v>242</v>
      </c>
      <c r="E91" s="104">
        <v>23.101687343767612</v>
      </c>
    </row>
    <row r="92" spans="4:5">
      <c r="D92" s="104" t="s">
        <v>203</v>
      </c>
      <c r="E92" s="104">
        <v>20.880080279377356</v>
      </c>
    </row>
    <row r="93" spans="4:5">
      <c r="D93" s="104" t="s">
        <v>214</v>
      </c>
      <c r="E93" s="104">
        <v>19.778856232828595</v>
      </c>
    </row>
    <row r="94" spans="4:5">
      <c r="D94" s="104" t="s">
        <v>196</v>
      </c>
      <c r="E94" s="104">
        <v>18.25792075430995</v>
      </c>
    </row>
    <row r="95" spans="4:5">
      <c r="D95" s="104" t="s">
        <v>225</v>
      </c>
      <c r="E95" s="104">
        <v>13.714801821983478</v>
      </c>
    </row>
    <row r="96" spans="4:5">
      <c r="D96" s="104" t="s">
        <v>5387</v>
      </c>
      <c r="E96" s="104">
        <v>11.75767879594031</v>
      </c>
    </row>
    <row r="97" spans="4:5" ht="16">
      <c r="D97" s="188" t="s">
        <v>192</v>
      </c>
      <c r="E97" s="188">
        <v>10.797183161998779</v>
      </c>
    </row>
    <row r="98" spans="4:5">
      <c r="D98" s="104" t="s">
        <v>199</v>
      </c>
      <c r="E98" s="104">
        <v>5.8122411650575723</v>
      </c>
    </row>
    <row r="99" spans="4:5">
      <c r="D99" s="104" t="s">
        <v>246</v>
      </c>
      <c r="E99" s="104">
        <v>5.5742870180318151</v>
      </c>
    </row>
    <row r="100" spans="4:5">
      <c r="D100" s="104" t="s">
        <v>243</v>
      </c>
      <c r="E100" s="104">
        <v>3.1253978212165721</v>
      </c>
    </row>
    <row r="101" spans="4:5">
      <c r="D101" s="104" t="s">
        <v>197</v>
      </c>
      <c r="E101" s="104">
        <v>1.1882082216087546</v>
      </c>
    </row>
    <row r="102" spans="4:5">
      <c r="D102" s="104" t="s">
        <v>257</v>
      </c>
      <c r="E102" s="104">
        <v>0.53269353856268142</v>
      </c>
    </row>
  </sheetData>
  <autoFilter ref="D40:E40" xr:uid="{00000000-0009-0000-0000-000003000000}">
    <sortState xmlns:xlrd2="http://schemas.microsoft.com/office/spreadsheetml/2017/richdata2" ref="D41:E102">
      <sortCondition descending="1" ref="E40"/>
    </sortState>
  </autoFilter>
  <pageMargins left="0.7" right="0.7" top="0.75" bottom="0.75" header="0.3" footer="0.3"/>
  <pageSetup paperSize="9"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Q7"/>
  <sheetViews>
    <sheetView zoomScale="80" zoomScaleNormal="80" workbookViewId="0">
      <selection activeCell="G11" sqref="G11"/>
    </sheetView>
  </sheetViews>
  <sheetFormatPr baseColWidth="10" defaultColWidth="8.6640625" defaultRowHeight="14"/>
  <cols>
    <col min="1" max="1" width="20.5" style="267" customWidth="1"/>
    <col min="2" max="2" width="13.33203125" style="267" customWidth="1"/>
    <col min="3" max="3" width="12.6640625" style="267" customWidth="1"/>
    <col min="4" max="4" width="12.33203125" style="267" customWidth="1"/>
    <col min="5" max="5" width="12" style="267" customWidth="1"/>
    <col min="6" max="6" width="11.1640625" style="267" customWidth="1"/>
    <col min="7" max="7" width="11.6640625" style="267" customWidth="1"/>
    <col min="8" max="8" width="13.6640625" style="267" customWidth="1"/>
    <col min="9" max="9" width="13.1640625" style="267" customWidth="1"/>
    <col min="10" max="10" width="14.1640625" style="267" customWidth="1"/>
    <col min="11" max="11" width="13.6640625" style="267" customWidth="1"/>
    <col min="12" max="12" width="10.83203125" style="267" customWidth="1"/>
    <col min="13" max="13" width="14.5" style="267" customWidth="1"/>
    <col min="14" max="14" width="13.1640625" style="267" customWidth="1"/>
    <col min="15" max="15" width="14.5" style="267" customWidth="1"/>
    <col min="16" max="16" width="16.33203125" style="267" customWidth="1"/>
    <col min="17" max="18" width="13.83203125" style="267" customWidth="1"/>
    <col min="19" max="19" width="13.5" style="267" customWidth="1"/>
    <col min="20" max="21" width="13.33203125" style="267" customWidth="1"/>
    <col min="22" max="22" width="12" style="267" customWidth="1"/>
    <col min="23" max="23" width="12.33203125" style="267" customWidth="1"/>
    <col min="24" max="24" width="12.83203125" style="267" customWidth="1"/>
    <col min="25" max="25" width="12.6640625" style="267" customWidth="1"/>
    <col min="26" max="26" width="12.83203125" style="267" customWidth="1"/>
    <col min="27" max="27" width="15.6640625" style="267" customWidth="1"/>
    <col min="28" max="37" width="8.6640625" style="267"/>
    <col min="38" max="38" width="13.33203125" style="267" customWidth="1"/>
    <col min="39" max="39" width="9.6640625" style="267" customWidth="1"/>
    <col min="40" max="50" width="8.6640625" style="267"/>
    <col min="51" max="51" width="10.5" style="267" customWidth="1"/>
    <col min="52" max="53" width="8.6640625" style="267"/>
    <col min="54" max="54" width="11.83203125" style="267" customWidth="1"/>
    <col min="55" max="73" width="8.6640625" style="267"/>
    <col min="74" max="74" width="10.5" style="267" customWidth="1"/>
    <col min="75" max="16384" width="8.6640625" style="267"/>
  </cols>
  <sheetData>
    <row r="1" spans="1:147" ht="15" thickBot="1"/>
    <row r="2" spans="1:147" ht="57" thickBot="1">
      <c r="A2" s="268" t="s">
        <v>167</v>
      </c>
      <c r="B2" s="106" t="s">
        <v>196</v>
      </c>
      <c r="C2" s="106" t="s">
        <v>197</v>
      </c>
      <c r="D2" s="106" t="s">
        <v>198</v>
      </c>
      <c r="E2" s="106" t="s">
        <v>198</v>
      </c>
      <c r="F2" s="106" t="s">
        <v>198</v>
      </c>
      <c r="G2" s="106" t="s">
        <v>198</v>
      </c>
      <c r="H2" s="106" t="s">
        <v>198</v>
      </c>
      <c r="I2" s="106" t="s">
        <v>198</v>
      </c>
      <c r="J2" s="106" t="s">
        <v>199</v>
      </c>
      <c r="K2" s="106" t="s">
        <v>199</v>
      </c>
      <c r="L2" s="103" t="s">
        <v>204</v>
      </c>
      <c r="M2" s="106" t="s">
        <v>212</v>
      </c>
      <c r="N2" s="234" t="s">
        <v>215</v>
      </c>
      <c r="O2" s="234" t="s">
        <v>215</v>
      </c>
      <c r="P2" s="234" t="s">
        <v>215</v>
      </c>
      <c r="Q2" s="111" t="s">
        <v>223</v>
      </c>
      <c r="R2" s="234" t="s">
        <v>224</v>
      </c>
      <c r="S2" s="111" t="s">
        <v>228</v>
      </c>
      <c r="T2" s="234" t="s">
        <v>234</v>
      </c>
      <c r="U2" s="111" t="s">
        <v>240</v>
      </c>
      <c r="V2" s="111" t="s">
        <v>241</v>
      </c>
      <c r="W2" s="111" t="s">
        <v>241</v>
      </c>
      <c r="X2" s="111" t="s">
        <v>241</v>
      </c>
      <c r="Y2" s="111" t="s">
        <v>241</v>
      </c>
      <c r="Z2" s="111" t="s">
        <v>241</v>
      </c>
      <c r="AA2" s="111" t="s">
        <v>241</v>
      </c>
      <c r="AB2" s="111" t="s">
        <v>241</v>
      </c>
      <c r="AC2" s="111" t="s">
        <v>241</v>
      </c>
      <c r="AD2" s="111" t="s">
        <v>241</v>
      </c>
      <c r="AE2" s="111" t="s">
        <v>241</v>
      </c>
      <c r="AF2" s="111" t="s">
        <v>241</v>
      </c>
      <c r="AG2" s="111" t="s">
        <v>241</v>
      </c>
      <c r="AH2" s="111" t="s">
        <v>241</v>
      </c>
      <c r="AI2" s="111" t="s">
        <v>241</v>
      </c>
      <c r="AJ2" s="111" t="s">
        <v>243</v>
      </c>
      <c r="AK2" s="111" t="s">
        <v>247</v>
      </c>
      <c r="AL2" s="111" t="s">
        <v>247</v>
      </c>
      <c r="AM2" s="111" t="s">
        <v>249</v>
      </c>
      <c r="AN2" s="111" t="s">
        <v>249</v>
      </c>
      <c r="AO2" s="111" t="s">
        <v>249</v>
      </c>
      <c r="AP2" s="111" t="s">
        <v>249</v>
      </c>
      <c r="AQ2" s="111" t="s">
        <v>249</v>
      </c>
      <c r="AR2" s="111" t="s">
        <v>249</v>
      </c>
      <c r="AS2" s="111" t="s">
        <v>249</v>
      </c>
      <c r="AT2" s="111" t="s">
        <v>249</v>
      </c>
      <c r="AU2" s="111" t="s">
        <v>249</v>
      </c>
      <c r="AV2" s="111" t="s">
        <v>249</v>
      </c>
      <c r="AW2" s="111" t="s">
        <v>249</v>
      </c>
      <c r="AX2" s="111" t="s">
        <v>249</v>
      </c>
      <c r="AY2" s="111" t="s">
        <v>249</v>
      </c>
      <c r="AZ2" s="111" t="s">
        <v>249</v>
      </c>
      <c r="BA2" s="111" t="s">
        <v>254</v>
      </c>
      <c r="BB2" s="111" t="s">
        <v>254</v>
      </c>
      <c r="BC2" s="111" t="s">
        <v>254</v>
      </c>
      <c r="BD2" s="111" t="s">
        <v>258</v>
      </c>
      <c r="BE2" s="111" t="s">
        <v>258</v>
      </c>
      <c r="BF2" s="111" t="s">
        <v>266</v>
      </c>
      <c r="BG2" s="111" t="s">
        <v>266</v>
      </c>
      <c r="BH2" s="111" t="s">
        <v>266</v>
      </c>
      <c r="BI2" s="111" t="s">
        <v>266</v>
      </c>
      <c r="BJ2" s="111" t="s">
        <v>266</v>
      </c>
      <c r="BK2" s="111" t="s">
        <v>267</v>
      </c>
      <c r="BL2" s="111" t="s">
        <v>267</v>
      </c>
      <c r="BM2" s="111" t="s">
        <v>267</v>
      </c>
      <c r="BN2" s="111" t="s">
        <v>267</v>
      </c>
      <c r="BO2" s="111" t="s">
        <v>267</v>
      </c>
      <c r="BP2" s="111" t="s">
        <v>267</v>
      </c>
      <c r="BQ2" s="111" t="s">
        <v>267</v>
      </c>
      <c r="BR2" s="111" t="s">
        <v>267</v>
      </c>
      <c r="BS2" s="111" t="s">
        <v>267</v>
      </c>
      <c r="BT2" s="111" t="s">
        <v>267</v>
      </c>
      <c r="BU2" s="111" t="s">
        <v>267</v>
      </c>
      <c r="BV2" s="111" t="s">
        <v>267</v>
      </c>
      <c r="BW2" s="111" t="s">
        <v>267</v>
      </c>
      <c r="BX2" s="111" t="s">
        <v>267</v>
      </c>
      <c r="BY2" s="111" t="s">
        <v>267</v>
      </c>
      <c r="BZ2" s="111" t="s">
        <v>267</v>
      </c>
      <c r="CA2" s="111" t="s">
        <v>267</v>
      </c>
      <c r="CB2" s="111" t="s">
        <v>267</v>
      </c>
      <c r="CC2" s="111" t="s">
        <v>267</v>
      </c>
      <c r="CD2" s="111" t="s">
        <v>267</v>
      </c>
      <c r="CE2" s="111" t="s">
        <v>267</v>
      </c>
      <c r="CF2" s="111" t="s">
        <v>267</v>
      </c>
      <c r="CG2" s="111" t="s">
        <v>267</v>
      </c>
      <c r="CH2" s="111" t="s">
        <v>267</v>
      </c>
      <c r="CI2" s="111" t="s">
        <v>267</v>
      </c>
      <c r="CJ2" s="111" t="s">
        <v>267</v>
      </c>
      <c r="CK2" s="111" t="s">
        <v>267</v>
      </c>
      <c r="CL2" s="111" t="s">
        <v>270</v>
      </c>
      <c r="CM2" s="111" t="s">
        <v>270</v>
      </c>
      <c r="CN2" s="111" t="s">
        <v>270</v>
      </c>
      <c r="CO2" s="111" t="s">
        <v>270</v>
      </c>
      <c r="CP2" s="111" t="s">
        <v>270</v>
      </c>
      <c r="CQ2" s="111" t="s">
        <v>270</v>
      </c>
      <c r="CR2" s="111" t="s">
        <v>270</v>
      </c>
      <c r="CS2" s="111" t="s">
        <v>270</v>
      </c>
      <c r="CT2" s="111" t="s">
        <v>270</v>
      </c>
      <c r="CU2" s="111" t="s">
        <v>270</v>
      </c>
      <c r="CV2" s="111" t="s">
        <v>270</v>
      </c>
      <c r="CW2" s="111" t="s">
        <v>270</v>
      </c>
      <c r="CX2" s="111" t="s">
        <v>270</v>
      </c>
      <c r="CY2" s="111" t="s">
        <v>270</v>
      </c>
      <c r="CZ2" s="111" t="s">
        <v>270</v>
      </c>
      <c r="DA2" s="111" t="s">
        <v>270</v>
      </c>
      <c r="DB2" s="111" t="s">
        <v>270</v>
      </c>
      <c r="DC2" s="111" t="s">
        <v>270</v>
      </c>
      <c r="DD2" s="111" t="s">
        <v>270</v>
      </c>
      <c r="DE2" s="111" t="s">
        <v>270</v>
      </c>
      <c r="DF2" s="111" t="s">
        <v>270</v>
      </c>
      <c r="DG2" s="111" t="s">
        <v>270</v>
      </c>
      <c r="DH2" s="111" t="s">
        <v>270</v>
      </c>
      <c r="DI2" s="111" t="s">
        <v>270</v>
      </c>
      <c r="DJ2" s="111" t="s">
        <v>270</v>
      </c>
      <c r="DK2" s="111" t="s">
        <v>270</v>
      </c>
      <c r="DL2" s="111" t="s">
        <v>270</v>
      </c>
      <c r="DM2" s="111" t="s">
        <v>270</v>
      </c>
      <c r="DN2" s="111" t="s">
        <v>270</v>
      </c>
      <c r="DO2" s="111" t="s">
        <v>270</v>
      </c>
      <c r="DP2" s="111" t="s">
        <v>271</v>
      </c>
      <c r="DQ2" s="111" t="s">
        <v>271</v>
      </c>
      <c r="DR2" s="111" t="s">
        <v>273</v>
      </c>
      <c r="DS2" s="111" t="s">
        <v>275</v>
      </c>
      <c r="DT2" s="111" t="s">
        <v>275</v>
      </c>
      <c r="DU2" s="111" t="s">
        <v>275</v>
      </c>
      <c r="DV2" s="111" t="s">
        <v>275</v>
      </c>
      <c r="DW2" s="111" t="s">
        <v>275</v>
      </c>
      <c r="DX2" s="111" t="s">
        <v>275</v>
      </c>
      <c r="DY2" s="111" t="s">
        <v>275</v>
      </c>
      <c r="DZ2" s="111" t="s">
        <v>275</v>
      </c>
      <c r="EA2" s="111" t="s">
        <v>275</v>
      </c>
      <c r="EB2" s="111" t="s">
        <v>275</v>
      </c>
      <c r="EC2" s="111" t="s">
        <v>275</v>
      </c>
      <c r="ED2" s="111" t="s">
        <v>275</v>
      </c>
      <c r="EE2" s="111" t="s">
        <v>275</v>
      </c>
      <c r="EF2" s="111" t="s">
        <v>275</v>
      </c>
      <c r="EG2" s="111" t="s">
        <v>275</v>
      </c>
      <c r="EH2" s="111" t="s">
        <v>275</v>
      </c>
      <c r="EI2" s="111" t="s">
        <v>275</v>
      </c>
      <c r="EJ2" s="111" t="s">
        <v>275</v>
      </c>
      <c r="EK2" s="111" t="s">
        <v>275</v>
      </c>
      <c r="EL2" s="111" t="s">
        <v>275</v>
      </c>
      <c r="EM2" s="111" t="s">
        <v>275</v>
      </c>
      <c r="EN2" s="111" t="s">
        <v>275</v>
      </c>
      <c r="EO2" s="111" t="s">
        <v>275</v>
      </c>
      <c r="EP2" s="274" t="s">
        <v>275</v>
      </c>
      <c r="EQ2" s="111" t="s">
        <v>275</v>
      </c>
    </row>
    <row r="3" spans="1:147" ht="98.5" customHeight="1" thickBot="1">
      <c r="A3" s="268" t="s">
        <v>2545</v>
      </c>
      <c r="B3" s="106" t="s">
        <v>2576</v>
      </c>
      <c r="C3" s="106" t="s">
        <v>2604</v>
      </c>
      <c r="D3" s="108" t="s">
        <v>2619</v>
      </c>
      <c r="E3" s="108" t="s">
        <v>2620</v>
      </c>
      <c r="F3" s="108" t="s">
        <v>2621</v>
      </c>
      <c r="G3" s="108" t="s">
        <v>2622</v>
      </c>
      <c r="H3" s="108" t="s">
        <v>2623</v>
      </c>
      <c r="I3" s="108" t="s">
        <v>2624</v>
      </c>
      <c r="J3" s="109" t="s">
        <v>2698</v>
      </c>
      <c r="K3" s="106" t="s">
        <v>2699</v>
      </c>
      <c r="L3" s="103" t="s">
        <v>5361</v>
      </c>
      <c r="M3" s="106" t="s">
        <v>2736</v>
      </c>
      <c r="N3" s="234" t="s">
        <v>2792</v>
      </c>
      <c r="O3" s="234" t="s">
        <v>2793</v>
      </c>
      <c r="P3" s="234" t="s">
        <v>2794</v>
      </c>
      <c r="Q3" s="234" t="s">
        <v>2857</v>
      </c>
      <c r="R3" s="234" t="s">
        <v>2874</v>
      </c>
      <c r="S3" s="111" t="s">
        <v>5362</v>
      </c>
      <c r="T3" s="120" t="s">
        <v>2894</v>
      </c>
      <c r="U3" s="111" t="s">
        <v>5284</v>
      </c>
      <c r="V3" s="234" t="s">
        <v>2917</v>
      </c>
      <c r="W3" s="114" t="s">
        <v>2918</v>
      </c>
      <c r="X3" s="234" t="s">
        <v>2919</v>
      </c>
      <c r="Y3" s="234" t="s">
        <v>2920</v>
      </c>
      <c r="Z3" s="234" t="s">
        <v>2921</v>
      </c>
      <c r="AA3" s="234" t="s">
        <v>2922</v>
      </c>
      <c r="AB3" s="234" t="s">
        <v>2923</v>
      </c>
      <c r="AC3" s="234" t="s">
        <v>2924</v>
      </c>
      <c r="AD3" s="234" t="s">
        <v>2925</v>
      </c>
      <c r="AE3" s="234" t="s">
        <v>2926</v>
      </c>
      <c r="AF3" s="234" t="s">
        <v>2927</v>
      </c>
      <c r="AG3" s="234" t="s">
        <v>2928</v>
      </c>
      <c r="AH3" s="115" t="s">
        <v>2929</v>
      </c>
      <c r="AI3" s="114" t="s">
        <v>2930</v>
      </c>
      <c r="AJ3" s="117" t="s">
        <v>3115</v>
      </c>
      <c r="AK3" s="118" t="s">
        <v>3137</v>
      </c>
      <c r="AL3" s="234" t="s">
        <v>3138</v>
      </c>
      <c r="AM3" s="234" t="s">
        <v>3166</v>
      </c>
      <c r="AN3" s="234" t="s">
        <v>3167</v>
      </c>
      <c r="AO3" s="234" t="s">
        <v>3168</v>
      </c>
      <c r="AP3" s="234" t="s">
        <v>3169</v>
      </c>
      <c r="AQ3" s="119" t="s">
        <v>3170</v>
      </c>
      <c r="AR3" s="234" t="s">
        <v>3171</v>
      </c>
      <c r="AS3" s="234" t="s">
        <v>3172</v>
      </c>
      <c r="AT3" s="234" t="s">
        <v>3173</v>
      </c>
      <c r="AU3" s="117" t="s">
        <v>3174</v>
      </c>
      <c r="AV3" s="234" t="s">
        <v>3175</v>
      </c>
      <c r="AW3" s="234" t="s">
        <v>3176</v>
      </c>
      <c r="AX3" s="234" t="s">
        <v>3177</v>
      </c>
      <c r="AY3" s="234" t="s">
        <v>3178</v>
      </c>
      <c r="AZ3" s="122" t="s">
        <v>3179</v>
      </c>
      <c r="BA3" s="234" t="s">
        <v>3450</v>
      </c>
      <c r="BB3" s="234" t="s">
        <v>3451</v>
      </c>
      <c r="BC3" s="116" t="s">
        <v>3452</v>
      </c>
      <c r="BD3" s="117" t="s">
        <v>3502</v>
      </c>
      <c r="BE3" s="234" t="s">
        <v>3503</v>
      </c>
      <c r="BF3" s="117" t="s">
        <v>3535</v>
      </c>
      <c r="BG3" s="234" t="s">
        <v>3536</v>
      </c>
      <c r="BH3" s="234" t="s">
        <v>3537</v>
      </c>
      <c r="BI3" s="234" t="s">
        <v>3538</v>
      </c>
      <c r="BJ3" s="234" t="s">
        <v>3539</v>
      </c>
      <c r="BK3" s="234" t="s">
        <v>3618</v>
      </c>
      <c r="BL3" s="234" t="s">
        <v>3619</v>
      </c>
      <c r="BM3" s="234" t="s">
        <v>3620</v>
      </c>
      <c r="BN3" s="234" t="s">
        <v>3621</v>
      </c>
      <c r="BO3" s="117" t="s">
        <v>3622</v>
      </c>
      <c r="BP3" s="234" t="s">
        <v>3623</v>
      </c>
      <c r="BQ3" s="234" t="s">
        <v>3624</v>
      </c>
      <c r="BR3" s="234" t="s">
        <v>3625</v>
      </c>
      <c r="BS3" s="234" t="s">
        <v>3626</v>
      </c>
      <c r="BT3" s="234" t="s">
        <v>3627</v>
      </c>
      <c r="BU3" s="234" t="s">
        <v>3628</v>
      </c>
      <c r="BV3" s="234" t="s">
        <v>3629</v>
      </c>
      <c r="BW3" s="122" t="s">
        <v>3630</v>
      </c>
      <c r="BX3" s="111" t="s">
        <v>3631</v>
      </c>
      <c r="BY3" s="234" t="s">
        <v>3632</v>
      </c>
      <c r="BZ3" s="234" t="s">
        <v>3633</v>
      </c>
      <c r="CA3" s="117" t="s">
        <v>3634</v>
      </c>
      <c r="CB3" s="234" t="s">
        <v>3635</v>
      </c>
      <c r="CC3" s="234" t="s">
        <v>3636</v>
      </c>
      <c r="CD3" s="125" t="s">
        <v>3637</v>
      </c>
      <c r="CE3" s="234" t="s">
        <v>3638</v>
      </c>
      <c r="CF3" s="234" t="s">
        <v>3639</v>
      </c>
      <c r="CG3" s="234" t="s">
        <v>3640</v>
      </c>
      <c r="CH3" s="234" t="s">
        <v>3641</v>
      </c>
      <c r="CI3" s="234" t="s">
        <v>3642</v>
      </c>
      <c r="CJ3" s="234" t="s">
        <v>3643</v>
      </c>
      <c r="CK3" s="234" t="s">
        <v>3644</v>
      </c>
      <c r="CL3" s="234" t="s">
        <v>3932</v>
      </c>
      <c r="CM3" s="234" t="s">
        <v>3933</v>
      </c>
      <c r="CN3" s="234" t="s">
        <v>3934</v>
      </c>
      <c r="CO3" s="234" t="s">
        <v>3935</v>
      </c>
      <c r="CP3" s="234" t="s">
        <v>3936</v>
      </c>
      <c r="CQ3" s="234" t="s">
        <v>3937</v>
      </c>
      <c r="CR3" s="117" t="s">
        <v>3938</v>
      </c>
      <c r="CS3" s="234" t="s">
        <v>3939</v>
      </c>
      <c r="CT3" s="234" t="s">
        <v>3940</v>
      </c>
      <c r="CU3" s="117" t="s">
        <v>3941</v>
      </c>
      <c r="CV3" s="117" t="s">
        <v>3942</v>
      </c>
      <c r="CW3" s="117" t="s">
        <v>3943</v>
      </c>
      <c r="CX3" s="117" t="s">
        <v>3944</v>
      </c>
      <c r="CY3" s="117" t="s">
        <v>3945</v>
      </c>
      <c r="CZ3" s="117" t="s">
        <v>3946</v>
      </c>
      <c r="DA3" s="117" t="s">
        <v>3947</v>
      </c>
      <c r="DB3" s="106" t="s">
        <v>3948</v>
      </c>
      <c r="DC3" s="234" t="s">
        <v>3949</v>
      </c>
      <c r="DD3" s="234" t="s">
        <v>3950</v>
      </c>
      <c r="DE3" s="127" t="s">
        <v>3951</v>
      </c>
      <c r="DF3" s="234" t="s">
        <v>3952</v>
      </c>
      <c r="DG3" s="234" t="s">
        <v>3953</v>
      </c>
      <c r="DH3" s="234" t="s">
        <v>3954</v>
      </c>
      <c r="DI3" s="234" t="s">
        <v>3955</v>
      </c>
      <c r="DJ3" s="234" t="s">
        <v>3956</v>
      </c>
      <c r="DK3" s="234" t="s">
        <v>3957</v>
      </c>
      <c r="DL3" s="234" t="s">
        <v>3958</v>
      </c>
      <c r="DM3" s="234" t="s">
        <v>3959</v>
      </c>
      <c r="DN3" s="234" t="s">
        <v>3960</v>
      </c>
      <c r="DO3" s="234" t="s">
        <v>3961</v>
      </c>
      <c r="DP3" s="234" t="s">
        <v>4432</v>
      </c>
      <c r="DQ3" s="234" t="s">
        <v>4432</v>
      </c>
      <c r="DR3" s="234" t="s">
        <v>4462</v>
      </c>
      <c r="DS3" s="234" t="s">
        <v>4481</v>
      </c>
      <c r="DT3" s="128" t="s">
        <v>4482</v>
      </c>
      <c r="DU3" s="234" t="s">
        <v>4483</v>
      </c>
      <c r="DV3" s="234" t="s">
        <v>4484</v>
      </c>
      <c r="DW3" s="234" t="s">
        <v>4485</v>
      </c>
      <c r="DX3" s="234" t="s">
        <v>4486</v>
      </c>
      <c r="DY3" s="234" t="s">
        <v>4487</v>
      </c>
      <c r="DZ3" s="234" t="s">
        <v>4488</v>
      </c>
      <c r="EA3" s="234" t="s">
        <v>4489</v>
      </c>
      <c r="EB3" s="234" t="s">
        <v>4490</v>
      </c>
      <c r="EC3" s="234" t="s">
        <v>4491</v>
      </c>
      <c r="ED3" s="234" t="s">
        <v>4492</v>
      </c>
      <c r="EE3" s="234" t="s">
        <v>4493</v>
      </c>
      <c r="EF3" s="234" t="s">
        <v>4494</v>
      </c>
      <c r="EG3" s="234" t="s">
        <v>4495</v>
      </c>
      <c r="EH3" s="234" t="s">
        <v>4496</v>
      </c>
      <c r="EI3" s="234" t="s">
        <v>4497</v>
      </c>
      <c r="EJ3" s="234" t="s">
        <v>4498</v>
      </c>
      <c r="EK3" s="234" t="s">
        <v>4499</v>
      </c>
      <c r="EL3" s="234" t="s">
        <v>4500</v>
      </c>
      <c r="EM3" s="234" t="s">
        <v>4501</v>
      </c>
      <c r="EN3" s="234" t="s">
        <v>4502</v>
      </c>
      <c r="EO3" s="234" t="s">
        <v>4503</v>
      </c>
      <c r="EP3" s="168" t="s">
        <v>4504</v>
      </c>
      <c r="EQ3" s="234" t="s">
        <v>4505</v>
      </c>
    </row>
    <row r="4" spans="1:147" ht="61.5" hidden="1" customHeight="1" thickBot="1">
      <c r="A4" s="268" t="s">
        <v>5693</v>
      </c>
      <c r="B4" s="106" t="s">
        <v>2577</v>
      </c>
      <c r="C4" s="106" t="s">
        <v>2605</v>
      </c>
      <c r="D4" s="108" t="s">
        <v>2625</v>
      </c>
      <c r="E4" s="108" t="s">
        <v>2625</v>
      </c>
      <c r="F4" s="108" t="s">
        <v>2625</v>
      </c>
      <c r="G4" s="108" t="s">
        <v>2625</v>
      </c>
      <c r="H4" s="108" t="s">
        <v>2625</v>
      </c>
      <c r="I4" s="108" t="s">
        <v>2625</v>
      </c>
      <c r="J4" s="109" t="s">
        <v>2700</v>
      </c>
      <c r="K4" s="106" t="s">
        <v>2701</v>
      </c>
      <c r="L4" s="102"/>
      <c r="M4" s="106" t="s">
        <v>2737</v>
      </c>
      <c r="N4" s="234" t="s">
        <v>2795</v>
      </c>
      <c r="O4" s="234" t="s">
        <v>2796</v>
      </c>
      <c r="P4" s="234" t="s">
        <v>2797</v>
      </c>
      <c r="Q4" s="234" t="s">
        <v>2858</v>
      </c>
      <c r="R4" s="234" t="s">
        <v>2875</v>
      </c>
      <c r="S4" s="111" t="s">
        <v>5363</v>
      </c>
      <c r="T4" s="234" t="s">
        <v>2895</v>
      </c>
      <c r="U4" s="111" t="s">
        <v>2909</v>
      </c>
      <c r="V4" s="234" t="s">
        <v>2931</v>
      </c>
      <c r="W4" s="114" t="s">
        <v>2932</v>
      </c>
      <c r="X4" s="234" t="s">
        <v>2933</v>
      </c>
      <c r="Y4" s="234" t="s">
        <v>2934</v>
      </c>
      <c r="Z4" s="234" t="s">
        <v>2935</v>
      </c>
      <c r="AA4" s="234" t="s">
        <v>2931</v>
      </c>
      <c r="AB4" s="234" t="s">
        <v>2931</v>
      </c>
      <c r="AC4" s="234" t="s">
        <v>626</v>
      </c>
      <c r="AD4" s="234" t="s">
        <v>1220</v>
      </c>
      <c r="AE4" s="114" t="s">
        <v>2931</v>
      </c>
      <c r="AF4" s="234" t="s">
        <v>2931</v>
      </c>
      <c r="AG4" s="234" t="s">
        <v>2931</v>
      </c>
      <c r="AH4" s="234" t="s">
        <v>2931</v>
      </c>
      <c r="AI4" s="114" t="s">
        <v>1918</v>
      </c>
      <c r="AJ4" s="117" t="s">
        <v>3116</v>
      </c>
      <c r="AK4" s="118" t="s">
        <v>3139</v>
      </c>
      <c r="AL4" s="234" t="s">
        <v>3140</v>
      </c>
      <c r="AM4" s="234" t="s">
        <v>3180</v>
      </c>
      <c r="AN4" s="234" t="s">
        <v>3181</v>
      </c>
      <c r="AO4" s="234" t="s">
        <v>3182</v>
      </c>
      <c r="AP4" s="234" t="s">
        <v>3180</v>
      </c>
      <c r="AQ4" s="106" t="s">
        <v>3183</v>
      </c>
      <c r="AR4" s="234" t="s">
        <v>3184</v>
      </c>
      <c r="AS4" s="234" t="s">
        <v>3185</v>
      </c>
      <c r="AT4" s="234" t="s">
        <v>3186</v>
      </c>
      <c r="AU4" s="117" t="s">
        <v>3186</v>
      </c>
      <c r="AV4" s="234" t="s">
        <v>3187</v>
      </c>
      <c r="AW4" s="234" t="s">
        <v>3188</v>
      </c>
      <c r="AX4" s="234" t="s">
        <v>3189</v>
      </c>
      <c r="AY4" s="234" t="s">
        <v>3190</v>
      </c>
      <c r="AZ4" s="234" t="s">
        <v>3191</v>
      </c>
      <c r="BA4" s="234" t="s">
        <v>526</v>
      </c>
      <c r="BB4" s="234" t="s">
        <v>3453</v>
      </c>
      <c r="BC4" s="116" t="s">
        <v>3454</v>
      </c>
      <c r="BD4" s="117" t="s">
        <v>3504</v>
      </c>
      <c r="BE4" s="234" t="s">
        <v>3505</v>
      </c>
      <c r="BF4" s="103" t="s">
        <v>3540</v>
      </c>
      <c r="BG4" s="234" t="s">
        <v>3541</v>
      </c>
      <c r="BH4" s="234" t="s">
        <v>3542</v>
      </c>
      <c r="BI4" s="234" t="s">
        <v>3543</v>
      </c>
      <c r="BJ4" s="234" t="s">
        <v>3542</v>
      </c>
      <c r="BK4" s="234" t="s">
        <v>2931</v>
      </c>
      <c r="BL4" s="234" t="s">
        <v>3645</v>
      </c>
      <c r="BM4" s="234" t="s">
        <v>2931</v>
      </c>
      <c r="BN4" s="234" t="s">
        <v>3646</v>
      </c>
      <c r="BO4" s="117" t="s">
        <v>3647</v>
      </c>
      <c r="BP4" s="234" t="s">
        <v>2931</v>
      </c>
      <c r="BQ4" s="234" t="s">
        <v>2931</v>
      </c>
      <c r="BR4" s="234" t="s">
        <v>2931</v>
      </c>
      <c r="BS4" s="234" t="s">
        <v>626</v>
      </c>
      <c r="BT4" s="234" t="s">
        <v>2931</v>
      </c>
      <c r="BU4" s="234" t="s">
        <v>2931</v>
      </c>
      <c r="BV4" s="234" t="s">
        <v>626</v>
      </c>
      <c r="BW4" s="122" t="s">
        <v>2931</v>
      </c>
      <c r="BX4" s="111" t="s">
        <v>2931</v>
      </c>
      <c r="BY4" s="234" t="s">
        <v>2931</v>
      </c>
      <c r="BZ4" s="234" t="s">
        <v>626</v>
      </c>
      <c r="CA4" s="117" t="s">
        <v>3648</v>
      </c>
      <c r="CB4" s="234" t="s">
        <v>2931</v>
      </c>
      <c r="CC4" s="234" t="s">
        <v>3646</v>
      </c>
      <c r="CD4" s="125" t="s">
        <v>3649</v>
      </c>
      <c r="CE4" s="234" t="s">
        <v>626</v>
      </c>
      <c r="CF4" s="234" t="s">
        <v>3646</v>
      </c>
      <c r="CG4" s="234" t="s">
        <v>3646</v>
      </c>
      <c r="CH4" s="234" t="s">
        <v>3645</v>
      </c>
      <c r="CI4" s="234" t="s">
        <v>3650</v>
      </c>
      <c r="CJ4" s="234" t="s">
        <v>2931</v>
      </c>
      <c r="CK4" s="234" t="s">
        <v>3646</v>
      </c>
      <c r="CL4" s="234" t="s">
        <v>526</v>
      </c>
      <c r="CM4" s="234" t="s">
        <v>3962</v>
      </c>
      <c r="CN4" s="234" t="s">
        <v>3963</v>
      </c>
      <c r="CO4" s="234" t="s">
        <v>3963</v>
      </c>
      <c r="CP4" s="234" t="s">
        <v>3963</v>
      </c>
      <c r="CQ4" s="234" t="s">
        <v>526</v>
      </c>
      <c r="CR4" s="117" t="s">
        <v>626</v>
      </c>
      <c r="CS4" s="234" t="s">
        <v>626</v>
      </c>
      <c r="CT4" s="234" t="s">
        <v>626</v>
      </c>
      <c r="CU4" s="117" t="s">
        <v>3964</v>
      </c>
      <c r="CV4" s="117" t="s">
        <v>626</v>
      </c>
      <c r="CW4" s="117" t="s">
        <v>626</v>
      </c>
      <c r="CX4" s="117" t="s">
        <v>626</v>
      </c>
      <c r="CY4" s="117" t="s">
        <v>626</v>
      </c>
      <c r="CZ4" s="117" t="s">
        <v>626</v>
      </c>
      <c r="DA4" s="117" t="s">
        <v>626</v>
      </c>
      <c r="DB4" s="106" t="s">
        <v>3965</v>
      </c>
      <c r="DC4" s="234" t="s">
        <v>3966</v>
      </c>
      <c r="DD4" s="234" t="s">
        <v>3967</v>
      </c>
      <c r="DE4" s="123" t="s">
        <v>3968</v>
      </c>
      <c r="DF4" s="234" t="s">
        <v>526</v>
      </c>
      <c r="DG4" s="234" t="s">
        <v>3969</v>
      </c>
      <c r="DH4" s="234" t="s">
        <v>3970</v>
      </c>
      <c r="DI4" s="234" t="s">
        <v>3963</v>
      </c>
      <c r="DJ4" s="234" t="s">
        <v>3971</v>
      </c>
      <c r="DK4" s="116" t="s">
        <v>3963</v>
      </c>
      <c r="DL4" s="234" t="s">
        <v>3972</v>
      </c>
      <c r="DM4" s="234" t="s">
        <v>3973</v>
      </c>
      <c r="DN4" s="234" t="s">
        <v>3974</v>
      </c>
      <c r="DO4" s="234" t="s">
        <v>526</v>
      </c>
      <c r="DP4" s="234" t="s">
        <v>4433</v>
      </c>
      <c r="DQ4" s="234" t="s">
        <v>4434</v>
      </c>
      <c r="DR4" s="234" t="s">
        <v>4463</v>
      </c>
      <c r="DS4" s="234" t="s">
        <v>4506</v>
      </c>
      <c r="DT4" s="128" t="s">
        <v>526</v>
      </c>
      <c r="DU4" s="234" t="s">
        <v>4507</v>
      </c>
      <c r="DV4" s="234" t="s">
        <v>1872</v>
      </c>
      <c r="DW4" s="234" t="s">
        <v>4506</v>
      </c>
      <c r="DX4" s="234" t="s">
        <v>1872</v>
      </c>
      <c r="DY4" s="234" t="s">
        <v>1872</v>
      </c>
      <c r="DZ4" s="234" t="s">
        <v>4506</v>
      </c>
      <c r="EA4" s="234" t="s">
        <v>4506</v>
      </c>
      <c r="EB4" s="234" t="s">
        <v>4506</v>
      </c>
      <c r="EC4" s="234" t="s">
        <v>4506</v>
      </c>
      <c r="ED4" s="234" t="s">
        <v>4506</v>
      </c>
      <c r="EE4" s="234" t="s">
        <v>4506</v>
      </c>
      <c r="EF4" s="234" t="s">
        <v>4506</v>
      </c>
      <c r="EG4" s="234" t="s">
        <v>4508</v>
      </c>
      <c r="EH4" s="234" t="s">
        <v>4506</v>
      </c>
      <c r="EI4" s="234" t="s">
        <v>4506</v>
      </c>
      <c r="EJ4" s="234" t="s">
        <v>4506</v>
      </c>
      <c r="EK4" s="234" t="s">
        <v>4506</v>
      </c>
      <c r="EL4" s="234" t="s">
        <v>4506</v>
      </c>
      <c r="EM4" s="234" t="s">
        <v>4506</v>
      </c>
      <c r="EN4" s="234" t="s">
        <v>4509</v>
      </c>
      <c r="EO4" s="234" t="s">
        <v>4510</v>
      </c>
      <c r="EP4" s="168" t="s">
        <v>4511</v>
      </c>
      <c r="EQ4" s="234" t="s">
        <v>4506</v>
      </c>
    </row>
    <row r="5" spans="1:147" ht="106" thickBot="1">
      <c r="A5" s="268" t="s">
        <v>5694</v>
      </c>
      <c r="B5" s="126">
        <v>6</v>
      </c>
      <c r="C5" s="126">
        <v>30</v>
      </c>
      <c r="D5" s="167">
        <v>1.1919999999999999</v>
      </c>
      <c r="E5" s="130">
        <v>0.53800000000000003</v>
      </c>
      <c r="F5" s="167">
        <v>2.93</v>
      </c>
      <c r="G5" s="130">
        <v>0.88400000000000001</v>
      </c>
      <c r="H5" s="167">
        <v>1.8080000000000001</v>
      </c>
      <c r="I5" s="130">
        <v>0.28499999999999998</v>
      </c>
      <c r="J5" s="110">
        <v>95.031000000000006</v>
      </c>
      <c r="K5" s="107">
        <v>0.93200000000000005</v>
      </c>
      <c r="L5" s="131"/>
      <c r="M5" s="107">
        <v>1</v>
      </c>
      <c r="N5" s="121">
        <v>13.746</v>
      </c>
      <c r="O5" s="121">
        <v>3.2</v>
      </c>
      <c r="P5" s="121">
        <v>4.5410000000000004</v>
      </c>
      <c r="Q5" s="121">
        <v>11.882999999999999</v>
      </c>
      <c r="R5" s="121">
        <v>32.520000000000003</v>
      </c>
      <c r="S5" s="146">
        <v>10.6</v>
      </c>
      <c r="T5" s="121">
        <v>7.4</v>
      </c>
      <c r="U5" s="124">
        <v>25</v>
      </c>
      <c r="V5" s="121">
        <v>0.33</v>
      </c>
      <c r="W5" s="147">
        <v>0.13</v>
      </c>
      <c r="X5" s="121">
        <v>0.33400000000000002</v>
      </c>
      <c r="Y5" s="121">
        <v>2.7719999999999998</v>
      </c>
      <c r="Z5" s="121">
        <v>0.33</v>
      </c>
      <c r="AA5" s="121">
        <v>0.152</v>
      </c>
      <c r="AB5" s="121">
        <v>0.80300000000000005</v>
      </c>
      <c r="AC5" s="121">
        <v>1.08</v>
      </c>
      <c r="AD5" s="121">
        <v>0.05</v>
      </c>
      <c r="AE5" s="147">
        <v>0.89400000000000002</v>
      </c>
      <c r="AF5" s="147">
        <v>0.995</v>
      </c>
      <c r="AG5" s="121">
        <v>0.54400000000000004</v>
      </c>
      <c r="AH5" s="121">
        <v>0.77200000000000002</v>
      </c>
      <c r="AI5" s="121">
        <v>2.8439999999999999</v>
      </c>
      <c r="AJ5" s="129">
        <v>17.728000000000002</v>
      </c>
      <c r="AK5" s="153">
        <v>0.80100000000000005</v>
      </c>
      <c r="AL5" s="113"/>
      <c r="AM5" s="121">
        <v>4.2</v>
      </c>
      <c r="AN5" s="121">
        <v>3.25</v>
      </c>
      <c r="AO5" s="121">
        <v>3.9</v>
      </c>
      <c r="AP5" s="121">
        <v>3</v>
      </c>
      <c r="AQ5" s="121">
        <v>2.2999999999999998</v>
      </c>
      <c r="AR5" s="121">
        <v>4.5999999999999996</v>
      </c>
      <c r="AS5" s="121">
        <v>6.2</v>
      </c>
      <c r="AT5" s="121">
        <v>1.3</v>
      </c>
      <c r="AU5" s="129">
        <v>4.1840000000000002</v>
      </c>
      <c r="AV5" s="121">
        <v>0.15</v>
      </c>
      <c r="AW5" s="121">
        <v>9.8770000000000007</v>
      </c>
      <c r="AX5" s="121">
        <v>0.26</v>
      </c>
      <c r="AY5" s="121">
        <v>1</v>
      </c>
      <c r="AZ5" s="121">
        <v>1.1499999999999999</v>
      </c>
      <c r="BA5" s="121">
        <v>0.48875000000000002</v>
      </c>
      <c r="BB5" s="121">
        <v>57</v>
      </c>
      <c r="BC5" s="148">
        <v>9.109</v>
      </c>
      <c r="BD5" s="129">
        <v>1.9890000000000001</v>
      </c>
      <c r="BE5" s="121">
        <v>0.59</v>
      </c>
      <c r="BF5" s="129">
        <v>1.3140000000000001</v>
      </c>
      <c r="BG5" s="121">
        <v>0.85</v>
      </c>
      <c r="BH5" s="121">
        <v>1.3</v>
      </c>
      <c r="BI5" s="121">
        <v>6.5</v>
      </c>
      <c r="BJ5" s="121">
        <v>1.419</v>
      </c>
      <c r="BK5" s="121">
        <v>2</v>
      </c>
      <c r="BL5" s="121">
        <v>1E-3</v>
      </c>
      <c r="BM5" s="121">
        <v>1</v>
      </c>
      <c r="BN5" s="121">
        <v>8.0000000000000002E-3</v>
      </c>
      <c r="BO5" s="129">
        <v>5</v>
      </c>
      <c r="BP5" s="121">
        <v>0.29499999999999998</v>
      </c>
      <c r="BQ5" s="121">
        <v>29.521000000000001</v>
      </c>
      <c r="BR5" s="121">
        <v>0.125</v>
      </c>
      <c r="BS5" s="121">
        <v>8.8999999999999996E-2</v>
      </c>
      <c r="BT5" s="121">
        <v>0.02</v>
      </c>
      <c r="BU5" s="121">
        <v>0.29963250000000002</v>
      </c>
      <c r="BV5" s="121">
        <v>0.24</v>
      </c>
      <c r="BW5" s="149">
        <v>0.5</v>
      </c>
      <c r="BX5" s="146">
        <v>0.5</v>
      </c>
      <c r="BY5" s="121">
        <v>0.2</v>
      </c>
      <c r="BZ5" s="121">
        <v>0.5</v>
      </c>
      <c r="CA5" s="129">
        <v>0.1</v>
      </c>
      <c r="CB5" s="121">
        <v>0.33900000000000002</v>
      </c>
      <c r="CC5" s="121">
        <v>0.01</v>
      </c>
      <c r="CD5" s="150">
        <v>0.5</v>
      </c>
      <c r="CE5" s="121">
        <v>0.5</v>
      </c>
      <c r="CF5" s="121">
        <v>0.97299999999999998</v>
      </c>
      <c r="CG5" s="121">
        <v>2.5000000000000001E-2</v>
      </c>
      <c r="CH5" s="121">
        <v>0.11899999999999999</v>
      </c>
      <c r="CI5" s="121">
        <v>0.14899999999999999</v>
      </c>
      <c r="CJ5" s="121">
        <v>0.3</v>
      </c>
      <c r="CK5" s="121">
        <v>1</v>
      </c>
      <c r="CL5" s="121">
        <v>1.4074053399999999</v>
      </c>
      <c r="CM5" s="151">
        <v>14</v>
      </c>
      <c r="CN5" s="121">
        <v>0.21560000000000001</v>
      </c>
      <c r="CO5" s="121">
        <v>0.15</v>
      </c>
      <c r="CP5" s="121">
        <v>1.3109999999999999</v>
      </c>
      <c r="CQ5" s="121">
        <v>1.296</v>
      </c>
      <c r="CR5" s="129">
        <v>0.16600000000000001</v>
      </c>
      <c r="CS5" s="121">
        <v>1.9650000000000001</v>
      </c>
      <c r="CT5" s="121">
        <v>0.48399999999999999</v>
      </c>
      <c r="CU5" s="129">
        <v>0.97</v>
      </c>
      <c r="CV5" s="129">
        <v>0.12</v>
      </c>
      <c r="CW5" s="129">
        <v>1.298</v>
      </c>
      <c r="CX5" s="129">
        <v>0.255</v>
      </c>
      <c r="CY5" s="129">
        <v>0.36499999999999999</v>
      </c>
      <c r="CZ5" s="129">
        <v>0.06</v>
      </c>
      <c r="DA5" s="129">
        <v>0.61799999999999999</v>
      </c>
      <c r="DB5" s="126">
        <v>27.9</v>
      </c>
      <c r="DC5" s="121">
        <v>3</v>
      </c>
      <c r="DD5" s="121">
        <v>2</v>
      </c>
      <c r="DE5" s="129">
        <v>5.7409999999999997</v>
      </c>
      <c r="DF5" s="121">
        <v>1.34</v>
      </c>
      <c r="DG5" s="121">
        <v>24.31</v>
      </c>
      <c r="DH5" s="121">
        <v>28.018000000000001</v>
      </c>
      <c r="DI5" s="121">
        <v>6.3</v>
      </c>
      <c r="DJ5" s="121">
        <v>3.1539999999999999</v>
      </c>
      <c r="DK5" s="121">
        <v>5.2969999999999997</v>
      </c>
      <c r="DL5" s="121">
        <v>4.5</v>
      </c>
      <c r="DM5" s="121">
        <v>11.568</v>
      </c>
      <c r="DN5" s="121">
        <v>0.499</v>
      </c>
      <c r="DO5" s="121">
        <v>0.1</v>
      </c>
      <c r="DP5" s="144">
        <v>1.8</v>
      </c>
      <c r="DQ5" s="144">
        <v>16</v>
      </c>
      <c r="DR5" s="121">
        <v>8.6229999999999993</v>
      </c>
      <c r="DS5" s="121">
        <v>3.4529999999999998</v>
      </c>
      <c r="DT5" s="152">
        <v>8.5139999999999993</v>
      </c>
      <c r="DU5" s="148">
        <v>3.1019999999999999</v>
      </c>
      <c r="DV5" s="121">
        <v>10.765000000000001</v>
      </c>
      <c r="DW5" s="121">
        <v>18.917000000000002</v>
      </c>
      <c r="DX5" s="121">
        <v>0</v>
      </c>
      <c r="DY5" s="121">
        <v>0.18</v>
      </c>
      <c r="DZ5" s="121">
        <v>0.03</v>
      </c>
      <c r="EA5" s="121">
        <v>1.2999999999999999E-2</v>
      </c>
      <c r="EB5" s="121">
        <v>0.1</v>
      </c>
      <c r="EC5" s="121">
        <v>7.8E-2</v>
      </c>
      <c r="ED5" s="121">
        <v>1.4999999999999999E-2</v>
      </c>
      <c r="EE5" s="121">
        <v>0.05</v>
      </c>
      <c r="EF5" s="121">
        <v>0.68899999999999995</v>
      </c>
      <c r="EG5" s="121">
        <v>1.984</v>
      </c>
      <c r="EH5" s="121">
        <v>0.3</v>
      </c>
      <c r="EI5" s="121">
        <v>9.5000000000000001E-2</v>
      </c>
      <c r="EJ5" s="121">
        <v>0.14899999999999999</v>
      </c>
      <c r="EK5" s="121">
        <v>1.1000000000000001E-3</v>
      </c>
      <c r="EL5" s="121">
        <v>0</v>
      </c>
      <c r="EM5" s="121">
        <v>4.2000000000000003E-2</v>
      </c>
      <c r="EN5" s="121">
        <v>4.7229999999999999</v>
      </c>
      <c r="EO5" s="121">
        <v>0.49</v>
      </c>
      <c r="EP5" s="275">
        <v>7.3029999999999999</v>
      </c>
      <c r="EQ5" s="121">
        <v>0.5</v>
      </c>
    </row>
    <row r="6" spans="1:147" ht="15">
      <c r="A6" s="268" t="s">
        <v>5695</v>
      </c>
      <c r="B6" s="267">
        <v>348.34</v>
      </c>
      <c r="C6" s="267">
        <v>37.6</v>
      </c>
      <c r="D6" s="267">
        <v>25.96</v>
      </c>
      <c r="E6" s="267">
        <v>18.36</v>
      </c>
      <c r="F6" s="267">
        <v>21.38</v>
      </c>
      <c r="G6" s="267">
        <v>31.71</v>
      </c>
      <c r="H6" s="267">
        <v>22.634</v>
      </c>
      <c r="I6" s="267">
        <f>24.66</f>
        <v>24.66</v>
      </c>
      <c r="J6" s="267">
        <v>124.339</v>
      </c>
      <c r="K6" s="267">
        <v>117.017</v>
      </c>
      <c r="M6" s="267">
        <v>265.19499999999999</v>
      </c>
      <c r="N6" s="267">
        <v>49.597999999999999</v>
      </c>
      <c r="O6" s="267">
        <v>353.54</v>
      </c>
      <c r="P6" s="267">
        <v>62.710999999999999</v>
      </c>
      <c r="Q6" s="267">
        <v>275.2</v>
      </c>
      <c r="R6" s="267">
        <v>1095.3</v>
      </c>
      <c r="S6" s="267">
        <v>67.709999999999994</v>
      </c>
      <c r="T6" s="267">
        <v>149.256</v>
      </c>
      <c r="U6" s="267">
        <v>1944.2</v>
      </c>
      <c r="V6" s="267">
        <v>18.395</v>
      </c>
      <c r="W6" s="267">
        <v>15.173</v>
      </c>
      <c r="X6" s="267">
        <v>26.303999999999998</v>
      </c>
      <c r="Y6" s="267">
        <v>102.744</v>
      </c>
      <c r="Z6" s="267">
        <v>13.292999999999999</v>
      </c>
      <c r="AA6" s="267">
        <v>11.462</v>
      </c>
      <c r="AB6" s="267">
        <v>31.082000000000001</v>
      </c>
      <c r="AC6" s="267">
        <v>29.689</v>
      </c>
      <c r="AD6" s="267">
        <v>39.465000000000003</v>
      </c>
      <c r="AE6" s="267">
        <v>18.663</v>
      </c>
      <c r="AF6" s="267">
        <v>24.225999999999999</v>
      </c>
      <c r="AG6" s="267">
        <v>17.308</v>
      </c>
      <c r="AH6" s="267">
        <v>29.689</v>
      </c>
      <c r="AI6" s="267">
        <v>11.180999999999999</v>
      </c>
      <c r="AJ6" s="267">
        <v>521.30899999999997</v>
      </c>
      <c r="AK6" s="267">
        <v>32.799999999999997</v>
      </c>
      <c r="AL6" s="267">
        <v>71.5</v>
      </c>
      <c r="AM6" s="267">
        <v>90.986999999999995</v>
      </c>
      <c r="AN6" s="267">
        <v>224.90100000000001</v>
      </c>
      <c r="AO6" s="267">
        <v>96.617999999999995</v>
      </c>
      <c r="AP6" s="267">
        <v>87.472999999999999</v>
      </c>
      <c r="AQ6" s="267">
        <v>61.557000000000002</v>
      </c>
      <c r="AR6" s="267">
        <v>120.01300000000001</v>
      </c>
      <c r="AS6" s="267">
        <v>274.27499999999998</v>
      </c>
      <c r="AT6" s="267">
        <v>30.635999999999999</v>
      </c>
      <c r="AU6" s="267">
        <v>170.148</v>
      </c>
      <c r="AV6" s="267">
        <v>168.73500000000001</v>
      </c>
      <c r="AW6" s="270">
        <v>106.2</v>
      </c>
      <c r="AX6" s="270">
        <v>31.26</v>
      </c>
      <c r="AY6" s="267">
        <v>47.082999999999998</v>
      </c>
      <c r="AZ6" s="267">
        <v>45.6</v>
      </c>
      <c r="BA6" s="267">
        <v>9.9990000000000006</v>
      </c>
      <c r="BB6" s="267">
        <v>82.7</v>
      </c>
      <c r="BC6" s="267">
        <v>1521.1079999999999</v>
      </c>
      <c r="BD6" s="267">
        <v>58.219000000000001</v>
      </c>
      <c r="BE6" s="267">
        <v>64.801000000000002</v>
      </c>
      <c r="BF6" s="267">
        <v>15.545</v>
      </c>
      <c r="BG6" s="267">
        <v>77.53</v>
      </c>
      <c r="BH6" s="267">
        <v>17.8</v>
      </c>
      <c r="BI6" s="267">
        <v>25.87</v>
      </c>
      <c r="BJ6" s="267">
        <v>96.361000000000004</v>
      </c>
      <c r="BK6" s="267">
        <v>15.759</v>
      </c>
      <c r="BL6" s="267">
        <v>1.5229999999999999</v>
      </c>
      <c r="BM6" s="267">
        <v>16.303000000000001</v>
      </c>
      <c r="BN6" s="267">
        <v>8.5820000000000007</v>
      </c>
      <c r="BO6" s="267">
        <v>114.229</v>
      </c>
      <c r="BP6" s="267">
        <v>13.903</v>
      </c>
      <c r="BQ6" s="267">
        <v>627.87</v>
      </c>
      <c r="BR6" s="267">
        <v>2.4860000000000002</v>
      </c>
      <c r="BS6" s="267">
        <v>17.696000000000002</v>
      </c>
      <c r="BT6" s="267">
        <v>0.93300000000000005</v>
      </c>
      <c r="BU6" s="267">
        <v>9.7940000000000005</v>
      </c>
      <c r="BV6" s="267">
        <v>8.2260000000000009</v>
      </c>
      <c r="BW6" s="267">
        <v>33.017000000000003</v>
      </c>
      <c r="BX6" s="267">
        <v>12.676</v>
      </c>
      <c r="BY6" s="267">
        <v>6.726</v>
      </c>
      <c r="BZ6" s="267">
        <v>5.2649999999999997</v>
      </c>
      <c r="CA6" s="267">
        <v>20.927</v>
      </c>
      <c r="CB6" s="267">
        <v>6.7869999999999999</v>
      </c>
      <c r="CC6" s="267">
        <v>0.78800000000000003</v>
      </c>
      <c r="CD6" s="267">
        <v>7.1120000000000001</v>
      </c>
      <c r="CE6" s="267">
        <v>36.380000000000003</v>
      </c>
      <c r="CF6" s="267">
        <v>41.957999999999998</v>
      </c>
      <c r="CG6" s="267">
        <v>1.9910000000000001</v>
      </c>
      <c r="CH6" s="267">
        <v>5.274</v>
      </c>
      <c r="CI6" s="267">
        <v>8.2159999999999993</v>
      </c>
      <c r="CJ6" s="267">
        <v>7.4969999999999999</v>
      </c>
      <c r="CK6" s="267">
        <v>12.632</v>
      </c>
      <c r="CL6" s="267">
        <v>47.887</v>
      </c>
      <c r="CM6" s="267">
        <v>100.426</v>
      </c>
      <c r="CN6" s="267">
        <v>28.417999999999999</v>
      </c>
      <c r="CO6" s="267">
        <v>1.56</v>
      </c>
      <c r="CP6" s="271"/>
      <c r="CQ6" s="267">
        <v>8.5</v>
      </c>
      <c r="CR6" s="267">
        <v>49.49</v>
      </c>
      <c r="CS6" s="267">
        <v>2.9209999999999998</v>
      </c>
      <c r="CT6" s="267">
        <v>2.669</v>
      </c>
      <c r="CU6" s="267">
        <v>4.3730000000000002</v>
      </c>
      <c r="CV6" s="267">
        <v>1.4750000000000001</v>
      </c>
      <c r="CW6" s="267">
        <v>2.4260000000000002</v>
      </c>
      <c r="CX6" s="267">
        <v>2.1869999999999998</v>
      </c>
      <c r="CY6" s="267">
        <v>1.9770000000000001</v>
      </c>
      <c r="CZ6" s="267">
        <v>0.58199999999999996</v>
      </c>
      <c r="DA6" s="267">
        <v>1.177</v>
      </c>
      <c r="DB6" s="267">
        <v>44.606999999999999</v>
      </c>
      <c r="DC6" s="267">
        <v>66.864000000000004</v>
      </c>
      <c r="DD6" s="267">
        <v>44.582000000000001</v>
      </c>
      <c r="DE6" s="267">
        <v>53.823999999999998</v>
      </c>
      <c r="DF6" s="267">
        <v>127.727</v>
      </c>
      <c r="DG6" s="267">
        <v>277.08600000000001</v>
      </c>
      <c r="DH6" s="267">
        <v>35.993000000000002</v>
      </c>
      <c r="DI6" s="267">
        <v>19.902999999999999</v>
      </c>
      <c r="DJ6" s="267">
        <v>39.700000000000003</v>
      </c>
      <c r="DK6" s="267">
        <v>28.251000000000001</v>
      </c>
      <c r="DL6" s="267">
        <v>43.695999999999998</v>
      </c>
      <c r="DM6" s="267">
        <v>377.286</v>
      </c>
      <c r="DN6" s="267">
        <v>125.13</v>
      </c>
      <c r="DO6" s="267">
        <v>37.694000000000003</v>
      </c>
      <c r="DP6" s="267">
        <v>413.267</v>
      </c>
      <c r="DQ6" s="267">
        <v>413.267</v>
      </c>
      <c r="DR6" s="267">
        <v>495.31700000000001</v>
      </c>
      <c r="DS6" s="267">
        <v>50.807000000000002</v>
      </c>
      <c r="DT6" s="267">
        <v>26.253</v>
      </c>
      <c r="DU6" s="267">
        <v>106.523</v>
      </c>
      <c r="DV6" s="267">
        <v>31.847000000000001</v>
      </c>
      <c r="DW6" s="267">
        <v>28.861999999999998</v>
      </c>
      <c r="DX6" s="267">
        <v>64.557000000000002</v>
      </c>
      <c r="DY6" s="267">
        <v>11.14</v>
      </c>
      <c r="DZ6" s="267">
        <v>0.35</v>
      </c>
      <c r="EA6" s="267">
        <v>0.505</v>
      </c>
      <c r="EB6" s="267">
        <v>3.6030000000000002</v>
      </c>
      <c r="EC6" s="267">
        <v>1.3029999999999999</v>
      </c>
      <c r="ED6" s="267">
        <v>0.81299999999999994</v>
      </c>
      <c r="EE6" s="267">
        <v>1.706</v>
      </c>
      <c r="EF6" s="267">
        <v>15.259</v>
      </c>
      <c r="EG6" s="267">
        <v>4.8849999999999998</v>
      </c>
      <c r="EH6" s="267">
        <v>5.85</v>
      </c>
      <c r="EI6" s="267">
        <v>3.6779999999999999</v>
      </c>
      <c r="EJ6" s="267">
        <v>7.5330000000000004</v>
      </c>
      <c r="EL6" s="267">
        <v>17.477</v>
      </c>
      <c r="EM6" s="267">
        <v>1.365</v>
      </c>
      <c r="EN6" s="267">
        <v>51.728000000000002</v>
      </c>
      <c r="EO6" s="267">
        <v>9.9969999999999999</v>
      </c>
      <c r="EP6" s="267">
        <v>4.1920000000000002</v>
      </c>
      <c r="EQ6" s="267">
        <v>5.82</v>
      </c>
    </row>
    <row r="7" spans="1:147">
      <c r="B7" s="269">
        <f>B5/B6*1000</f>
        <v>17.224550726301892</v>
      </c>
      <c r="C7" s="273">
        <f>C5/C6*1000</f>
        <v>797.87234042553189</v>
      </c>
      <c r="D7" s="269">
        <f t="shared" ref="D7:Q7" si="0">D5/D6*1000</f>
        <v>45.916795069337439</v>
      </c>
      <c r="E7" s="269">
        <f t="shared" si="0"/>
        <v>29.302832244008716</v>
      </c>
      <c r="F7" s="269">
        <f t="shared" si="0"/>
        <v>137.04396632366701</v>
      </c>
      <c r="G7" s="269">
        <f t="shared" si="0"/>
        <v>27.877641122674234</v>
      </c>
      <c r="H7" s="269">
        <f t="shared" si="0"/>
        <v>79.879826809225065</v>
      </c>
      <c r="I7" s="269">
        <f t="shared" si="0"/>
        <v>11.557177615571776</v>
      </c>
      <c r="J7" s="269">
        <f t="shared" si="0"/>
        <v>764.28956321025589</v>
      </c>
      <c r="K7" s="269">
        <f t="shared" si="0"/>
        <v>7.964654708290249</v>
      </c>
      <c r="L7" s="269" t="e">
        <f t="shared" si="0"/>
        <v>#DIV/0!</v>
      </c>
      <c r="M7" s="269">
        <f t="shared" si="0"/>
        <v>3.7708101585625675</v>
      </c>
      <c r="N7" s="269">
        <f t="shared" si="0"/>
        <v>277.14827210774627</v>
      </c>
      <c r="O7" s="269">
        <f t="shared" si="0"/>
        <v>9.0513096113593949</v>
      </c>
      <c r="P7" s="269">
        <f t="shared" si="0"/>
        <v>72.411538645532701</v>
      </c>
      <c r="Q7" s="269">
        <f t="shared" si="0"/>
        <v>43.17950581395349</v>
      </c>
      <c r="R7" s="269">
        <f>R5/R6*1000</f>
        <v>29.69049575458779</v>
      </c>
      <c r="S7" s="269">
        <f t="shared" ref="S7" si="1">S5/S6*1000</f>
        <v>156.5499926155664</v>
      </c>
      <c r="T7" s="269">
        <f t="shared" ref="T7" si="2">T5/T6*1000</f>
        <v>49.579246395454796</v>
      </c>
      <c r="U7" s="269">
        <f t="shared" ref="U7" si="3">U5/U6*1000</f>
        <v>12.858759386894352</v>
      </c>
      <c r="V7" s="269">
        <f t="shared" ref="V7" si="4">V5/V6*1000</f>
        <v>17.93965751562925</v>
      </c>
      <c r="W7" s="269">
        <f t="shared" ref="W7" si="5">W5/W6*1000</f>
        <v>8.5678507875832075</v>
      </c>
      <c r="X7" s="269">
        <f t="shared" ref="X7" si="6">X5/X6*1000</f>
        <v>12.697688564476888</v>
      </c>
      <c r="Y7" s="269">
        <f t="shared" ref="Y7" si="7">Y5/Y6*1000</f>
        <v>26.979677645409947</v>
      </c>
      <c r="Z7" s="269">
        <f>Z5/Z6*1000</f>
        <v>24.825095915143311</v>
      </c>
      <c r="AA7" s="269">
        <f t="shared" ref="AA7" si="8">AA5/AA6*1000</f>
        <v>13.261210957948004</v>
      </c>
      <c r="AB7" s="269">
        <f t="shared" ref="AB7" si="9">AB5/AB6*1000</f>
        <v>25.834888359822404</v>
      </c>
      <c r="AC7" s="269">
        <f t="shared" ref="AC7" si="10">AC5/AC6*1000</f>
        <v>36.37710936710566</v>
      </c>
      <c r="AD7" s="269">
        <f t="shared" ref="AD7" si="11">AD5/AD6*1000</f>
        <v>1.2669453946534905</v>
      </c>
      <c r="AE7" s="269">
        <f t="shared" ref="AE7" si="12">AE5/AE6*1000</f>
        <v>47.902266516637198</v>
      </c>
      <c r="AF7" s="269">
        <f t="shared" ref="AF7" si="13">AF5/AF6*1000</f>
        <v>41.071575992735077</v>
      </c>
      <c r="AG7" s="269">
        <f t="shared" ref="AG7" si="14">AG5/AG6*1000</f>
        <v>31.430552345736078</v>
      </c>
      <c r="AH7" s="269">
        <f t="shared" ref="AH7" si="15">AH5/AH6*1000</f>
        <v>26.0028966957459</v>
      </c>
      <c r="AI7" s="269">
        <f t="shared" ref="AI7" si="16">AI5/AI6*1000</f>
        <v>254.36007512744834</v>
      </c>
      <c r="AJ7" s="269">
        <f t="shared" ref="AJ7" si="17">AJ5/AJ6*1000</f>
        <v>34.006702358869696</v>
      </c>
      <c r="AK7" s="269">
        <f t="shared" ref="AK7" si="18">AK5/AK6*1000</f>
        <v>24.420731707317078</v>
      </c>
      <c r="AL7" s="269">
        <f t="shared" ref="AL7" si="19">AL5/AL6*1000</f>
        <v>0</v>
      </c>
      <c r="AM7" s="269">
        <f t="shared" ref="AM7" si="20">AM5/AM6*1000</f>
        <v>46.160440502489372</v>
      </c>
      <c r="AN7" s="269">
        <f>AN5/AN6*1000</f>
        <v>14.45080279767542</v>
      </c>
      <c r="AO7" s="269">
        <f t="shared" ref="AO7" si="21">AO5/AO6*1000</f>
        <v>40.365149351052601</v>
      </c>
      <c r="AP7" s="269">
        <f t="shared" ref="AP7" si="22">AP5/AP6*1000</f>
        <v>34.296297143118451</v>
      </c>
      <c r="AQ7" s="269">
        <f t="shared" ref="AQ7" si="23">AQ5/AQ6*1000</f>
        <v>37.363744172068159</v>
      </c>
      <c r="AR7" s="269">
        <f t="shared" ref="AR7" si="24">AR5/AR6*1000</f>
        <v>38.329181005391078</v>
      </c>
      <c r="AS7" s="269">
        <f t="shared" ref="AS7" si="25">AS5/AS6*1000</f>
        <v>22.605049676419654</v>
      </c>
      <c r="AT7" s="269">
        <f t="shared" ref="AT7" si="26">AT5/AT6*1000</f>
        <v>42.433738085911997</v>
      </c>
      <c r="AU7" s="269">
        <f t="shared" ref="AU7" si="27">AU5/AU6*1000</f>
        <v>24.590356630697979</v>
      </c>
      <c r="AV7" s="269">
        <f t="shared" ref="AV7" si="28">AV5/AV6*1000</f>
        <v>0.8889679082585118</v>
      </c>
      <c r="AW7" s="269">
        <f t="shared" ref="AW7" si="29">AW5/AW6*1000</f>
        <v>93.003766478342754</v>
      </c>
      <c r="AX7" s="269">
        <f t="shared" ref="AX7" si="30">AX5/AX6*1000</f>
        <v>8.3173384516954574</v>
      </c>
      <c r="AY7" s="269">
        <f>AY5/AY6*1000</f>
        <v>21.239088418325085</v>
      </c>
      <c r="AZ7" s="269">
        <f t="shared" ref="AZ7" si="31">AZ5/AZ6*1000</f>
        <v>25.219298245614034</v>
      </c>
      <c r="BA7" s="269">
        <f t="shared" ref="BA7" si="32">BA5/BA6*1000</f>
        <v>48.879887988798878</v>
      </c>
      <c r="BB7" s="273">
        <f t="shared" ref="BB7" si="33">BB5/BB6*1000</f>
        <v>689.23821039903271</v>
      </c>
      <c r="BC7" s="269">
        <f t="shared" ref="BC7:DN7" si="34">BC5/BC6*1000</f>
        <v>5.9883979309818898</v>
      </c>
      <c r="BD7" s="269">
        <f t="shared" si="34"/>
        <v>34.164104501966712</v>
      </c>
      <c r="BE7" s="269">
        <f t="shared" si="34"/>
        <v>9.1047977654665821</v>
      </c>
      <c r="BF7" s="269">
        <f t="shared" si="34"/>
        <v>84.528787391444212</v>
      </c>
      <c r="BG7" s="269">
        <f t="shared" si="34"/>
        <v>10.963498000773894</v>
      </c>
      <c r="BH7" s="269">
        <f t="shared" si="34"/>
        <v>73.033707865168537</v>
      </c>
      <c r="BI7" s="269">
        <f t="shared" si="34"/>
        <v>251.25628140703515</v>
      </c>
      <c r="BJ7" s="269">
        <f t="shared" si="34"/>
        <v>14.725874575813867</v>
      </c>
      <c r="BK7" s="269">
        <f t="shared" si="34"/>
        <v>126.91160606637477</v>
      </c>
      <c r="BL7" s="269">
        <f t="shared" si="34"/>
        <v>0.65659881812212739</v>
      </c>
      <c r="BM7" s="269">
        <f t="shared" si="34"/>
        <v>61.338403974728578</v>
      </c>
      <c r="BN7" s="269">
        <f t="shared" si="34"/>
        <v>0.93218364017711486</v>
      </c>
      <c r="BO7" s="269">
        <f t="shared" si="34"/>
        <v>43.771721716902007</v>
      </c>
      <c r="BP7" s="269">
        <f t="shared" si="34"/>
        <v>21.218442062864128</v>
      </c>
      <c r="BQ7" s="269">
        <f t="shared" si="34"/>
        <v>47.017694745727617</v>
      </c>
      <c r="BR7" s="269">
        <f t="shared" si="34"/>
        <v>50.281576830249392</v>
      </c>
      <c r="BS7" s="269">
        <f t="shared" si="34"/>
        <v>5.0293851717902349</v>
      </c>
      <c r="BT7" s="269">
        <f t="shared" si="34"/>
        <v>21.436227224008576</v>
      </c>
      <c r="BU7" s="269">
        <f t="shared" si="34"/>
        <v>30.593475597304472</v>
      </c>
      <c r="BV7" s="269">
        <f t="shared" si="34"/>
        <v>29.17578409919766</v>
      </c>
      <c r="BW7" s="269">
        <f t="shared" si="34"/>
        <v>15.143713844383194</v>
      </c>
      <c r="BX7" s="269">
        <f t="shared" si="34"/>
        <v>39.444619753865574</v>
      </c>
      <c r="BY7" s="269">
        <f t="shared" si="34"/>
        <v>29.735355337496287</v>
      </c>
      <c r="BZ7" s="269">
        <f t="shared" si="34"/>
        <v>94.966761633428305</v>
      </c>
      <c r="CA7" s="269">
        <f t="shared" si="34"/>
        <v>4.7785157929946962</v>
      </c>
      <c r="CB7" s="269">
        <f t="shared" si="34"/>
        <v>49.948430823633423</v>
      </c>
      <c r="CC7" s="269">
        <f t="shared" si="34"/>
        <v>12.690355329949238</v>
      </c>
      <c r="CD7" s="269">
        <f t="shared" si="34"/>
        <v>70.303712035995503</v>
      </c>
      <c r="CE7" s="269">
        <f t="shared" si="34"/>
        <v>13.743815283122593</v>
      </c>
      <c r="CF7" s="269">
        <f t="shared" si="34"/>
        <v>23.189856523189857</v>
      </c>
      <c r="CG7" s="269">
        <f t="shared" si="34"/>
        <v>12.556504269211452</v>
      </c>
      <c r="CH7" s="269">
        <f t="shared" si="34"/>
        <v>22.563519150549865</v>
      </c>
      <c r="CI7" s="269">
        <f t="shared" si="34"/>
        <v>18.135345666991238</v>
      </c>
      <c r="CJ7" s="269">
        <f t="shared" si="34"/>
        <v>40.016006402561025</v>
      </c>
      <c r="CK7" s="269">
        <f t="shared" si="34"/>
        <v>79.164027865737808</v>
      </c>
      <c r="CL7" s="269">
        <f t="shared" si="34"/>
        <v>29.390133856787855</v>
      </c>
      <c r="CM7" s="269">
        <f t="shared" si="34"/>
        <v>139.40612988668272</v>
      </c>
      <c r="CN7" s="269">
        <f t="shared" si="34"/>
        <v>7.5867407980857209</v>
      </c>
      <c r="CO7" s="269">
        <f t="shared" si="34"/>
        <v>96.153846153846146</v>
      </c>
      <c r="CP7" s="269" t="e">
        <f t="shared" si="34"/>
        <v>#DIV/0!</v>
      </c>
      <c r="CQ7" s="269">
        <f t="shared" si="34"/>
        <v>152.47058823529414</v>
      </c>
      <c r="CR7" s="269">
        <f t="shared" si="34"/>
        <v>3.3542129723176402</v>
      </c>
      <c r="CS7" s="269">
        <f t="shared" si="34"/>
        <v>672.71482369051705</v>
      </c>
      <c r="CT7" s="269">
        <f t="shared" si="34"/>
        <v>181.34132633945296</v>
      </c>
      <c r="CU7" s="269">
        <f t="shared" si="34"/>
        <v>221.81568717127828</v>
      </c>
      <c r="CV7" s="269">
        <f t="shared" si="34"/>
        <v>81.355932203389827</v>
      </c>
      <c r="CW7" s="269">
        <f t="shared" si="34"/>
        <v>535.03709810387465</v>
      </c>
      <c r="CX7" s="269">
        <f t="shared" si="34"/>
        <v>116.59807956104254</v>
      </c>
      <c r="CY7" s="269">
        <f t="shared" si="34"/>
        <v>184.62316641375821</v>
      </c>
      <c r="CZ7" s="269">
        <f t="shared" si="34"/>
        <v>103.09278350515464</v>
      </c>
      <c r="DA7" s="269">
        <f t="shared" si="34"/>
        <v>525.06372132540355</v>
      </c>
      <c r="DB7" s="269">
        <f t="shared" si="34"/>
        <v>625.4623713766897</v>
      </c>
      <c r="DC7" s="269">
        <f t="shared" si="34"/>
        <v>44.867193108399135</v>
      </c>
      <c r="DD7" s="269">
        <f t="shared" si="34"/>
        <v>44.861154726122649</v>
      </c>
      <c r="DE7" s="269">
        <f t="shared" si="34"/>
        <v>106.66245541022593</v>
      </c>
      <c r="DF7" s="269">
        <f t="shared" si="34"/>
        <v>10.491125603826912</v>
      </c>
      <c r="DG7" s="269">
        <f t="shared" si="34"/>
        <v>87.734493983817288</v>
      </c>
      <c r="DH7" s="269">
        <f t="shared" si="34"/>
        <v>778.42913899924986</v>
      </c>
      <c r="DI7" s="269">
        <f t="shared" si="34"/>
        <v>316.53519569914084</v>
      </c>
      <c r="DJ7" s="269">
        <f t="shared" si="34"/>
        <v>79.445843828715368</v>
      </c>
      <c r="DK7" s="269">
        <f t="shared" si="34"/>
        <v>187.49778768893137</v>
      </c>
      <c r="DL7" s="269">
        <f t="shared" si="34"/>
        <v>102.98425485170267</v>
      </c>
      <c r="DM7" s="269">
        <f t="shared" si="34"/>
        <v>30.66108999538811</v>
      </c>
      <c r="DN7" s="269">
        <f t="shared" si="34"/>
        <v>3.9878526332614088</v>
      </c>
      <c r="DO7" s="269">
        <f t="shared" ref="DO7:EQ7" si="35">DO5/DO6*1000</f>
        <v>2.6529421128030988</v>
      </c>
      <c r="DP7" s="269">
        <f t="shared" si="35"/>
        <v>4.3555377032281797</v>
      </c>
      <c r="DQ7" s="269">
        <f t="shared" si="35"/>
        <v>38.715890695361594</v>
      </c>
      <c r="DR7" s="269">
        <f t="shared" si="35"/>
        <v>17.409053192198126</v>
      </c>
      <c r="DS7" s="269">
        <f t="shared" si="35"/>
        <v>67.963075954100816</v>
      </c>
      <c r="DT7" s="269">
        <f t="shared" si="35"/>
        <v>324.30579362358588</v>
      </c>
      <c r="DU7" s="269">
        <f t="shared" si="35"/>
        <v>29.120471635233706</v>
      </c>
      <c r="DV7" s="269">
        <f t="shared" si="35"/>
        <v>338.02241969416275</v>
      </c>
      <c r="DW7" s="269">
        <f t="shared" si="35"/>
        <v>655.42928417989071</v>
      </c>
      <c r="DX7" s="269">
        <f t="shared" si="35"/>
        <v>0</v>
      </c>
      <c r="DY7" s="269">
        <f t="shared" si="35"/>
        <v>16.157989228007182</v>
      </c>
      <c r="DZ7" s="269">
        <f t="shared" si="35"/>
        <v>85.714285714285708</v>
      </c>
      <c r="EA7" s="269">
        <f t="shared" si="35"/>
        <v>25.742574257425741</v>
      </c>
      <c r="EB7" s="269">
        <f t="shared" si="35"/>
        <v>27.754648903691368</v>
      </c>
      <c r="EC7" s="269">
        <f t="shared" si="35"/>
        <v>59.861857252494246</v>
      </c>
      <c r="ED7" s="269">
        <f t="shared" si="35"/>
        <v>18.450184501845019</v>
      </c>
      <c r="EE7" s="269">
        <f t="shared" si="35"/>
        <v>29.308323563892149</v>
      </c>
      <c r="EF7" s="269">
        <f t="shared" si="35"/>
        <v>45.153679795530508</v>
      </c>
      <c r="EG7" s="269">
        <f t="shared" si="35"/>
        <v>406.14124872057323</v>
      </c>
      <c r="EH7" s="269">
        <f t="shared" si="35"/>
        <v>51.282051282051277</v>
      </c>
      <c r="EI7" s="269">
        <f t="shared" si="35"/>
        <v>25.829255029907557</v>
      </c>
      <c r="EJ7" s="269">
        <f t="shared" si="35"/>
        <v>19.779636267091462</v>
      </c>
      <c r="EK7" s="269" t="e">
        <f t="shared" si="35"/>
        <v>#DIV/0!</v>
      </c>
      <c r="EL7" s="269">
        <f t="shared" si="35"/>
        <v>0</v>
      </c>
      <c r="EM7" s="269">
        <f t="shared" si="35"/>
        <v>30.76923076923077</v>
      </c>
      <c r="EN7" s="269">
        <f t="shared" si="35"/>
        <v>91.304515929477262</v>
      </c>
      <c r="EO7" s="269">
        <f t="shared" si="35"/>
        <v>49.0147044113234</v>
      </c>
      <c r="EP7" s="272">
        <f t="shared" si="35"/>
        <v>1742.1278625954196</v>
      </c>
      <c r="EQ7" s="269">
        <f t="shared" si="35"/>
        <v>85.910652920962193</v>
      </c>
    </row>
  </sheetData>
  <hyperlinks>
    <hyperlink ref="DZ2" r:id="rId1" display="evn_adm@mail.ru" xr:uid="{00000000-0004-0000-0400-000000000000}"/>
  </hyperlinks>
  <pageMargins left="0.70866141732283472" right="0.70866141732283472" top="0.74803149606299213" bottom="0.74803149606299213" header="0.31496062992125984" footer="0.31496062992125984"/>
  <pageSetup paperSize="9" orientation="portrait" horizontalDpi="4294967293" verticalDpi="4294967293"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U124"/>
  <sheetViews>
    <sheetView zoomScale="60" zoomScaleNormal="60" workbookViewId="0">
      <pane xSplit="12" ySplit="2" topLeftCell="M9" activePane="bottomRight" state="frozen"/>
      <selection pane="topRight" activeCell="M1" sqref="M1"/>
      <selection pane="bottomLeft" activeCell="A3" sqref="A3"/>
      <selection pane="bottomRight" activeCell="P17" sqref="P17"/>
    </sheetView>
  </sheetViews>
  <sheetFormatPr baseColWidth="10" defaultColWidth="10.33203125" defaultRowHeight="102" customHeight="1"/>
  <cols>
    <col min="1" max="1" width="10.33203125" style="413" bestFit="1" customWidth="1"/>
    <col min="2" max="4" width="10.33203125" style="413"/>
    <col min="5" max="5" width="10.33203125" style="413" bestFit="1" customWidth="1"/>
    <col min="6" max="6" width="10.33203125" style="413"/>
    <col min="7" max="7" width="31.33203125" style="413" customWidth="1"/>
    <col min="8" max="11" width="10.33203125" style="413"/>
    <col min="12" max="12" width="10.33203125" style="413" bestFit="1" customWidth="1"/>
    <col min="13" max="13" width="12.1640625" style="413" bestFit="1" customWidth="1"/>
    <col min="14" max="14" width="12.33203125" style="580" bestFit="1" customWidth="1"/>
    <col min="15" max="16384" width="10.33203125" style="413"/>
  </cols>
  <sheetData>
    <row r="1" spans="1:99" ht="42" customHeight="1" thickBot="1">
      <c r="A1" s="536" t="s">
        <v>4941</v>
      </c>
      <c r="B1" s="536" t="s">
        <v>4942</v>
      </c>
      <c r="C1" s="537" t="s">
        <v>4943</v>
      </c>
      <c r="D1" s="537"/>
      <c r="E1" s="536" t="s">
        <v>4941</v>
      </c>
      <c r="F1" s="536"/>
      <c r="G1" s="537" t="s">
        <v>4943</v>
      </c>
      <c r="H1" s="538" t="s">
        <v>4944</v>
      </c>
      <c r="I1" s="539"/>
      <c r="J1" s="538"/>
      <c r="K1" s="537">
        <v>2016</v>
      </c>
      <c r="L1" s="537">
        <v>2017</v>
      </c>
      <c r="M1" s="537">
        <v>2018</v>
      </c>
      <c r="N1" s="579">
        <v>2019</v>
      </c>
      <c r="O1" s="135" t="s">
        <v>5385</v>
      </c>
      <c r="P1" s="136" t="s">
        <v>5386</v>
      </c>
      <c r="Q1" s="137" t="s">
        <v>5388</v>
      </c>
      <c r="R1" s="137" t="s">
        <v>5389</v>
      </c>
      <c r="S1" s="136" t="s">
        <v>5390</v>
      </c>
      <c r="T1" s="136" t="s">
        <v>5391</v>
      </c>
      <c r="U1" s="136" t="s">
        <v>5392</v>
      </c>
      <c r="V1" s="132" t="s">
        <v>5394</v>
      </c>
      <c r="W1" s="132" t="s">
        <v>5395</v>
      </c>
      <c r="X1" s="132" t="s">
        <v>5393</v>
      </c>
      <c r="Y1" s="132" t="s">
        <v>5396</v>
      </c>
      <c r="Z1" s="134" t="s">
        <v>5398</v>
      </c>
      <c r="AA1" s="134" t="s">
        <v>5397</v>
      </c>
      <c r="AB1" s="134" t="s">
        <v>5399</v>
      </c>
      <c r="AC1" s="158" t="s">
        <v>5400</v>
      </c>
      <c r="AD1" s="158" t="s">
        <v>5401</v>
      </c>
      <c r="AE1" s="134" t="s">
        <v>5402</v>
      </c>
      <c r="AF1" s="158" t="s">
        <v>5403</v>
      </c>
      <c r="AG1" s="158" t="s">
        <v>5404</v>
      </c>
      <c r="AH1" s="134" t="s">
        <v>5405</v>
      </c>
      <c r="AI1" s="134" t="s">
        <v>5406</v>
      </c>
      <c r="AJ1" s="132" t="s">
        <v>5407</v>
      </c>
      <c r="AK1" s="132" t="s">
        <v>5408</v>
      </c>
      <c r="AL1" s="132" t="s">
        <v>5409</v>
      </c>
      <c r="AM1" s="164" t="s">
        <v>5410</v>
      </c>
      <c r="AN1" s="164" t="s">
        <v>5411</v>
      </c>
      <c r="AO1" s="132" t="s">
        <v>5412</v>
      </c>
      <c r="AP1" s="132" t="s">
        <v>5413</v>
      </c>
      <c r="AQ1" s="132" t="s">
        <v>5414</v>
      </c>
      <c r="AR1" s="132" t="s">
        <v>5415</v>
      </c>
      <c r="AS1" s="132" t="s">
        <v>5416</v>
      </c>
      <c r="AT1" s="132" t="s">
        <v>5417</v>
      </c>
      <c r="AU1" s="132" t="s">
        <v>5418</v>
      </c>
      <c r="AV1" s="132" t="s">
        <v>5419</v>
      </c>
      <c r="AW1" s="132" t="s">
        <v>5420</v>
      </c>
      <c r="AX1" s="164" t="s">
        <v>5421</v>
      </c>
      <c r="AY1" s="132" t="s">
        <v>5422</v>
      </c>
      <c r="AZ1" s="132" t="s">
        <v>5423</v>
      </c>
      <c r="BA1" s="164" t="s">
        <v>5424</v>
      </c>
      <c r="BB1" s="132" t="s">
        <v>5425</v>
      </c>
      <c r="BC1" s="164" t="s">
        <v>5426</v>
      </c>
      <c r="BD1" s="164" t="s">
        <v>5427</v>
      </c>
      <c r="BE1" s="132" t="s">
        <v>5428</v>
      </c>
      <c r="BF1" s="132" t="s">
        <v>5429</v>
      </c>
      <c r="BG1" s="132" t="s">
        <v>5430</v>
      </c>
      <c r="BH1" s="132" t="s">
        <v>5431</v>
      </c>
      <c r="BI1" s="132" t="s">
        <v>5432</v>
      </c>
      <c r="BJ1" s="132" t="s">
        <v>5433</v>
      </c>
      <c r="BK1" s="132" t="s">
        <v>5434</v>
      </c>
      <c r="BL1" s="132" t="s">
        <v>5435</v>
      </c>
      <c r="BM1" s="132" t="s">
        <v>5436</v>
      </c>
      <c r="BN1" s="132" t="s">
        <v>5437</v>
      </c>
      <c r="BO1" s="132" t="s">
        <v>5438</v>
      </c>
      <c r="BP1" s="164" t="s">
        <v>5439</v>
      </c>
      <c r="BQ1" s="132" t="s">
        <v>5440</v>
      </c>
      <c r="BR1" s="132" t="s">
        <v>5441</v>
      </c>
      <c r="BS1" s="132" t="s">
        <v>5442</v>
      </c>
      <c r="BT1" s="132" t="s">
        <v>5443</v>
      </c>
      <c r="BU1" s="132" t="s">
        <v>5444</v>
      </c>
      <c r="BV1" s="132" t="s">
        <v>5445</v>
      </c>
      <c r="BW1" s="132" t="s">
        <v>5446</v>
      </c>
      <c r="BX1" s="132" t="s">
        <v>5447</v>
      </c>
      <c r="BY1" s="132" t="s">
        <v>5448</v>
      </c>
      <c r="BZ1" s="164" t="s">
        <v>5449</v>
      </c>
      <c r="CA1" s="164" t="s">
        <v>5450</v>
      </c>
      <c r="CB1" s="132" t="s">
        <v>5451</v>
      </c>
      <c r="CC1" s="132" t="s">
        <v>5452</v>
      </c>
      <c r="CD1" s="132" t="s">
        <v>5453</v>
      </c>
      <c r="CE1" s="132" t="s">
        <v>5454</v>
      </c>
      <c r="CF1" s="132" t="s">
        <v>5455</v>
      </c>
      <c r="CG1" s="132" t="s">
        <v>5456</v>
      </c>
      <c r="CH1" s="132" t="s">
        <v>5457</v>
      </c>
      <c r="CI1" s="164" t="s">
        <v>5458</v>
      </c>
      <c r="CJ1" s="132" t="s">
        <v>5459</v>
      </c>
      <c r="CK1" s="132" t="s">
        <v>5460</v>
      </c>
      <c r="CL1" s="132" t="s">
        <v>5461</v>
      </c>
      <c r="CM1" s="132" t="s">
        <v>5462</v>
      </c>
      <c r="CN1" s="164" t="s">
        <v>5463</v>
      </c>
      <c r="CO1" s="132" t="s">
        <v>5464</v>
      </c>
      <c r="CP1" s="132" t="s">
        <v>5465</v>
      </c>
      <c r="CQ1" s="164" t="s">
        <v>5466</v>
      </c>
      <c r="CR1" s="132" t="s">
        <v>5467</v>
      </c>
      <c r="CS1" s="132" t="s">
        <v>5468</v>
      </c>
      <c r="CT1" s="132" t="s">
        <v>5469</v>
      </c>
      <c r="CU1" s="132" t="s">
        <v>5470</v>
      </c>
    </row>
    <row r="2" spans="1:99" ht="102" customHeight="1" thickBot="1">
      <c r="A2" s="414"/>
      <c r="B2" s="415"/>
      <c r="C2" s="416" t="s">
        <v>4945</v>
      </c>
      <c r="D2" s="416"/>
      <c r="E2" s="416"/>
      <c r="F2" s="417"/>
      <c r="G2" s="418"/>
      <c r="H2" s="419"/>
      <c r="I2" s="420"/>
      <c r="J2" s="421"/>
      <c r="K2" s="422"/>
      <c r="L2" s="423"/>
      <c r="M2" s="335"/>
      <c r="O2" s="112" t="s">
        <v>192</v>
      </c>
      <c r="P2" s="112" t="s">
        <v>5387</v>
      </c>
      <c r="Q2" s="112" t="s">
        <v>194</v>
      </c>
      <c r="R2" s="112" t="s">
        <v>195</v>
      </c>
      <c r="S2" s="112" t="s">
        <v>196</v>
      </c>
      <c r="T2" s="112" t="s">
        <v>197</v>
      </c>
      <c r="U2" s="112" t="s">
        <v>198</v>
      </c>
      <c r="V2" s="112" t="s">
        <v>199</v>
      </c>
      <c r="W2" s="112" t="s">
        <v>200</v>
      </c>
      <c r="X2" s="112" t="s">
        <v>201</v>
      </c>
      <c r="Y2" s="112" t="s">
        <v>202</v>
      </c>
      <c r="Z2" s="112" t="s">
        <v>203</v>
      </c>
      <c r="AA2" s="112" t="s">
        <v>204</v>
      </c>
      <c r="AB2" s="112" t="s">
        <v>205</v>
      </c>
      <c r="AC2" s="159" t="s">
        <v>206</v>
      </c>
      <c r="AD2" s="159" t="s">
        <v>207</v>
      </c>
      <c r="AE2" s="112" t="s">
        <v>208</v>
      </c>
      <c r="AF2" s="159" t="s">
        <v>209</v>
      </c>
      <c r="AG2" s="159" t="s">
        <v>210</v>
      </c>
      <c r="AH2" s="112" t="s">
        <v>211</v>
      </c>
      <c r="AI2" s="112" t="s">
        <v>212</v>
      </c>
      <c r="AJ2" s="112" t="s">
        <v>213</v>
      </c>
      <c r="AK2" s="112" t="s">
        <v>214</v>
      </c>
      <c r="AL2" s="105" t="s">
        <v>215</v>
      </c>
      <c r="AM2" s="165" t="s">
        <v>216</v>
      </c>
      <c r="AN2" s="165" t="s">
        <v>217</v>
      </c>
      <c r="AO2" s="105" t="s">
        <v>218</v>
      </c>
      <c r="AP2" s="105" t="s">
        <v>219</v>
      </c>
      <c r="AQ2" s="105" t="s">
        <v>220</v>
      </c>
      <c r="AR2" s="105" t="s">
        <v>221</v>
      </c>
      <c r="AS2" s="105" t="s">
        <v>222</v>
      </c>
      <c r="AT2" s="105" t="s">
        <v>223</v>
      </c>
      <c r="AU2" s="105" t="s">
        <v>224</v>
      </c>
      <c r="AV2" s="105" t="s">
        <v>225</v>
      </c>
      <c r="AW2" s="105" t="s">
        <v>226</v>
      </c>
      <c r="AX2" s="165" t="s">
        <v>227</v>
      </c>
      <c r="AY2" s="105" t="s">
        <v>228</v>
      </c>
      <c r="AZ2" s="105" t="s">
        <v>229</v>
      </c>
      <c r="BA2" s="165" t="s">
        <v>230</v>
      </c>
      <c r="BB2" s="105" t="s">
        <v>231</v>
      </c>
      <c r="BC2" s="165" t="s">
        <v>232</v>
      </c>
      <c r="BD2" s="165" t="s">
        <v>233</v>
      </c>
      <c r="BE2" s="105" t="s">
        <v>234</v>
      </c>
      <c r="BF2" s="105" t="s">
        <v>235</v>
      </c>
      <c r="BG2" s="105" t="s">
        <v>236</v>
      </c>
      <c r="BH2" s="105" t="s">
        <v>237</v>
      </c>
      <c r="BI2" s="105" t="s">
        <v>238</v>
      </c>
      <c r="BJ2" s="105" t="s">
        <v>239</v>
      </c>
      <c r="BK2" s="105" t="s">
        <v>240</v>
      </c>
      <c r="BL2" s="105" t="s">
        <v>241</v>
      </c>
      <c r="BM2" s="105" t="s">
        <v>242</v>
      </c>
      <c r="BN2" s="105" t="s">
        <v>243</v>
      </c>
      <c r="BO2" s="105" t="s">
        <v>244</v>
      </c>
      <c r="BP2" s="165" t="s">
        <v>245</v>
      </c>
      <c r="BQ2" s="105" t="s">
        <v>246</v>
      </c>
      <c r="BR2" s="105" t="s">
        <v>247</v>
      </c>
      <c r="BS2" s="105" t="s">
        <v>248</v>
      </c>
      <c r="BT2" s="105" t="s">
        <v>249</v>
      </c>
      <c r="BU2" s="105" t="s">
        <v>250</v>
      </c>
      <c r="BV2" s="105" t="s">
        <v>251</v>
      </c>
      <c r="BW2" s="105" t="s">
        <v>252</v>
      </c>
      <c r="BX2" s="105" t="s">
        <v>253</v>
      </c>
      <c r="BY2" s="105" t="s">
        <v>254</v>
      </c>
      <c r="BZ2" s="165" t="s">
        <v>255</v>
      </c>
      <c r="CA2" s="165" t="s">
        <v>256</v>
      </c>
      <c r="CB2" s="105" t="s">
        <v>257</v>
      </c>
      <c r="CC2" s="105" t="s">
        <v>258</v>
      </c>
      <c r="CD2" s="105" t="s">
        <v>259</v>
      </c>
      <c r="CE2" s="105" t="s">
        <v>260</v>
      </c>
      <c r="CF2" s="105" t="s">
        <v>261</v>
      </c>
      <c r="CG2" s="105" t="s">
        <v>262</v>
      </c>
      <c r="CH2" s="105" t="s">
        <v>263</v>
      </c>
      <c r="CI2" s="165" t="s">
        <v>264</v>
      </c>
      <c r="CJ2" s="105" t="s">
        <v>265</v>
      </c>
      <c r="CK2" s="105" t="s">
        <v>266</v>
      </c>
      <c r="CL2" s="105" t="s">
        <v>267</v>
      </c>
      <c r="CM2" s="105" t="s">
        <v>268</v>
      </c>
      <c r="CN2" s="165" t="s">
        <v>269</v>
      </c>
      <c r="CO2" s="105" t="s">
        <v>270</v>
      </c>
      <c r="CP2" s="105" t="s">
        <v>271</v>
      </c>
      <c r="CQ2" s="165" t="s">
        <v>272</v>
      </c>
      <c r="CR2" s="105" t="s">
        <v>273</v>
      </c>
      <c r="CS2" s="105" t="s">
        <v>274</v>
      </c>
      <c r="CT2" s="105" t="s">
        <v>275</v>
      </c>
      <c r="CU2" s="105" t="s">
        <v>276</v>
      </c>
    </row>
    <row r="3" spans="1:99" s="548" customFormat="1" ht="55" customHeight="1">
      <c r="A3" s="820" t="s">
        <v>4946</v>
      </c>
      <c r="B3" s="823" t="s">
        <v>4947</v>
      </c>
      <c r="C3" s="826" t="s">
        <v>4948</v>
      </c>
      <c r="D3" s="540" t="s">
        <v>4949</v>
      </c>
      <c r="E3" s="540">
        <v>1</v>
      </c>
      <c r="F3" s="541" t="s">
        <v>4950</v>
      </c>
      <c r="G3" s="542" t="s">
        <v>4951</v>
      </c>
      <c r="H3" s="543" t="s">
        <v>4952</v>
      </c>
      <c r="I3" s="544" t="s">
        <v>4953</v>
      </c>
      <c r="J3" s="545"/>
      <c r="K3" s="546"/>
      <c r="L3" s="547"/>
      <c r="M3" s="546"/>
      <c r="N3" s="580"/>
    </row>
    <row r="4" spans="1:99" s="548" customFormat="1" ht="59" customHeight="1" thickBot="1">
      <c r="A4" s="821"/>
      <c r="B4" s="824"/>
      <c r="C4" s="827"/>
      <c r="D4" s="549" t="s">
        <v>4949</v>
      </c>
      <c r="E4" s="549">
        <v>2</v>
      </c>
      <c r="F4" s="550" t="s">
        <v>4954</v>
      </c>
      <c r="G4" s="551" t="s">
        <v>4955</v>
      </c>
      <c r="H4" s="552" t="s">
        <v>4952</v>
      </c>
      <c r="I4" s="553" t="s">
        <v>4956</v>
      </c>
      <c r="J4" s="554"/>
      <c r="K4" s="555"/>
      <c r="L4" s="556"/>
      <c r="M4" s="555"/>
      <c r="N4" s="580"/>
    </row>
    <row r="5" spans="1:99" s="548" customFormat="1" ht="61" customHeight="1">
      <c r="A5" s="821"/>
      <c r="B5" s="824"/>
      <c r="C5" s="827"/>
      <c r="D5" s="557" t="s">
        <v>4949</v>
      </c>
      <c r="E5" s="557">
        <v>3</v>
      </c>
      <c r="F5" s="558" t="s">
        <v>4957</v>
      </c>
      <c r="G5" s="559" t="s">
        <v>5244</v>
      </c>
      <c r="H5" s="560" t="s">
        <v>4958</v>
      </c>
      <c r="I5" s="561" t="s">
        <v>4956</v>
      </c>
      <c r="J5" s="562"/>
      <c r="K5" s="563"/>
      <c r="L5" s="564"/>
      <c r="M5" s="563"/>
      <c r="N5" s="580"/>
    </row>
    <row r="6" spans="1:99" s="548" customFormat="1" ht="57" customHeight="1">
      <c r="A6" s="821"/>
      <c r="B6" s="824"/>
      <c r="C6" s="827"/>
      <c r="D6" s="565"/>
      <c r="E6" s="565">
        <v>4</v>
      </c>
      <c r="F6" s="566" t="s">
        <v>5241</v>
      </c>
      <c r="G6" s="567" t="s">
        <v>5245</v>
      </c>
      <c r="H6" s="568" t="s">
        <v>4952</v>
      </c>
      <c r="I6" s="569" t="s">
        <v>4956</v>
      </c>
      <c r="J6" s="570"/>
      <c r="K6" s="571"/>
      <c r="L6" s="572"/>
      <c r="M6" s="571"/>
      <c r="N6" s="580"/>
    </row>
    <row r="7" spans="1:99" s="548" customFormat="1" ht="60" customHeight="1">
      <c r="A7" s="821"/>
      <c r="B7" s="824"/>
      <c r="C7" s="827"/>
      <c r="D7" s="565"/>
      <c r="E7" s="565">
        <v>5</v>
      </c>
      <c r="F7" s="566" t="s">
        <v>5241</v>
      </c>
      <c r="G7" s="567" t="s">
        <v>5246</v>
      </c>
      <c r="H7" s="568" t="s">
        <v>4958</v>
      </c>
      <c r="I7" s="569" t="s">
        <v>4961</v>
      </c>
      <c r="J7" s="570"/>
      <c r="K7" s="571"/>
      <c r="L7" s="572"/>
      <c r="M7" s="571"/>
      <c r="N7" s="580"/>
    </row>
    <row r="8" spans="1:99" s="548" customFormat="1" ht="66" customHeight="1">
      <c r="A8" s="821"/>
      <c r="B8" s="824"/>
      <c r="C8" s="827"/>
      <c r="D8" s="565"/>
      <c r="E8" s="565">
        <v>6</v>
      </c>
      <c r="F8" s="566" t="s">
        <v>5241</v>
      </c>
      <c r="G8" s="567" t="s">
        <v>5247</v>
      </c>
      <c r="H8" s="568" t="s">
        <v>4952</v>
      </c>
      <c r="I8" s="569" t="s">
        <v>4956</v>
      </c>
      <c r="J8" s="570"/>
      <c r="K8" s="571"/>
      <c r="L8" s="572"/>
      <c r="M8" s="571"/>
      <c r="N8" s="580"/>
    </row>
    <row r="9" spans="1:99" s="548" customFormat="1" ht="75" customHeight="1" thickBot="1">
      <c r="A9" s="822"/>
      <c r="B9" s="825"/>
      <c r="C9" s="828"/>
      <c r="D9" s="573"/>
      <c r="E9" s="549">
        <v>7</v>
      </c>
      <c r="F9" s="574" t="s">
        <v>5241</v>
      </c>
      <c r="G9" s="551" t="s">
        <v>5248</v>
      </c>
      <c r="H9" s="552" t="s">
        <v>4958</v>
      </c>
      <c r="I9" s="553" t="s">
        <v>4961</v>
      </c>
      <c r="J9" s="554"/>
      <c r="K9" s="575"/>
      <c r="L9" s="576"/>
      <c r="M9" s="555"/>
      <c r="N9" s="580"/>
    </row>
    <row r="10" spans="1:99" ht="38.5" customHeight="1">
      <c r="A10" s="810" t="s">
        <v>4964</v>
      </c>
      <c r="B10" s="816" t="s">
        <v>4947</v>
      </c>
      <c r="C10" s="814" t="s">
        <v>5734</v>
      </c>
      <c r="D10" s="433" t="s">
        <v>4949</v>
      </c>
      <c r="E10" s="433">
        <v>4</v>
      </c>
      <c r="F10" s="434" t="s">
        <v>4966</v>
      </c>
      <c r="G10" s="435" t="s">
        <v>5249</v>
      </c>
      <c r="H10" s="436" t="s">
        <v>4958</v>
      </c>
      <c r="I10" s="437" t="s">
        <v>4961</v>
      </c>
      <c r="J10" s="438"/>
      <c r="K10" s="336" t="s">
        <v>278</v>
      </c>
      <c r="L10" s="577">
        <v>38</v>
      </c>
      <c r="M10" s="578">
        <v>107</v>
      </c>
      <c r="N10" s="579">
        <f>SUM(O10:CU10)</f>
        <v>180</v>
      </c>
      <c r="O10" s="413">
        <f>COUNTIFS('свод практик'!$J$6:$J$277,'строго ИБ'!O$1,'свод практик'!$B$6:$B$277,"ИБ")</f>
        <v>1</v>
      </c>
      <c r="P10" s="413">
        <f>COUNTIFS('свод практик'!$J$6:$J$277,'строго ИБ'!P$1,'свод практик'!$B$6:$B$277,"ИБ")</f>
        <v>1</v>
      </c>
      <c r="Q10" s="413">
        <f>COUNTIFS('свод практик'!$J$6:$J$277,'строго ИБ'!Q$1,'свод практик'!$B$6:$B$277,"ИБ")</f>
        <v>1</v>
      </c>
      <c r="R10" s="413">
        <f>COUNTIFS('свод практик'!$J$6:$J$277,'строго ИБ'!R$1,'свод практик'!$B$6:$B$277,"ИБ")</f>
        <v>1</v>
      </c>
      <c r="S10" s="413">
        <f>COUNTIFS('свод практик'!$J$6:$J$277,'строго ИБ'!S$1,'свод практик'!$B$6:$B$277,"ИБ")</f>
        <v>1</v>
      </c>
      <c r="T10" s="413">
        <f>COUNTIFS('свод практик'!$J$6:$J$277,'строго ИБ'!T$1,'свод практик'!$B$6:$B$277,"ИБ")</f>
        <v>1</v>
      </c>
      <c r="U10" s="413">
        <f>COUNTIFS('свод практик'!$J$6:$J$277,'строго ИБ'!U$1,'свод практик'!$B$6:$B$277,"ИБ")</f>
        <v>9</v>
      </c>
      <c r="V10" s="413">
        <f>COUNTIFS('свод практик'!$J$6:$J$277,'строго ИБ'!V$1,'свод практик'!$B$6:$B$277,"ИБ")</f>
        <v>1</v>
      </c>
      <c r="W10" s="413">
        <f>COUNTIFS('свод практик'!$J$6:$J$277,'строго ИБ'!W$1,'свод практик'!$B$6:$B$277,"ИБ")</f>
        <v>1</v>
      </c>
      <c r="X10" s="413">
        <f>COUNTIFS('свод практик'!$J$6:$J$277,'строго ИБ'!X$1,'свод практик'!$B$6:$B$277,"ИБ")</f>
        <v>0</v>
      </c>
      <c r="Y10" s="413">
        <f>COUNTIFS('свод практик'!$J$6:$J$277,'строго ИБ'!Y$1,'свод практик'!$B$6:$B$277,"ИБ")</f>
        <v>0</v>
      </c>
      <c r="Z10" s="413">
        <f>COUNTIFS('свод практик'!$J$6:$J$277,'строго ИБ'!Z$1,'свод практик'!$B$6:$B$277,"ИБ")</f>
        <v>1</v>
      </c>
      <c r="AA10" s="413">
        <f>COUNTIFS('свод практик'!$J$6:$J$277,'строго ИБ'!AA$1,'свод практик'!$B$6:$B$277,"ИБ")</f>
        <v>3</v>
      </c>
      <c r="AB10" s="413">
        <f>COUNTIFS('свод практик'!$J$6:$J$277,'строго ИБ'!AB$1,'свод практик'!$B$6:$B$277,"ИБ")</f>
        <v>1</v>
      </c>
      <c r="AC10" s="413">
        <f>COUNTIFS('свод практик'!$J$6:$J$277,'строго ИБ'!AC$1,'свод практик'!$B$6:$B$277,"ИБ")</f>
        <v>0</v>
      </c>
      <c r="AD10" s="413">
        <f>COUNTIFS('свод практик'!$J$6:$J$277,'строго ИБ'!AD$1,'свод практик'!$B$6:$B$277,"ИБ")</f>
        <v>0</v>
      </c>
      <c r="AE10" s="413">
        <f>COUNTIFS('свод практик'!$J$6:$J$277,'строго ИБ'!AE$1,'свод практик'!$B$6:$B$277,"ИБ")</f>
        <v>0</v>
      </c>
      <c r="AF10" s="413">
        <f>COUNTIFS('свод практик'!$J$6:$J$277,'строго ИБ'!AF$1,'свод практик'!$B$6:$B$277,"ИБ")</f>
        <v>0</v>
      </c>
      <c r="AG10" s="413">
        <f>COUNTIFS('свод практик'!$J$6:$J$277,'строго ИБ'!AG$1,'свод практик'!$B$6:$B$277,"ИБ")</f>
        <v>0</v>
      </c>
      <c r="AH10" s="413">
        <f>COUNTIFS('свод практик'!$J$6:$J$277,'строго ИБ'!AH$1,'свод практик'!$B$6:$B$277,"ИБ")</f>
        <v>0</v>
      </c>
      <c r="AI10" s="413">
        <f>COUNTIFS('свод практик'!$J$6:$J$277,'строго ИБ'!AI$1,'свод практик'!$B$6:$B$277,"ИБ")</f>
        <v>0</v>
      </c>
      <c r="AJ10" s="413">
        <f>COUNTIFS('свод практик'!$J$6:$J$277,'строго ИБ'!AJ$1,'свод практик'!$B$6:$B$277,"ИБ")</f>
        <v>0</v>
      </c>
      <c r="AK10" s="413">
        <f>COUNTIFS('свод практик'!$J$6:$J$277,'строго ИБ'!AK$1,'свод практик'!$B$6:$B$277,"ИБ")</f>
        <v>1</v>
      </c>
      <c r="AL10" s="413">
        <f>COUNTIFS('свод практик'!$J$6:$J$277,'строго ИБ'!AL$1,'свод практик'!$B$6:$B$277,"ИБ")</f>
        <v>4</v>
      </c>
      <c r="AM10" s="413">
        <f>COUNTIFS('свод практик'!$J$6:$J$277,'строго ИБ'!AM$1,'свод практик'!$B$6:$B$277,"ИБ")</f>
        <v>0</v>
      </c>
      <c r="AN10" s="413">
        <f>COUNTIFS('свод практик'!$J$6:$J$277,'строго ИБ'!AN$1,'свод практик'!$B$6:$B$277,"ИБ")</f>
        <v>0</v>
      </c>
      <c r="AO10" s="413">
        <f>COUNTIFS('свод практик'!$J$6:$J$277,'строго ИБ'!AO$1,'свод практик'!$B$6:$B$277,"ИБ")</f>
        <v>1</v>
      </c>
      <c r="AP10" s="413">
        <f>COUNTIFS('свод практик'!$J$6:$J$277,'строго ИБ'!AP$1,'свод практик'!$B$6:$B$277,"ИБ")</f>
        <v>1</v>
      </c>
      <c r="AQ10" s="413">
        <f>COUNTIFS('свод практик'!$J$6:$J$277,'строго ИБ'!AQ$1,'свод практик'!$B$6:$B$277,"ИБ")</f>
        <v>2</v>
      </c>
      <c r="AR10" s="413">
        <f>COUNTIFS('свод практик'!$J$6:$J$277,'строго ИБ'!AR$1,'свод практик'!$B$6:$B$277,"ИБ")</f>
        <v>1</v>
      </c>
      <c r="AS10" s="413">
        <f>COUNTIFS('свод практик'!$J$6:$J$277,'строго ИБ'!AS$1,'свод практик'!$B$6:$B$277,"ИБ")</f>
        <v>0</v>
      </c>
      <c r="AT10" s="413">
        <f>COUNTIFS('свод практик'!$J$6:$J$277,'строго ИБ'!AT$1,'свод практик'!$B$6:$B$277,"ИБ")</f>
        <v>0</v>
      </c>
      <c r="AU10" s="413">
        <f>COUNTIFS('свод практик'!$J$6:$J$277,'строго ИБ'!AU$1,'свод практик'!$B$6:$B$277,"ИБ")</f>
        <v>2</v>
      </c>
      <c r="AV10" s="413">
        <f>COUNTIFS('свод практик'!$J$6:$J$277,'строго ИБ'!AV$1,'свод практик'!$B$6:$B$277,"ИБ")</f>
        <v>0</v>
      </c>
      <c r="AW10" s="413">
        <f>COUNTIFS('свод практик'!$J$6:$J$277,'строго ИБ'!AW$1,'свод практик'!$B$6:$B$277,"ИБ")</f>
        <v>1</v>
      </c>
      <c r="AX10" s="413">
        <f>COUNTIFS('свод практик'!$J$6:$J$277,'строго ИБ'!AX$1,'свод практик'!$B$6:$B$277,"ИБ")</f>
        <v>0</v>
      </c>
      <c r="AY10" s="413">
        <f>COUNTIFS('свод практик'!$J$6:$J$277,'строго ИБ'!AY$1,'свод практик'!$B$6:$B$277,"ИБ")</f>
        <v>1</v>
      </c>
      <c r="AZ10" s="413">
        <f>COUNTIFS('свод практик'!$J$6:$J$277,'строго ИБ'!AZ$1,'свод практик'!$B$6:$B$277,"ИБ")</f>
        <v>0</v>
      </c>
      <c r="BA10" s="413">
        <f>COUNTIFS('свод практик'!$J$6:$J$277,'строго ИБ'!BA$1,'свод практик'!$B$6:$B$277,"ИБ")</f>
        <v>0</v>
      </c>
      <c r="BB10" s="413">
        <f>COUNTIFS('свод практик'!$J$6:$J$277,'строго ИБ'!BB$1,'свод практик'!$B$6:$B$277,"ИБ")</f>
        <v>1</v>
      </c>
      <c r="BC10" s="413">
        <f>COUNTIFS('свод практик'!$J$6:$J$277,'строго ИБ'!BC$1,'свод практик'!$B$6:$B$277,"ИБ")</f>
        <v>0</v>
      </c>
      <c r="BD10" s="413">
        <f>COUNTIFS('свод практик'!$J$6:$J$277,'строго ИБ'!BD$1,'свод практик'!$B$6:$B$277,"ИБ")</f>
        <v>0</v>
      </c>
      <c r="BE10" s="413">
        <f>COUNTIFS('свод практик'!$J$6:$J$277,'строго ИБ'!BE$1,'свод практик'!$B$6:$B$277,"ИБ")</f>
        <v>1</v>
      </c>
      <c r="BF10" s="413">
        <f>COUNTIFS('свод практик'!$J$6:$J$277,'строго ИБ'!BF$1,'свод практик'!$B$6:$B$277,"ИБ")</f>
        <v>1</v>
      </c>
      <c r="BG10" s="413">
        <f>COUNTIFS('свод практик'!$J$6:$J$277,'строго ИБ'!BG$1,'свод практик'!$B$6:$B$277,"ИБ")</f>
        <v>1</v>
      </c>
      <c r="BH10" s="413">
        <f>COUNTIFS('свод практик'!$J$6:$J$277,'строго ИБ'!BH$1,'свод практик'!$B$6:$B$277,"ИБ")</f>
        <v>1</v>
      </c>
      <c r="BI10" s="413">
        <f>COUNTIFS('свод практик'!$J$6:$J$277,'строго ИБ'!BI$1,'свод практик'!$B$6:$B$277,"ИБ")</f>
        <v>2</v>
      </c>
      <c r="BJ10" s="413">
        <f>COUNTIFS('свод практик'!$J$6:$J$277,'строго ИБ'!BJ$1,'свод практик'!$B$6:$B$277,"ИБ")</f>
        <v>1</v>
      </c>
      <c r="BK10" s="413">
        <f>COUNTIFS('свод практик'!$J$6:$J$277,'строго ИБ'!BK$1,'свод практик'!$B$6:$B$277,"ИБ")</f>
        <v>0</v>
      </c>
      <c r="BL10" s="413">
        <f>COUNTIFS('свод практик'!$J$6:$J$277,'строго ИБ'!BL$1,'свод практик'!$B$6:$B$277,"ИБ")</f>
        <v>15</v>
      </c>
      <c r="BM10" s="413">
        <f>COUNTIFS('свод практик'!$J$6:$J$277,'строго ИБ'!BM$1,'свод практик'!$B$6:$B$277,"ИБ")</f>
        <v>1</v>
      </c>
      <c r="BN10" s="413">
        <f>COUNTIFS('свод практик'!$J$6:$J$277,'строго ИБ'!BN$1,'свод практик'!$B$6:$B$277,"ИБ")</f>
        <v>0</v>
      </c>
      <c r="BO10" s="413">
        <f>COUNTIFS('свод практик'!$J$6:$J$277,'строго ИБ'!BO$1,'свод практик'!$B$6:$B$277,"ИБ")</f>
        <v>1</v>
      </c>
      <c r="BP10" s="413">
        <f>COUNTIFS('свод практик'!$J$6:$J$277,'строго ИБ'!BP$1,'свод практик'!$B$6:$B$277,"ИБ")</f>
        <v>0</v>
      </c>
      <c r="BQ10" s="413">
        <f>COUNTIFS('свод практик'!$J$6:$J$277,'строго ИБ'!BQ$1,'свод практик'!$B$6:$B$277,"ИБ")</f>
        <v>0</v>
      </c>
      <c r="BR10" s="413">
        <f>COUNTIFS('свод практик'!$J$6:$J$277,'строго ИБ'!BR$1,'свод практик'!$B$6:$B$277,"ИБ")</f>
        <v>1</v>
      </c>
      <c r="BS10" s="413">
        <f>COUNTIFS('свод практик'!$J$6:$J$277,'строго ИБ'!BS$1,'свод практик'!$B$6:$B$277,"ИБ")</f>
        <v>1</v>
      </c>
      <c r="BT10" s="413">
        <f>COUNTIFS('свод практик'!$J$6:$J$277,'строго ИБ'!BT$1,'свод практик'!$B$6:$B$277,"ИБ")</f>
        <v>10</v>
      </c>
      <c r="BU10" s="413">
        <f>COUNTIFS('свод практик'!$J$6:$J$277,'строго ИБ'!BU$1,'свод практик'!$B$6:$B$277,"ИБ")</f>
        <v>1</v>
      </c>
      <c r="BV10" s="413">
        <f>COUNTIFS('свод практик'!$J$6:$J$277,'строго ИБ'!BV$1,'свод практик'!$B$6:$B$277,"ИБ")</f>
        <v>1</v>
      </c>
      <c r="BW10" s="413">
        <f>COUNTIFS('свод практик'!$J$6:$J$277,'строго ИБ'!BW$1,'свод практик'!$B$6:$B$277,"ИБ")</f>
        <v>1</v>
      </c>
      <c r="BX10" s="413">
        <f>COUNTIFS('свод практик'!$J$6:$J$277,'строго ИБ'!BX$1,'свод практик'!$B$6:$B$277,"ИБ")</f>
        <v>3</v>
      </c>
      <c r="BY10" s="413">
        <f>COUNTIFS('свод практик'!$J$6:$J$277,'строго ИБ'!BY$1,'свод практик'!$B$6:$B$277,"ИБ")</f>
        <v>4</v>
      </c>
      <c r="BZ10" s="413">
        <f>COUNTIFS('свод практик'!$J$6:$J$277,'строго ИБ'!BZ$1,'свод практик'!$B$6:$B$277,"ИБ")</f>
        <v>0</v>
      </c>
      <c r="CA10" s="413">
        <f>COUNTIFS('свод практик'!$J$6:$J$277,'строго ИБ'!CA$1,'свод практик'!$B$6:$B$277,"ИБ")</f>
        <v>0</v>
      </c>
      <c r="CB10" s="413">
        <f>COUNTIFS('свод практик'!$J$6:$J$277,'строго ИБ'!CB$1,'свод практик'!$B$6:$B$277,"ИБ")</f>
        <v>0</v>
      </c>
      <c r="CC10" s="413">
        <f>COUNTIFS('свод практик'!$J$6:$J$277,'строго ИБ'!CC$1,'свод практик'!$B$6:$B$277,"ИБ")</f>
        <v>2</v>
      </c>
      <c r="CD10" s="413">
        <f>COUNTIFS('свод практик'!$J$6:$J$277,'строго ИБ'!CD$1,'свод практик'!$B$6:$B$277,"ИБ")</f>
        <v>1</v>
      </c>
      <c r="CE10" s="413">
        <f>COUNTIFS('свод практик'!$J$6:$J$277,'строго ИБ'!CE$1,'свод практик'!$B$6:$B$277,"ИБ")</f>
        <v>0</v>
      </c>
      <c r="CF10" s="413">
        <f>COUNTIFS('свод практик'!$J$6:$J$277,'строго ИБ'!CF$1,'свод практик'!$B$6:$B$277,"ИБ")</f>
        <v>1</v>
      </c>
      <c r="CG10" s="413">
        <f>COUNTIFS('свод практик'!$J$6:$J$277,'строго ИБ'!CG$1,'свод практик'!$B$6:$B$277,"ИБ")</f>
        <v>1</v>
      </c>
      <c r="CH10" s="413">
        <f>COUNTIFS('свод практик'!$J$6:$J$277,'строго ИБ'!CH$1,'свод практик'!$B$6:$B$277,"ИБ")</f>
        <v>1</v>
      </c>
      <c r="CI10" s="413">
        <f>COUNTIFS('свод практик'!$J$6:$J$277,'строго ИБ'!CI$1,'свод практик'!$B$6:$B$277,"ИБ")</f>
        <v>0</v>
      </c>
      <c r="CJ10" s="413">
        <f>COUNTIFS('свод практик'!$J$6:$J$277,'строго ИБ'!CJ$1,'свод практик'!$B$6:$B$277,"ИБ")</f>
        <v>0</v>
      </c>
      <c r="CK10" s="413">
        <f>COUNTIFS('свод практик'!$J$6:$J$277,'строго ИБ'!CK$1,'свод практик'!$B$6:$B$277,"ИБ")</f>
        <v>6</v>
      </c>
      <c r="CL10" s="413">
        <f>COUNTIFS('свод практик'!$J$6:$J$277,'строго ИБ'!CL$1,'свод практик'!$B$6:$B$277,"ИБ")</f>
        <v>28</v>
      </c>
      <c r="CM10" s="413">
        <f>COUNTIFS('свод практик'!$J$6:$J$277,'строго ИБ'!CM$1,'свод практик'!$B$6:$B$277,"ИБ")</f>
        <v>1</v>
      </c>
      <c r="CN10" s="413">
        <f>COUNTIFS('свод практик'!$J$6:$J$277,'строго ИБ'!CN$1,'свод практик'!$B$6:$B$277,"ИБ")</f>
        <v>0</v>
      </c>
      <c r="CO10" s="413">
        <f>COUNTIFS('свод практик'!$J$6:$J$277,'строго ИБ'!CO$1,'свод практик'!$B$6:$B$277,"ИБ")</f>
        <v>27</v>
      </c>
      <c r="CP10" s="413">
        <f>COUNTIFS('свод практик'!$J$6:$J$277,'строго ИБ'!CP$1,'свод практик'!$B$6:$B$277,"ИБ")</f>
        <v>1</v>
      </c>
      <c r="CQ10" s="413">
        <f>COUNTIFS('свод практик'!$J$6:$J$277,'строго ИБ'!CQ$1,'свод практик'!$B$6:$B$277,"ИБ")</f>
        <v>0</v>
      </c>
      <c r="CR10" s="413">
        <f>COUNTIFS('свод практик'!$J$6:$J$277,'строго ИБ'!CR$1,'свод практик'!$B$6:$B$277,"ИБ")</f>
        <v>1</v>
      </c>
      <c r="CS10" s="413">
        <f>COUNTIFS('свод практик'!$J$6:$J$277,'строго ИБ'!CS$1,'свод практик'!$B$6:$B$277,"ИБ")</f>
        <v>1</v>
      </c>
      <c r="CT10" s="413">
        <f>COUNTIFS('свод практик'!$J$6:$J$277,'строго ИБ'!CT$1,'свод практик'!$B$6:$B$277,"ИБ")</f>
        <v>25</v>
      </c>
      <c r="CU10" s="413">
        <f>COUNTIFS('свод практик'!$J$6:$J$277,'строго ИБ'!CU$1,'свод практик'!$B$6:$B$277,"ИБ")</f>
        <v>1</v>
      </c>
    </row>
    <row r="11" spans="1:99" ht="42" customHeight="1">
      <c r="A11" s="829"/>
      <c r="B11" s="830"/>
      <c r="C11" s="804"/>
      <c r="D11" s="433"/>
      <c r="E11" s="433"/>
      <c r="F11" s="434"/>
      <c r="G11" s="435" t="s">
        <v>5735</v>
      </c>
      <c r="H11" s="436" t="s">
        <v>4958</v>
      </c>
      <c r="I11" s="437" t="s">
        <v>4961</v>
      </c>
      <c r="J11" s="438"/>
      <c r="K11" s="336" t="s">
        <v>278</v>
      </c>
      <c r="L11" s="577"/>
      <c r="M11" s="578">
        <v>42</v>
      </c>
      <c r="N11" s="579">
        <f t="shared" ref="N11:N12" si="0">SUM(O11:CU11)</f>
        <v>51</v>
      </c>
      <c r="O11" s="413">
        <f>COUNTIFS('свод практик'!$J$6:$J$277,'строго ИБ'!O$1,'свод практик'!$B$6:$B$277,"ИБ",'свод практик'!$G$6:$G$277,"суб")</f>
        <v>1</v>
      </c>
      <c r="P11" s="413">
        <f>COUNTIFS('свод практик'!$J$6:$J$277,'строго ИБ'!P$1,'свод практик'!$B$6:$B$277,"ИБ",'свод практик'!$G$6:$G$277,"суб")</f>
        <v>1</v>
      </c>
      <c r="Q11" s="413">
        <f>COUNTIFS('свод практик'!$J$6:$J$277,'строго ИБ'!Q$1,'свод практик'!$B$6:$B$277,"ИБ",'свод практик'!$G$6:$G$277,"суб")</f>
        <v>1</v>
      </c>
      <c r="R11" s="413">
        <f>COUNTIFS('свод практик'!$J$6:$J$277,'строго ИБ'!R$1,'свод практик'!$B$6:$B$277,"ИБ",'свод практик'!$G$6:$G$277,"суб")</f>
        <v>1</v>
      </c>
      <c r="S11" s="413">
        <f>COUNTIFS('свод практик'!$J$6:$J$277,'строго ИБ'!S$1,'свод практик'!$B$6:$B$277,"ИБ",'свод практик'!$G$6:$G$277,"суб")</f>
        <v>0</v>
      </c>
      <c r="T11" s="413">
        <f>COUNTIFS('свод практик'!$J$6:$J$277,'строго ИБ'!T$1,'свод практик'!$B$6:$B$277,"ИБ",'свод практик'!$G$6:$G$277,"суб")</f>
        <v>1</v>
      </c>
      <c r="U11" s="413">
        <f>COUNTIFS('свод практик'!$J$6:$J$277,'строго ИБ'!U$1,'свод практик'!$B$6:$B$277,"ИБ",'свод практик'!$G$6:$G$277,"суб")</f>
        <v>3</v>
      </c>
      <c r="V11" s="413">
        <f>COUNTIFS('свод практик'!$J$6:$J$277,'строго ИБ'!V$1,'свод практик'!$B$6:$B$277,"ИБ",'свод практик'!$G$6:$G$277,"суб")</f>
        <v>0</v>
      </c>
      <c r="W11" s="413">
        <f>COUNTIFS('свод практик'!$J$6:$J$277,'строго ИБ'!W$1,'свод практик'!$B$6:$B$277,"ИБ",'свод практик'!$G$6:$G$277,"суб")</f>
        <v>1</v>
      </c>
      <c r="X11" s="413">
        <f>COUNTIFS('свод практик'!$J$6:$J$277,'строго ИБ'!X$1,'свод практик'!$B$6:$B$277,"ИБ",'свод практик'!$G$6:$G$277,"суб")</f>
        <v>0</v>
      </c>
      <c r="Y11" s="413">
        <f>COUNTIFS('свод практик'!$J$6:$J$277,'строго ИБ'!Y$1,'свод практик'!$B$6:$B$277,"ИБ",'свод практик'!$G$6:$G$277,"суб")</f>
        <v>0</v>
      </c>
      <c r="Z11" s="413">
        <f>COUNTIFS('свод практик'!$J$6:$J$277,'строго ИБ'!Z$1,'свод практик'!$B$6:$B$277,"ИБ",'свод практик'!$G$6:$G$277,"суб")</f>
        <v>1</v>
      </c>
      <c r="AA11" s="413">
        <f>COUNTIFS('свод практик'!$J$6:$J$277,'строго ИБ'!AA$1,'свод практик'!$B$6:$B$277,"ИБ",'свод практик'!$G$6:$G$277,"суб")</f>
        <v>1</v>
      </c>
      <c r="AB11" s="413">
        <f>COUNTIFS('свод практик'!$J$6:$J$277,'строго ИБ'!AB$1,'свод практик'!$B$6:$B$277,"ИБ",'свод практик'!$G$6:$G$277,"суб")</f>
        <v>1</v>
      </c>
      <c r="AC11" s="413">
        <f>COUNTIFS('свод практик'!$J$6:$J$277,'строго ИБ'!AC$1,'свод практик'!$B$6:$B$277,"ИБ",'свод практик'!$G$6:$G$277,"суб")</f>
        <v>0</v>
      </c>
      <c r="AD11" s="413">
        <f>COUNTIFS('свод практик'!$J$6:$J$277,'строго ИБ'!AD$1,'свод практик'!$B$6:$B$277,"ИБ",'свод практик'!$G$6:$G$277,"суб")</f>
        <v>0</v>
      </c>
      <c r="AE11" s="413">
        <f>COUNTIFS('свод практик'!$J$6:$J$277,'строго ИБ'!AE$1,'свод практик'!$B$6:$B$277,"ИБ",'свод практик'!$G$6:$G$277,"суб")</f>
        <v>0</v>
      </c>
      <c r="AF11" s="413">
        <f>COUNTIFS('свод практик'!$J$6:$J$277,'строго ИБ'!AF$1,'свод практик'!$B$6:$B$277,"ИБ",'свод практик'!$G$6:$G$277,"суб")</f>
        <v>0</v>
      </c>
      <c r="AG11" s="413">
        <f>COUNTIFS('свод практик'!$J$6:$J$277,'строго ИБ'!AG$1,'свод практик'!$B$6:$B$277,"ИБ",'свод практик'!$G$6:$G$277,"суб")</f>
        <v>0</v>
      </c>
      <c r="AH11" s="413">
        <f>COUNTIFS('свод практик'!$J$6:$J$277,'строго ИБ'!AH$1,'свод практик'!$B$6:$B$277,"ИБ",'свод практик'!$G$6:$G$277,"суб")</f>
        <v>0</v>
      </c>
      <c r="AI11" s="413">
        <f>COUNTIFS('свод практик'!$J$6:$J$277,'строго ИБ'!AI$1,'свод практик'!$B$6:$B$277,"ИБ",'свод практик'!$G$6:$G$277,"суб")</f>
        <v>0</v>
      </c>
      <c r="AJ11" s="413">
        <f>COUNTIFS('свод практик'!$J$6:$J$277,'строго ИБ'!AJ$1,'свод практик'!$B$6:$B$277,"ИБ",'свод практик'!$G$6:$G$277,"суб")</f>
        <v>0</v>
      </c>
      <c r="AK11" s="413">
        <f>COUNTIFS('свод практик'!$J$6:$J$277,'строго ИБ'!AK$1,'свод практик'!$B$6:$B$277,"ИБ",'свод практик'!$G$6:$G$277,"суб")</f>
        <v>1</v>
      </c>
      <c r="AL11" s="413">
        <f>COUNTIFS('свод практик'!$J$6:$J$277,'строго ИБ'!AL$1,'свод практик'!$B$6:$B$277,"ИБ",'свод практик'!$G$6:$G$277,"суб")</f>
        <v>1</v>
      </c>
      <c r="AM11" s="413">
        <f>COUNTIFS('свод практик'!$J$6:$J$277,'строго ИБ'!AM$1,'свод практик'!$B$6:$B$277,"ИБ",'свод практик'!$G$6:$G$277,"суб")</f>
        <v>0</v>
      </c>
      <c r="AN11" s="413">
        <f>COUNTIFS('свод практик'!$J$6:$J$277,'строго ИБ'!AN$1,'свод практик'!$B$6:$B$277,"ИБ",'свод практик'!$G$6:$G$277,"суб")</f>
        <v>0</v>
      </c>
      <c r="AO11" s="413">
        <f>COUNTIFS('свод практик'!$J$6:$J$277,'строго ИБ'!AO$1,'свод практик'!$B$6:$B$277,"ИБ",'свод практик'!$G$6:$G$277,"суб")</f>
        <v>1</v>
      </c>
      <c r="AP11" s="413">
        <f>COUNTIFS('свод практик'!$J$6:$J$277,'строго ИБ'!AP$1,'свод практик'!$B$6:$B$277,"ИБ",'свод практик'!$G$6:$G$277,"суб")</f>
        <v>1</v>
      </c>
      <c r="AQ11" s="413">
        <f>COUNTIFS('свод практик'!$J$6:$J$277,'строго ИБ'!AQ$1,'свод практик'!$B$6:$B$277,"ИБ",'свод практик'!$G$6:$G$277,"суб")</f>
        <v>2</v>
      </c>
      <c r="AR11" s="413">
        <f>COUNTIFS('свод практик'!$J$6:$J$277,'строго ИБ'!AR$1,'свод практик'!$B$6:$B$277,"ИБ",'свод практик'!$G$6:$G$277,"суб")</f>
        <v>1</v>
      </c>
      <c r="AS11" s="413">
        <f>COUNTIFS('свод практик'!$J$6:$J$277,'строго ИБ'!AS$1,'свод практик'!$B$6:$B$277,"ИБ",'свод практик'!$G$6:$G$277,"суб")</f>
        <v>0</v>
      </c>
      <c r="AT11" s="413">
        <f>COUNTIFS('свод практик'!$J$6:$J$277,'строго ИБ'!AT$1,'свод практик'!$B$6:$B$277,"ИБ",'свод практик'!$G$6:$G$277,"суб")</f>
        <v>0</v>
      </c>
      <c r="AU11" s="413">
        <f>COUNTIFS('свод практик'!$J$6:$J$277,'строго ИБ'!AU$1,'свод практик'!$B$6:$B$277,"ИБ",'свод практик'!$G$6:$G$277,"суб")</f>
        <v>1</v>
      </c>
      <c r="AV11" s="413">
        <f>COUNTIFS('свод практик'!$J$6:$J$277,'строго ИБ'!AV$1,'свод практик'!$B$6:$B$277,"ИБ",'свод практик'!$G$6:$G$277,"суб")</f>
        <v>0</v>
      </c>
      <c r="AW11" s="413">
        <f>COUNTIFS('свод практик'!$J$6:$J$277,'строго ИБ'!AW$1,'свод практик'!$B$6:$B$277,"ИБ",'свод практик'!$G$6:$G$277,"суб")</f>
        <v>1</v>
      </c>
      <c r="AX11" s="413">
        <f>COUNTIFS('свод практик'!$J$6:$J$277,'строго ИБ'!AX$1,'свод практик'!$B$6:$B$277,"ИБ",'свод практик'!$G$6:$G$277,"суб")</f>
        <v>0</v>
      </c>
      <c r="AY11" s="413">
        <f>COUNTIFS('свод практик'!$J$6:$J$277,'строго ИБ'!AY$1,'свод практик'!$B$6:$B$277,"ИБ",'свод практик'!$G$6:$G$277,"суб")</f>
        <v>0</v>
      </c>
      <c r="AZ11" s="413">
        <f>COUNTIFS('свод практик'!$J$6:$J$277,'строго ИБ'!AZ$1,'свод практик'!$B$6:$B$277,"ИБ",'свод практик'!$G$6:$G$277,"суб")</f>
        <v>0</v>
      </c>
      <c r="BA11" s="413">
        <f>COUNTIFS('свод практик'!$J$6:$J$277,'строго ИБ'!BA$1,'свод практик'!$B$6:$B$277,"ИБ",'свод практик'!$G$6:$G$277,"суб")</f>
        <v>0</v>
      </c>
      <c r="BB11" s="413">
        <f>COUNTIFS('свод практик'!$J$6:$J$277,'строго ИБ'!BB$1,'свод практик'!$B$6:$B$277,"ИБ",'свод практик'!$G$6:$G$277,"суб")</f>
        <v>1</v>
      </c>
      <c r="BC11" s="413">
        <f>COUNTIFS('свод практик'!$J$6:$J$277,'строго ИБ'!BC$1,'свод практик'!$B$6:$B$277,"ИБ",'свод практик'!$G$6:$G$277,"суб")</f>
        <v>0</v>
      </c>
      <c r="BD11" s="413">
        <f>COUNTIFS('свод практик'!$J$6:$J$277,'строго ИБ'!BD$1,'свод практик'!$B$6:$B$277,"ИБ",'свод практик'!$G$6:$G$277,"суб")</f>
        <v>0</v>
      </c>
      <c r="BE11" s="413">
        <f>COUNTIFS('свод практик'!$J$6:$J$277,'строго ИБ'!BE$1,'свод практик'!$B$6:$B$277,"ИБ",'свод практик'!$G$6:$G$277,"суб")</f>
        <v>0</v>
      </c>
      <c r="BF11" s="413">
        <f>COUNTIFS('свод практик'!$J$6:$J$277,'строго ИБ'!BF$1,'свод практик'!$B$6:$B$277,"ИБ",'свод практик'!$G$6:$G$277,"суб")</f>
        <v>1</v>
      </c>
      <c r="BG11" s="413">
        <f>COUNTIFS('свод практик'!$J$6:$J$277,'строго ИБ'!BG$1,'свод практик'!$B$6:$B$277,"ИБ",'свод практик'!$G$6:$G$277,"суб")</f>
        <v>1</v>
      </c>
      <c r="BH11" s="413">
        <f>COUNTIFS('свод практик'!$J$6:$J$277,'строго ИБ'!BH$1,'свод практик'!$B$6:$B$277,"ИБ",'свод практик'!$G$6:$G$277,"суб")</f>
        <v>1</v>
      </c>
      <c r="BI11" s="413">
        <f>COUNTIFS('свод практик'!$J$6:$J$277,'строго ИБ'!BI$1,'свод практик'!$B$6:$B$277,"ИБ",'свод практик'!$G$6:$G$277,"суб")</f>
        <v>2</v>
      </c>
      <c r="BJ11" s="413">
        <f>COUNTIFS('свод практик'!$J$6:$J$277,'строго ИБ'!BJ$1,'свод практик'!$B$6:$B$277,"ИБ",'свод практик'!$G$6:$G$277,"суб")</f>
        <v>1</v>
      </c>
      <c r="BK11" s="413">
        <f>COUNTIFS('свод практик'!$J$6:$J$277,'строго ИБ'!BK$1,'свод практик'!$B$6:$B$277,"ИБ",'свод практик'!$G$6:$G$277,"суб")</f>
        <v>0</v>
      </c>
      <c r="BL11" s="413">
        <f>COUNTIFS('свод практик'!$J$6:$J$277,'строго ИБ'!BL$1,'свод практик'!$B$6:$B$277,"ИБ",'свод практик'!$G$6:$G$277,"суб")</f>
        <v>1</v>
      </c>
      <c r="BM11" s="413">
        <f>COUNTIFS('свод практик'!$J$6:$J$277,'строго ИБ'!BM$1,'свод практик'!$B$6:$B$277,"ИБ",'свод практик'!$G$6:$G$277,"суб")</f>
        <v>1</v>
      </c>
      <c r="BN11" s="413">
        <f>COUNTIFS('свод практик'!$J$6:$J$277,'строго ИБ'!BN$1,'свод практик'!$B$6:$B$277,"ИБ",'свод практик'!$G$6:$G$277,"суб")</f>
        <v>0</v>
      </c>
      <c r="BO11" s="413">
        <f>COUNTIFS('свод практик'!$J$6:$J$277,'строго ИБ'!BO$1,'свод практик'!$B$6:$B$277,"ИБ",'свод практик'!$G$6:$G$277,"суб")</f>
        <v>1</v>
      </c>
      <c r="BP11" s="413">
        <f>COUNTIFS('свод практик'!$J$6:$J$277,'строго ИБ'!BP$1,'свод практик'!$B$6:$B$277,"ИБ",'свод практик'!$G$6:$G$277,"суб")</f>
        <v>0</v>
      </c>
      <c r="BQ11" s="413">
        <f>COUNTIFS('свод практик'!$J$6:$J$277,'строго ИБ'!BQ$1,'свод практик'!$B$6:$B$277,"ИБ",'свод практик'!$G$6:$G$277,"суб")</f>
        <v>0</v>
      </c>
      <c r="BR11" s="413">
        <f>COUNTIFS('свод практик'!$J$6:$J$277,'строго ИБ'!BR$1,'свод практик'!$B$6:$B$277,"ИБ",'свод практик'!$G$6:$G$277,"суб")</f>
        <v>0</v>
      </c>
      <c r="BS11" s="413">
        <f>COUNTIFS('свод практик'!$J$6:$J$277,'строго ИБ'!BS$1,'свод практик'!$B$6:$B$277,"ИБ",'свод практик'!$G$6:$G$277,"суб")</f>
        <v>1</v>
      </c>
      <c r="BT11" s="413">
        <f>COUNTIFS('свод практик'!$J$6:$J$277,'строго ИБ'!BT$1,'свод практик'!$B$6:$B$277,"ИБ",'свод практик'!$G$6:$G$277,"суб")</f>
        <v>1</v>
      </c>
      <c r="BU11" s="413">
        <f>COUNTIFS('свод практик'!$J$6:$J$277,'строго ИБ'!BU$1,'свод практик'!$B$6:$B$277,"ИБ",'свод практик'!$G$6:$G$277,"суб")</f>
        <v>1</v>
      </c>
      <c r="BV11" s="413">
        <f>COUNTIFS('свод практик'!$J$6:$J$277,'строго ИБ'!BV$1,'свод практик'!$B$6:$B$277,"ИБ",'свод практик'!$G$6:$G$277,"суб")</f>
        <v>1</v>
      </c>
      <c r="BW11" s="413">
        <f>COUNTIFS('свод практик'!$J$6:$J$277,'строго ИБ'!BW$1,'свод практик'!$B$6:$B$277,"ИБ",'свод практик'!$G$6:$G$277,"суб")</f>
        <v>1</v>
      </c>
      <c r="BX11" s="413">
        <f>COUNTIFS('свод практик'!$J$6:$J$277,'строго ИБ'!BX$1,'свод практик'!$B$6:$B$277,"ИБ",'свод практик'!$G$6:$G$277,"суб")</f>
        <v>3</v>
      </c>
      <c r="BY11" s="413">
        <f>COUNTIFS('свод практик'!$J$6:$J$277,'строго ИБ'!BY$1,'свод практик'!$B$6:$B$277,"ИБ",'свод практик'!$G$6:$G$277,"суб")</f>
        <v>1</v>
      </c>
      <c r="BZ11" s="413">
        <f>COUNTIFS('свод практик'!$J$6:$J$277,'строго ИБ'!BZ$1,'свод практик'!$B$6:$B$277,"ИБ",'свод практик'!$G$6:$G$277,"суб")</f>
        <v>0</v>
      </c>
      <c r="CA11" s="413">
        <f>COUNTIFS('свод практик'!$J$6:$J$277,'строго ИБ'!CA$1,'свод практик'!$B$6:$B$277,"ИБ",'свод практик'!$G$6:$G$277,"суб")</f>
        <v>0</v>
      </c>
      <c r="CB11" s="413">
        <f>COUNTIFS('свод практик'!$J$6:$J$277,'строго ИБ'!CB$1,'свод практик'!$B$6:$B$277,"ИБ",'свод практик'!$G$6:$G$277,"суб")</f>
        <v>0</v>
      </c>
      <c r="CC11" s="413">
        <f>COUNTIFS('свод практик'!$J$6:$J$277,'строго ИБ'!CC$1,'свод практик'!$B$6:$B$277,"ИБ",'свод практик'!$G$6:$G$277,"суб")</f>
        <v>1</v>
      </c>
      <c r="CD11" s="413">
        <f>COUNTIFS('свод практик'!$J$6:$J$277,'строго ИБ'!CD$1,'свод практик'!$B$6:$B$277,"ИБ",'свод практик'!$G$6:$G$277,"суб")</f>
        <v>1</v>
      </c>
      <c r="CE11" s="413">
        <f>COUNTIFS('свод практик'!$J$6:$J$277,'строго ИБ'!CE$1,'свод практик'!$B$6:$B$277,"ИБ",'свод практик'!$G$6:$G$277,"суб")</f>
        <v>0</v>
      </c>
      <c r="CF11" s="413">
        <f>COUNTIFS('свод практик'!$J$6:$J$277,'строго ИБ'!CF$1,'свод практик'!$B$6:$B$277,"ИБ",'свод практик'!$G$6:$G$277,"суб")</f>
        <v>1</v>
      </c>
      <c r="CG11" s="413">
        <f>COUNTIFS('свод практик'!$J$6:$J$277,'строго ИБ'!CG$1,'свод практик'!$B$6:$B$277,"ИБ",'свод практик'!$G$6:$G$277,"суб")</f>
        <v>1</v>
      </c>
      <c r="CH11" s="413">
        <f>COUNTIFS('свод практик'!$J$6:$J$277,'строго ИБ'!CH$1,'свод практик'!$B$6:$B$277,"ИБ",'свод практик'!$G$6:$G$277,"суб")</f>
        <v>1</v>
      </c>
      <c r="CI11" s="413">
        <f>COUNTIFS('свод практик'!$J$6:$J$277,'строго ИБ'!CI$1,'свод практик'!$B$6:$B$277,"ИБ",'свод практик'!$G$6:$G$277,"суб")</f>
        <v>0</v>
      </c>
      <c r="CJ11" s="413">
        <f>COUNTIFS('свод практик'!$J$6:$J$277,'строго ИБ'!CJ$1,'свод практик'!$B$6:$B$277,"ИБ",'свод практик'!$G$6:$G$277,"суб")</f>
        <v>0</v>
      </c>
      <c r="CK11" s="413">
        <f>COUNTIFS('свод практик'!$J$6:$J$277,'строго ИБ'!CK$1,'свод практик'!$B$6:$B$277,"ИБ",'свод практик'!$G$6:$G$277,"суб")</f>
        <v>1</v>
      </c>
      <c r="CL11" s="413">
        <f>COUNTIFS('свод практик'!$J$6:$J$277,'строго ИБ'!CL$1,'свод практик'!$B$6:$B$277,"ИБ",'свод практик'!$G$6:$G$277,"суб")</f>
        <v>1</v>
      </c>
      <c r="CM11" s="413">
        <f>COUNTIFS('свод практик'!$J$6:$J$277,'строго ИБ'!CM$1,'свод практик'!$B$6:$B$277,"ИБ",'свод практик'!$G$6:$G$277,"суб")</f>
        <v>1</v>
      </c>
      <c r="CN11" s="413">
        <f>COUNTIFS('свод практик'!$J$6:$J$277,'строго ИБ'!CN$1,'свод практик'!$B$6:$B$277,"ИБ",'свод практик'!$G$6:$G$277,"суб")</f>
        <v>0</v>
      </c>
      <c r="CO11" s="413">
        <f>COUNTIFS('свод практик'!$J$6:$J$277,'строго ИБ'!CO$1,'свод практик'!$B$6:$B$277,"ИБ",'свод практик'!$G$6:$G$277,"суб")</f>
        <v>0</v>
      </c>
      <c r="CP11" s="413">
        <f>COUNTIFS('свод практик'!$J$6:$J$277,'строго ИБ'!CP$1,'свод практик'!$B$6:$B$277,"ИБ",'свод практик'!$G$6:$G$277,"суб")</f>
        <v>0</v>
      </c>
      <c r="CQ11" s="413">
        <f>COUNTIFS('свод практик'!$J$6:$J$277,'строго ИБ'!CQ$1,'свод практик'!$B$6:$B$277,"ИБ",'свод практик'!$G$6:$G$277,"суб")</f>
        <v>0</v>
      </c>
      <c r="CR11" s="413">
        <f>COUNTIFS('свод практик'!$J$6:$J$277,'строго ИБ'!CR$1,'свод практик'!$B$6:$B$277,"ИБ",'свод практик'!$G$6:$G$277,"суб")</f>
        <v>1</v>
      </c>
      <c r="CS11" s="413">
        <f>COUNTIFS('свод практик'!$J$6:$J$277,'строго ИБ'!CS$1,'свод практик'!$B$6:$B$277,"ИБ",'свод практик'!$G$6:$G$277,"суб")</f>
        <v>1</v>
      </c>
      <c r="CT11" s="413">
        <f>COUNTIFS('свод практик'!$J$6:$J$277,'строго ИБ'!CT$1,'свод практик'!$B$6:$B$277,"ИБ",'свод практик'!$G$6:$G$277,"суб")</f>
        <v>0</v>
      </c>
      <c r="CU11" s="413">
        <f>COUNTIFS('свод практик'!$J$6:$J$277,'строго ИБ'!CU$1,'свод практик'!$B$6:$B$277,"ИБ",'свод практик'!$G$6:$G$277,"суб")</f>
        <v>1</v>
      </c>
    </row>
    <row r="12" spans="1:99" ht="44" customHeight="1">
      <c r="A12" s="829"/>
      <c r="B12" s="830"/>
      <c r="C12" s="804"/>
      <c r="D12" s="433"/>
      <c r="E12" s="433"/>
      <c r="F12" s="434"/>
      <c r="G12" s="435" t="s">
        <v>5736</v>
      </c>
      <c r="H12" s="436" t="s">
        <v>4958</v>
      </c>
      <c r="I12" s="437" t="s">
        <v>4961</v>
      </c>
      <c r="J12" s="438"/>
      <c r="K12" s="336" t="s">
        <v>278</v>
      </c>
      <c r="L12" s="577"/>
      <c r="M12" s="578">
        <v>65</v>
      </c>
      <c r="N12" s="579">
        <f t="shared" si="0"/>
        <v>129</v>
      </c>
      <c r="O12" s="413">
        <f>COUNTIFS('свод практик'!$J$6:$J$277,'строго ИБ'!O$1,'свод практик'!$B$6:$B$277,"ИБ",'свод практик'!$H$6:$H$277,"мун")</f>
        <v>0</v>
      </c>
      <c r="P12" s="413">
        <f>COUNTIFS('свод практик'!$J$6:$J$277,'строго ИБ'!P$1,'свод практик'!$B$6:$B$277,"ИБ",'свод практик'!$H$6:$H$277,"мун")</f>
        <v>0</v>
      </c>
      <c r="Q12" s="413">
        <f>COUNTIFS('свод практик'!$J$6:$J$277,'строго ИБ'!Q$1,'свод практик'!$B$6:$B$277,"ИБ",'свод практик'!$H$6:$H$277,"мун")</f>
        <v>0</v>
      </c>
      <c r="R12" s="413">
        <f>COUNTIFS('свод практик'!$J$6:$J$277,'строго ИБ'!R$1,'свод практик'!$B$6:$B$277,"ИБ",'свод практик'!$H$6:$H$277,"мун")</f>
        <v>0</v>
      </c>
      <c r="S12" s="413">
        <f>COUNTIFS('свод практик'!$J$6:$J$277,'строго ИБ'!S$1,'свод практик'!$B$6:$B$277,"ИБ",'свод практик'!$H$6:$H$277,"мун")</f>
        <v>1</v>
      </c>
      <c r="T12" s="413">
        <f>COUNTIFS('свод практик'!$J$6:$J$277,'строго ИБ'!T$1,'свод практик'!$B$6:$B$277,"ИБ",'свод практик'!$H$6:$H$277,"мун")</f>
        <v>0</v>
      </c>
      <c r="U12" s="413">
        <f>COUNTIFS('свод практик'!$J$6:$J$277,'строго ИБ'!U$1,'свод практик'!$B$6:$B$277,"ИБ",'свод практик'!$H$6:$H$277,"мун")</f>
        <v>6</v>
      </c>
      <c r="V12" s="413">
        <f>COUNTIFS('свод практик'!$J$6:$J$277,'строго ИБ'!V$1,'свод практик'!$B$6:$B$277,"ИБ",'свод практик'!$H$6:$H$277,"мун")</f>
        <v>1</v>
      </c>
      <c r="W12" s="413">
        <f>COUNTIFS('свод практик'!$J$6:$J$277,'строго ИБ'!W$1,'свод практик'!$B$6:$B$277,"ИБ",'свод практик'!$H$6:$H$277,"мун")</f>
        <v>0</v>
      </c>
      <c r="X12" s="413">
        <f>COUNTIFS('свод практик'!$J$6:$J$277,'строго ИБ'!X$1,'свод практик'!$B$6:$B$277,"ИБ",'свод практик'!$H$6:$H$277,"мун")</f>
        <v>0</v>
      </c>
      <c r="Y12" s="413">
        <f>COUNTIFS('свод практик'!$J$6:$J$277,'строго ИБ'!Y$1,'свод практик'!$B$6:$B$277,"ИБ",'свод практик'!$H$6:$H$277,"мун")</f>
        <v>0</v>
      </c>
      <c r="Z12" s="413">
        <f>COUNTIFS('свод практик'!$J$6:$J$277,'строго ИБ'!Z$1,'свод практик'!$B$6:$B$277,"ИБ",'свод практик'!$H$6:$H$277,"мун")</f>
        <v>0</v>
      </c>
      <c r="AA12" s="413">
        <f>COUNTIFS('свод практик'!$J$6:$J$277,'строго ИБ'!AA$1,'свод практик'!$B$6:$B$277,"ИБ",'свод практик'!$H$6:$H$277,"мун")</f>
        <v>2</v>
      </c>
      <c r="AB12" s="413">
        <f>COUNTIFS('свод практик'!$J$6:$J$277,'строго ИБ'!AB$1,'свод практик'!$B$6:$B$277,"ИБ",'свод практик'!$H$6:$H$277,"мун")</f>
        <v>0</v>
      </c>
      <c r="AC12" s="413">
        <f>COUNTIFS('свод практик'!$J$6:$J$277,'строго ИБ'!AC$1,'свод практик'!$B$6:$B$277,"ИБ",'свод практик'!$H$6:$H$277,"мун")</f>
        <v>0</v>
      </c>
      <c r="AD12" s="413">
        <f>COUNTIFS('свод практик'!$J$6:$J$277,'строго ИБ'!AD$1,'свод практик'!$B$6:$B$277,"ИБ",'свод практик'!$H$6:$H$277,"мун")</f>
        <v>0</v>
      </c>
      <c r="AE12" s="413">
        <f>COUNTIFS('свод практик'!$J$6:$J$277,'строго ИБ'!AE$1,'свод практик'!$B$6:$B$277,"ИБ",'свод практик'!$H$6:$H$277,"мун")</f>
        <v>0</v>
      </c>
      <c r="AF12" s="413">
        <f>COUNTIFS('свод практик'!$J$6:$J$277,'строго ИБ'!AF$1,'свод практик'!$B$6:$B$277,"ИБ",'свод практик'!$H$6:$H$277,"мун")</f>
        <v>0</v>
      </c>
      <c r="AG12" s="413">
        <f>COUNTIFS('свод практик'!$J$6:$J$277,'строго ИБ'!AG$1,'свод практик'!$B$6:$B$277,"ИБ",'свод практик'!$H$6:$H$277,"мун")</f>
        <v>0</v>
      </c>
      <c r="AH12" s="413">
        <f>COUNTIFS('свод практик'!$J$6:$J$277,'строго ИБ'!AH$1,'свод практик'!$B$6:$B$277,"ИБ",'свод практик'!$H$6:$H$277,"мун")</f>
        <v>0</v>
      </c>
      <c r="AI12" s="413">
        <f>COUNTIFS('свод практик'!$J$6:$J$277,'строго ИБ'!AI$1,'свод практик'!$B$6:$B$277,"ИБ",'свод практик'!$H$6:$H$277,"мун")</f>
        <v>0</v>
      </c>
      <c r="AJ12" s="413">
        <f>COUNTIFS('свод практик'!$J$6:$J$277,'строго ИБ'!AJ$1,'свод практик'!$B$6:$B$277,"ИБ",'свод практик'!$H$6:$H$277,"мун")</f>
        <v>0</v>
      </c>
      <c r="AK12" s="413">
        <f>COUNTIFS('свод практик'!$J$6:$J$277,'строго ИБ'!AK$1,'свод практик'!$B$6:$B$277,"ИБ",'свод практик'!$H$6:$H$277,"мун")</f>
        <v>0</v>
      </c>
      <c r="AL12" s="413">
        <f>COUNTIFS('свод практик'!$J$6:$J$277,'строго ИБ'!AL$1,'свод практик'!$B$6:$B$277,"ИБ",'свод практик'!$H$6:$H$277,"мун")</f>
        <v>3</v>
      </c>
      <c r="AM12" s="413">
        <f>COUNTIFS('свод практик'!$J$6:$J$277,'строго ИБ'!AM$1,'свод практик'!$B$6:$B$277,"ИБ",'свод практик'!$H$6:$H$277,"мун")</f>
        <v>0</v>
      </c>
      <c r="AN12" s="413">
        <f>COUNTIFS('свод практик'!$J$6:$J$277,'строго ИБ'!AN$1,'свод практик'!$B$6:$B$277,"ИБ",'свод практик'!$H$6:$H$277,"мун")</f>
        <v>0</v>
      </c>
      <c r="AO12" s="413">
        <f>COUNTIFS('свод практик'!$J$6:$J$277,'строго ИБ'!AO$1,'свод практик'!$B$6:$B$277,"ИБ",'свод практик'!$H$6:$H$277,"мун")</f>
        <v>0</v>
      </c>
      <c r="AP12" s="413">
        <f>COUNTIFS('свод практик'!$J$6:$J$277,'строго ИБ'!AP$1,'свод практик'!$B$6:$B$277,"ИБ",'свод практик'!$H$6:$H$277,"мун")</f>
        <v>0</v>
      </c>
      <c r="AQ12" s="413">
        <f>COUNTIFS('свод практик'!$J$6:$J$277,'строго ИБ'!AQ$1,'свод практик'!$B$6:$B$277,"ИБ",'свод практик'!$H$6:$H$277,"мун")</f>
        <v>0</v>
      </c>
      <c r="AR12" s="413">
        <f>COUNTIFS('свод практик'!$J$6:$J$277,'строго ИБ'!AR$1,'свод практик'!$B$6:$B$277,"ИБ",'свод практик'!$H$6:$H$277,"мун")</f>
        <v>0</v>
      </c>
      <c r="AS12" s="413">
        <f>COUNTIFS('свод практик'!$J$6:$J$277,'строго ИБ'!AS$1,'свод практик'!$B$6:$B$277,"ИБ",'свод практик'!$H$6:$H$277,"мун")</f>
        <v>0</v>
      </c>
      <c r="AT12" s="413">
        <f>COUNTIFS('свод практик'!$J$6:$J$277,'строго ИБ'!AT$1,'свод практик'!$B$6:$B$277,"ИБ",'свод практик'!$H$6:$H$277,"мун")</f>
        <v>0</v>
      </c>
      <c r="AU12" s="413">
        <f>COUNTIFS('свод практик'!$J$6:$J$277,'строго ИБ'!AU$1,'свод практик'!$B$6:$B$277,"ИБ",'свод практик'!$H$6:$H$277,"мун")</f>
        <v>1</v>
      </c>
      <c r="AV12" s="413">
        <f>COUNTIFS('свод практик'!$J$6:$J$277,'строго ИБ'!AV$1,'свод практик'!$B$6:$B$277,"ИБ",'свод практик'!$H$6:$H$277,"мун")</f>
        <v>0</v>
      </c>
      <c r="AW12" s="413">
        <f>COUNTIFS('свод практик'!$J$6:$J$277,'строго ИБ'!AW$1,'свод практик'!$B$6:$B$277,"ИБ",'свод практик'!$H$6:$H$277,"мун")</f>
        <v>0</v>
      </c>
      <c r="AX12" s="413">
        <f>COUNTIFS('свод практик'!$J$6:$J$277,'строго ИБ'!AX$1,'свод практик'!$B$6:$B$277,"ИБ",'свод практик'!$H$6:$H$277,"мун")</f>
        <v>0</v>
      </c>
      <c r="AY12" s="413">
        <f>COUNTIFS('свод практик'!$J$6:$J$277,'строго ИБ'!AY$1,'свод практик'!$B$6:$B$277,"ИБ",'свод практик'!$H$6:$H$277,"мун")</f>
        <v>1</v>
      </c>
      <c r="AZ12" s="413">
        <f>COUNTIFS('свод практик'!$J$6:$J$277,'строго ИБ'!AZ$1,'свод практик'!$B$6:$B$277,"ИБ",'свод практик'!$H$6:$H$277,"мун")</f>
        <v>0</v>
      </c>
      <c r="BA12" s="413">
        <f>COUNTIFS('свод практик'!$J$6:$J$277,'строго ИБ'!BA$1,'свод практик'!$B$6:$B$277,"ИБ",'свод практик'!$H$6:$H$277,"мун")</f>
        <v>0</v>
      </c>
      <c r="BB12" s="413">
        <f>COUNTIFS('свод практик'!$J$6:$J$277,'строго ИБ'!BB$1,'свод практик'!$B$6:$B$277,"ИБ",'свод практик'!$H$6:$H$277,"мун")</f>
        <v>0</v>
      </c>
      <c r="BC12" s="413">
        <f>COUNTIFS('свод практик'!$J$6:$J$277,'строго ИБ'!BC$1,'свод практик'!$B$6:$B$277,"ИБ",'свод практик'!$H$6:$H$277,"мун")</f>
        <v>0</v>
      </c>
      <c r="BD12" s="413">
        <f>COUNTIFS('свод практик'!$J$6:$J$277,'строго ИБ'!BD$1,'свод практик'!$B$6:$B$277,"ИБ",'свод практик'!$H$6:$H$277,"мун")</f>
        <v>0</v>
      </c>
      <c r="BE12" s="413">
        <f>COUNTIFS('свод практик'!$J$6:$J$277,'строго ИБ'!BE$1,'свод практик'!$B$6:$B$277,"ИБ",'свод практик'!$H$6:$H$277,"мун")</f>
        <v>1</v>
      </c>
      <c r="BF12" s="413">
        <f>COUNTIFS('свод практик'!$J$6:$J$277,'строго ИБ'!BF$1,'свод практик'!$B$6:$B$277,"ИБ",'свод практик'!$H$6:$H$277,"мун")</f>
        <v>0</v>
      </c>
      <c r="BG12" s="413">
        <f>COUNTIFS('свод практик'!$J$6:$J$277,'строго ИБ'!BG$1,'свод практик'!$B$6:$B$277,"ИБ",'свод практик'!$H$6:$H$277,"мун")</f>
        <v>0</v>
      </c>
      <c r="BH12" s="413">
        <f>COUNTIFS('свод практик'!$J$6:$J$277,'строго ИБ'!BH$1,'свод практик'!$B$6:$B$277,"ИБ",'свод практик'!$H$6:$H$277,"мун")</f>
        <v>0</v>
      </c>
      <c r="BI12" s="413">
        <f>COUNTIFS('свод практик'!$J$6:$J$277,'строго ИБ'!BI$1,'свод практик'!$B$6:$B$277,"ИБ",'свод практик'!$H$6:$H$277,"мун")</f>
        <v>0</v>
      </c>
      <c r="BJ12" s="413">
        <f>COUNTIFS('свод практик'!$J$6:$J$277,'строго ИБ'!BJ$1,'свод практик'!$B$6:$B$277,"ИБ",'свод практик'!$H$6:$H$277,"мун")</f>
        <v>0</v>
      </c>
      <c r="BK12" s="413">
        <f>COUNTIFS('свод практик'!$J$6:$J$277,'строго ИБ'!BK$1,'свод практик'!$B$6:$B$277,"ИБ",'свод практик'!$H$6:$H$277,"мун")</f>
        <v>0</v>
      </c>
      <c r="BL12" s="413">
        <f>COUNTIFS('свод практик'!$J$6:$J$277,'строго ИБ'!BL$1,'свод практик'!$B$6:$B$277,"ИБ",'свод практик'!$H$6:$H$277,"мун")</f>
        <v>14</v>
      </c>
      <c r="BM12" s="413">
        <f>COUNTIFS('свод практик'!$J$6:$J$277,'строго ИБ'!BM$1,'свод практик'!$B$6:$B$277,"ИБ",'свод практик'!$H$6:$H$277,"мун")</f>
        <v>0</v>
      </c>
      <c r="BN12" s="413">
        <f>COUNTIFS('свод практик'!$J$6:$J$277,'строго ИБ'!BN$1,'свод практик'!$B$6:$B$277,"ИБ",'свод практик'!$H$6:$H$277,"мун")</f>
        <v>0</v>
      </c>
      <c r="BO12" s="413">
        <f>COUNTIFS('свод практик'!$J$6:$J$277,'строго ИБ'!BO$1,'свод практик'!$B$6:$B$277,"ИБ",'свод практик'!$H$6:$H$277,"мун")</f>
        <v>0</v>
      </c>
      <c r="BP12" s="413">
        <f>COUNTIFS('свод практик'!$J$6:$J$277,'строго ИБ'!BP$1,'свод практик'!$B$6:$B$277,"ИБ",'свод практик'!$H$6:$H$277,"мун")</f>
        <v>0</v>
      </c>
      <c r="BQ12" s="413">
        <f>COUNTIFS('свод практик'!$J$6:$J$277,'строго ИБ'!BQ$1,'свод практик'!$B$6:$B$277,"ИБ",'свод практик'!$H$6:$H$277,"мун")</f>
        <v>0</v>
      </c>
      <c r="BR12" s="413">
        <f>COUNTIFS('свод практик'!$J$6:$J$277,'строго ИБ'!BR$1,'свод практик'!$B$6:$B$277,"ИБ",'свод практик'!$H$6:$H$277,"мун")</f>
        <v>1</v>
      </c>
      <c r="BS12" s="413">
        <f>COUNTIFS('свод практик'!$J$6:$J$277,'строго ИБ'!BS$1,'свод практик'!$B$6:$B$277,"ИБ",'свод практик'!$H$6:$H$277,"мун")</f>
        <v>0</v>
      </c>
      <c r="BT12" s="413">
        <f>COUNTIFS('свод практик'!$J$6:$J$277,'строго ИБ'!BT$1,'свод практик'!$B$6:$B$277,"ИБ",'свод практик'!$H$6:$H$277,"мун")</f>
        <v>9</v>
      </c>
      <c r="BU12" s="413">
        <f>COUNTIFS('свод практик'!$J$6:$J$277,'строго ИБ'!BU$1,'свод практик'!$B$6:$B$277,"ИБ",'свод практик'!$H$6:$H$277,"мун")</f>
        <v>0</v>
      </c>
      <c r="BV12" s="413">
        <f>COUNTIFS('свод практик'!$J$6:$J$277,'строго ИБ'!BV$1,'свод практик'!$B$6:$B$277,"ИБ",'свод практик'!$H$6:$H$277,"мун")</f>
        <v>0</v>
      </c>
      <c r="BW12" s="413">
        <f>COUNTIFS('свод практик'!$J$6:$J$277,'строго ИБ'!BW$1,'свод практик'!$B$6:$B$277,"ИБ",'свод практик'!$H$6:$H$277,"мун")</f>
        <v>0</v>
      </c>
      <c r="BX12" s="413">
        <f>COUNTIFS('свод практик'!$J$6:$J$277,'строго ИБ'!BX$1,'свод практик'!$B$6:$B$277,"ИБ",'свод практик'!$H$6:$H$277,"мун")</f>
        <v>0</v>
      </c>
      <c r="BY12" s="413">
        <f>COUNTIFS('свод практик'!$J$6:$J$277,'строго ИБ'!BY$1,'свод практик'!$B$6:$B$277,"ИБ",'свод практик'!$H$6:$H$277,"мун")</f>
        <v>3</v>
      </c>
      <c r="BZ12" s="413">
        <f>COUNTIFS('свод практик'!$J$6:$J$277,'строго ИБ'!BZ$1,'свод практик'!$B$6:$B$277,"ИБ",'свод практик'!$H$6:$H$277,"мун")</f>
        <v>0</v>
      </c>
      <c r="CA12" s="413">
        <f>COUNTIFS('свод практик'!$J$6:$J$277,'строго ИБ'!CA$1,'свод практик'!$B$6:$B$277,"ИБ",'свод практик'!$H$6:$H$277,"мун")</f>
        <v>0</v>
      </c>
      <c r="CB12" s="413">
        <f>COUNTIFS('свод практик'!$J$6:$J$277,'строго ИБ'!CB$1,'свод практик'!$B$6:$B$277,"ИБ",'свод практик'!$H$6:$H$277,"мун")</f>
        <v>0</v>
      </c>
      <c r="CC12" s="413">
        <f>COUNTIFS('свод практик'!$J$6:$J$277,'строго ИБ'!CC$1,'свод практик'!$B$6:$B$277,"ИБ",'свод практик'!$H$6:$H$277,"мун")</f>
        <v>1</v>
      </c>
      <c r="CD12" s="413">
        <f>COUNTIFS('свод практик'!$J$6:$J$277,'строго ИБ'!CD$1,'свод практик'!$B$6:$B$277,"ИБ",'свод практик'!$H$6:$H$277,"мун")</f>
        <v>0</v>
      </c>
      <c r="CE12" s="413">
        <f>COUNTIFS('свод практик'!$J$6:$J$277,'строго ИБ'!CE$1,'свод практик'!$B$6:$B$277,"ИБ",'свод практик'!$H$6:$H$277,"мун")</f>
        <v>0</v>
      </c>
      <c r="CF12" s="413">
        <f>COUNTIFS('свод практик'!$J$6:$J$277,'строго ИБ'!CF$1,'свод практик'!$B$6:$B$277,"ИБ",'свод практик'!$H$6:$H$277,"мун")</f>
        <v>0</v>
      </c>
      <c r="CG12" s="413">
        <f>COUNTIFS('свод практик'!$J$6:$J$277,'строго ИБ'!CG$1,'свод практик'!$B$6:$B$277,"ИБ",'свод практик'!$H$6:$H$277,"мун")</f>
        <v>0</v>
      </c>
      <c r="CH12" s="413">
        <f>COUNTIFS('свод практик'!$J$6:$J$277,'строго ИБ'!CH$1,'свод практик'!$B$6:$B$277,"ИБ",'свод практик'!$H$6:$H$277,"мун")</f>
        <v>0</v>
      </c>
      <c r="CI12" s="413">
        <f>COUNTIFS('свод практик'!$J$6:$J$277,'строго ИБ'!CI$1,'свод практик'!$B$6:$B$277,"ИБ",'свод практик'!$H$6:$H$277,"мун")</f>
        <v>0</v>
      </c>
      <c r="CJ12" s="413">
        <f>COUNTIFS('свод практик'!$J$6:$J$277,'строго ИБ'!CJ$1,'свод практик'!$B$6:$B$277,"ИБ",'свод практик'!$H$6:$H$277,"мун")</f>
        <v>0</v>
      </c>
      <c r="CK12" s="413">
        <f>COUNTIFS('свод практик'!$J$6:$J$277,'строго ИБ'!CK$1,'свод практик'!$B$6:$B$277,"ИБ",'свод практик'!$H$6:$H$277,"мун")</f>
        <v>5</v>
      </c>
      <c r="CL12" s="413">
        <f>COUNTIFS('свод практик'!$J$6:$J$277,'строго ИБ'!CL$1,'свод практик'!$B$6:$B$277,"ИБ",'свод практик'!$H$6:$H$277,"мун")</f>
        <v>27</v>
      </c>
      <c r="CM12" s="413">
        <f>COUNTIFS('свод практик'!$J$6:$J$277,'строго ИБ'!CM$1,'свод практик'!$B$6:$B$277,"ИБ",'свод практик'!$H$6:$H$277,"мун")</f>
        <v>0</v>
      </c>
      <c r="CN12" s="413">
        <f>COUNTIFS('свод практик'!$J$6:$J$277,'строго ИБ'!CN$1,'свод практик'!$B$6:$B$277,"ИБ",'свод практик'!$H$6:$H$277,"мун")</f>
        <v>0</v>
      </c>
      <c r="CO12" s="413">
        <f>COUNTIFS('свод практик'!$J$6:$J$277,'строго ИБ'!CO$1,'свод практик'!$B$6:$B$277,"ИБ",'свод практик'!$H$6:$H$277,"мун")</f>
        <v>27</v>
      </c>
      <c r="CP12" s="413">
        <f>COUNTIFS('свод практик'!$J$6:$J$277,'строго ИБ'!CP$1,'свод практик'!$B$6:$B$277,"ИБ",'свод практик'!$H$6:$H$277,"мун")</f>
        <v>1</v>
      </c>
      <c r="CQ12" s="413">
        <f>COUNTIFS('свод практик'!$J$6:$J$277,'строго ИБ'!CQ$1,'свод практик'!$B$6:$B$277,"ИБ",'свод практик'!$H$6:$H$277,"мун")</f>
        <v>0</v>
      </c>
      <c r="CR12" s="413">
        <f>COUNTIFS('свод практик'!$J$6:$J$277,'строго ИБ'!CR$1,'свод практик'!$B$6:$B$277,"ИБ",'свод практик'!$H$6:$H$277,"мун")</f>
        <v>0</v>
      </c>
      <c r="CS12" s="413">
        <f>COUNTIFS('свод практик'!$J$6:$J$277,'строго ИБ'!CS$1,'свод практик'!$B$6:$B$277,"ИБ",'свод практик'!$H$6:$H$277,"мун")</f>
        <v>0</v>
      </c>
      <c r="CT12" s="413">
        <f>COUNTIFS('свод практик'!$J$6:$J$277,'строго ИБ'!CT$1,'свод практик'!$B$6:$B$277,"ИБ",'свод практик'!$H$6:$H$277,"мун")</f>
        <v>25</v>
      </c>
      <c r="CU12" s="413">
        <f>COUNTIFS('свод практик'!$J$6:$J$277,'строго ИБ'!CU$1,'свод практик'!$B$6:$B$277,"ИБ",'свод практик'!$H$6:$H$277,"мун")</f>
        <v>0</v>
      </c>
    </row>
    <row r="13" spans="1:99" s="590" customFormat="1" ht="64.5" customHeight="1">
      <c r="A13" s="815"/>
      <c r="B13" s="817"/>
      <c r="C13" s="805"/>
      <c r="D13" s="581" t="s">
        <v>4949</v>
      </c>
      <c r="E13" s="581">
        <v>5</v>
      </c>
      <c r="F13" s="582" t="s">
        <v>4967</v>
      </c>
      <c r="G13" s="583" t="s">
        <v>5250</v>
      </c>
      <c r="H13" s="584" t="s">
        <v>4958</v>
      </c>
      <c r="I13" s="585" t="s">
        <v>4961</v>
      </c>
      <c r="J13" s="586"/>
      <c r="K13" s="587"/>
      <c r="L13" s="588"/>
      <c r="M13" s="589"/>
    </row>
    <row r="14" spans="1:99" ht="44.5" customHeight="1">
      <c r="A14" s="815"/>
      <c r="B14" s="817"/>
      <c r="C14" s="805"/>
      <c r="D14" s="439" t="s">
        <v>4949</v>
      </c>
      <c r="E14" s="439">
        <v>6</v>
      </c>
      <c r="F14" s="440" t="s">
        <v>4968</v>
      </c>
      <c r="G14" s="441" t="s">
        <v>5714</v>
      </c>
      <c r="H14" s="442" t="s">
        <v>63</v>
      </c>
      <c r="I14" s="443" t="s">
        <v>4956</v>
      </c>
      <c r="J14" s="444"/>
      <c r="K14" s="2"/>
      <c r="L14" s="338"/>
      <c r="M14" s="339">
        <v>44</v>
      </c>
      <c r="N14" s="579">
        <f>COUNTIF(O14:CU14,"да")</f>
        <v>53</v>
      </c>
      <c r="O14" s="413" t="str">
        <f>IF(O$10&gt;0,"да","нет")</f>
        <v>да</v>
      </c>
      <c r="P14" s="413" t="str">
        <f t="shared" ref="P14:CA14" si="1">IF(P$10&gt;0,"да","нет")</f>
        <v>да</v>
      </c>
      <c r="Q14" s="413" t="str">
        <f t="shared" si="1"/>
        <v>да</v>
      </c>
      <c r="R14" s="413" t="str">
        <f t="shared" si="1"/>
        <v>да</v>
      </c>
      <c r="S14" s="413" t="str">
        <f t="shared" si="1"/>
        <v>да</v>
      </c>
      <c r="T14" s="413" t="str">
        <f t="shared" si="1"/>
        <v>да</v>
      </c>
      <c r="U14" s="413" t="str">
        <f t="shared" si="1"/>
        <v>да</v>
      </c>
      <c r="V14" s="413" t="str">
        <f t="shared" si="1"/>
        <v>да</v>
      </c>
      <c r="W14" s="413" t="str">
        <f t="shared" si="1"/>
        <v>да</v>
      </c>
      <c r="X14" s="413" t="str">
        <f t="shared" si="1"/>
        <v>нет</v>
      </c>
      <c r="Y14" s="413" t="str">
        <f t="shared" si="1"/>
        <v>нет</v>
      </c>
      <c r="Z14" s="413" t="str">
        <f t="shared" si="1"/>
        <v>да</v>
      </c>
      <c r="AA14" s="413" t="str">
        <f t="shared" si="1"/>
        <v>да</v>
      </c>
      <c r="AB14" s="413" t="str">
        <f t="shared" si="1"/>
        <v>да</v>
      </c>
      <c r="AC14" s="413" t="str">
        <f t="shared" si="1"/>
        <v>нет</v>
      </c>
      <c r="AD14" s="413" t="str">
        <f t="shared" si="1"/>
        <v>нет</v>
      </c>
      <c r="AE14" s="413" t="str">
        <f t="shared" si="1"/>
        <v>нет</v>
      </c>
      <c r="AF14" s="413" t="str">
        <f t="shared" si="1"/>
        <v>нет</v>
      </c>
      <c r="AG14" s="413" t="str">
        <f t="shared" si="1"/>
        <v>нет</v>
      </c>
      <c r="AH14" s="413" t="str">
        <f t="shared" si="1"/>
        <v>нет</v>
      </c>
      <c r="AI14" s="413" t="str">
        <f t="shared" si="1"/>
        <v>нет</v>
      </c>
      <c r="AJ14" s="413" t="str">
        <f t="shared" si="1"/>
        <v>нет</v>
      </c>
      <c r="AK14" s="413" t="str">
        <f t="shared" si="1"/>
        <v>да</v>
      </c>
      <c r="AL14" s="413" t="str">
        <f t="shared" si="1"/>
        <v>да</v>
      </c>
      <c r="AM14" s="413" t="str">
        <f t="shared" si="1"/>
        <v>нет</v>
      </c>
      <c r="AN14" s="413" t="str">
        <f t="shared" si="1"/>
        <v>нет</v>
      </c>
      <c r="AO14" s="413" t="str">
        <f t="shared" si="1"/>
        <v>да</v>
      </c>
      <c r="AP14" s="413" t="str">
        <f t="shared" si="1"/>
        <v>да</v>
      </c>
      <c r="AQ14" s="413" t="str">
        <f t="shared" si="1"/>
        <v>да</v>
      </c>
      <c r="AR14" s="413" t="str">
        <f t="shared" si="1"/>
        <v>да</v>
      </c>
      <c r="AS14" s="413" t="str">
        <f t="shared" si="1"/>
        <v>нет</v>
      </c>
      <c r="AT14" s="413" t="str">
        <f t="shared" si="1"/>
        <v>нет</v>
      </c>
      <c r="AU14" s="413" t="str">
        <f t="shared" si="1"/>
        <v>да</v>
      </c>
      <c r="AV14" s="413" t="str">
        <f t="shared" si="1"/>
        <v>нет</v>
      </c>
      <c r="AW14" s="413" t="str">
        <f t="shared" si="1"/>
        <v>да</v>
      </c>
      <c r="AX14" s="413" t="str">
        <f t="shared" si="1"/>
        <v>нет</v>
      </c>
      <c r="AY14" s="413" t="str">
        <f t="shared" si="1"/>
        <v>да</v>
      </c>
      <c r="AZ14" s="413" t="str">
        <f t="shared" si="1"/>
        <v>нет</v>
      </c>
      <c r="BA14" s="413" t="str">
        <f t="shared" si="1"/>
        <v>нет</v>
      </c>
      <c r="BB14" s="413" t="str">
        <f t="shared" si="1"/>
        <v>да</v>
      </c>
      <c r="BC14" s="413" t="str">
        <f t="shared" si="1"/>
        <v>нет</v>
      </c>
      <c r="BD14" s="413" t="str">
        <f t="shared" si="1"/>
        <v>нет</v>
      </c>
      <c r="BE14" s="413" t="str">
        <f t="shared" si="1"/>
        <v>да</v>
      </c>
      <c r="BF14" s="413" t="str">
        <f t="shared" si="1"/>
        <v>да</v>
      </c>
      <c r="BG14" s="413" t="str">
        <f t="shared" si="1"/>
        <v>да</v>
      </c>
      <c r="BH14" s="413" t="str">
        <f t="shared" si="1"/>
        <v>да</v>
      </c>
      <c r="BI14" s="413" t="str">
        <f t="shared" si="1"/>
        <v>да</v>
      </c>
      <c r="BJ14" s="413" t="str">
        <f t="shared" si="1"/>
        <v>да</v>
      </c>
      <c r="BK14" s="413" t="str">
        <f t="shared" si="1"/>
        <v>нет</v>
      </c>
      <c r="BL14" s="413" t="str">
        <f t="shared" si="1"/>
        <v>да</v>
      </c>
      <c r="BM14" s="413" t="str">
        <f t="shared" si="1"/>
        <v>да</v>
      </c>
      <c r="BN14" s="413" t="str">
        <f t="shared" si="1"/>
        <v>нет</v>
      </c>
      <c r="BO14" s="413" t="str">
        <f t="shared" si="1"/>
        <v>да</v>
      </c>
      <c r="BP14" s="413" t="str">
        <f t="shared" si="1"/>
        <v>нет</v>
      </c>
      <c r="BQ14" s="413" t="str">
        <f t="shared" si="1"/>
        <v>нет</v>
      </c>
      <c r="BR14" s="413" t="str">
        <f t="shared" si="1"/>
        <v>да</v>
      </c>
      <c r="BS14" s="413" t="str">
        <f t="shared" si="1"/>
        <v>да</v>
      </c>
      <c r="BT14" s="413" t="str">
        <f t="shared" si="1"/>
        <v>да</v>
      </c>
      <c r="BU14" s="413" t="str">
        <f t="shared" si="1"/>
        <v>да</v>
      </c>
      <c r="BV14" s="413" t="str">
        <f t="shared" si="1"/>
        <v>да</v>
      </c>
      <c r="BW14" s="413" t="str">
        <f t="shared" si="1"/>
        <v>да</v>
      </c>
      <c r="BX14" s="413" t="str">
        <f t="shared" si="1"/>
        <v>да</v>
      </c>
      <c r="BY14" s="413" t="str">
        <f t="shared" si="1"/>
        <v>да</v>
      </c>
      <c r="BZ14" s="413" t="str">
        <f t="shared" si="1"/>
        <v>нет</v>
      </c>
      <c r="CA14" s="413" t="str">
        <f t="shared" si="1"/>
        <v>нет</v>
      </c>
      <c r="CB14" s="413" t="str">
        <f t="shared" ref="CB14:CU14" si="2">IF(CB$10&gt;0,"да","нет")</f>
        <v>нет</v>
      </c>
      <c r="CC14" s="413" t="str">
        <f t="shared" si="2"/>
        <v>да</v>
      </c>
      <c r="CD14" s="413" t="str">
        <f t="shared" si="2"/>
        <v>да</v>
      </c>
      <c r="CE14" s="413" t="str">
        <f t="shared" si="2"/>
        <v>нет</v>
      </c>
      <c r="CF14" s="413" t="str">
        <f t="shared" si="2"/>
        <v>да</v>
      </c>
      <c r="CG14" s="413" t="str">
        <f t="shared" si="2"/>
        <v>да</v>
      </c>
      <c r="CH14" s="413" t="str">
        <f t="shared" si="2"/>
        <v>да</v>
      </c>
      <c r="CI14" s="413" t="str">
        <f t="shared" si="2"/>
        <v>нет</v>
      </c>
      <c r="CJ14" s="413" t="str">
        <f t="shared" si="2"/>
        <v>нет</v>
      </c>
      <c r="CK14" s="413" t="str">
        <f t="shared" si="2"/>
        <v>да</v>
      </c>
      <c r="CL14" s="413" t="str">
        <f t="shared" si="2"/>
        <v>да</v>
      </c>
      <c r="CM14" s="413" t="str">
        <f t="shared" si="2"/>
        <v>да</v>
      </c>
      <c r="CN14" s="413" t="str">
        <f t="shared" si="2"/>
        <v>нет</v>
      </c>
      <c r="CO14" s="413" t="str">
        <f t="shared" si="2"/>
        <v>да</v>
      </c>
      <c r="CP14" s="413" t="str">
        <f t="shared" si="2"/>
        <v>да</v>
      </c>
      <c r="CQ14" s="413" t="str">
        <f t="shared" si="2"/>
        <v>нет</v>
      </c>
      <c r="CR14" s="413" t="str">
        <f t="shared" si="2"/>
        <v>да</v>
      </c>
      <c r="CS14" s="413" t="str">
        <f t="shared" si="2"/>
        <v>да</v>
      </c>
      <c r="CT14" s="413" t="str">
        <f t="shared" si="2"/>
        <v>да</v>
      </c>
      <c r="CU14" s="413" t="str">
        <f t="shared" si="2"/>
        <v>да</v>
      </c>
    </row>
    <row r="15" spans="1:99" s="590" customFormat="1" ht="30.5" customHeight="1" thickBot="1">
      <c r="A15" s="811"/>
      <c r="B15" s="818"/>
      <c r="C15" s="807"/>
      <c r="D15" s="591" t="s">
        <v>4949</v>
      </c>
      <c r="E15" s="581">
        <v>7</v>
      </c>
      <c r="F15" s="582" t="s">
        <v>4970</v>
      </c>
      <c r="G15" s="592" t="s">
        <v>4971</v>
      </c>
      <c r="H15" s="584" t="s">
        <v>63</v>
      </c>
      <c r="I15" s="585" t="s">
        <v>4956</v>
      </c>
      <c r="J15" s="586"/>
      <c r="K15" s="587"/>
      <c r="L15" s="588"/>
      <c r="M15" s="589"/>
    </row>
    <row r="16" spans="1:99" s="590" customFormat="1" ht="18.5" customHeight="1" thickBot="1">
      <c r="A16" s="479"/>
      <c r="B16" s="601"/>
      <c r="C16" s="481"/>
      <c r="D16" s="594"/>
      <c r="E16" s="594"/>
      <c r="F16" s="595" t="s">
        <v>5241</v>
      </c>
      <c r="G16" s="596" t="s">
        <v>4973</v>
      </c>
      <c r="H16" s="584" t="s">
        <v>63</v>
      </c>
      <c r="I16" s="585" t="s">
        <v>4956</v>
      </c>
      <c r="J16" s="597"/>
      <c r="K16" s="593"/>
      <c r="L16" s="598"/>
      <c r="M16" s="589"/>
    </row>
    <row r="17" spans="1:99" ht="55.5" customHeight="1" thickBot="1">
      <c r="A17" s="810" t="s">
        <v>4974</v>
      </c>
      <c r="B17" s="816" t="s">
        <v>4947</v>
      </c>
      <c r="C17" s="814" t="s">
        <v>4975</v>
      </c>
      <c r="D17" s="445" t="s">
        <v>4949</v>
      </c>
      <c r="E17" s="445">
        <v>8</v>
      </c>
      <c r="F17" s="446" t="s">
        <v>4976</v>
      </c>
      <c r="G17" s="447" t="s">
        <v>5737</v>
      </c>
      <c r="H17" s="448" t="s">
        <v>4958</v>
      </c>
      <c r="I17" s="449" t="s">
        <v>4977</v>
      </c>
      <c r="J17" s="450"/>
      <c r="K17" s="602" t="s">
        <v>278</v>
      </c>
      <c r="L17" s="341"/>
      <c r="M17" s="342">
        <v>40</v>
      </c>
      <c r="N17" s="579">
        <f>SUM(O17:CU17)</f>
        <v>47</v>
      </c>
      <c r="O17" s="413">
        <f>COUNTIFS('свод практик'!$J$6:$J$277,'строго ИБ'!O$1,'свод практик'!$B$6:$B$277,"ИБ",'свод практик'!$D$6:$D$277,"суб")</f>
        <v>1</v>
      </c>
      <c r="P17" s="413">
        <f>COUNTIFS('свод практик'!$J$6:$J$277,'строго ИБ'!P$1,'свод практик'!$B$6:$B$277,"ИБ",'свод практик'!$D$6:$D$277,"суб")</f>
        <v>1</v>
      </c>
      <c r="Q17" s="413">
        <f>COUNTIFS('свод практик'!$J$6:$J$277,'строго ИБ'!Q$1,'свод практик'!$B$6:$B$277,"ИБ",'свод практик'!$D$6:$D$277,"суб")</f>
        <v>1</v>
      </c>
      <c r="R17" s="413">
        <f>COUNTIFS('свод практик'!$J$6:$J$277,'строго ИБ'!R$1,'свод практик'!$B$6:$B$277,"ИБ",'свод практик'!$D$6:$D$277,"суб")</f>
        <v>1</v>
      </c>
      <c r="S17" s="413">
        <f>COUNTIFS('свод практик'!$J$6:$J$277,'строго ИБ'!S$1,'свод практик'!$B$6:$B$277,"ИБ",'свод практик'!$D$6:$D$277,"суб")</f>
        <v>0</v>
      </c>
      <c r="T17" s="413">
        <f>COUNTIFS('свод практик'!$J$6:$J$277,'строго ИБ'!T$1,'свод практик'!$B$6:$B$277,"ИБ",'свод практик'!$D$6:$D$277,"суб")</f>
        <v>1</v>
      </c>
      <c r="U17" s="413">
        <f>COUNTIFS('свод практик'!$J$6:$J$277,'строго ИБ'!U$1,'свод практик'!$B$6:$B$277,"ИБ",'свод практик'!$D$6:$D$277,"суб")</f>
        <v>3</v>
      </c>
      <c r="V17" s="413">
        <f>COUNTIFS('свод практик'!$J$6:$J$277,'строго ИБ'!V$1,'свод практик'!$B$6:$B$277,"ИБ",'свод практик'!$D$6:$D$277,"суб")</f>
        <v>0</v>
      </c>
      <c r="W17" s="413">
        <f>COUNTIFS('свод практик'!$J$6:$J$277,'строго ИБ'!W$1,'свод практик'!$B$6:$B$277,"ИБ",'свод практик'!$D$6:$D$277,"суб")</f>
        <v>1</v>
      </c>
      <c r="X17" s="413">
        <f>COUNTIFS('свод практик'!$J$6:$J$277,'строго ИБ'!X$1,'свод практик'!$B$6:$B$277,"ИБ",'свод практик'!$D$6:$D$277,"суб")</f>
        <v>0</v>
      </c>
      <c r="Y17" s="413">
        <f>COUNTIFS('свод практик'!$J$6:$J$277,'строго ИБ'!Y$1,'свод практик'!$B$6:$B$277,"ИБ",'свод практик'!$D$6:$D$277,"суб")</f>
        <v>0</v>
      </c>
      <c r="Z17" s="413">
        <f>COUNTIFS('свод практик'!$J$6:$J$277,'строго ИБ'!Z$1,'свод практик'!$B$6:$B$277,"ИБ",'свод практик'!$D$6:$D$277,"суб")</f>
        <v>1</v>
      </c>
      <c r="AA17" s="413">
        <f>COUNTIFS('свод практик'!$J$6:$J$277,'строго ИБ'!AA$1,'свод практик'!$B$6:$B$277,"ИБ",'свод практик'!$D$6:$D$277,"суб")</f>
        <v>1</v>
      </c>
      <c r="AB17" s="413">
        <f>COUNTIFS('свод практик'!$J$6:$J$277,'строго ИБ'!AB$1,'свод практик'!$B$6:$B$277,"ИБ",'свод практик'!$D$6:$D$277,"суб")</f>
        <v>1</v>
      </c>
      <c r="AC17" s="413">
        <f>COUNTIFS('свод практик'!$J$6:$J$277,'строго ИБ'!AC$1,'свод практик'!$B$6:$B$277,"ИБ",'свод практик'!$D$6:$D$277,"суб")</f>
        <v>0</v>
      </c>
      <c r="AD17" s="413">
        <f>COUNTIFS('свод практик'!$J$6:$J$277,'строго ИБ'!AD$1,'свод практик'!$B$6:$B$277,"ИБ",'свод практик'!$D$6:$D$277,"суб")</f>
        <v>0</v>
      </c>
      <c r="AE17" s="413">
        <f>COUNTIFS('свод практик'!$J$6:$J$277,'строго ИБ'!AE$1,'свод практик'!$B$6:$B$277,"ИБ",'свод практик'!$D$6:$D$277,"суб")</f>
        <v>0</v>
      </c>
      <c r="AF17" s="413">
        <f>COUNTIFS('свод практик'!$J$6:$J$277,'строго ИБ'!AF$1,'свод практик'!$B$6:$B$277,"ИБ",'свод практик'!$D$6:$D$277,"суб")</f>
        <v>0</v>
      </c>
      <c r="AG17" s="413">
        <f>COUNTIFS('свод практик'!$J$6:$J$277,'строго ИБ'!AG$1,'свод практик'!$B$6:$B$277,"ИБ",'свод практик'!$D$6:$D$277,"суб")</f>
        <v>0</v>
      </c>
      <c r="AH17" s="413">
        <f>COUNTIFS('свод практик'!$J$6:$J$277,'строго ИБ'!AH$1,'свод практик'!$B$6:$B$277,"ИБ",'свод практик'!$D$6:$D$277,"суб")</f>
        <v>0</v>
      </c>
      <c r="AI17" s="413">
        <f>COUNTIFS('свод практик'!$J$6:$J$277,'строго ИБ'!AI$1,'свод практик'!$B$6:$B$277,"ИБ",'свод практик'!$D$6:$D$277,"суб")</f>
        <v>0</v>
      </c>
      <c r="AJ17" s="413">
        <f>COUNTIFS('свод практик'!$J$6:$J$277,'строго ИБ'!AJ$1,'свод практик'!$B$6:$B$277,"ИБ",'свод практик'!$D$6:$D$277,"суб")</f>
        <v>0</v>
      </c>
      <c r="AK17" s="413">
        <f>COUNTIFS('свод практик'!$J$6:$J$277,'строго ИБ'!AK$1,'свод практик'!$B$6:$B$277,"ИБ",'свод практик'!$D$6:$D$277,"суб")</f>
        <v>1</v>
      </c>
      <c r="AL17" s="413">
        <f>COUNTIFS('свод практик'!$J$6:$J$277,'строго ИБ'!AL$1,'свод практик'!$B$6:$B$277,"ИБ",'свод практик'!$D$6:$D$277,"суб")</f>
        <v>1</v>
      </c>
      <c r="AM17" s="413">
        <f>COUNTIFS('свод практик'!$J$6:$J$277,'строго ИБ'!AM$1,'свод практик'!$B$6:$B$277,"ИБ",'свод практик'!$D$6:$D$277,"суб")</f>
        <v>0</v>
      </c>
      <c r="AN17" s="413">
        <f>COUNTIFS('свод практик'!$J$6:$J$277,'строго ИБ'!AN$1,'свод практик'!$B$6:$B$277,"ИБ",'свод практик'!$D$6:$D$277,"суб")</f>
        <v>0</v>
      </c>
      <c r="AO17" s="413">
        <f>COUNTIFS('свод практик'!$J$6:$J$277,'строго ИБ'!AO$1,'свод практик'!$B$6:$B$277,"ИБ",'свод практик'!$D$6:$D$277,"суб")</f>
        <v>1</v>
      </c>
      <c r="AP17" s="413">
        <f>COUNTIFS('свод практик'!$J$6:$J$277,'строго ИБ'!AP$1,'свод практик'!$B$6:$B$277,"ИБ",'свод практик'!$D$6:$D$277,"суб")</f>
        <v>1</v>
      </c>
      <c r="AQ17" s="413">
        <f>COUNTIFS('свод практик'!$J$6:$J$277,'строго ИБ'!AQ$1,'свод практик'!$B$6:$B$277,"ИБ",'свод практик'!$D$6:$D$277,"суб")</f>
        <v>2</v>
      </c>
      <c r="AR17" s="413">
        <f>COUNTIFS('свод практик'!$J$6:$J$277,'строго ИБ'!AR$1,'свод практик'!$B$6:$B$277,"ИБ",'свод практик'!$D$6:$D$277,"суб")</f>
        <v>1</v>
      </c>
      <c r="AS17" s="413">
        <f>COUNTIFS('свод практик'!$J$6:$J$277,'строго ИБ'!AS$1,'свод практик'!$B$6:$B$277,"ИБ",'свод практик'!$D$6:$D$277,"суб")</f>
        <v>0</v>
      </c>
      <c r="AT17" s="413">
        <f>COUNTIFS('свод практик'!$J$6:$J$277,'строго ИБ'!AT$1,'свод практик'!$B$6:$B$277,"ИБ",'свод практик'!$D$6:$D$277,"суб")</f>
        <v>0</v>
      </c>
      <c r="AU17" s="413">
        <f>COUNTIFS('свод практик'!$J$6:$J$277,'строго ИБ'!AU$1,'свод практик'!$B$6:$B$277,"ИБ",'свод практик'!$D$6:$D$277,"суб")</f>
        <v>1</v>
      </c>
      <c r="AV17" s="413">
        <f>COUNTIFS('свод практик'!$J$6:$J$277,'строго ИБ'!AV$1,'свод практик'!$B$6:$B$277,"ИБ",'свод практик'!$D$6:$D$277,"суб")</f>
        <v>0</v>
      </c>
      <c r="AW17" s="413">
        <f>COUNTIFS('свод практик'!$J$6:$J$277,'строго ИБ'!AW$1,'свод практик'!$B$6:$B$277,"ИБ",'свод практик'!$D$6:$D$277,"суб")</f>
        <v>1</v>
      </c>
      <c r="AX17" s="413">
        <f>COUNTIFS('свод практик'!$J$6:$J$277,'строго ИБ'!AX$1,'свод практик'!$B$6:$B$277,"ИБ",'свод практик'!$D$6:$D$277,"суб")</f>
        <v>0</v>
      </c>
      <c r="AY17" s="413">
        <f>COUNTIFS('свод практик'!$J$6:$J$277,'строго ИБ'!AY$1,'свод практик'!$B$6:$B$277,"ИБ",'свод практик'!$D$6:$D$277,"суб")</f>
        <v>0</v>
      </c>
      <c r="AZ17" s="413">
        <f>COUNTIFS('свод практик'!$J$6:$J$277,'строго ИБ'!AZ$1,'свод практик'!$B$6:$B$277,"ИБ",'свод практик'!$D$6:$D$277,"суб")</f>
        <v>0</v>
      </c>
      <c r="BA17" s="413">
        <f>COUNTIFS('свод практик'!$J$6:$J$277,'строго ИБ'!BA$1,'свод практик'!$B$6:$B$277,"ИБ",'свод практик'!$D$6:$D$277,"суб")</f>
        <v>0</v>
      </c>
      <c r="BB17" s="413">
        <f>COUNTIFS('свод практик'!$J$6:$J$277,'строго ИБ'!BB$1,'свод практик'!$B$6:$B$277,"ИБ",'свод практик'!$D$6:$D$277,"суб")</f>
        <v>1</v>
      </c>
      <c r="BC17" s="413">
        <f>COUNTIFS('свод практик'!$J$6:$J$277,'строго ИБ'!BC$1,'свод практик'!$B$6:$B$277,"ИБ",'свод практик'!$D$6:$D$277,"суб")</f>
        <v>0</v>
      </c>
      <c r="BD17" s="413">
        <f>COUNTIFS('свод практик'!$J$6:$J$277,'строго ИБ'!BD$1,'свод практик'!$B$6:$B$277,"ИБ",'свод практик'!$D$6:$D$277,"суб")</f>
        <v>0</v>
      </c>
      <c r="BE17" s="413">
        <f>COUNTIFS('свод практик'!$J$6:$J$277,'строго ИБ'!BE$1,'свод практик'!$B$6:$B$277,"ИБ",'свод практик'!$D$6:$D$277,"суб")</f>
        <v>0</v>
      </c>
      <c r="BF17" s="413">
        <f>COUNTIFS('свод практик'!$J$6:$J$277,'строго ИБ'!BF$1,'свод практик'!$B$6:$B$277,"ИБ",'свод практик'!$D$6:$D$277,"суб")</f>
        <v>1</v>
      </c>
      <c r="BG17" s="413">
        <f>COUNTIFS('свод практик'!$J$6:$J$277,'строго ИБ'!BG$1,'свод практик'!$B$6:$B$277,"ИБ",'свод практик'!$D$6:$D$277,"суб")</f>
        <v>1</v>
      </c>
      <c r="BH17" s="413">
        <f>COUNTIFS('свод практик'!$J$6:$J$277,'строго ИБ'!BH$1,'свод практик'!$B$6:$B$277,"ИБ",'свод практик'!$D$6:$D$277,"суб")</f>
        <v>1</v>
      </c>
      <c r="BI17" s="413">
        <f>COUNTIFS('свод практик'!$J$6:$J$277,'строго ИБ'!BI$1,'свод практик'!$B$6:$B$277,"ИБ",'свод практик'!$D$6:$D$277,"суб")</f>
        <v>2</v>
      </c>
      <c r="BJ17" s="413">
        <f>COUNTIFS('свод практик'!$J$6:$J$277,'строго ИБ'!BJ$1,'свод практик'!$B$6:$B$277,"ИБ",'свод практик'!$D$6:$D$277,"суб")</f>
        <v>1</v>
      </c>
      <c r="BK17" s="413">
        <f>COUNTIFS('свод практик'!$J$6:$J$277,'строго ИБ'!BK$1,'свод практик'!$B$6:$B$277,"ИБ",'свод практик'!$D$6:$D$277,"суб")</f>
        <v>0</v>
      </c>
      <c r="BL17" s="413">
        <f>COUNTIFS('свод практик'!$J$6:$J$277,'строго ИБ'!BL$1,'свод практик'!$B$6:$B$277,"ИБ",'свод практик'!$D$6:$D$277,"суб")</f>
        <v>1</v>
      </c>
      <c r="BM17" s="413">
        <f>COUNTIFS('свод практик'!$J$6:$J$277,'строго ИБ'!BM$1,'свод практик'!$B$6:$B$277,"ИБ",'свод практик'!$D$6:$D$277,"суб")</f>
        <v>1</v>
      </c>
      <c r="BN17" s="413">
        <f>COUNTIFS('свод практик'!$J$6:$J$277,'строго ИБ'!BN$1,'свод практик'!$B$6:$B$277,"ИБ",'свод практик'!$D$6:$D$277,"суб")</f>
        <v>0</v>
      </c>
      <c r="BO17" s="413">
        <f>COUNTIFS('свод практик'!$J$6:$J$277,'строго ИБ'!BO$1,'свод практик'!$B$6:$B$277,"ИБ",'свод практик'!$D$6:$D$277,"суб")</f>
        <v>1</v>
      </c>
      <c r="BP17" s="413">
        <f>COUNTIFS('свод практик'!$J$6:$J$277,'строго ИБ'!BP$1,'свод практик'!$B$6:$B$277,"ИБ",'свод практик'!$D$6:$D$277,"суб")</f>
        <v>0</v>
      </c>
      <c r="BQ17" s="413">
        <f>COUNTIFS('свод практик'!$J$6:$J$277,'строго ИБ'!BQ$1,'свод практик'!$B$6:$B$277,"ИБ",'свод практик'!$D$6:$D$277,"суб")</f>
        <v>0</v>
      </c>
      <c r="BR17" s="413">
        <f>COUNTIFS('свод практик'!$J$6:$J$277,'строго ИБ'!BR$1,'свод практик'!$B$6:$B$277,"ИБ",'свод практик'!$D$6:$D$277,"суб")</f>
        <v>0</v>
      </c>
      <c r="BS17" s="413">
        <f>COUNTIFS('свод практик'!$J$6:$J$277,'строго ИБ'!BS$1,'свод практик'!$B$6:$B$277,"ИБ",'свод практик'!$D$6:$D$277,"суб")</f>
        <v>0</v>
      </c>
      <c r="BT17" s="413">
        <f>COUNTIFS('свод практик'!$J$6:$J$277,'строго ИБ'!BT$1,'свод практик'!$B$6:$B$277,"ИБ",'свод практик'!$D$6:$D$277,"суб")</f>
        <v>1</v>
      </c>
      <c r="BU17" s="413">
        <f>COUNTIFS('свод практик'!$J$6:$J$277,'строго ИБ'!BU$1,'свод практик'!$B$6:$B$277,"ИБ",'свод практик'!$D$6:$D$277,"суб")</f>
        <v>1</v>
      </c>
      <c r="BV17" s="413">
        <f>COUNTIFS('свод практик'!$J$6:$J$277,'строго ИБ'!BV$1,'свод практик'!$B$6:$B$277,"ИБ",'свод практик'!$D$6:$D$277,"суб")</f>
        <v>1</v>
      </c>
      <c r="BW17" s="413">
        <f>COUNTIFS('свод практик'!$J$6:$J$277,'строго ИБ'!BW$1,'свод практик'!$B$6:$B$277,"ИБ",'свод практик'!$D$6:$D$277,"суб")</f>
        <v>1</v>
      </c>
      <c r="BX17" s="413">
        <f>COUNTIFS('свод практик'!$J$6:$J$277,'строго ИБ'!BX$1,'свод практик'!$B$6:$B$277,"ИБ",'свод практик'!$D$6:$D$277,"суб")</f>
        <v>3</v>
      </c>
      <c r="BY17" s="413">
        <f>COUNTIFS('свод практик'!$J$6:$J$277,'строго ИБ'!BY$1,'свод практик'!$B$6:$B$277,"ИБ",'свод практик'!$D$6:$D$277,"суб")</f>
        <v>0</v>
      </c>
      <c r="BZ17" s="413">
        <f>COUNTIFS('свод практик'!$J$6:$J$277,'строго ИБ'!BZ$1,'свод практик'!$B$6:$B$277,"ИБ",'свод практик'!$D$6:$D$277,"суб")</f>
        <v>0</v>
      </c>
      <c r="CA17" s="413">
        <f>COUNTIFS('свод практик'!$J$6:$J$277,'строго ИБ'!CA$1,'свод практик'!$B$6:$B$277,"ИБ",'свод практик'!$D$6:$D$277,"суб")</f>
        <v>0</v>
      </c>
      <c r="CB17" s="413">
        <f>COUNTIFS('свод практик'!$J$6:$J$277,'строго ИБ'!CB$1,'свод практик'!$B$6:$B$277,"ИБ",'свод практик'!$D$6:$D$277,"суб")</f>
        <v>0</v>
      </c>
      <c r="CC17" s="413">
        <f>COUNTIFS('свод практик'!$J$6:$J$277,'строго ИБ'!CC$1,'свод практик'!$B$6:$B$277,"ИБ",'свод практик'!$D$6:$D$277,"суб")</f>
        <v>1</v>
      </c>
      <c r="CD17" s="413">
        <f>COUNTIFS('свод практик'!$J$6:$J$277,'строго ИБ'!CD$1,'свод практик'!$B$6:$B$277,"ИБ",'свод практик'!$D$6:$D$277,"суб")</f>
        <v>1</v>
      </c>
      <c r="CE17" s="413">
        <f>COUNTIFS('свод практик'!$J$6:$J$277,'строго ИБ'!CE$1,'свод практик'!$B$6:$B$277,"ИБ",'свод практик'!$D$6:$D$277,"суб")</f>
        <v>0</v>
      </c>
      <c r="CF17" s="413">
        <f>COUNTIFS('свод практик'!$J$6:$J$277,'строго ИБ'!CF$1,'свод практик'!$B$6:$B$277,"ИБ",'свод практик'!$D$6:$D$277,"суб")</f>
        <v>1</v>
      </c>
      <c r="CG17" s="413">
        <f>COUNTIFS('свод практик'!$J$6:$J$277,'строго ИБ'!CG$1,'свод практик'!$B$6:$B$277,"ИБ",'свод практик'!$D$6:$D$277,"суб")</f>
        <v>1</v>
      </c>
      <c r="CH17" s="413">
        <f>COUNTIFS('свод практик'!$J$6:$J$277,'строго ИБ'!CH$1,'свод практик'!$B$6:$B$277,"ИБ",'свод практик'!$D$6:$D$277,"суб")</f>
        <v>1</v>
      </c>
      <c r="CI17" s="413">
        <f>COUNTIFS('свод практик'!$J$6:$J$277,'строго ИБ'!CI$1,'свод практик'!$B$6:$B$277,"ИБ",'свод практик'!$D$6:$D$277,"суб")</f>
        <v>0</v>
      </c>
      <c r="CJ17" s="413">
        <f>COUNTIFS('свод практик'!$J$6:$J$277,'строго ИБ'!CJ$1,'свод практик'!$B$6:$B$277,"ИБ",'свод практик'!$D$6:$D$277,"суб")</f>
        <v>0</v>
      </c>
      <c r="CK17" s="413">
        <f>COUNTIFS('свод практик'!$J$6:$J$277,'строго ИБ'!CK$1,'свод практик'!$B$6:$B$277,"ИБ",'свод практик'!$D$6:$D$277,"суб")</f>
        <v>1</v>
      </c>
      <c r="CL17" s="413">
        <f>COUNTIFS('свод практик'!$J$6:$J$277,'строго ИБ'!CL$1,'свод практик'!$B$6:$B$277,"ИБ",'свод практик'!$D$6:$D$277,"суб")</f>
        <v>1</v>
      </c>
      <c r="CM17" s="413">
        <f>COUNTIFS('свод практик'!$J$6:$J$277,'строго ИБ'!CM$1,'свод практик'!$B$6:$B$277,"ИБ",'свод практик'!$D$6:$D$277,"суб")</f>
        <v>0</v>
      </c>
      <c r="CN17" s="413">
        <f>COUNTIFS('свод практик'!$J$6:$J$277,'строго ИБ'!CN$1,'свод практик'!$B$6:$B$277,"ИБ",'свод практик'!$D$6:$D$277,"суб")</f>
        <v>0</v>
      </c>
      <c r="CO17" s="413">
        <f>COUNTIFS('свод практик'!$J$6:$J$277,'строго ИБ'!CO$1,'свод практик'!$B$6:$B$277,"ИБ",'свод практик'!$D$6:$D$277,"суб")</f>
        <v>0</v>
      </c>
      <c r="CP17" s="413">
        <f>COUNTIFS('свод практик'!$J$6:$J$277,'строго ИБ'!CP$1,'свод практик'!$B$6:$B$277,"ИБ",'свод практик'!$D$6:$D$277,"суб")</f>
        <v>0</v>
      </c>
      <c r="CQ17" s="413">
        <f>COUNTIFS('свод практик'!$J$6:$J$277,'строго ИБ'!CQ$1,'свод практик'!$B$6:$B$277,"ИБ",'свод практик'!$D$6:$D$277,"суб")</f>
        <v>0</v>
      </c>
      <c r="CR17" s="413">
        <f>COUNTIFS('свод практик'!$J$6:$J$277,'строго ИБ'!CR$1,'свод практик'!$B$6:$B$277,"ИБ",'свод практик'!$D$6:$D$277,"суб")</f>
        <v>1</v>
      </c>
      <c r="CS17" s="413">
        <f>COUNTIFS('свод практик'!$J$6:$J$277,'строго ИБ'!CS$1,'свод практик'!$B$6:$B$277,"ИБ",'свод практик'!$D$6:$D$277,"суб")</f>
        <v>1</v>
      </c>
      <c r="CT17" s="413">
        <f>COUNTIFS('свод практик'!$J$6:$J$277,'строго ИБ'!CT$1,'свод практик'!$B$6:$B$277,"ИБ",'свод практик'!$D$6:$D$277,"суб")</f>
        <v>0</v>
      </c>
      <c r="CU17" s="413">
        <f>COUNTIFS('свод практик'!$J$6:$J$277,'строго ИБ'!CU$1,'свод практик'!$B$6:$B$277,"ИБ",'свод практик'!$D$6:$D$277,"суб")</f>
        <v>0</v>
      </c>
    </row>
    <row r="18" spans="1:99" ht="59.5" customHeight="1" thickBot="1">
      <c r="A18" s="798"/>
      <c r="B18" s="802"/>
      <c r="C18" s="802"/>
      <c r="D18" s="439" t="s">
        <v>4949</v>
      </c>
      <c r="E18" s="439">
        <v>9</v>
      </c>
      <c r="F18" s="440" t="s">
        <v>4978</v>
      </c>
      <c r="G18" s="451" t="s">
        <v>5738</v>
      </c>
      <c r="H18" s="442" t="s">
        <v>4958</v>
      </c>
      <c r="I18" s="449" t="s">
        <v>4977</v>
      </c>
      <c r="J18" s="444"/>
      <c r="K18" s="603"/>
      <c r="L18" s="338"/>
      <c r="M18" s="342">
        <v>65</v>
      </c>
      <c r="N18" s="579">
        <f>SUM(O18:CU18)</f>
        <v>129</v>
      </c>
      <c r="O18" s="413">
        <f>COUNTIFS('свод практик'!$J$6:$J$277,'строго ИБ'!O$1,'свод практик'!$B$6:$B$277,"ИБ",'свод практик'!$D$6:$D$277,"мун")</f>
        <v>0</v>
      </c>
      <c r="P18" s="413">
        <f>COUNTIFS('свод практик'!$J$6:$J$277,'строго ИБ'!P$1,'свод практик'!$B$6:$B$277,"ИБ",'свод практик'!$D$6:$D$277,"мун")</f>
        <v>0</v>
      </c>
      <c r="Q18" s="413">
        <f>COUNTIFS('свод практик'!$J$6:$J$277,'строго ИБ'!Q$1,'свод практик'!$B$6:$B$277,"ИБ",'свод практик'!$D$6:$D$277,"мун")</f>
        <v>0</v>
      </c>
      <c r="R18" s="413">
        <f>COUNTIFS('свод практик'!$J$6:$J$277,'строго ИБ'!R$1,'свод практик'!$B$6:$B$277,"ИБ",'свод практик'!$D$6:$D$277,"мун")</f>
        <v>0</v>
      </c>
      <c r="S18" s="413">
        <f>COUNTIFS('свод практик'!$J$6:$J$277,'строго ИБ'!S$1,'свод практик'!$B$6:$B$277,"ИБ",'свод практик'!$D$6:$D$277,"мун")</f>
        <v>1</v>
      </c>
      <c r="T18" s="413">
        <f>COUNTIFS('свод практик'!$J$6:$J$277,'строго ИБ'!T$1,'свод практик'!$B$6:$B$277,"ИБ",'свод практик'!$D$6:$D$277,"мун")</f>
        <v>0</v>
      </c>
      <c r="U18" s="413">
        <f>COUNTIFS('свод практик'!$J$6:$J$277,'строго ИБ'!U$1,'свод практик'!$B$6:$B$277,"ИБ",'свод практик'!$D$6:$D$277,"мун")</f>
        <v>6</v>
      </c>
      <c r="V18" s="413">
        <f>COUNTIFS('свод практик'!$J$6:$J$277,'строго ИБ'!V$1,'свод практик'!$B$6:$B$277,"ИБ",'свод практик'!$D$6:$D$277,"мун")</f>
        <v>1</v>
      </c>
      <c r="W18" s="413">
        <f>COUNTIFS('свод практик'!$J$6:$J$277,'строго ИБ'!W$1,'свод практик'!$B$6:$B$277,"ИБ",'свод практик'!$D$6:$D$277,"мун")</f>
        <v>0</v>
      </c>
      <c r="X18" s="413">
        <f>COUNTIFS('свод практик'!$J$6:$J$277,'строго ИБ'!X$1,'свод практик'!$B$6:$B$277,"ИБ",'свод практик'!$D$6:$D$277,"мун")</f>
        <v>0</v>
      </c>
      <c r="Y18" s="413">
        <f>COUNTIFS('свод практик'!$J$6:$J$277,'строго ИБ'!Y$1,'свод практик'!$B$6:$B$277,"ИБ",'свод практик'!$D$6:$D$277,"мун")</f>
        <v>0</v>
      </c>
      <c r="Z18" s="413">
        <f>COUNTIFS('свод практик'!$J$6:$J$277,'строго ИБ'!Z$1,'свод практик'!$B$6:$B$277,"ИБ",'свод практик'!$D$6:$D$277,"мун")</f>
        <v>0</v>
      </c>
      <c r="AA18" s="413">
        <f>COUNTIFS('свод практик'!$J$6:$J$277,'строго ИБ'!AA$1,'свод практик'!$B$6:$B$277,"ИБ",'свод практик'!$D$6:$D$277,"мун")</f>
        <v>2</v>
      </c>
      <c r="AB18" s="413">
        <f>COUNTIFS('свод практик'!$J$6:$J$277,'строго ИБ'!AB$1,'свод практик'!$B$6:$B$277,"ИБ",'свод практик'!$D$6:$D$277,"мун")</f>
        <v>0</v>
      </c>
      <c r="AC18" s="413">
        <f>COUNTIFS('свод практик'!$J$6:$J$277,'строго ИБ'!AC$1,'свод практик'!$B$6:$B$277,"ИБ",'свод практик'!$D$6:$D$277,"мун")</f>
        <v>0</v>
      </c>
      <c r="AD18" s="413">
        <f>COUNTIFS('свод практик'!$J$6:$J$277,'строго ИБ'!AD$1,'свод практик'!$B$6:$B$277,"ИБ",'свод практик'!$D$6:$D$277,"мун")</f>
        <v>0</v>
      </c>
      <c r="AE18" s="413">
        <f>COUNTIFS('свод практик'!$J$6:$J$277,'строго ИБ'!AE$1,'свод практик'!$B$6:$B$277,"ИБ",'свод практик'!$D$6:$D$277,"мун")</f>
        <v>0</v>
      </c>
      <c r="AF18" s="413">
        <f>COUNTIFS('свод практик'!$J$6:$J$277,'строго ИБ'!AF$1,'свод практик'!$B$6:$B$277,"ИБ",'свод практик'!$D$6:$D$277,"мун")</f>
        <v>0</v>
      </c>
      <c r="AG18" s="413">
        <f>COUNTIFS('свод практик'!$J$6:$J$277,'строго ИБ'!AG$1,'свод практик'!$B$6:$B$277,"ИБ",'свод практик'!$D$6:$D$277,"мун")</f>
        <v>0</v>
      </c>
      <c r="AH18" s="413">
        <f>COUNTIFS('свод практик'!$J$6:$J$277,'строго ИБ'!AH$1,'свод практик'!$B$6:$B$277,"ИБ",'свод практик'!$D$6:$D$277,"мун")</f>
        <v>0</v>
      </c>
      <c r="AI18" s="413">
        <f>COUNTIFS('свод практик'!$J$6:$J$277,'строго ИБ'!AI$1,'свод практик'!$B$6:$B$277,"ИБ",'свод практик'!$D$6:$D$277,"мун")</f>
        <v>0</v>
      </c>
      <c r="AJ18" s="413">
        <f>COUNTIFS('свод практик'!$J$6:$J$277,'строго ИБ'!AJ$1,'свод практик'!$B$6:$B$277,"ИБ",'свод практик'!$D$6:$D$277,"мун")</f>
        <v>0</v>
      </c>
      <c r="AK18" s="413">
        <f>COUNTIFS('свод практик'!$J$6:$J$277,'строго ИБ'!AK$1,'свод практик'!$B$6:$B$277,"ИБ",'свод практик'!$D$6:$D$277,"мун")</f>
        <v>0</v>
      </c>
      <c r="AL18" s="413">
        <f>COUNTIFS('свод практик'!$J$6:$J$277,'строго ИБ'!AL$1,'свод практик'!$B$6:$B$277,"ИБ",'свод практик'!$D$6:$D$277,"мун")</f>
        <v>3</v>
      </c>
      <c r="AM18" s="413">
        <f>COUNTIFS('свод практик'!$J$6:$J$277,'строго ИБ'!AM$1,'свод практик'!$B$6:$B$277,"ИБ",'свод практик'!$D$6:$D$277,"мун")</f>
        <v>0</v>
      </c>
      <c r="AN18" s="413">
        <f>COUNTIFS('свод практик'!$J$6:$J$277,'строго ИБ'!AN$1,'свод практик'!$B$6:$B$277,"ИБ",'свод практик'!$D$6:$D$277,"мун")</f>
        <v>0</v>
      </c>
      <c r="AO18" s="413">
        <f>COUNTIFS('свод практик'!$J$6:$J$277,'строго ИБ'!AO$1,'свод практик'!$B$6:$B$277,"ИБ",'свод практик'!$D$6:$D$277,"мун")</f>
        <v>0</v>
      </c>
      <c r="AP18" s="413">
        <f>COUNTIFS('свод практик'!$J$6:$J$277,'строго ИБ'!AP$1,'свод практик'!$B$6:$B$277,"ИБ",'свод практик'!$D$6:$D$277,"мун")</f>
        <v>0</v>
      </c>
      <c r="AQ18" s="413">
        <f>COUNTIFS('свод практик'!$J$6:$J$277,'строго ИБ'!AQ$1,'свод практик'!$B$6:$B$277,"ИБ",'свод практик'!$D$6:$D$277,"мун")</f>
        <v>0</v>
      </c>
      <c r="AR18" s="413">
        <f>COUNTIFS('свод практик'!$J$6:$J$277,'строго ИБ'!AR$1,'свод практик'!$B$6:$B$277,"ИБ",'свод практик'!$D$6:$D$277,"мун")</f>
        <v>0</v>
      </c>
      <c r="AS18" s="413">
        <f>COUNTIFS('свод практик'!$J$6:$J$277,'строго ИБ'!AS$1,'свод практик'!$B$6:$B$277,"ИБ",'свод практик'!$D$6:$D$277,"мун")</f>
        <v>0</v>
      </c>
      <c r="AT18" s="413">
        <f>COUNTIFS('свод практик'!$J$6:$J$277,'строго ИБ'!AT$1,'свод практик'!$B$6:$B$277,"ИБ",'свод практик'!$D$6:$D$277,"мун")</f>
        <v>0</v>
      </c>
      <c r="AU18" s="413">
        <f>COUNTIFS('свод практик'!$J$6:$J$277,'строго ИБ'!AU$1,'свод практик'!$B$6:$B$277,"ИБ",'свод практик'!$D$6:$D$277,"мун")</f>
        <v>1</v>
      </c>
      <c r="AV18" s="413">
        <f>COUNTIFS('свод практик'!$J$6:$J$277,'строго ИБ'!AV$1,'свод практик'!$B$6:$B$277,"ИБ",'свод практик'!$D$6:$D$277,"мун")</f>
        <v>0</v>
      </c>
      <c r="AW18" s="413">
        <f>COUNTIFS('свод практик'!$J$6:$J$277,'строго ИБ'!AW$1,'свод практик'!$B$6:$B$277,"ИБ",'свод практик'!$D$6:$D$277,"мун")</f>
        <v>0</v>
      </c>
      <c r="AX18" s="413">
        <f>COUNTIFS('свод практик'!$J$6:$J$277,'строго ИБ'!AX$1,'свод практик'!$B$6:$B$277,"ИБ",'свод практик'!$D$6:$D$277,"мун")</f>
        <v>0</v>
      </c>
      <c r="AY18" s="413">
        <f>COUNTIFS('свод практик'!$J$6:$J$277,'строго ИБ'!AY$1,'свод практик'!$B$6:$B$277,"ИБ",'свод практик'!$D$6:$D$277,"мун")</f>
        <v>1</v>
      </c>
      <c r="AZ18" s="413">
        <f>COUNTIFS('свод практик'!$J$6:$J$277,'строго ИБ'!AZ$1,'свод практик'!$B$6:$B$277,"ИБ",'свод практик'!$D$6:$D$277,"мун")</f>
        <v>0</v>
      </c>
      <c r="BA18" s="413">
        <f>COUNTIFS('свод практик'!$J$6:$J$277,'строго ИБ'!BA$1,'свод практик'!$B$6:$B$277,"ИБ",'свод практик'!$D$6:$D$277,"мун")</f>
        <v>0</v>
      </c>
      <c r="BB18" s="413">
        <f>COUNTIFS('свод практик'!$J$6:$J$277,'строго ИБ'!BB$1,'свод практик'!$B$6:$B$277,"ИБ",'свод практик'!$D$6:$D$277,"мун")</f>
        <v>0</v>
      </c>
      <c r="BC18" s="413">
        <f>COUNTIFS('свод практик'!$J$6:$J$277,'строго ИБ'!BC$1,'свод практик'!$B$6:$B$277,"ИБ",'свод практик'!$D$6:$D$277,"мун")</f>
        <v>0</v>
      </c>
      <c r="BD18" s="413">
        <f>COUNTIFS('свод практик'!$J$6:$J$277,'строго ИБ'!BD$1,'свод практик'!$B$6:$B$277,"ИБ",'свод практик'!$D$6:$D$277,"мун")</f>
        <v>0</v>
      </c>
      <c r="BE18" s="413">
        <f>COUNTIFS('свод практик'!$J$6:$J$277,'строго ИБ'!BE$1,'свод практик'!$B$6:$B$277,"ИБ",'свод практик'!$D$6:$D$277,"мун")</f>
        <v>1</v>
      </c>
      <c r="BF18" s="413">
        <f>COUNTIFS('свод практик'!$J$6:$J$277,'строго ИБ'!BF$1,'свод практик'!$B$6:$B$277,"ИБ",'свод практик'!$D$6:$D$277,"мун")</f>
        <v>0</v>
      </c>
      <c r="BG18" s="413">
        <f>COUNTIFS('свод практик'!$J$6:$J$277,'строго ИБ'!BG$1,'свод практик'!$B$6:$B$277,"ИБ",'свод практик'!$D$6:$D$277,"мун")</f>
        <v>0</v>
      </c>
      <c r="BH18" s="413">
        <f>COUNTIFS('свод практик'!$J$6:$J$277,'строго ИБ'!BH$1,'свод практик'!$B$6:$B$277,"ИБ",'свод практик'!$D$6:$D$277,"мун")</f>
        <v>0</v>
      </c>
      <c r="BI18" s="413">
        <f>COUNTIFS('свод практик'!$J$6:$J$277,'строго ИБ'!BI$1,'свод практик'!$B$6:$B$277,"ИБ",'свод практик'!$D$6:$D$277,"мун")</f>
        <v>0</v>
      </c>
      <c r="BJ18" s="413">
        <f>COUNTIFS('свод практик'!$J$6:$J$277,'строго ИБ'!BJ$1,'свод практик'!$B$6:$B$277,"ИБ",'свод практик'!$D$6:$D$277,"мун")</f>
        <v>0</v>
      </c>
      <c r="BK18" s="413">
        <f>COUNTIFS('свод практик'!$J$6:$J$277,'строго ИБ'!BK$1,'свод практик'!$B$6:$B$277,"ИБ",'свод практик'!$D$6:$D$277,"мун")</f>
        <v>0</v>
      </c>
      <c r="BL18" s="413">
        <f>COUNTIFS('свод практик'!$J$6:$J$277,'строго ИБ'!BL$1,'свод практик'!$B$6:$B$277,"ИБ",'свод практик'!$D$6:$D$277,"мун")</f>
        <v>14</v>
      </c>
      <c r="BM18" s="413">
        <f>COUNTIFS('свод практик'!$J$6:$J$277,'строго ИБ'!BM$1,'свод практик'!$B$6:$B$277,"ИБ",'свод практик'!$D$6:$D$277,"мун")</f>
        <v>0</v>
      </c>
      <c r="BN18" s="413">
        <f>COUNTIFS('свод практик'!$J$6:$J$277,'строго ИБ'!BN$1,'свод практик'!$B$6:$B$277,"ИБ",'свод практик'!$D$6:$D$277,"мун")</f>
        <v>0</v>
      </c>
      <c r="BO18" s="413">
        <f>COUNTIFS('свод практик'!$J$6:$J$277,'строго ИБ'!BO$1,'свод практик'!$B$6:$B$277,"ИБ",'свод практик'!$D$6:$D$277,"мун")</f>
        <v>0</v>
      </c>
      <c r="BP18" s="413">
        <f>COUNTIFS('свод практик'!$J$6:$J$277,'строго ИБ'!BP$1,'свод практик'!$B$6:$B$277,"ИБ",'свод практик'!$D$6:$D$277,"мун")</f>
        <v>0</v>
      </c>
      <c r="BQ18" s="413">
        <f>COUNTIFS('свод практик'!$J$6:$J$277,'строго ИБ'!BQ$1,'свод практик'!$B$6:$B$277,"ИБ",'свод практик'!$D$6:$D$277,"мун")</f>
        <v>0</v>
      </c>
      <c r="BR18" s="413">
        <f>COUNTIFS('свод практик'!$J$6:$J$277,'строго ИБ'!BR$1,'свод практик'!$B$6:$B$277,"ИБ",'свод практик'!$D$6:$D$277,"мун")</f>
        <v>1</v>
      </c>
      <c r="BS18" s="413">
        <f>COUNTIFS('свод практик'!$J$6:$J$277,'строго ИБ'!BS$1,'свод практик'!$B$6:$B$277,"ИБ",'свод практик'!$D$6:$D$277,"мун")</f>
        <v>0</v>
      </c>
      <c r="BT18" s="413">
        <f>COUNTIFS('свод практик'!$J$6:$J$277,'строго ИБ'!BT$1,'свод практик'!$B$6:$B$277,"ИБ",'свод практик'!$D$6:$D$277,"мун")</f>
        <v>9</v>
      </c>
      <c r="BU18" s="413">
        <f>COUNTIFS('свод практик'!$J$6:$J$277,'строго ИБ'!BU$1,'свод практик'!$B$6:$B$277,"ИБ",'свод практик'!$D$6:$D$277,"мун")</f>
        <v>0</v>
      </c>
      <c r="BV18" s="413">
        <f>COUNTIFS('свод практик'!$J$6:$J$277,'строго ИБ'!BV$1,'свод практик'!$B$6:$B$277,"ИБ",'свод практик'!$D$6:$D$277,"мун")</f>
        <v>0</v>
      </c>
      <c r="BW18" s="413">
        <f>COUNTIFS('свод практик'!$J$6:$J$277,'строго ИБ'!BW$1,'свод практик'!$B$6:$B$277,"ИБ",'свод практик'!$D$6:$D$277,"мун")</f>
        <v>0</v>
      </c>
      <c r="BX18" s="413">
        <f>COUNTIFS('свод практик'!$J$6:$J$277,'строго ИБ'!BX$1,'свод практик'!$B$6:$B$277,"ИБ",'свод практик'!$D$6:$D$277,"мун")</f>
        <v>0</v>
      </c>
      <c r="BY18" s="413">
        <f>COUNTIFS('свод практик'!$J$6:$J$277,'строго ИБ'!BY$1,'свод практик'!$B$6:$B$277,"ИБ",'свод практик'!$D$6:$D$277,"мун")</f>
        <v>3</v>
      </c>
      <c r="BZ18" s="413">
        <f>COUNTIFS('свод практик'!$J$6:$J$277,'строго ИБ'!BZ$1,'свод практик'!$B$6:$B$277,"ИБ",'свод практик'!$D$6:$D$277,"мун")</f>
        <v>0</v>
      </c>
      <c r="CA18" s="413">
        <f>COUNTIFS('свод практик'!$J$6:$J$277,'строго ИБ'!CA$1,'свод практик'!$B$6:$B$277,"ИБ",'свод практик'!$D$6:$D$277,"мун")</f>
        <v>0</v>
      </c>
      <c r="CB18" s="413">
        <f>COUNTIFS('свод практик'!$J$6:$J$277,'строго ИБ'!CB$1,'свод практик'!$B$6:$B$277,"ИБ",'свод практик'!$D$6:$D$277,"мун")</f>
        <v>0</v>
      </c>
      <c r="CC18" s="413">
        <f>COUNTIFS('свод практик'!$J$6:$J$277,'строго ИБ'!CC$1,'свод практик'!$B$6:$B$277,"ИБ",'свод практик'!$D$6:$D$277,"мун")</f>
        <v>1</v>
      </c>
      <c r="CD18" s="413">
        <f>COUNTIFS('свод практик'!$J$6:$J$277,'строго ИБ'!CD$1,'свод практик'!$B$6:$B$277,"ИБ",'свод практик'!$D$6:$D$277,"мун")</f>
        <v>0</v>
      </c>
      <c r="CE18" s="413">
        <f>COUNTIFS('свод практик'!$J$6:$J$277,'строго ИБ'!CE$1,'свод практик'!$B$6:$B$277,"ИБ",'свод практик'!$D$6:$D$277,"мун")</f>
        <v>0</v>
      </c>
      <c r="CF18" s="413">
        <f>COUNTIFS('свод практик'!$J$6:$J$277,'строго ИБ'!CF$1,'свод практик'!$B$6:$B$277,"ИБ",'свод практик'!$D$6:$D$277,"мун")</f>
        <v>0</v>
      </c>
      <c r="CG18" s="413">
        <f>COUNTIFS('свод практик'!$J$6:$J$277,'строго ИБ'!CG$1,'свод практик'!$B$6:$B$277,"ИБ",'свод практик'!$D$6:$D$277,"мун")</f>
        <v>0</v>
      </c>
      <c r="CH18" s="413">
        <f>COUNTIFS('свод практик'!$J$6:$J$277,'строго ИБ'!CH$1,'свод практик'!$B$6:$B$277,"ИБ",'свод практик'!$D$6:$D$277,"мун")</f>
        <v>0</v>
      </c>
      <c r="CI18" s="413">
        <f>COUNTIFS('свод практик'!$J$6:$J$277,'строго ИБ'!CI$1,'свод практик'!$B$6:$B$277,"ИБ",'свод практик'!$D$6:$D$277,"мун")</f>
        <v>0</v>
      </c>
      <c r="CJ18" s="413">
        <f>COUNTIFS('свод практик'!$J$6:$J$277,'строго ИБ'!CJ$1,'свод практик'!$B$6:$B$277,"ИБ",'свод практик'!$D$6:$D$277,"мун")</f>
        <v>0</v>
      </c>
      <c r="CK18" s="413">
        <f>COUNTIFS('свод практик'!$J$6:$J$277,'строго ИБ'!CK$1,'свод практик'!$B$6:$B$277,"ИБ",'свод практик'!$D$6:$D$277,"мун")</f>
        <v>5</v>
      </c>
      <c r="CL18" s="413">
        <f>COUNTIFS('свод практик'!$J$6:$J$277,'строго ИБ'!CL$1,'свод практик'!$B$6:$B$277,"ИБ",'свод практик'!$D$6:$D$277,"мун")</f>
        <v>27</v>
      </c>
      <c r="CM18" s="413">
        <f>COUNTIFS('свод практик'!$J$6:$J$277,'строго ИБ'!CM$1,'свод практик'!$B$6:$B$277,"ИБ",'свод практик'!$D$6:$D$277,"мун")</f>
        <v>0</v>
      </c>
      <c r="CN18" s="413">
        <f>COUNTIFS('свод практик'!$J$6:$J$277,'строго ИБ'!CN$1,'свод практик'!$B$6:$B$277,"ИБ",'свод практик'!$D$6:$D$277,"мун")</f>
        <v>0</v>
      </c>
      <c r="CO18" s="413">
        <f>COUNTIFS('свод практик'!$J$6:$J$277,'строго ИБ'!CO$1,'свод практик'!$B$6:$B$277,"ИБ",'свод практик'!$D$6:$D$277,"мун")</f>
        <v>27</v>
      </c>
      <c r="CP18" s="413">
        <f>COUNTIFS('свод практик'!$J$6:$J$277,'строго ИБ'!CP$1,'свод практик'!$B$6:$B$277,"ИБ",'свод практик'!$D$6:$D$277,"мун")</f>
        <v>1</v>
      </c>
      <c r="CQ18" s="413">
        <f>COUNTIFS('свод практик'!$J$6:$J$277,'строго ИБ'!CQ$1,'свод практик'!$B$6:$B$277,"ИБ",'свод практик'!$D$6:$D$277,"мун")</f>
        <v>0</v>
      </c>
      <c r="CR18" s="413">
        <f>COUNTIFS('свод практик'!$J$6:$J$277,'строго ИБ'!CR$1,'свод практик'!$B$6:$B$277,"ИБ",'свод практик'!$D$6:$D$277,"мун")</f>
        <v>0</v>
      </c>
      <c r="CS18" s="413">
        <f>COUNTIFS('свод практик'!$J$6:$J$277,'строго ИБ'!CS$1,'свод практик'!$B$6:$B$277,"ИБ",'свод практик'!$D$6:$D$277,"мун")</f>
        <v>0</v>
      </c>
      <c r="CT18" s="413">
        <f>COUNTIFS('свод практик'!$J$6:$J$277,'строго ИБ'!CT$1,'свод практик'!$B$6:$B$277,"ИБ",'свод практик'!$D$6:$D$277,"мун")</f>
        <v>25</v>
      </c>
      <c r="CU18" s="413">
        <f>COUNTIFS('свод практик'!$J$6:$J$277,'строго ИБ'!CU$1,'свод практик'!$B$6:$B$277,"ИБ",'свод практик'!$D$6:$D$277,"мун")</f>
        <v>0</v>
      </c>
    </row>
    <row r="19" spans="1:99" ht="49.5" customHeight="1" thickBot="1">
      <c r="A19" s="800"/>
      <c r="B19" s="796"/>
      <c r="C19" s="796"/>
      <c r="D19" s="452" t="s">
        <v>4949</v>
      </c>
      <c r="E19" s="452">
        <v>10</v>
      </c>
      <c r="F19" s="453" t="s">
        <v>4979</v>
      </c>
      <c r="G19" s="454" t="s">
        <v>5739</v>
      </c>
      <c r="H19" s="455" t="s">
        <v>4958</v>
      </c>
      <c r="I19" s="449" t="s">
        <v>4977</v>
      </c>
      <c r="J19" s="456"/>
      <c r="K19" s="604"/>
      <c r="L19" s="344"/>
      <c r="M19" s="599">
        <v>2</v>
      </c>
      <c r="N19" s="579">
        <f>SUM(O19:CU19)</f>
        <v>3</v>
      </c>
      <c r="O19" s="413">
        <f>COUNTIFS('свод практик'!$J$6:$J$277,'строго ИБ'!O$1,'свод практик'!$B$6:$B$277,"ИБ",'свод практик'!$D$6:$D$277,"суб/фед")</f>
        <v>0</v>
      </c>
      <c r="P19" s="413">
        <f>COUNTIFS('свод практик'!$J$6:$J$277,'строго ИБ'!P$1,'свод практик'!$B$6:$B$277,"ИБ",'свод практик'!$D$6:$D$277,"суб/фед")</f>
        <v>0</v>
      </c>
      <c r="Q19" s="413">
        <f>COUNTIFS('свод практик'!$J$6:$J$277,'строго ИБ'!Q$1,'свод практик'!$B$6:$B$277,"ИБ",'свод практик'!$D$6:$D$277,"суб/фед")</f>
        <v>0</v>
      </c>
      <c r="R19" s="413">
        <f>COUNTIFS('свод практик'!$J$6:$J$277,'строго ИБ'!R$1,'свод практик'!$B$6:$B$277,"ИБ",'свод практик'!$D$6:$D$277,"суб/фед")</f>
        <v>0</v>
      </c>
      <c r="S19" s="413">
        <f>COUNTIFS('свод практик'!$J$6:$J$277,'строго ИБ'!S$1,'свод практик'!$B$6:$B$277,"ИБ",'свод практик'!$D$6:$D$277,"суб/фед")</f>
        <v>0</v>
      </c>
      <c r="T19" s="413">
        <f>COUNTIFS('свод практик'!$J$6:$J$277,'строго ИБ'!T$1,'свод практик'!$B$6:$B$277,"ИБ",'свод практик'!$D$6:$D$277,"суб/фед")</f>
        <v>0</v>
      </c>
      <c r="U19" s="413">
        <f>COUNTIFS('свод практик'!$J$6:$J$277,'строго ИБ'!U$1,'свод практик'!$B$6:$B$277,"ИБ",'свод практик'!$D$6:$D$277,"суб/фед")</f>
        <v>0</v>
      </c>
      <c r="V19" s="413">
        <f>COUNTIFS('свод практик'!$J$6:$J$277,'строго ИБ'!V$1,'свод практик'!$B$6:$B$277,"ИБ",'свод практик'!$D$6:$D$277,"суб/фед")</f>
        <v>0</v>
      </c>
      <c r="W19" s="413">
        <f>COUNTIFS('свод практик'!$J$6:$J$277,'строго ИБ'!W$1,'свод практик'!$B$6:$B$277,"ИБ",'свод практик'!$D$6:$D$277,"суб/фед")</f>
        <v>0</v>
      </c>
      <c r="X19" s="413">
        <f>COUNTIFS('свод практик'!$J$6:$J$277,'строго ИБ'!X$1,'свод практик'!$B$6:$B$277,"ИБ",'свод практик'!$D$6:$D$277,"суб/фед")</f>
        <v>0</v>
      </c>
      <c r="Y19" s="413">
        <f>COUNTIFS('свод практик'!$J$6:$J$277,'строго ИБ'!Y$1,'свод практик'!$B$6:$B$277,"ИБ",'свод практик'!$D$6:$D$277,"суб/фед")</f>
        <v>0</v>
      </c>
      <c r="Z19" s="413">
        <f>COUNTIFS('свод практик'!$J$6:$J$277,'строго ИБ'!Z$1,'свод практик'!$B$6:$B$277,"ИБ",'свод практик'!$D$6:$D$277,"суб/фед")</f>
        <v>0</v>
      </c>
      <c r="AA19" s="413">
        <f>COUNTIFS('свод практик'!$J$6:$J$277,'строго ИБ'!AA$1,'свод практик'!$B$6:$B$277,"ИБ",'свод практик'!$D$6:$D$277,"суб/фед")</f>
        <v>0</v>
      </c>
      <c r="AB19" s="413">
        <f>COUNTIFS('свод практик'!$J$6:$J$277,'строго ИБ'!AB$1,'свод практик'!$B$6:$B$277,"ИБ",'свод практик'!$D$6:$D$277,"суб/фед")</f>
        <v>0</v>
      </c>
      <c r="AC19" s="413">
        <f>COUNTIFS('свод практик'!$J$6:$J$277,'строго ИБ'!AC$1,'свод практик'!$B$6:$B$277,"ИБ",'свод практик'!$D$6:$D$277,"суб/фед")</f>
        <v>0</v>
      </c>
      <c r="AD19" s="413">
        <f>COUNTIFS('свод практик'!$J$6:$J$277,'строго ИБ'!AD$1,'свод практик'!$B$6:$B$277,"ИБ",'свод практик'!$D$6:$D$277,"суб/фед")</f>
        <v>0</v>
      </c>
      <c r="AE19" s="413">
        <f>COUNTIFS('свод практик'!$J$6:$J$277,'строго ИБ'!AE$1,'свод практик'!$B$6:$B$277,"ИБ",'свод практик'!$D$6:$D$277,"суб/фед")</f>
        <v>0</v>
      </c>
      <c r="AF19" s="413">
        <f>COUNTIFS('свод практик'!$J$6:$J$277,'строго ИБ'!AF$1,'свод практик'!$B$6:$B$277,"ИБ",'свод практик'!$D$6:$D$277,"суб/фед")</f>
        <v>0</v>
      </c>
      <c r="AG19" s="413">
        <f>COUNTIFS('свод практик'!$J$6:$J$277,'строго ИБ'!AG$1,'свод практик'!$B$6:$B$277,"ИБ",'свод практик'!$D$6:$D$277,"суб/фед")</f>
        <v>0</v>
      </c>
      <c r="AH19" s="413">
        <f>COUNTIFS('свод практик'!$J$6:$J$277,'строго ИБ'!AH$1,'свод практик'!$B$6:$B$277,"ИБ",'свод практик'!$D$6:$D$277,"суб/фед")</f>
        <v>0</v>
      </c>
      <c r="AI19" s="413">
        <f>COUNTIFS('свод практик'!$J$6:$J$277,'строго ИБ'!AI$1,'свод практик'!$B$6:$B$277,"ИБ",'свод практик'!$D$6:$D$277,"суб/фед")</f>
        <v>0</v>
      </c>
      <c r="AJ19" s="413">
        <f>COUNTIFS('свод практик'!$J$6:$J$277,'строго ИБ'!AJ$1,'свод практик'!$B$6:$B$277,"ИБ",'свод практик'!$D$6:$D$277,"суб/фед")</f>
        <v>0</v>
      </c>
      <c r="AK19" s="413">
        <f>COUNTIFS('свод практик'!$J$6:$J$277,'строго ИБ'!AK$1,'свод практик'!$B$6:$B$277,"ИБ",'свод практик'!$D$6:$D$277,"суб/фед")</f>
        <v>0</v>
      </c>
      <c r="AL19" s="413">
        <f>COUNTIFS('свод практик'!$J$6:$J$277,'строго ИБ'!AL$1,'свод практик'!$B$6:$B$277,"ИБ",'свод практик'!$D$6:$D$277,"суб/фед")</f>
        <v>0</v>
      </c>
      <c r="AM19" s="413">
        <f>COUNTIFS('свод практик'!$J$6:$J$277,'строго ИБ'!AM$1,'свод практик'!$B$6:$B$277,"ИБ",'свод практик'!$D$6:$D$277,"суб/фед")</f>
        <v>0</v>
      </c>
      <c r="AN19" s="413">
        <f>COUNTIFS('свод практик'!$J$6:$J$277,'строго ИБ'!AN$1,'свод практик'!$B$6:$B$277,"ИБ",'свод практик'!$D$6:$D$277,"суб/фед")</f>
        <v>0</v>
      </c>
      <c r="AO19" s="413">
        <f>COUNTIFS('свод практик'!$J$6:$J$277,'строго ИБ'!AO$1,'свод практик'!$B$6:$B$277,"ИБ",'свод практик'!$D$6:$D$277,"суб/фед")</f>
        <v>0</v>
      </c>
      <c r="AP19" s="413">
        <f>COUNTIFS('свод практик'!$J$6:$J$277,'строго ИБ'!AP$1,'свод практик'!$B$6:$B$277,"ИБ",'свод практик'!$D$6:$D$277,"суб/фед")</f>
        <v>0</v>
      </c>
      <c r="AQ19" s="413">
        <f>COUNTIFS('свод практик'!$J$6:$J$277,'строго ИБ'!AQ$1,'свод практик'!$B$6:$B$277,"ИБ",'свод практик'!$D$6:$D$277,"суб/фед")</f>
        <v>0</v>
      </c>
      <c r="AR19" s="413">
        <f>COUNTIFS('свод практик'!$J$6:$J$277,'строго ИБ'!AR$1,'свод практик'!$B$6:$B$277,"ИБ",'свод практик'!$D$6:$D$277,"суб/фед")</f>
        <v>0</v>
      </c>
      <c r="AS19" s="413">
        <f>COUNTIFS('свод практик'!$J$6:$J$277,'строго ИБ'!AS$1,'свод практик'!$B$6:$B$277,"ИБ",'свод практик'!$D$6:$D$277,"суб/фед")</f>
        <v>0</v>
      </c>
      <c r="AT19" s="413">
        <f>COUNTIFS('свод практик'!$J$6:$J$277,'строго ИБ'!AT$1,'свод практик'!$B$6:$B$277,"ИБ",'свод практик'!$D$6:$D$277,"суб/фед")</f>
        <v>0</v>
      </c>
      <c r="AU19" s="413">
        <f>COUNTIFS('свод практик'!$J$6:$J$277,'строго ИБ'!AU$1,'свод практик'!$B$6:$B$277,"ИБ",'свод практик'!$D$6:$D$277,"суб/фед")</f>
        <v>0</v>
      </c>
      <c r="AV19" s="413">
        <f>COUNTIFS('свод практик'!$J$6:$J$277,'строго ИБ'!AV$1,'свод практик'!$B$6:$B$277,"ИБ",'свод практик'!$D$6:$D$277,"суб/фед")</f>
        <v>0</v>
      </c>
      <c r="AW19" s="413">
        <f>COUNTIFS('свод практик'!$J$6:$J$277,'строго ИБ'!AW$1,'свод практик'!$B$6:$B$277,"ИБ",'свод практик'!$D$6:$D$277,"суб/фед")</f>
        <v>0</v>
      </c>
      <c r="AX19" s="413">
        <f>COUNTIFS('свод практик'!$J$6:$J$277,'строго ИБ'!AX$1,'свод практик'!$B$6:$B$277,"ИБ",'свод практик'!$D$6:$D$277,"суб/фед")</f>
        <v>0</v>
      </c>
      <c r="AY19" s="413">
        <f>COUNTIFS('свод практик'!$J$6:$J$277,'строго ИБ'!AY$1,'свод практик'!$B$6:$B$277,"ИБ",'свод практик'!$D$6:$D$277,"суб/фед")</f>
        <v>0</v>
      </c>
      <c r="AZ19" s="413">
        <f>COUNTIFS('свод практик'!$J$6:$J$277,'строго ИБ'!AZ$1,'свод практик'!$B$6:$B$277,"ИБ",'свод практик'!$D$6:$D$277,"суб/фед")</f>
        <v>0</v>
      </c>
      <c r="BA19" s="413">
        <f>COUNTIFS('свод практик'!$J$6:$J$277,'строго ИБ'!BA$1,'свод практик'!$B$6:$B$277,"ИБ",'свод практик'!$D$6:$D$277,"суб/фед")</f>
        <v>0</v>
      </c>
      <c r="BB19" s="413">
        <f>COUNTIFS('свод практик'!$J$6:$J$277,'строго ИБ'!BB$1,'свод практик'!$B$6:$B$277,"ИБ",'свод практик'!$D$6:$D$277,"суб/фед")</f>
        <v>0</v>
      </c>
      <c r="BC19" s="413">
        <f>COUNTIFS('свод практик'!$J$6:$J$277,'строго ИБ'!BC$1,'свод практик'!$B$6:$B$277,"ИБ",'свод практик'!$D$6:$D$277,"суб/фед")</f>
        <v>0</v>
      </c>
      <c r="BD19" s="413">
        <f>COUNTIFS('свод практик'!$J$6:$J$277,'строго ИБ'!BD$1,'свод практик'!$B$6:$B$277,"ИБ",'свод практик'!$D$6:$D$277,"суб/фед")</f>
        <v>0</v>
      </c>
      <c r="BE19" s="413">
        <f>COUNTIFS('свод практик'!$J$6:$J$277,'строго ИБ'!BE$1,'свод практик'!$B$6:$B$277,"ИБ",'свод практик'!$D$6:$D$277,"суб/фед")</f>
        <v>0</v>
      </c>
      <c r="BF19" s="413">
        <f>COUNTIFS('свод практик'!$J$6:$J$277,'строго ИБ'!BF$1,'свод практик'!$B$6:$B$277,"ИБ",'свод практик'!$D$6:$D$277,"суб/фед")</f>
        <v>0</v>
      </c>
      <c r="BG19" s="413">
        <f>COUNTIFS('свод практик'!$J$6:$J$277,'строго ИБ'!BG$1,'свод практик'!$B$6:$B$277,"ИБ",'свод практик'!$D$6:$D$277,"суб/фед")</f>
        <v>0</v>
      </c>
      <c r="BH19" s="413">
        <f>COUNTIFS('свод практик'!$J$6:$J$277,'строго ИБ'!BH$1,'свод практик'!$B$6:$B$277,"ИБ",'свод практик'!$D$6:$D$277,"суб/фед")</f>
        <v>0</v>
      </c>
      <c r="BI19" s="413">
        <f>COUNTIFS('свод практик'!$J$6:$J$277,'строго ИБ'!BI$1,'свод практик'!$B$6:$B$277,"ИБ",'свод практик'!$D$6:$D$277,"суб/фед")</f>
        <v>0</v>
      </c>
      <c r="BJ19" s="413">
        <f>COUNTIFS('свод практик'!$J$6:$J$277,'строго ИБ'!BJ$1,'свод практик'!$B$6:$B$277,"ИБ",'свод практик'!$D$6:$D$277,"суб/фед")</f>
        <v>0</v>
      </c>
      <c r="BK19" s="413">
        <f>COUNTIFS('свод практик'!$J$6:$J$277,'строго ИБ'!BK$1,'свод практик'!$B$6:$B$277,"ИБ",'свод практик'!$D$6:$D$277,"суб/фед")</f>
        <v>0</v>
      </c>
      <c r="BL19" s="413">
        <f>COUNTIFS('свод практик'!$J$6:$J$277,'строго ИБ'!BL$1,'свод практик'!$B$6:$B$277,"ИБ",'свод практик'!$D$6:$D$277,"суб/фед")</f>
        <v>0</v>
      </c>
      <c r="BM19" s="413">
        <f>COUNTIFS('свод практик'!$J$6:$J$277,'строго ИБ'!BM$1,'свод практик'!$B$6:$B$277,"ИБ",'свод практик'!$D$6:$D$277,"суб/фед")</f>
        <v>0</v>
      </c>
      <c r="BN19" s="413">
        <f>COUNTIFS('свод практик'!$J$6:$J$277,'строго ИБ'!BN$1,'свод практик'!$B$6:$B$277,"ИБ",'свод практик'!$D$6:$D$277,"суб/фед")</f>
        <v>0</v>
      </c>
      <c r="BO19" s="413">
        <f>COUNTIFS('свод практик'!$J$6:$J$277,'строго ИБ'!BO$1,'свод практик'!$B$6:$B$277,"ИБ",'свод практик'!$D$6:$D$277,"суб/фед")</f>
        <v>0</v>
      </c>
      <c r="BP19" s="413">
        <f>COUNTIFS('свод практик'!$J$6:$J$277,'строго ИБ'!BP$1,'свод практик'!$B$6:$B$277,"ИБ",'свод практик'!$D$6:$D$277,"суб/фед")</f>
        <v>0</v>
      </c>
      <c r="BQ19" s="413">
        <f>COUNTIFS('свод практик'!$J$6:$J$277,'строго ИБ'!BQ$1,'свод практик'!$B$6:$B$277,"ИБ",'свод практик'!$D$6:$D$277,"суб/фед")</f>
        <v>0</v>
      </c>
      <c r="BR19" s="413">
        <f>COUNTIFS('свод практик'!$J$6:$J$277,'строго ИБ'!BR$1,'свод практик'!$B$6:$B$277,"ИБ",'свод практик'!$D$6:$D$277,"суб/фед")</f>
        <v>0</v>
      </c>
      <c r="BS19" s="413">
        <f>COUNTIFS('свод практик'!$J$6:$J$277,'строго ИБ'!BS$1,'свод практик'!$B$6:$B$277,"ИБ",'свод практик'!$D$6:$D$277,"суб/фед")</f>
        <v>1</v>
      </c>
      <c r="BT19" s="413">
        <f>COUNTIFS('свод практик'!$J$6:$J$277,'строго ИБ'!BT$1,'свод практик'!$B$6:$B$277,"ИБ",'свод практик'!$D$6:$D$277,"суб/фед")</f>
        <v>0</v>
      </c>
      <c r="BU19" s="413">
        <f>COUNTIFS('свод практик'!$J$6:$J$277,'строго ИБ'!BU$1,'свод практик'!$B$6:$B$277,"ИБ",'свод практик'!$D$6:$D$277,"суб/фед")</f>
        <v>0</v>
      </c>
      <c r="BV19" s="413">
        <f>COUNTIFS('свод практик'!$J$6:$J$277,'строго ИБ'!BV$1,'свод практик'!$B$6:$B$277,"ИБ",'свод практик'!$D$6:$D$277,"суб/фед")</f>
        <v>0</v>
      </c>
      <c r="BW19" s="413">
        <f>COUNTIFS('свод практик'!$J$6:$J$277,'строго ИБ'!BW$1,'свод практик'!$B$6:$B$277,"ИБ",'свод практик'!$D$6:$D$277,"суб/фед")</f>
        <v>0</v>
      </c>
      <c r="BX19" s="413">
        <f>COUNTIFS('свод практик'!$J$6:$J$277,'строго ИБ'!BX$1,'свод практик'!$B$6:$B$277,"ИБ",'свод практик'!$D$6:$D$277,"суб/фед")</f>
        <v>0</v>
      </c>
      <c r="BY19" s="413">
        <f>COUNTIFS('свод практик'!$J$6:$J$277,'строго ИБ'!BY$1,'свод практик'!$B$6:$B$277,"ИБ",'свод практик'!$D$6:$D$277,"суб/фед")</f>
        <v>0</v>
      </c>
      <c r="BZ19" s="413">
        <f>COUNTIFS('свод практик'!$J$6:$J$277,'строго ИБ'!BZ$1,'свод практик'!$B$6:$B$277,"ИБ",'свод практик'!$D$6:$D$277,"суб/фед")</f>
        <v>0</v>
      </c>
      <c r="CA19" s="413">
        <f>COUNTIFS('свод практик'!$J$6:$J$277,'строго ИБ'!CA$1,'свод практик'!$B$6:$B$277,"ИБ",'свод практик'!$D$6:$D$277,"суб/фед")</f>
        <v>0</v>
      </c>
      <c r="CB19" s="413">
        <f>COUNTIFS('свод практик'!$J$6:$J$277,'строго ИБ'!CB$1,'свод практик'!$B$6:$B$277,"ИБ",'свод практик'!$D$6:$D$277,"суб/фед")</f>
        <v>0</v>
      </c>
      <c r="CC19" s="413">
        <f>COUNTIFS('свод практик'!$J$6:$J$277,'строго ИБ'!CC$1,'свод практик'!$B$6:$B$277,"ИБ",'свод практик'!$D$6:$D$277,"суб/фед")</f>
        <v>0</v>
      </c>
      <c r="CD19" s="413">
        <f>COUNTIFS('свод практик'!$J$6:$J$277,'строго ИБ'!CD$1,'свод практик'!$B$6:$B$277,"ИБ",'свод практик'!$D$6:$D$277,"суб/фед")</f>
        <v>0</v>
      </c>
      <c r="CE19" s="413">
        <f>COUNTIFS('свод практик'!$J$6:$J$277,'строго ИБ'!CE$1,'свод практик'!$B$6:$B$277,"ИБ",'свод практик'!$D$6:$D$277,"суб/фед")</f>
        <v>0</v>
      </c>
      <c r="CF19" s="413">
        <f>COUNTIFS('свод практик'!$J$6:$J$277,'строго ИБ'!CF$1,'свод практик'!$B$6:$B$277,"ИБ",'свод практик'!$D$6:$D$277,"суб/фед")</f>
        <v>0</v>
      </c>
      <c r="CG19" s="413">
        <f>COUNTIFS('свод практик'!$J$6:$J$277,'строго ИБ'!CG$1,'свод практик'!$B$6:$B$277,"ИБ",'свод практик'!$D$6:$D$277,"суб/фед")</f>
        <v>0</v>
      </c>
      <c r="CH19" s="413">
        <f>COUNTIFS('свод практик'!$J$6:$J$277,'строго ИБ'!CH$1,'свод практик'!$B$6:$B$277,"ИБ",'свод практик'!$D$6:$D$277,"суб/фед")</f>
        <v>0</v>
      </c>
      <c r="CI19" s="413">
        <f>COUNTIFS('свод практик'!$J$6:$J$277,'строго ИБ'!CI$1,'свод практик'!$B$6:$B$277,"ИБ",'свод практик'!$D$6:$D$277,"суб/фед")</f>
        <v>0</v>
      </c>
      <c r="CJ19" s="413">
        <f>COUNTIFS('свод практик'!$J$6:$J$277,'строго ИБ'!CJ$1,'свод практик'!$B$6:$B$277,"ИБ",'свод практик'!$D$6:$D$277,"суб/фед")</f>
        <v>0</v>
      </c>
      <c r="CK19" s="413">
        <f>COUNTIFS('свод практик'!$J$6:$J$277,'строго ИБ'!CK$1,'свод практик'!$B$6:$B$277,"ИБ",'свод практик'!$D$6:$D$277,"суб/фед")</f>
        <v>0</v>
      </c>
      <c r="CL19" s="413">
        <f>COUNTIFS('свод практик'!$J$6:$J$277,'строго ИБ'!CL$1,'свод практик'!$B$6:$B$277,"ИБ",'свод практик'!$D$6:$D$277,"суб/фед")</f>
        <v>0</v>
      </c>
      <c r="CM19" s="413">
        <f>COUNTIFS('свод практик'!$J$6:$J$277,'строго ИБ'!CM$1,'свод практик'!$B$6:$B$277,"ИБ",'свод практик'!$D$6:$D$277,"суб/фед")</f>
        <v>1</v>
      </c>
      <c r="CN19" s="413">
        <f>COUNTIFS('свод практик'!$J$6:$J$277,'строго ИБ'!CN$1,'свод практик'!$B$6:$B$277,"ИБ",'свод практик'!$D$6:$D$277,"суб/фед")</f>
        <v>0</v>
      </c>
      <c r="CO19" s="413">
        <f>COUNTIFS('свод практик'!$J$6:$J$277,'строго ИБ'!CO$1,'свод практик'!$B$6:$B$277,"ИБ",'свод практик'!$D$6:$D$277,"суб/фед")</f>
        <v>0</v>
      </c>
      <c r="CP19" s="413">
        <f>COUNTIFS('свод практик'!$J$6:$J$277,'строго ИБ'!CP$1,'свод практик'!$B$6:$B$277,"ИБ",'свод практик'!$D$6:$D$277,"суб/фед")</f>
        <v>0</v>
      </c>
      <c r="CQ19" s="413">
        <f>COUNTIFS('свод практик'!$J$6:$J$277,'строго ИБ'!CQ$1,'свод практик'!$B$6:$B$277,"ИБ",'свод практик'!$D$6:$D$277,"суб/фед")</f>
        <v>0</v>
      </c>
      <c r="CR19" s="413">
        <f>COUNTIFS('свод практик'!$J$6:$J$277,'строго ИБ'!CR$1,'свод практик'!$B$6:$B$277,"ИБ",'свод практик'!$D$6:$D$277,"суб/фед")</f>
        <v>0</v>
      </c>
      <c r="CS19" s="413">
        <f>COUNTIFS('свод практик'!$J$6:$J$277,'строго ИБ'!CS$1,'свод практик'!$B$6:$B$277,"ИБ",'свод практик'!$D$6:$D$277,"суб/фед")</f>
        <v>0</v>
      </c>
      <c r="CT19" s="413">
        <f>COUNTIFS('свод практик'!$J$6:$J$277,'строго ИБ'!CT$1,'свод практик'!$B$6:$B$277,"ИБ",'свод практик'!$D$6:$D$277,"суб/фед")</f>
        <v>0</v>
      </c>
      <c r="CU19" s="413">
        <f>COUNTIFS('свод практик'!$J$6:$J$277,'строго ИБ'!CU$1,'свод практик'!$B$6:$B$277,"ИБ",'свод практик'!$D$6:$D$277,"суб/фед")</f>
        <v>1</v>
      </c>
    </row>
    <row r="20" spans="1:99" ht="51" customHeight="1">
      <c r="A20" s="831" t="s">
        <v>4981</v>
      </c>
      <c r="B20" s="457" t="s">
        <v>4947</v>
      </c>
      <c r="C20" s="833" t="s">
        <v>4982</v>
      </c>
      <c r="D20" s="424" t="s">
        <v>4949</v>
      </c>
      <c r="E20" s="424">
        <v>13</v>
      </c>
      <c r="F20" s="425" t="s">
        <v>4983</v>
      </c>
      <c r="G20" s="458" t="s">
        <v>4984</v>
      </c>
      <c r="H20" s="426" t="s">
        <v>4985</v>
      </c>
      <c r="I20" s="459" t="s">
        <v>4986</v>
      </c>
      <c r="J20" s="459" t="s">
        <v>5715</v>
      </c>
      <c r="K20" s="793" t="s">
        <v>5708</v>
      </c>
      <c r="L20" s="794"/>
      <c r="M20" s="794"/>
      <c r="N20" s="794"/>
    </row>
    <row r="21" spans="1:99" ht="42" customHeight="1" thickBot="1">
      <c r="A21" s="832"/>
      <c r="B21" s="460" t="s">
        <v>4947</v>
      </c>
      <c r="C21" s="834"/>
      <c r="D21" s="427" t="s">
        <v>4949</v>
      </c>
      <c r="E21" s="427">
        <v>14</v>
      </c>
      <c r="F21" s="428" t="s">
        <v>4987</v>
      </c>
      <c r="G21" s="461" t="s">
        <v>4988</v>
      </c>
      <c r="H21" s="429" t="s">
        <v>60</v>
      </c>
      <c r="I21" s="430" t="s">
        <v>4956</v>
      </c>
      <c r="J21" s="431"/>
      <c r="K21" s="793"/>
      <c r="L21" s="794"/>
      <c r="M21" s="794"/>
      <c r="N21" s="794"/>
    </row>
    <row r="22" spans="1:99" ht="46" customHeight="1" thickBot="1">
      <c r="A22" s="462" t="s">
        <v>4989</v>
      </c>
      <c r="B22" s="463" t="s">
        <v>4990</v>
      </c>
      <c r="C22" s="464" t="s">
        <v>4991</v>
      </c>
      <c r="D22" s="465" t="s">
        <v>4949</v>
      </c>
      <c r="E22" s="465">
        <v>11</v>
      </c>
      <c r="F22" s="466" t="s">
        <v>4992</v>
      </c>
      <c r="G22" s="467" t="s">
        <v>4993</v>
      </c>
      <c r="H22" s="468" t="s">
        <v>57</v>
      </c>
      <c r="I22" s="437" t="s">
        <v>5004</v>
      </c>
      <c r="J22" s="469"/>
      <c r="K22" s="345" t="s">
        <v>579</v>
      </c>
      <c r="L22" s="346"/>
      <c r="M22" s="600" t="s">
        <v>5497</v>
      </c>
      <c r="N22" s="579" t="s">
        <v>410</v>
      </c>
      <c r="O22" s="605">
        <f>'свод практик'!O6</f>
        <v>2018</v>
      </c>
      <c r="P22" s="413">
        <f>'свод практик'!O9</f>
        <v>2018</v>
      </c>
      <c r="Q22" s="605">
        <f>'свод практик'!O10</f>
        <v>2017</v>
      </c>
      <c r="R22" s="605">
        <f>'свод практик'!O11</f>
        <v>2018</v>
      </c>
      <c r="S22" s="605">
        <f>'свод практик'!O13</f>
        <v>2019</v>
      </c>
      <c r="T22" s="605">
        <f>'свод практик'!O14</f>
        <v>2019</v>
      </c>
      <c r="U22" s="605">
        <f>'свод практик'!O19</f>
        <v>2014</v>
      </c>
      <c r="V22" s="605">
        <f>'свод практик'!O28</f>
        <v>2018</v>
      </c>
      <c r="W22" s="605">
        <f>'свод практик'!O30</f>
        <v>2018</v>
      </c>
      <c r="X22" s="413" t="s">
        <v>813</v>
      </c>
      <c r="Z22" s="605">
        <f>'свод практик'!O35</f>
        <v>2019</v>
      </c>
      <c r="AA22" s="605">
        <f>'свод практик'!O36</f>
        <v>2015</v>
      </c>
      <c r="AB22" s="605">
        <f>'свод практик'!O39</f>
        <v>2018</v>
      </c>
      <c r="AK22" s="605">
        <f>'свод практик'!O52</f>
        <v>2019</v>
      </c>
      <c r="AL22" s="413">
        <f>'свод практик'!O53</f>
        <v>2017</v>
      </c>
      <c r="AO22" s="605">
        <f>'свод практик'!O60</f>
        <v>2014</v>
      </c>
      <c r="AP22" s="605">
        <f>'свод практик'!O61</f>
        <v>2019</v>
      </c>
      <c r="AQ22" s="605">
        <f>'свод практик'!O64</f>
        <v>2010</v>
      </c>
      <c r="AR22" s="413">
        <f>'свод практик'!O65</f>
        <v>2017</v>
      </c>
      <c r="AU22" s="605">
        <f>'свод практик'!O71</f>
        <v>2017</v>
      </c>
      <c r="AW22" s="605">
        <f>'свод практик'!O77</f>
        <v>2017</v>
      </c>
      <c r="AY22" s="605">
        <f>'свод практик'!O82</f>
        <v>2013</v>
      </c>
      <c r="BB22" s="605">
        <f>'свод практик'!O86</f>
        <v>2015</v>
      </c>
      <c r="BE22" s="605">
        <f>'свод практик'!O90</f>
        <v>2018</v>
      </c>
      <c r="BF22" s="605">
        <f>'свод практик'!O91</f>
        <v>2017</v>
      </c>
      <c r="BG22" s="605">
        <f>'свод практик'!O92</f>
        <v>2017</v>
      </c>
      <c r="BH22" s="605">
        <f>'свод практик'!O93</f>
        <v>2013</v>
      </c>
      <c r="BI22" s="605">
        <f>'свод практик'!O96</f>
        <v>2018</v>
      </c>
      <c r="BJ22" s="605">
        <f>'свод практик'!O100</f>
        <v>2017</v>
      </c>
      <c r="BL22" s="413">
        <f>'свод практик'!O117</f>
        <v>2016</v>
      </c>
      <c r="BM22" s="605">
        <f>'свод практик'!O118</f>
        <v>2018</v>
      </c>
      <c r="BO22" s="605">
        <f>'свод практик'!O122</f>
        <v>2017</v>
      </c>
      <c r="BR22" s="605">
        <f>'свод практик'!O127</f>
        <v>2019</v>
      </c>
      <c r="BS22" s="605">
        <f>'свод практик'!O128</f>
        <v>2017</v>
      </c>
      <c r="BT22" s="605">
        <f>'свод практик'!O130</f>
        <v>2017</v>
      </c>
      <c r="BU22" s="605">
        <f>'свод практик'!O145</f>
        <v>2016</v>
      </c>
      <c r="BV22" s="605">
        <f>'свод практик'!O146</f>
        <v>2017</v>
      </c>
      <c r="BW22" s="605">
        <f>'свод практик'!O147</f>
        <v>2017</v>
      </c>
      <c r="BX22" s="605">
        <f>'свод практик'!O150</f>
        <v>2017</v>
      </c>
      <c r="BY22" s="605">
        <f>'свод практик'!O155</f>
        <v>2016</v>
      </c>
      <c r="CC22" s="605">
        <f>'свод практик'!O160</f>
        <v>2007</v>
      </c>
      <c r="CF22" s="605">
        <f>'свод практик'!O168</f>
        <v>2013</v>
      </c>
      <c r="CG22" s="605">
        <f>'свод практик'!O169</f>
        <v>2018</v>
      </c>
      <c r="CH22" s="605">
        <f>'свод практик'!O170</f>
        <v>2013</v>
      </c>
      <c r="CK22" s="605">
        <f>'свод практик'!O179</f>
        <v>2017</v>
      </c>
      <c r="CL22" s="605">
        <f>'свод практик'!O180</f>
        <v>2015</v>
      </c>
      <c r="CM22" s="605">
        <f>'свод практик'!O209</f>
        <v>2014</v>
      </c>
      <c r="CO22" s="605">
        <f>'свод практик'!O241</f>
        <v>2017</v>
      </c>
      <c r="CP22" s="605">
        <f>'свод практик'!O248</f>
        <v>2017</v>
      </c>
      <c r="CR22" s="605">
        <f>'свод практик'!O248</f>
        <v>2017</v>
      </c>
      <c r="CS22" s="605">
        <f>'свод практик'!O250</f>
        <v>2019</v>
      </c>
      <c r="CT22" s="605">
        <f>'свод практик'!O275</f>
        <v>2018</v>
      </c>
      <c r="CU22" s="605">
        <f>'свод практик'!O277</f>
        <v>2017</v>
      </c>
    </row>
    <row r="23" spans="1:99" ht="42" customHeight="1" thickBot="1">
      <c r="A23" s="470" t="s">
        <v>4995</v>
      </c>
      <c r="B23" s="471" t="s">
        <v>4947</v>
      </c>
      <c r="C23" s="472" t="s">
        <v>4996</v>
      </c>
      <c r="D23" s="473" t="s">
        <v>4949</v>
      </c>
      <c r="E23" s="473">
        <v>12</v>
      </c>
      <c r="F23" s="474" t="s">
        <v>4997</v>
      </c>
      <c r="G23" s="475" t="s">
        <v>4998</v>
      </c>
      <c r="H23" s="476" t="s">
        <v>4999</v>
      </c>
      <c r="I23" s="420" t="s">
        <v>5000</v>
      </c>
      <c r="J23" s="469"/>
      <c r="K23" s="348"/>
      <c r="L23" s="349"/>
      <c r="M23" s="350"/>
    </row>
    <row r="24" spans="1:99" ht="102" customHeight="1">
      <c r="A24" s="810" t="s">
        <v>5001</v>
      </c>
      <c r="B24" s="816" t="s">
        <v>4990</v>
      </c>
      <c r="C24" s="814" t="s">
        <v>5002</v>
      </c>
      <c r="D24" s="445" t="s">
        <v>4949</v>
      </c>
      <c r="E24" s="445">
        <v>15</v>
      </c>
      <c r="F24" s="446" t="s">
        <v>5003</v>
      </c>
      <c r="G24" s="447" t="s">
        <v>5716</v>
      </c>
      <c r="H24" s="448" t="s">
        <v>63</v>
      </c>
      <c r="I24" s="437" t="s">
        <v>5004</v>
      </c>
      <c r="J24" s="449" t="s">
        <v>5717</v>
      </c>
      <c r="K24" s="340"/>
      <c r="L24" s="341"/>
      <c r="M24" s="342">
        <v>0</v>
      </c>
    </row>
    <row r="25" spans="1:99" ht="102" customHeight="1">
      <c r="A25" s="815"/>
      <c r="B25" s="802"/>
      <c r="C25" s="805"/>
      <c r="D25" s="439" t="s">
        <v>4949</v>
      </c>
      <c r="E25" s="439">
        <v>16</v>
      </c>
      <c r="F25" s="440" t="s">
        <v>5005</v>
      </c>
      <c r="G25" s="451" t="s">
        <v>5006</v>
      </c>
      <c r="H25" s="442" t="s">
        <v>5007</v>
      </c>
      <c r="I25" s="443" t="s">
        <v>4961</v>
      </c>
      <c r="J25" s="444"/>
      <c r="K25" s="2"/>
      <c r="L25" s="338"/>
      <c r="M25" s="351">
        <v>0</v>
      </c>
    </row>
    <row r="26" spans="1:99" ht="102" customHeight="1" thickBot="1">
      <c r="A26" s="811"/>
      <c r="B26" s="477" t="s">
        <v>4947</v>
      </c>
      <c r="C26" s="807"/>
      <c r="D26" s="452" t="s">
        <v>4949</v>
      </c>
      <c r="E26" s="452">
        <v>17</v>
      </c>
      <c r="F26" s="453" t="s">
        <v>5008</v>
      </c>
      <c r="G26" s="454" t="s">
        <v>5252</v>
      </c>
      <c r="H26" s="455" t="s">
        <v>5007</v>
      </c>
      <c r="I26" s="478" t="s">
        <v>4956</v>
      </c>
      <c r="J26" s="478"/>
      <c r="K26" s="343"/>
      <c r="L26" s="352"/>
      <c r="M26" s="353" t="e">
        <v>#DIV/0!</v>
      </c>
    </row>
    <row r="27" spans="1:99" ht="102" customHeight="1" thickBot="1">
      <c r="A27" s="479"/>
      <c r="B27" s="480"/>
      <c r="C27" s="481"/>
      <c r="D27" s="439" t="s">
        <v>4949</v>
      </c>
      <c r="E27" s="439"/>
      <c r="F27" s="482" t="s">
        <v>5241</v>
      </c>
      <c r="G27" s="451" t="s">
        <v>5010</v>
      </c>
      <c r="H27" s="455" t="s">
        <v>5011</v>
      </c>
      <c r="I27" s="443" t="s">
        <v>4961</v>
      </c>
      <c r="J27" s="444"/>
      <c r="K27" s="2"/>
      <c r="L27" s="338"/>
      <c r="M27" s="351">
        <v>0</v>
      </c>
    </row>
    <row r="28" spans="1:99" ht="102" customHeight="1" thickBot="1">
      <c r="A28" s="479"/>
      <c r="B28" s="477" t="s">
        <v>4947</v>
      </c>
      <c r="C28" s="481"/>
      <c r="D28" s="452" t="s">
        <v>4949</v>
      </c>
      <c r="E28" s="452"/>
      <c r="F28" s="482" t="s">
        <v>5241</v>
      </c>
      <c r="G28" s="454" t="s">
        <v>5253</v>
      </c>
      <c r="H28" s="455" t="s">
        <v>5011</v>
      </c>
      <c r="I28" s="478" t="s">
        <v>4956</v>
      </c>
      <c r="J28" s="478"/>
      <c r="K28" s="343"/>
      <c r="L28" s="352"/>
      <c r="M28" s="353" t="e">
        <v>#DIV/0!</v>
      </c>
    </row>
    <row r="29" spans="1:99" ht="102" customHeight="1">
      <c r="A29" s="479"/>
      <c r="B29" s="480"/>
      <c r="C29" s="481"/>
      <c r="D29" s="433"/>
      <c r="E29" s="433"/>
      <c r="F29" s="482" t="s">
        <v>5718</v>
      </c>
      <c r="G29" s="435" t="s">
        <v>5719</v>
      </c>
      <c r="H29" s="436" t="s">
        <v>63</v>
      </c>
      <c r="I29" s="437" t="s">
        <v>5004</v>
      </c>
      <c r="J29" s="437" t="s">
        <v>5717</v>
      </c>
      <c r="K29" s="336"/>
      <c r="L29" s="338"/>
      <c r="M29" s="342">
        <v>0</v>
      </c>
    </row>
    <row r="30" spans="1:99" ht="102" customHeight="1">
      <c r="A30" s="479"/>
      <c r="B30" s="480"/>
      <c r="C30" s="481"/>
      <c r="D30" s="433"/>
      <c r="E30" s="433"/>
      <c r="F30" s="482" t="s">
        <v>5720</v>
      </c>
      <c r="G30" s="435" t="s">
        <v>5721</v>
      </c>
      <c r="H30" s="436" t="s">
        <v>63</v>
      </c>
      <c r="I30" s="437" t="s">
        <v>5004</v>
      </c>
      <c r="J30" s="437" t="s">
        <v>5717</v>
      </c>
      <c r="K30" s="336"/>
      <c r="L30" s="338"/>
      <c r="M30" s="342">
        <v>0</v>
      </c>
    </row>
    <row r="31" spans="1:99" ht="102" customHeight="1">
      <c r="A31" s="479"/>
      <c r="B31" s="480"/>
      <c r="C31" s="481"/>
      <c r="D31" s="433"/>
      <c r="E31" s="433"/>
      <c r="F31" s="482" t="s">
        <v>5722</v>
      </c>
      <c r="G31" s="435" t="s">
        <v>5723</v>
      </c>
      <c r="H31" s="436" t="s">
        <v>63</v>
      </c>
      <c r="I31" s="437" t="s">
        <v>5004</v>
      </c>
      <c r="J31" s="437" t="s">
        <v>5717</v>
      </c>
      <c r="K31" s="336"/>
      <c r="L31" s="338"/>
      <c r="M31" s="342">
        <v>0</v>
      </c>
    </row>
    <row r="32" spans="1:99" ht="102" customHeight="1">
      <c r="A32" s="479"/>
      <c r="B32" s="480"/>
      <c r="C32" s="481"/>
      <c r="D32" s="433"/>
      <c r="E32" s="433"/>
      <c r="F32" s="482" t="s">
        <v>5724</v>
      </c>
      <c r="G32" s="435" t="s">
        <v>5725</v>
      </c>
      <c r="H32" s="436" t="s">
        <v>63</v>
      </c>
      <c r="I32" s="437" t="s">
        <v>5004</v>
      </c>
      <c r="J32" s="437" t="s">
        <v>5717</v>
      </c>
      <c r="K32" s="336"/>
      <c r="L32" s="338"/>
      <c r="M32" s="342">
        <v>0</v>
      </c>
    </row>
    <row r="33" spans="1:99" ht="102" customHeight="1">
      <c r="A33" s="479"/>
      <c r="B33" s="480"/>
      <c r="C33" s="481"/>
      <c r="D33" s="433"/>
      <c r="E33" s="433"/>
      <c r="F33" s="482" t="s">
        <v>5726</v>
      </c>
      <c r="G33" s="435" t="s">
        <v>5727</v>
      </c>
      <c r="H33" s="436" t="s">
        <v>63</v>
      </c>
      <c r="I33" s="437" t="s">
        <v>5004</v>
      </c>
      <c r="J33" s="437" t="s">
        <v>5717</v>
      </c>
      <c r="K33" s="336"/>
      <c r="L33" s="338"/>
      <c r="M33" s="342">
        <v>0</v>
      </c>
    </row>
    <row r="34" spans="1:99" ht="102" customHeight="1">
      <c r="A34" s="483"/>
      <c r="B34" s="484"/>
      <c r="C34" s="392"/>
      <c r="D34" s="433"/>
      <c r="E34" s="433"/>
      <c r="F34" s="482" t="s">
        <v>5728</v>
      </c>
      <c r="G34" s="435" t="s">
        <v>5729</v>
      </c>
      <c r="H34" s="436" t="s">
        <v>63</v>
      </c>
      <c r="I34" s="437" t="s">
        <v>5004</v>
      </c>
      <c r="J34" s="437" t="s">
        <v>5717</v>
      </c>
      <c r="K34" s="336"/>
      <c r="L34" s="338"/>
      <c r="M34" s="342">
        <v>0</v>
      </c>
    </row>
    <row r="35" spans="1:99" ht="102" customHeight="1" thickBot="1">
      <c r="A35" s="479"/>
      <c r="B35" s="485" t="s">
        <v>4947</v>
      </c>
      <c r="C35" s="481"/>
      <c r="D35" s="486" t="s">
        <v>4949</v>
      </c>
      <c r="E35" s="486">
        <v>24</v>
      </c>
      <c r="F35" s="487" t="s">
        <v>5730</v>
      </c>
      <c r="G35" s="488" t="s">
        <v>5063</v>
      </c>
      <c r="H35" s="489" t="s">
        <v>5032</v>
      </c>
      <c r="I35" s="490" t="s">
        <v>4956</v>
      </c>
      <c r="J35" s="490"/>
      <c r="K35" s="354"/>
      <c r="L35" s="338"/>
      <c r="M35" s="355" t="e">
        <v>#DIV/0!</v>
      </c>
    </row>
    <row r="36" spans="1:99" ht="102" customHeight="1">
      <c r="A36" s="810" t="s">
        <v>5048</v>
      </c>
      <c r="B36" s="816" t="s">
        <v>4990</v>
      </c>
      <c r="C36" s="814" t="s">
        <v>5049</v>
      </c>
      <c r="D36" s="433" t="s">
        <v>4949</v>
      </c>
      <c r="E36" s="433">
        <v>18</v>
      </c>
      <c r="F36" s="434" t="s">
        <v>5050</v>
      </c>
      <c r="G36" s="435" t="s">
        <v>5731</v>
      </c>
      <c r="H36" s="436" t="s">
        <v>63</v>
      </c>
      <c r="I36" s="437" t="s">
        <v>5004</v>
      </c>
      <c r="J36" s="437" t="s">
        <v>5717</v>
      </c>
      <c r="K36" s="336"/>
      <c r="L36" s="337"/>
      <c r="M36" s="356">
        <v>0</v>
      </c>
    </row>
    <row r="37" spans="1:99" ht="102" customHeight="1">
      <c r="A37" s="815"/>
      <c r="B37" s="817"/>
      <c r="C37" s="805"/>
      <c r="D37" s="439" t="s">
        <v>4949</v>
      </c>
      <c r="E37" s="439">
        <v>19</v>
      </c>
      <c r="F37" s="440" t="s">
        <v>5051</v>
      </c>
      <c r="G37" s="451" t="s">
        <v>5052</v>
      </c>
      <c r="H37" s="436" t="s">
        <v>63</v>
      </c>
      <c r="I37" s="443" t="s">
        <v>5004</v>
      </c>
      <c r="J37" s="443" t="s">
        <v>5717</v>
      </c>
      <c r="K37" s="2"/>
      <c r="L37" s="338"/>
      <c r="M37" s="342">
        <v>0</v>
      </c>
    </row>
    <row r="38" spans="1:99" ht="102" customHeight="1">
      <c r="A38" s="815"/>
      <c r="B38" s="817"/>
      <c r="C38" s="805"/>
      <c r="D38" s="439" t="s">
        <v>4949</v>
      </c>
      <c r="E38" s="439">
        <v>20</v>
      </c>
      <c r="F38" s="440" t="s">
        <v>5053</v>
      </c>
      <c r="G38" s="451" t="s">
        <v>5054</v>
      </c>
      <c r="H38" s="436" t="s">
        <v>63</v>
      </c>
      <c r="I38" s="443" t="s">
        <v>5004</v>
      </c>
      <c r="J38" s="443" t="s">
        <v>5717</v>
      </c>
      <c r="K38" s="2"/>
      <c r="L38" s="338"/>
      <c r="M38" s="342">
        <v>0</v>
      </c>
    </row>
    <row r="39" spans="1:99" ht="102" customHeight="1">
      <c r="A39" s="815"/>
      <c r="B39" s="817"/>
      <c r="C39" s="805"/>
      <c r="D39" s="439" t="s">
        <v>4949</v>
      </c>
      <c r="E39" s="439">
        <v>21</v>
      </c>
      <c r="F39" s="440" t="s">
        <v>5055</v>
      </c>
      <c r="G39" s="451" t="s">
        <v>5056</v>
      </c>
      <c r="H39" s="436" t="s">
        <v>63</v>
      </c>
      <c r="I39" s="443" t="s">
        <v>5004</v>
      </c>
      <c r="J39" s="443" t="s">
        <v>5717</v>
      </c>
      <c r="K39" s="2"/>
      <c r="L39" s="338"/>
      <c r="M39" s="342">
        <v>0</v>
      </c>
    </row>
    <row r="40" spans="1:99" ht="102" customHeight="1">
      <c r="A40" s="815"/>
      <c r="B40" s="817"/>
      <c r="C40" s="805"/>
      <c r="D40" s="439"/>
      <c r="E40" s="439"/>
      <c r="F40" s="440"/>
      <c r="G40" s="451" t="s">
        <v>5058</v>
      </c>
      <c r="H40" s="436" t="s">
        <v>63</v>
      </c>
      <c r="I40" s="443" t="s">
        <v>5004</v>
      </c>
      <c r="J40" s="443" t="s">
        <v>5717</v>
      </c>
      <c r="K40" s="2"/>
      <c r="L40" s="338"/>
      <c r="M40" s="342">
        <v>0</v>
      </c>
    </row>
    <row r="41" spans="1:99" ht="102" customHeight="1">
      <c r="A41" s="815"/>
      <c r="B41" s="817"/>
      <c r="C41" s="805"/>
      <c r="D41" s="439" t="s">
        <v>4949</v>
      </c>
      <c r="E41" s="439">
        <v>22</v>
      </c>
      <c r="F41" s="440" t="s">
        <v>5059</v>
      </c>
      <c r="G41" s="451" t="s">
        <v>5740</v>
      </c>
      <c r="H41" s="436" t="s">
        <v>63</v>
      </c>
      <c r="I41" s="443" t="s">
        <v>5004</v>
      </c>
      <c r="J41" s="443" t="s">
        <v>5717</v>
      </c>
      <c r="K41" s="2"/>
      <c r="L41" s="338"/>
      <c r="M41" s="342">
        <v>0</v>
      </c>
    </row>
    <row r="42" spans="1:99" ht="102" customHeight="1">
      <c r="A42" s="815"/>
      <c r="B42" s="817"/>
      <c r="C42" s="805"/>
      <c r="D42" s="439" t="s">
        <v>4949</v>
      </c>
      <c r="E42" s="439">
        <v>23</v>
      </c>
      <c r="F42" s="440" t="s">
        <v>5060</v>
      </c>
      <c r="G42" s="451" t="s">
        <v>5061</v>
      </c>
      <c r="H42" s="436" t="s">
        <v>63</v>
      </c>
      <c r="I42" s="443" t="s">
        <v>5004</v>
      </c>
      <c r="J42" s="443" t="s">
        <v>5717</v>
      </c>
      <c r="K42" s="2"/>
      <c r="L42" s="338"/>
      <c r="M42" s="342">
        <v>0</v>
      </c>
    </row>
    <row r="43" spans="1:99" ht="102" customHeight="1" thickBot="1">
      <c r="A43" s="811"/>
      <c r="B43" s="491" t="s">
        <v>4947</v>
      </c>
      <c r="C43" s="807"/>
      <c r="D43" s="452" t="s">
        <v>4949</v>
      </c>
      <c r="E43" s="452">
        <v>24</v>
      </c>
      <c r="F43" s="453" t="s">
        <v>5062</v>
      </c>
      <c r="G43" s="454" t="s">
        <v>5063</v>
      </c>
      <c r="H43" s="455" t="s">
        <v>5032</v>
      </c>
      <c r="I43" s="478" t="s">
        <v>4956</v>
      </c>
      <c r="J43" s="478"/>
      <c r="K43" s="343"/>
      <c r="L43" s="357"/>
      <c r="M43" s="358" t="e">
        <v>#DIV/0!</v>
      </c>
    </row>
    <row r="44" spans="1:99" ht="65.5" customHeight="1" thickBot="1">
      <c r="A44" s="492" t="s">
        <v>5079</v>
      </c>
      <c r="B44" s="485" t="s">
        <v>4990</v>
      </c>
      <c r="C44" s="493" t="s">
        <v>5080</v>
      </c>
      <c r="D44" s="486" t="s">
        <v>4949</v>
      </c>
      <c r="E44" s="433">
        <v>25</v>
      </c>
      <c r="F44" s="434" t="s">
        <v>5081</v>
      </c>
      <c r="G44" s="494" t="s">
        <v>5741</v>
      </c>
      <c r="H44" s="436" t="s">
        <v>5082</v>
      </c>
      <c r="I44" s="437" t="s">
        <v>4961</v>
      </c>
      <c r="J44" s="438"/>
      <c r="K44" s="336" t="s">
        <v>278</v>
      </c>
      <c r="L44" s="359">
        <v>5132.4735419999997</v>
      </c>
      <c r="M44" s="360">
        <v>8024.578731999999</v>
      </c>
      <c r="N44" s="614">
        <f>SUM(O44:CU44)</f>
        <v>12505.367325629999</v>
      </c>
      <c r="O44" s="413">
        <f>SUMIFS('свод практик'!$AH$6:$AH$277,'свод практик'!$J$6:$J$277,'строго ИБ'!O$1,'свод практик'!$B$6:$B$277,"ИБ")</f>
        <v>7.1660000000000004</v>
      </c>
      <c r="P44" s="413">
        <f>SUMIFS('свод практик'!$AH$6:$AH$277,'свод практик'!$J$6:$J$277,'строго ИБ'!P$1,'свод практик'!$B$6:$B$277,"ИБ")</f>
        <v>3.2190000000000003</v>
      </c>
      <c r="Q44" s="413">
        <f>SUMIFS('свод практик'!$AH$6:$AH$277,'свод практик'!$J$6:$J$277,'строго ИБ'!Q$1,'свод практик'!$B$6:$B$277,"ИБ")</f>
        <v>174.2</v>
      </c>
      <c r="R44" s="413">
        <f>SUMIFS('свод практик'!$AH$6:$AH$277,'свод практик'!$J$6:$J$277,'строго ИБ'!R$1,'свод практик'!$B$6:$B$277,"ИБ")</f>
        <v>89.622</v>
      </c>
      <c r="S44" s="413">
        <f>SUMIFS('свод практик'!$AH$6:$AH$277,'свод практик'!$J$6:$J$277,'строго ИБ'!S$1,'свод практик'!$B$6:$B$277,"ИБ")</f>
        <v>6</v>
      </c>
      <c r="T44" s="413">
        <f>SUMIFS('свод практик'!$AH$6:$AH$277,'свод практик'!$J$6:$J$277,'строго ИБ'!T$1,'свод практик'!$B$6:$B$277,"ИБ")</f>
        <v>1.2</v>
      </c>
      <c r="U44" s="413">
        <f>SUMIFS('свод практик'!$AH$6:$AH$277,'свод практик'!$J$6:$J$277,'строго ИБ'!U$1,'свод практик'!$B$6:$B$277,"ИБ")</f>
        <v>2880.4940000000006</v>
      </c>
      <c r="V44" s="413">
        <f>SUMIFS('свод практик'!$AH$6:$AH$277,'свод практик'!$J$6:$J$277,'строго ИБ'!V$1,'свод практик'!$B$6:$B$277,"ИБ")</f>
        <v>95.031000000000006</v>
      </c>
      <c r="W44" s="413">
        <f>SUMIFS('свод практик'!$AH$6:$AH$277,'свод практик'!$J$6:$J$277,'строго ИБ'!W$1,'свод практик'!$B$6:$B$277,"ИБ")</f>
        <v>109</v>
      </c>
      <c r="X44" s="413">
        <f>SUMIFS('свод практик'!$AH$6:$AH$277,'свод практик'!$J$6:$J$277,'строго ИБ'!X$1,'свод практик'!$B$6:$B$277,"ИБ")</f>
        <v>0</v>
      </c>
      <c r="Y44" s="413">
        <f>SUMIFS('свод практик'!$AH$6:$AH$277,'свод практик'!$J$6:$J$277,'строго ИБ'!Y$1,'свод практик'!$B$6:$B$277,"ИБ")</f>
        <v>0</v>
      </c>
      <c r="Z44" s="413">
        <f>SUMIFS('свод практик'!$AH$6:$AH$277,'свод практик'!$J$6:$J$277,'строго ИБ'!Z$1,'свод практик'!$B$6:$B$277,"ИБ")</f>
        <v>114.42100000000001</v>
      </c>
      <c r="AA44" s="413">
        <f>SUMIFS('свод практик'!$AH$6:$AH$277,'свод практик'!$J$6:$J$277,'строго ИБ'!AA$1,'свод практик'!$B$6:$B$277,"ИБ")</f>
        <v>250.86599999999999</v>
      </c>
      <c r="AB44" s="413">
        <f>SUMIFS('свод практик'!$AH$6:$AH$277,'свод практик'!$J$6:$J$277,'строго ИБ'!AB$1,'свод практик'!$B$6:$B$277,"ИБ")</f>
        <v>152.10499999999999</v>
      </c>
      <c r="AC44" s="413">
        <f>SUMIFS('свод практик'!$AH$6:$AH$277,'свод практик'!$J$6:$J$277,'строго ИБ'!AC$1,'свод практик'!$B$6:$B$277,"ИБ")</f>
        <v>0</v>
      </c>
      <c r="AD44" s="413">
        <f>SUMIFS('свод практик'!$AH$6:$AH$277,'свод практик'!$J$6:$J$277,'строго ИБ'!AD$1,'свод практик'!$B$6:$B$277,"ИБ")</f>
        <v>0</v>
      </c>
      <c r="AE44" s="413">
        <f>SUMIFS('свод практик'!$AH$6:$AH$277,'свод практик'!$J$6:$J$277,'строго ИБ'!AE$1,'свод практик'!$B$6:$B$277,"ИБ")</f>
        <v>0</v>
      </c>
      <c r="AF44" s="413">
        <f>SUMIFS('свод практик'!$AH$6:$AH$277,'свод практик'!$J$6:$J$277,'строго ИБ'!AF$1,'свод практик'!$B$6:$B$277,"ИБ")</f>
        <v>0</v>
      </c>
      <c r="AG44" s="413">
        <f>SUMIFS('свод практик'!$AH$6:$AH$277,'свод практик'!$J$6:$J$277,'строго ИБ'!AG$1,'свод практик'!$B$6:$B$277,"ИБ")</f>
        <v>0</v>
      </c>
      <c r="AH44" s="413">
        <f>SUMIFS('свод практик'!$AH$6:$AH$277,'свод практик'!$J$6:$J$277,'строго ИБ'!AH$1,'свод практик'!$B$6:$B$277,"ИБ")</f>
        <v>0</v>
      </c>
      <c r="AI44" s="413">
        <f>SUMIFS('свод практик'!$AH$6:$AH$277,'свод практик'!$J$6:$J$277,'строго ИБ'!AI$1,'свод практик'!$B$6:$B$277,"ИБ")</f>
        <v>0</v>
      </c>
      <c r="AJ44" s="413">
        <f>SUMIFS('свод практик'!$AH$6:$AH$277,'свод практик'!$J$6:$J$277,'строго ИБ'!AJ$1,'свод практик'!$B$6:$B$277,"ИБ")</f>
        <v>0</v>
      </c>
      <c r="AK44" s="413">
        <f>SUMIFS('свод практик'!$AH$6:$AH$277,'свод практик'!$J$6:$J$277,'строго ИБ'!AK$1,'свод практик'!$B$6:$B$277,"ИБ")</f>
        <v>7.5031929999999996</v>
      </c>
      <c r="AL44" s="413">
        <f>SUMIFS('свод практик'!$AH$6:$AH$277,'свод практик'!$J$6:$J$277,'строго ИБ'!AL$1,'свод практик'!$B$6:$B$277,"ИБ")</f>
        <v>165.15105754999996</v>
      </c>
      <c r="AM44" s="413">
        <f>SUMIFS('свод практик'!$AH$6:$AH$277,'свод практик'!$J$6:$J$277,'строго ИБ'!AM$1,'свод практик'!$B$6:$B$277,"ИБ")</f>
        <v>0</v>
      </c>
      <c r="AN44" s="413">
        <f>SUMIFS('свод практик'!$AH$6:$AH$277,'свод практик'!$J$6:$J$277,'строго ИБ'!AN$1,'свод практик'!$B$6:$B$277,"ИБ")</f>
        <v>0</v>
      </c>
      <c r="AO44" s="413">
        <f>SUMIFS('свод практик'!$AH$6:$AH$277,'свод практик'!$J$6:$J$277,'строго ИБ'!AO$1,'свод практик'!$B$6:$B$277,"ИБ")</f>
        <v>99.2</v>
      </c>
      <c r="AP44" s="413">
        <f>SUMIFS('свод практик'!$AH$6:$AH$277,'свод практик'!$J$6:$J$277,'строго ИБ'!AP$1,'свод практик'!$B$6:$B$277,"ИБ")</f>
        <v>122.5</v>
      </c>
      <c r="AQ44" s="413">
        <f>SUMIFS('свод практик'!$AH$6:$AH$277,'свод практик'!$J$6:$J$277,'строго ИБ'!AQ$1,'свод практик'!$B$6:$B$277,"ИБ")</f>
        <v>392.8</v>
      </c>
      <c r="AR44" s="413">
        <f>SUMIFS('свод практик'!$AH$6:$AH$277,'свод практик'!$J$6:$J$277,'строго ИБ'!AR$1,'свод практик'!$B$6:$B$277,"ИБ")</f>
        <v>118.242</v>
      </c>
      <c r="AS44" s="413">
        <f>SUMIFS('свод практик'!$AH$6:$AH$277,'свод практик'!$J$6:$J$277,'строго ИБ'!AS$1,'свод практик'!$B$6:$B$277,"ИБ")</f>
        <v>0</v>
      </c>
      <c r="AT44" s="413">
        <f>SUMIFS('свод практик'!$AH$6:$AH$277,'свод практик'!$J$6:$J$277,'строго ИБ'!AT$1,'свод практик'!$B$6:$B$277,"ИБ")</f>
        <v>0</v>
      </c>
      <c r="AU44" s="413">
        <f>SUMIFS('свод практик'!$AH$6:$AH$277,'свод практик'!$J$6:$J$277,'строго ИБ'!AU$1,'свод практик'!$B$6:$B$277,"ИБ")</f>
        <v>154.29</v>
      </c>
      <c r="AV44" s="413">
        <f>SUMIFS('свод практик'!$AH$6:$AH$277,'свод практик'!$J$6:$J$277,'строго ИБ'!AV$1,'свод практик'!$B$6:$B$277,"ИБ")</f>
        <v>0</v>
      </c>
      <c r="AW44" s="413">
        <f>SUMIFS('свод практик'!$AH$6:$AH$277,'свод практик'!$J$6:$J$277,'строго ИБ'!AW$1,'свод практик'!$B$6:$B$277,"ИБ")</f>
        <v>191.14599999999999</v>
      </c>
      <c r="AX44" s="413">
        <f>SUMIFS('свод практик'!$AH$6:$AH$277,'свод практик'!$J$6:$J$277,'строго ИБ'!AX$1,'свод практик'!$B$6:$B$277,"ИБ")</f>
        <v>0</v>
      </c>
      <c r="AY44" s="413">
        <f>SUMIFS('свод практик'!$AH$6:$AH$277,'свод практик'!$J$6:$J$277,'строго ИБ'!AY$1,'свод практик'!$B$6:$B$277,"ИБ")</f>
        <v>10.6</v>
      </c>
      <c r="AZ44" s="413">
        <f>SUMIFS('свод практик'!$AH$6:$AH$277,'свод практик'!$J$6:$J$277,'строго ИБ'!AZ$1,'свод практик'!$B$6:$B$277,"ИБ")</f>
        <v>0</v>
      </c>
      <c r="BA44" s="413">
        <f>SUMIFS('свод практик'!$AH$6:$AH$277,'свод практик'!$J$6:$J$277,'строго ИБ'!BA$1,'свод практик'!$B$6:$B$277,"ИБ")</f>
        <v>0</v>
      </c>
      <c r="BB44" s="413">
        <f>SUMIFS('свод практик'!$AH$6:$AH$277,'свод практик'!$J$6:$J$277,'строго ИБ'!BB$1,'свод практик'!$B$6:$B$277,"ИБ")</f>
        <v>32.349815</v>
      </c>
      <c r="BC44" s="413">
        <f>SUMIFS('свод практик'!$AH$6:$AH$277,'свод практик'!$J$6:$J$277,'строго ИБ'!BC$1,'свод практик'!$B$6:$B$277,"ИБ")</f>
        <v>0</v>
      </c>
      <c r="BD44" s="413">
        <f>SUMIFS('свод практик'!$AH$6:$AH$277,'свод практик'!$J$6:$J$277,'строго ИБ'!BD$1,'свод практик'!$B$6:$B$277,"ИБ")</f>
        <v>0</v>
      </c>
      <c r="BE44" s="413">
        <f>SUMIFS('свод практик'!$AH$6:$AH$277,'свод практик'!$J$6:$J$277,'строго ИБ'!BE$1,'свод практик'!$B$6:$B$277,"ИБ")</f>
        <v>7.91</v>
      </c>
      <c r="BF44" s="413">
        <f>SUMIFS('свод практик'!$AH$6:$AH$277,'свод практик'!$J$6:$J$277,'строго ИБ'!BF$1,'свод практик'!$B$6:$B$277,"ИБ")</f>
        <v>37.264000000000003</v>
      </c>
      <c r="BG44" s="413">
        <f>SUMIFS('свод практик'!$AH$6:$AH$277,'свод практик'!$J$6:$J$277,'строго ИБ'!BG$1,'свод практик'!$B$6:$B$277,"ИБ")</f>
        <v>23.282</v>
      </c>
      <c r="BH44" s="413">
        <f>SUMIFS('свод практик'!$AH$6:$AH$277,'свод практик'!$J$6:$J$277,'строго ИБ'!BH$1,'свод практик'!$B$6:$B$277,"ИБ")</f>
        <v>695.43399999999997</v>
      </c>
      <c r="BI44" s="413">
        <f>SUMIFS('свод практик'!$AH$6:$AH$277,'свод практик'!$J$6:$J$277,'строго ИБ'!BI$1,'свод практик'!$B$6:$B$277,"ИБ")</f>
        <v>44.946999999999996</v>
      </c>
      <c r="BJ44" s="413">
        <f>SUMIFS('свод практик'!$AH$6:$AH$277,'свод практик'!$J$6:$J$277,'строго ИБ'!BJ$1,'свод практик'!$B$6:$B$277,"ИБ")</f>
        <v>157.6</v>
      </c>
      <c r="BK44" s="413">
        <f>SUMIFS('свод практик'!$AH$6:$AH$277,'свод практик'!$J$6:$J$277,'строго ИБ'!BK$1,'свод практик'!$B$6:$B$277,"ИБ")</f>
        <v>0</v>
      </c>
      <c r="BL44" s="413">
        <f>SUMIFS('свод практик'!$AH$6:$AH$277,'свод практик'!$J$6:$J$277,'строго ИБ'!BL$1,'свод практик'!$B$6:$B$277,"ИБ")</f>
        <v>115.15290000000002</v>
      </c>
      <c r="BM44" s="413">
        <f>SUMIFS('свод практик'!$AH$6:$AH$277,'свод практик'!$J$6:$J$277,'строго ИБ'!BM$1,'свод практик'!$B$6:$B$277,"ИБ")</f>
        <v>20.193000000000001</v>
      </c>
      <c r="BN44" s="413">
        <f>SUMIFS('свод практик'!$AH$6:$AH$277,'свод практик'!$J$6:$J$277,'строго ИБ'!BN$1,'свод практик'!$B$6:$B$277,"ИБ")</f>
        <v>0</v>
      </c>
      <c r="BO44" s="413">
        <f>SUMIFS('свод практик'!$AH$6:$AH$277,'свод практик'!$J$6:$J$277,'строго ИБ'!BO$1,'свод практик'!$B$6:$B$277,"ИБ")</f>
        <v>130.24469318000001</v>
      </c>
      <c r="BP44" s="413">
        <f>SUMIFS('свод практик'!$AH$6:$AH$277,'свод практик'!$J$6:$J$277,'строго ИБ'!BP$1,'свод практик'!$B$6:$B$277,"ИБ")</f>
        <v>0</v>
      </c>
      <c r="BQ44" s="413">
        <f>SUMIFS('свод практик'!$AH$6:$AH$277,'свод практик'!$J$6:$J$277,'строго ИБ'!BQ$1,'свод практик'!$B$6:$B$277,"ИБ")</f>
        <v>0</v>
      </c>
      <c r="BR44" s="413">
        <f>SUMIFS('свод практик'!$AH$6:$AH$277,'свод практик'!$J$6:$J$277,'строго ИБ'!BR$1,'свод практик'!$B$6:$B$277,"ИБ")</f>
        <v>10.53</v>
      </c>
      <c r="BS44" s="413">
        <f>SUMIFS('свод практик'!$AH$6:$AH$277,'свод практик'!$J$6:$J$277,'строго ИБ'!BS$1,'свод практик'!$B$6:$B$277,"ИБ")</f>
        <v>205.31399999999999</v>
      </c>
      <c r="BT44" s="413">
        <f>SUMIFS('свод практик'!$AH$6:$AH$277,'свод практик'!$J$6:$J$277,'строго ИБ'!BT$1,'свод практик'!$B$6:$B$277,"ИБ")</f>
        <v>262.65600000000006</v>
      </c>
      <c r="BU44" s="413">
        <f>SUMIFS('свод практик'!$AH$6:$AH$277,'свод практик'!$J$6:$J$277,'строго ИБ'!BU$1,'свод практик'!$B$6:$B$277,"ИБ")</f>
        <v>181.49923999999999</v>
      </c>
      <c r="BV44" s="413">
        <f>SUMIFS('свод практик'!$AH$6:$AH$277,'свод практик'!$J$6:$J$277,'строго ИБ'!BV$1,'свод практик'!$B$6:$B$277,"ИБ")</f>
        <v>108.22629999999999</v>
      </c>
      <c r="BW44" s="413">
        <f>SUMIFS('свод практик'!$AH$6:$AH$277,'свод практик'!$J$6:$J$277,'строго ИБ'!BW$1,'свод практик'!$B$6:$B$277,"ИБ")</f>
        <v>807.07</v>
      </c>
      <c r="BX44" s="413">
        <f>SUMIFS('свод практик'!$AH$6:$AH$277,'свод практик'!$J$6:$J$277,'строго ИБ'!BX$1,'свод практик'!$B$6:$B$277,"ИБ")</f>
        <v>861.8</v>
      </c>
      <c r="BY44" s="413">
        <f>SUMIFS('свод практик'!$AH$6:$AH$277,'свод практик'!$J$6:$J$277,'строго ИБ'!BY$1,'свод практик'!$B$6:$B$277,"ИБ")</f>
        <v>96.537000000000006</v>
      </c>
      <c r="BZ44" s="413">
        <f>SUMIFS('свод практик'!$AH$6:$AH$277,'свод практик'!$J$6:$J$277,'строго ИБ'!BZ$1,'свод практик'!$B$6:$B$277,"ИБ")</f>
        <v>0</v>
      </c>
      <c r="CA44" s="413">
        <f>SUMIFS('свод практик'!$AH$6:$AH$277,'свод практик'!$J$6:$J$277,'строго ИБ'!CA$1,'свод практик'!$B$6:$B$277,"ИБ")</f>
        <v>0</v>
      </c>
      <c r="CB44" s="413">
        <f>SUMIFS('свод практик'!$AH$6:$AH$277,'свод практик'!$J$6:$J$277,'строго ИБ'!CB$1,'свод практик'!$B$6:$B$277,"ИБ")</f>
        <v>0</v>
      </c>
      <c r="CC44" s="413">
        <f>SUMIFS('свод практик'!$AH$6:$AH$277,'свод практик'!$J$6:$J$277,'строго ИБ'!CC$1,'свод практик'!$B$6:$B$277,"ИБ")</f>
        <v>647.31000000000006</v>
      </c>
      <c r="CD44" s="413">
        <f>SUMIFS('свод практик'!$AH$6:$AH$277,'свод практик'!$J$6:$J$277,'строго ИБ'!CD$1,'свод практик'!$B$6:$B$277,"ИБ")</f>
        <v>132.65299999999999</v>
      </c>
      <c r="CE44" s="413">
        <f>SUMIFS('свод практик'!$AH$6:$AH$277,'свод практик'!$J$6:$J$277,'строго ИБ'!CE$1,'свод практик'!$B$6:$B$277,"ИБ")</f>
        <v>0</v>
      </c>
      <c r="CF44" s="413">
        <f>SUMIFS('свод практик'!$AH$6:$AH$277,'свод практик'!$J$6:$J$277,'строго ИБ'!CF$1,'свод практик'!$B$6:$B$277,"ИБ")</f>
        <v>224.2</v>
      </c>
      <c r="CG44" s="413">
        <f>SUMIFS('свод практик'!$AH$6:$AH$277,'свод практик'!$J$6:$J$277,'строго ИБ'!CG$1,'свод практик'!$B$6:$B$277,"ИБ")</f>
        <v>53.965803960000002</v>
      </c>
      <c r="CH44" s="413">
        <f>SUMIFS('свод практик'!$AH$6:$AH$277,'свод практик'!$J$6:$J$277,'строго ИБ'!CH$1,'свод практик'!$B$6:$B$277,"ИБ")</f>
        <v>698</v>
      </c>
      <c r="CI44" s="413">
        <f>SUMIFS('свод практик'!$AH$6:$AH$277,'свод практик'!$J$6:$J$277,'строго ИБ'!CI$1,'свод практик'!$B$6:$B$277,"ИБ")</f>
        <v>0</v>
      </c>
      <c r="CJ44" s="413">
        <f>SUMIFS('свод практик'!$AH$6:$AH$277,'свод практик'!$J$6:$J$277,'строго ИБ'!CJ$1,'свод практик'!$B$6:$B$277,"ИБ")</f>
        <v>0</v>
      </c>
      <c r="CK44" s="413">
        <f>SUMIFS('свод практик'!$AH$6:$AH$277,'свод практик'!$J$6:$J$277,'строго ИБ'!CK$1,'свод практик'!$B$6:$B$277,"ИБ")</f>
        <v>92.413395099999988</v>
      </c>
      <c r="CL44" s="413">
        <f>SUMIFS('свод практик'!$AH$6:$AH$277,'свод практик'!$J$6:$J$277,'строго ИБ'!CL$1,'свод практик'!$B$6:$B$277,"ИБ")</f>
        <v>192.56953250000004</v>
      </c>
      <c r="CM44" s="413">
        <f>SUMIFS('свод практик'!$AH$6:$AH$277,'свод практик'!$J$6:$J$277,'строго ИБ'!CM$1,'свод практик'!$B$6:$B$277,"ИБ")</f>
        <v>78.3</v>
      </c>
      <c r="CN44" s="413">
        <f>SUMIFS('свод практик'!$AH$6:$AH$277,'свод практик'!$J$6:$J$277,'строго ИБ'!CN$1,'свод практик'!$B$6:$B$277,"ИБ")</f>
        <v>0</v>
      </c>
      <c r="CO44" s="413">
        <f>SUMIFS('свод практик'!$AH$6:$AH$277,'свод практик'!$J$6:$J$277,'строго ИБ'!CO$1,'свод практик'!$B$6:$B$277,"ИБ")</f>
        <v>164.02139534000005</v>
      </c>
      <c r="CP44" s="413">
        <f>SUMIFS('свод практик'!$AH$6:$AH$277,'свод практик'!$J$6:$J$277,'строго ИБ'!CP$1,'свод практик'!$B$6:$B$277,"ИБ")</f>
        <v>1.8</v>
      </c>
      <c r="CQ44" s="413">
        <f>SUMIFS('свод практик'!$AH$6:$AH$277,'свод практик'!$J$6:$J$277,'строго ИБ'!CQ$1,'свод практик'!$B$6:$B$277,"ИБ")</f>
        <v>0</v>
      </c>
      <c r="CR44" s="413">
        <f>SUMIFS('свод практик'!$AH$6:$AH$277,'свод практик'!$J$6:$J$277,'строго ИБ'!CR$1,'свод практик'!$B$6:$B$277,"ИБ")</f>
        <v>436.21199999999999</v>
      </c>
      <c r="CS44" s="413">
        <f>SUMIFS('свод практик'!$AH$6:$AH$277,'свод практик'!$J$6:$J$277,'строго ИБ'!CS$1,'свод практик'!$B$6:$B$277,"ИБ")</f>
        <v>26.66</v>
      </c>
      <c r="CT44" s="413">
        <f>SUMIFS('свод практик'!$AH$6:$AH$277,'свод практик'!$J$6:$J$277,'строго ИБ'!CT$1,'свод практик'!$B$6:$B$277,"ИБ")</f>
        <v>74.995999999999981</v>
      </c>
      <c r="CU44" s="413">
        <f>SUMIFS('свод практик'!$AH$6:$AH$277,'свод практик'!$J$6:$J$277,'строго ИБ'!CU$1,'свод практик'!$B$6:$B$277,"ИБ")</f>
        <v>739.5</v>
      </c>
    </row>
    <row r="45" spans="1:99" ht="63" customHeight="1" thickBot="1">
      <c r="A45" s="470"/>
      <c r="B45" s="471"/>
      <c r="C45" s="472"/>
      <c r="D45" s="473"/>
      <c r="E45" s="433"/>
      <c r="F45" s="495" t="s">
        <v>5241</v>
      </c>
      <c r="G45" s="435" t="s">
        <v>5742</v>
      </c>
      <c r="H45" s="436" t="s">
        <v>5082</v>
      </c>
      <c r="I45" s="437" t="s">
        <v>4961</v>
      </c>
      <c r="J45" s="438"/>
      <c r="K45" s="336" t="s">
        <v>278</v>
      </c>
      <c r="L45" s="359" t="s">
        <v>5497</v>
      </c>
      <c r="M45" s="361">
        <v>7652.6737319999993</v>
      </c>
      <c r="N45" s="580">
        <f>SUM(O45:CU45)</f>
        <v>11797.283045139999</v>
      </c>
      <c r="O45" s="413">
        <f>SUMIFS('свод практик'!$AH$6:$AH$277,'свод практик'!$J$6:$J$277,'строго ИБ'!O$1,'свод практик'!$G$6:$G$277,"суб",'свод практик'!$B$6:$B$277,"ИБ")</f>
        <v>7.1660000000000004</v>
      </c>
      <c r="P45" s="413">
        <f>SUMIFS('свод практик'!$AH$6:$AH$277,'свод практик'!$J$6:$J$277,'строго ИБ'!P$1,'свод практик'!$G$6:$G$277,"суб",'свод практик'!$B$6:$B$277,"ИБ")</f>
        <v>3.2190000000000003</v>
      </c>
      <c r="Q45" s="413">
        <f>SUMIFS('свод практик'!$AH$6:$AH$277,'свод практик'!$J$6:$J$277,'строго ИБ'!Q$1,'свод практик'!$G$6:$G$277,"суб",'свод практик'!$B$6:$B$277,"ИБ")</f>
        <v>174.2</v>
      </c>
      <c r="R45" s="413">
        <f>SUMIFS('свод практик'!$AH$6:$AH$277,'свод практик'!$J$6:$J$277,'строго ИБ'!R$1,'свод практик'!$G$6:$G$277,"суб",'свод практик'!$B$6:$B$277,"ИБ")</f>
        <v>89.622</v>
      </c>
      <c r="S45" s="413">
        <f>SUMIFS('свод практик'!$AH$6:$AH$277,'свод практик'!$J$6:$J$277,'строго ИБ'!S$1,'свод практик'!$G$6:$G$277,"суб",'свод практик'!$B$6:$B$277,"ИБ")</f>
        <v>0</v>
      </c>
      <c r="T45" s="413">
        <f>SUMIFS('свод практик'!$AH$6:$AH$277,'свод практик'!$J$6:$J$277,'строго ИБ'!T$1,'свод практик'!$G$6:$G$277,"суб",'свод практик'!$B$6:$B$277,"ИБ")</f>
        <v>1.2</v>
      </c>
      <c r="U45" s="413">
        <f>SUMIFS('свод практик'!$AH$6:$AH$277,'свод практик'!$J$6:$J$277,'строго ИБ'!U$1,'свод практик'!$G$6:$G$277,"суб",'свод практик'!$B$6:$B$277,"ИБ")</f>
        <v>2870.5259999999998</v>
      </c>
      <c r="V45" s="413">
        <f>SUMIFS('свод практик'!$AH$6:$AH$277,'свод практик'!$J$6:$J$277,'строго ИБ'!V$1,'свод практик'!$G$6:$G$277,"суб",'свод практик'!$B$6:$B$277,"ИБ")</f>
        <v>0</v>
      </c>
      <c r="W45" s="413">
        <f>SUMIFS('свод практик'!$AH$6:$AH$277,'свод практик'!$J$6:$J$277,'строго ИБ'!W$1,'свод практик'!$G$6:$G$277,"суб",'свод практик'!$B$6:$B$277,"ИБ")</f>
        <v>109</v>
      </c>
      <c r="X45" s="413">
        <f>SUMIFS('свод практик'!$AH$6:$AH$277,'свод практик'!$J$6:$J$277,'строго ИБ'!X$1,'свод практик'!$G$6:$G$277,"суб",'свод практик'!$B$6:$B$277,"ИБ")</f>
        <v>0</v>
      </c>
      <c r="Y45" s="413">
        <f>SUMIFS('свод практик'!$AH$6:$AH$277,'свод практик'!$J$6:$J$277,'строго ИБ'!Y$1,'свод практик'!$G$6:$G$277,"суб",'свод практик'!$B$6:$B$277,"ИБ")</f>
        <v>0</v>
      </c>
      <c r="Z45" s="413">
        <f>SUMIFS('свод практик'!$AH$6:$AH$277,'свод практик'!$J$6:$J$277,'строго ИБ'!Z$1,'свод практик'!$G$6:$G$277,"суб",'свод практик'!$B$6:$B$277,"ИБ")</f>
        <v>114.42100000000001</v>
      </c>
      <c r="AA45" s="413">
        <f>SUMIFS('свод практик'!$AH$6:$AH$277,'свод практик'!$J$6:$J$277,'строго ИБ'!AA$1,'свод практик'!$G$6:$G$277,"суб",'свод практик'!$B$6:$B$277,"ИБ")</f>
        <v>171.38</v>
      </c>
      <c r="AB45" s="413">
        <f>SUMIFS('свод практик'!$AH$6:$AH$277,'свод практик'!$J$6:$J$277,'строго ИБ'!AB$1,'свод практик'!$G$6:$G$277,"суб",'свод практик'!$B$6:$B$277,"ИБ")</f>
        <v>152.10499999999999</v>
      </c>
      <c r="AC45" s="413">
        <f>SUMIFS('свод практик'!$AH$6:$AH$277,'свод практик'!$J$6:$J$277,'строго ИБ'!AC$1,'свод практик'!$G$6:$G$277,"суб",'свод практик'!$B$6:$B$277,"ИБ")</f>
        <v>0</v>
      </c>
      <c r="AD45" s="413">
        <f>SUMIFS('свод практик'!$AH$6:$AH$277,'свод практик'!$J$6:$J$277,'строго ИБ'!AD$1,'свод практик'!$G$6:$G$277,"суб",'свод практик'!$B$6:$B$277,"ИБ")</f>
        <v>0</v>
      </c>
      <c r="AE45" s="413">
        <f>SUMIFS('свод практик'!$AH$6:$AH$277,'свод практик'!$J$6:$J$277,'строго ИБ'!AE$1,'свод практик'!$G$6:$G$277,"суб",'свод практик'!$B$6:$B$277,"ИБ")</f>
        <v>0</v>
      </c>
      <c r="AF45" s="413">
        <f>SUMIFS('свод практик'!$AH$6:$AH$277,'свод практик'!$J$6:$J$277,'строго ИБ'!AF$1,'свод практик'!$G$6:$G$277,"суб",'свод практик'!$B$6:$B$277,"ИБ")</f>
        <v>0</v>
      </c>
      <c r="AG45" s="413">
        <f>SUMIFS('свод практик'!$AH$6:$AH$277,'свод практик'!$J$6:$J$277,'строго ИБ'!AG$1,'свод практик'!$G$6:$G$277,"суб",'свод практик'!$B$6:$B$277,"ИБ")</f>
        <v>0</v>
      </c>
      <c r="AH45" s="413">
        <f>SUMIFS('свод практик'!$AH$6:$AH$277,'свод практик'!$J$6:$J$277,'строго ИБ'!AH$1,'свод практик'!$G$6:$G$277,"суб",'свод практик'!$B$6:$B$277,"ИБ")</f>
        <v>0</v>
      </c>
      <c r="AI45" s="413">
        <f>SUMIFS('свод практик'!$AH$6:$AH$277,'свод практик'!$J$6:$J$277,'строго ИБ'!AI$1,'свод практик'!$G$6:$G$277,"суб",'свод практик'!$B$6:$B$277,"ИБ")</f>
        <v>0</v>
      </c>
      <c r="AJ45" s="413">
        <f>SUMIFS('свод практик'!$AH$6:$AH$277,'свод практик'!$J$6:$J$277,'строго ИБ'!AJ$1,'свод практик'!$G$6:$G$277,"суб",'свод практик'!$B$6:$B$277,"ИБ")</f>
        <v>0</v>
      </c>
      <c r="AK45" s="413">
        <f>SUMIFS('свод практик'!$AH$6:$AH$277,'свод практик'!$J$6:$J$277,'строго ИБ'!AK$1,'свод практик'!$G$6:$G$277,"суб",'свод практик'!$B$6:$B$277,"ИБ")</f>
        <v>7.5031929999999996</v>
      </c>
      <c r="AL45" s="413">
        <f>SUMIFS('свод практик'!$AH$6:$AH$277,'свод практик'!$J$6:$J$277,'строго ИБ'!AL$1,'свод практик'!$G$6:$G$277,"суб",'свод практик'!$B$6:$B$277,"ИБ")</f>
        <v>138.15299999999999</v>
      </c>
      <c r="AM45" s="413">
        <f>SUMIFS('свод практик'!$AH$6:$AH$277,'свод практик'!$J$6:$J$277,'строго ИБ'!AM$1,'свод практик'!$G$6:$G$277,"суб",'свод практик'!$B$6:$B$277,"ИБ")</f>
        <v>0</v>
      </c>
      <c r="AN45" s="413">
        <f>SUMIFS('свод практик'!$AH$6:$AH$277,'свод практик'!$J$6:$J$277,'строго ИБ'!AN$1,'свод практик'!$G$6:$G$277,"суб",'свод практик'!$B$6:$B$277,"ИБ")</f>
        <v>0</v>
      </c>
      <c r="AO45" s="413">
        <f>SUMIFS('свод практик'!$AH$6:$AH$277,'свод практик'!$J$6:$J$277,'строго ИБ'!AO$1,'свод практик'!$G$6:$G$277,"суб",'свод практик'!$B$6:$B$277,"ИБ")</f>
        <v>99.2</v>
      </c>
      <c r="AP45" s="413">
        <f>SUMIFS('свод практик'!$AH$6:$AH$277,'свод практик'!$J$6:$J$277,'строго ИБ'!AP$1,'свод практик'!$G$6:$G$277,"суб",'свод практик'!$B$6:$B$277,"ИБ")</f>
        <v>122.5</v>
      </c>
      <c r="AQ45" s="413">
        <f>SUMIFS('свод практик'!$AH$6:$AH$277,'свод практик'!$J$6:$J$277,'строго ИБ'!AQ$1,'свод практик'!$G$6:$G$277,"суб",'свод практик'!$B$6:$B$277,"ИБ")</f>
        <v>392.8</v>
      </c>
      <c r="AR45" s="413">
        <f>SUMIFS('свод практик'!$AH$6:$AH$277,'свод практик'!$J$6:$J$277,'строго ИБ'!AR$1,'свод практик'!$G$6:$G$277,"суб",'свод практик'!$B$6:$B$277,"ИБ")</f>
        <v>118.242</v>
      </c>
      <c r="AS45" s="413">
        <f>SUMIFS('свод практик'!$AH$6:$AH$277,'свод практик'!$J$6:$J$277,'строго ИБ'!AS$1,'свод практик'!$G$6:$G$277,"суб",'свод практик'!$B$6:$B$277,"ИБ")</f>
        <v>0</v>
      </c>
      <c r="AT45" s="413">
        <f>SUMIFS('свод практик'!$AH$6:$AH$277,'свод практик'!$J$6:$J$277,'строго ИБ'!AT$1,'свод практик'!$G$6:$G$277,"суб",'свод практик'!$B$6:$B$277,"ИБ")</f>
        <v>0</v>
      </c>
      <c r="AU45" s="413">
        <f>SUMIFS('свод практик'!$AH$6:$AH$277,'свод практик'!$J$6:$J$277,'строго ИБ'!AU$1,'свод практик'!$G$6:$G$277,"суб",'свод практик'!$B$6:$B$277,"ИБ")</f>
        <v>120.3</v>
      </c>
      <c r="AV45" s="413">
        <f>SUMIFS('свод практик'!$AH$6:$AH$277,'свод практик'!$J$6:$J$277,'строго ИБ'!AV$1,'свод практик'!$G$6:$G$277,"суб",'свод практик'!$B$6:$B$277,"ИБ")</f>
        <v>0</v>
      </c>
      <c r="AW45" s="413">
        <f>SUMIFS('свод практик'!$AH$6:$AH$277,'свод практик'!$J$6:$J$277,'строго ИБ'!AW$1,'свод практик'!$G$6:$G$277,"суб",'свод практик'!$B$6:$B$277,"ИБ")</f>
        <v>191.14599999999999</v>
      </c>
      <c r="AX45" s="413">
        <f>SUMIFS('свод практик'!$AH$6:$AH$277,'свод практик'!$J$6:$J$277,'строго ИБ'!AX$1,'свод практик'!$G$6:$G$277,"суб",'свод практик'!$B$6:$B$277,"ИБ")</f>
        <v>0</v>
      </c>
      <c r="AY45" s="413">
        <f>SUMIFS('свод практик'!$AH$6:$AH$277,'свод практик'!$J$6:$J$277,'строго ИБ'!AY$1,'свод практик'!$G$6:$G$277,"суб",'свод практик'!$B$6:$B$277,"ИБ")</f>
        <v>0</v>
      </c>
      <c r="AZ45" s="413">
        <f>SUMIFS('свод практик'!$AH$6:$AH$277,'свод практик'!$J$6:$J$277,'строго ИБ'!AZ$1,'свод практик'!$G$6:$G$277,"суб",'свод практик'!$B$6:$B$277,"ИБ")</f>
        <v>0</v>
      </c>
      <c r="BA45" s="413">
        <f>SUMIFS('свод практик'!$AH$6:$AH$277,'свод практик'!$J$6:$J$277,'строго ИБ'!BA$1,'свод практик'!$G$6:$G$277,"суб",'свод практик'!$B$6:$B$277,"ИБ")</f>
        <v>0</v>
      </c>
      <c r="BB45" s="413">
        <f>SUMIFS('свод практик'!$AH$6:$AH$277,'свод практик'!$J$6:$J$277,'строго ИБ'!BB$1,'свод практик'!$G$6:$G$277,"суб",'свод практик'!$B$6:$B$277,"ИБ")</f>
        <v>32.349815</v>
      </c>
      <c r="BC45" s="413">
        <f>SUMIFS('свод практик'!$AH$6:$AH$277,'свод практик'!$J$6:$J$277,'строго ИБ'!BC$1,'свод практик'!$G$6:$G$277,"суб",'свод практик'!$B$6:$B$277,"ИБ")</f>
        <v>0</v>
      </c>
      <c r="BD45" s="413">
        <f>SUMIFS('свод практик'!$AH$6:$AH$277,'свод практик'!$J$6:$J$277,'строго ИБ'!BD$1,'свод практик'!$G$6:$G$277,"суб",'свод практик'!$B$6:$B$277,"ИБ")</f>
        <v>0</v>
      </c>
      <c r="BE45" s="413">
        <f>SUMIFS('свод практик'!$AH$6:$AH$277,'свод практик'!$J$6:$J$277,'строго ИБ'!BE$1,'свод практик'!$G$6:$G$277,"суб",'свод практик'!$B$6:$B$277,"ИБ")</f>
        <v>0</v>
      </c>
      <c r="BF45" s="413">
        <f>SUMIFS('свод практик'!$AH$6:$AH$277,'свод практик'!$J$6:$J$277,'строго ИБ'!BF$1,'свод практик'!$G$6:$G$277,"суб",'свод практик'!$B$6:$B$277,"ИБ")</f>
        <v>37.264000000000003</v>
      </c>
      <c r="BG45" s="413">
        <f>SUMIFS('свод практик'!$AH$6:$AH$277,'свод практик'!$J$6:$J$277,'строго ИБ'!BG$1,'свод практик'!$G$6:$G$277,"суб",'свод практик'!$B$6:$B$277,"ИБ")</f>
        <v>23.282</v>
      </c>
      <c r="BH45" s="413">
        <f>SUMIFS('свод практик'!$AH$6:$AH$277,'свод практик'!$J$6:$J$277,'строго ИБ'!BH$1,'свод практик'!$G$6:$G$277,"суб",'свод практик'!$B$6:$B$277,"ИБ")</f>
        <v>695.43399999999997</v>
      </c>
      <c r="BI45" s="413">
        <f>SUMIFS('свод практик'!$AH$6:$AH$277,'свод практик'!$J$6:$J$277,'строго ИБ'!BI$1,'свод практик'!$G$6:$G$277,"суб",'свод практик'!$B$6:$B$277,"ИБ")</f>
        <v>44.946999999999996</v>
      </c>
      <c r="BJ45" s="413">
        <f>SUMIFS('свод практик'!$AH$6:$AH$277,'свод практик'!$J$6:$J$277,'строго ИБ'!BJ$1,'свод практик'!$G$6:$G$277,"суб",'свод практик'!$B$6:$B$277,"ИБ")</f>
        <v>157.6</v>
      </c>
      <c r="BK45" s="413">
        <f>SUMIFS('свод практик'!$AH$6:$AH$277,'свод практик'!$J$6:$J$277,'строго ИБ'!BK$1,'свод практик'!$G$6:$G$277,"суб",'свод практик'!$B$6:$B$277,"ИБ")</f>
        <v>0</v>
      </c>
      <c r="BL45" s="413">
        <f>SUMIFS('свод практик'!$AH$6:$AH$277,'свод практик'!$J$6:$J$277,'строго ИБ'!BL$1,'свод практик'!$G$6:$G$277,"суб",'свод практик'!$B$6:$B$277,"ИБ")</f>
        <v>101.6</v>
      </c>
      <c r="BM45" s="413">
        <f>SUMIFS('свод практик'!$AH$6:$AH$277,'свод практик'!$J$6:$J$277,'строго ИБ'!BM$1,'свод практик'!$G$6:$G$277,"суб",'свод практик'!$B$6:$B$277,"ИБ")</f>
        <v>20.193000000000001</v>
      </c>
      <c r="BN45" s="413">
        <f>SUMIFS('свод практик'!$AH$6:$AH$277,'свод практик'!$J$6:$J$277,'строго ИБ'!BN$1,'свод практик'!$G$6:$G$277,"суб",'свод практик'!$B$6:$B$277,"ИБ")</f>
        <v>0</v>
      </c>
      <c r="BO45" s="413">
        <f>SUMIFS('свод практик'!$AH$6:$AH$277,'свод практик'!$J$6:$J$277,'строго ИБ'!BO$1,'свод практик'!$G$6:$G$277,"суб",'свод практик'!$B$6:$B$277,"ИБ")</f>
        <v>130.24469318000001</v>
      </c>
      <c r="BP45" s="413">
        <f>SUMIFS('свод практик'!$AH$6:$AH$277,'свод практик'!$J$6:$J$277,'строго ИБ'!BP$1,'свод практик'!$G$6:$G$277,"суб",'свод практик'!$B$6:$B$277,"ИБ")</f>
        <v>0</v>
      </c>
      <c r="BQ45" s="413">
        <f>SUMIFS('свод практик'!$AH$6:$AH$277,'свод практик'!$J$6:$J$277,'строго ИБ'!BQ$1,'свод практик'!$G$6:$G$277,"суб",'свод практик'!$B$6:$B$277,"ИБ")</f>
        <v>0</v>
      </c>
      <c r="BR45" s="413">
        <f>SUMIFS('свод практик'!$AH$6:$AH$277,'свод практик'!$J$6:$J$277,'строго ИБ'!BR$1,'свод практик'!$G$6:$G$277,"суб",'свод практик'!$B$6:$B$277,"ИБ")</f>
        <v>0</v>
      </c>
      <c r="BS45" s="413">
        <f>SUMIFS('свод практик'!$AH$6:$AH$277,'свод практик'!$J$6:$J$277,'строго ИБ'!BS$1,'свод практик'!$G$6:$G$277,"суб",'свод практик'!$B$6:$B$277,"ИБ")</f>
        <v>205.31399999999999</v>
      </c>
      <c r="BT45" s="413">
        <f>SUMIFS('свод практик'!$AH$6:$AH$277,'свод практик'!$J$6:$J$277,'строго ИБ'!BT$1,'свод практик'!$G$6:$G$277,"суб",'свод практик'!$B$6:$B$277,"ИБ")</f>
        <v>229.72200000000001</v>
      </c>
      <c r="BU45" s="413">
        <f>SUMIFS('свод практик'!$AH$6:$AH$277,'свод практик'!$J$6:$J$277,'строго ИБ'!BU$1,'свод практик'!$G$6:$G$277,"суб",'свод практик'!$B$6:$B$277,"ИБ")</f>
        <v>181.49923999999999</v>
      </c>
      <c r="BV45" s="413">
        <f>SUMIFS('свод практик'!$AH$6:$AH$277,'свод практик'!$J$6:$J$277,'строго ИБ'!BV$1,'свод практик'!$G$6:$G$277,"суб",'свод практик'!$B$6:$B$277,"ИБ")</f>
        <v>108.22629999999999</v>
      </c>
      <c r="BW45" s="413">
        <f>SUMIFS('свод практик'!$AH$6:$AH$277,'свод практик'!$J$6:$J$277,'строго ИБ'!BW$1,'свод практик'!$G$6:$G$277,"суб",'свод практик'!$B$6:$B$277,"ИБ")</f>
        <v>807.07</v>
      </c>
      <c r="BX45" s="413">
        <f>SUMIFS('свод практик'!$AH$6:$AH$277,'свод практик'!$J$6:$J$277,'строго ИБ'!BX$1,'свод практик'!$G$6:$G$277,"суб",'свод практик'!$B$6:$B$277,"ИБ")</f>
        <v>861.8</v>
      </c>
      <c r="BY45" s="413">
        <f>SUMIFS('свод практик'!$AH$6:$AH$277,'свод практик'!$J$6:$J$277,'строго ИБ'!BY$1,'свод практик'!$G$6:$G$277,"суб",'свод практик'!$B$6:$B$277,"ИБ")</f>
        <v>20.623000000000001</v>
      </c>
      <c r="BZ45" s="413">
        <f>SUMIFS('свод практик'!$AH$6:$AH$277,'свод практик'!$J$6:$J$277,'строго ИБ'!BZ$1,'свод практик'!$G$6:$G$277,"суб",'свод практик'!$B$6:$B$277,"ИБ")</f>
        <v>0</v>
      </c>
      <c r="CA45" s="413">
        <f>SUMIFS('свод практик'!$AH$6:$AH$277,'свод практик'!$J$6:$J$277,'строго ИБ'!CA$1,'свод практик'!$G$6:$G$277,"суб",'свод практик'!$B$6:$B$277,"ИБ")</f>
        <v>0</v>
      </c>
      <c r="CB45" s="413">
        <f>SUMIFS('свод практик'!$AH$6:$AH$277,'свод практик'!$J$6:$J$277,'строго ИБ'!CB$1,'свод практик'!$G$6:$G$277,"суб",'свод практик'!$B$6:$B$277,"ИБ")</f>
        <v>0</v>
      </c>
      <c r="CC45" s="413">
        <f>SUMIFS('свод практик'!$AH$6:$AH$277,'свод практик'!$J$6:$J$277,'строго ИБ'!CC$1,'свод практик'!$G$6:$G$277,"суб",'свод практик'!$B$6:$B$277,"ИБ")</f>
        <v>644.96</v>
      </c>
      <c r="CD45" s="413">
        <f>SUMIFS('свод практик'!$AH$6:$AH$277,'свод практик'!$J$6:$J$277,'строго ИБ'!CD$1,'свод практик'!$G$6:$G$277,"суб",'свод практик'!$B$6:$B$277,"ИБ")</f>
        <v>132.65299999999999</v>
      </c>
      <c r="CE45" s="413">
        <f>SUMIFS('свод практик'!$AH$6:$AH$277,'свод практик'!$J$6:$J$277,'строго ИБ'!CE$1,'свод практик'!$G$6:$G$277,"суб",'свод практик'!$B$6:$B$277,"ИБ")</f>
        <v>0</v>
      </c>
      <c r="CF45" s="413">
        <f>SUMIFS('свод практик'!$AH$6:$AH$277,'свод практик'!$J$6:$J$277,'строго ИБ'!CF$1,'свод практик'!$G$6:$G$277,"суб",'свод практик'!$B$6:$B$277,"ИБ")</f>
        <v>224.2</v>
      </c>
      <c r="CG45" s="413">
        <f>SUMIFS('свод практик'!$AH$6:$AH$277,'свод практик'!$J$6:$J$277,'строго ИБ'!CG$1,'свод практик'!$G$6:$G$277,"суб",'свод практик'!$B$6:$B$277,"ИБ")</f>
        <v>53.965803960000002</v>
      </c>
      <c r="CH45" s="413">
        <f>SUMIFS('свод практик'!$AH$6:$AH$277,'свод практик'!$J$6:$J$277,'строго ИБ'!CH$1,'свод практик'!$G$6:$G$277,"суб",'свод практик'!$B$6:$B$277,"ИБ")</f>
        <v>698</v>
      </c>
      <c r="CI45" s="413">
        <f>SUMIFS('свод практик'!$AH$6:$AH$277,'свод практик'!$J$6:$J$277,'строго ИБ'!CI$1,'свод практик'!$G$6:$G$277,"суб",'свод практик'!$B$6:$B$277,"ИБ")</f>
        <v>0</v>
      </c>
      <c r="CJ45" s="413">
        <f>SUMIFS('свод практик'!$AH$6:$AH$277,'свод практик'!$J$6:$J$277,'строго ИБ'!CJ$1,'свод практик'!$G$6:$G$277,"суб",'свод практик'!$B$6:$B$277,"ИБ")</f>
        <v>0</v>
      </c>
      <c r="CK45" s="413">
        <f>SUMIFS('свод практик'!$AH$6:$AH$277,'свод практик'!$J$6:$J$277,'строго ИБ'!CK$1,'свод практик'!$G$6:$G$277,"суб",'свод практик'!$B$6:$B$277,"ИБ")</f>
        <v>76.08</v>
      </c>
      <c r="CL45" s="413">
        <f>SUMIFS('свод практик'!$AH$6:$AH$277,'свод практик'!$J$6:$J$277,'строго ИБ'!CL$1,'свод практик'!$G$6:$G$277,"суб",'свод практик'!$B$6:$B$277,"ИБ")</f>
        <v>146.9</v>
      </c>
      <c r="CM45" s="413">
        <f>SUMIFS('свод практик'!$AH$6:$AH$277,'свод практик'!$J$6:$J$277,'строго ИБ'!CM$1,'свод практик'!$G$6:$G$277,"суб",'свод практик'!$B$6:$B$277,"ИБ")</f>
        <v>78.3</v>
      </c>
      <c r="CN45" s="413">
        <f>SUMIFS('свод практик'!$AH$6:$AH$277,'свод практик'!$J$6:$J$277,'строго ИБ'!CN$1,'свод практик'!$G$6:$G$277,"суб",'свод практик'!$B$6:$B$277,"ИБ")</f>
        <v>0</v>
      </c>
      <c r="CO45" s="413">
        <f>SUMIFS('свод практик'!$AH$6:$AH$277,'свод практик'!$J$6:$J$277,'строго ИБ'!CO$1,'свод практик'!$G$6:$G$277,"суб",'свод практик'!$B$6:$B$277,"ИБ")</f>
        <v>0</v>
      </c>
      <c r="CP45" s="413">
        <f>SUMIFS('свод практик'!$AH$6:$AH$277,'свод практик'!$J$6:$J$277,'строго ИБ'!CP$1,'свод практик'!$G$6:$G$277,"суб",'свод практик'!$B$6:$B$277,"ИБ")</f>
        <v>0</v>
      </c>
      <c r="CQ45" s="413">
        <f>SUMIFS('свод практик'!$AH$6:$AH$277,'свод практик'!$J$6:$J$277,'строго ИБ'!CQ$1,'свод практик'!$G$6:$G$277,"суб",'свод практик'!$B$6:$B$277,"ИБ")</f>
        <v>0</v>
      </c>
      <c r="CR45" s="413">
        <f>SUMIFS('свод практик'!$AH$6:$AH$277,'свод практик'!$J$6:$J$277,'строго ИБ'!CR$1,'свод практик'!$G$6:$G$277,"суб",'свод практик'!$B$6:$B$277,"ИБ")</f>
        <v>436.21199999999999</v>
      </c>
      <c r="CS45" s="413">
        <f>SUMIFS('свод практик'!$AH$6:$AH$277,'свод практик'!$J$6:$J$277,'строго ИБ'!CS$1,'свод практик'!$G$6:$G$277,"суб",'свод практик'!$B$6:$B$277,"ИБ")</f>
        <v>26.66</v>
      </c>
      <c r="CT45" s="413">
        <f>SUMIFS('свод практик'!$AH$6:$AH$277,'свод практик'!$J$6:$J$277,'строго ИБ'!CT$1,'свод практик'!$G$6:$G$277,"суб",'свод практик'!$B$6:$B$277,"ИБ")</f>
        <v>0</v>
      </c>
      <c r="CU45" s="413">
        <f>SUMIFS('свод практик'!$AH$6:$AH$277,'свод практик'!$J$6:$J$277,'строго ИБ'!CU$1,'свод практик'!$G$6:$G$277,"суб",'свод практик'!$B$6:$B$277,"ИБ")</f>
        <v>739.5</v>
      </c>
    </row>
    <row r="46" spans="1:99" ht="53" customHeight="1" thickBot="1">
      <c r="A46" s="470"/>
      <c r="B46" s="471"/>
      <c r="C46" s="472"/>
      <c r="D46" s="473"/>
      <c r="E46" s="496"/>
      <c r="F46" s="482" t="s">
        <v>5241</v>
      </c>
      <c r="G46" s="435" t="s">
        <v>5743</v>
      </c>
      <c r="H46" s="497"/>
      <c r="I46" s="498"/>
      <c r="J46" s="499"/>
      <c r="K46" s="362"/>
      <c r="L46" s="363" t="s">
        <v>5497</v>
      </c>
      <c r="M46" s="361">
        <v>371.90500000000003</v>
      </c>
      <c r="N46" s="580">
        <f>SUM(O46:CU46)</f>
        <v>708.08428049000008</v>
      </c>
      <c r="O46" s="413">
        <f>SUMIFS('свод практик'!$AH$6:$AH$277,'свод практик'!$J$6:$J$277,'строго ИБ'!O$1,'свод практик'!$H$6:$H$277,"мун",'свод практик'!$B$6:$B$277,"ИБ")</f>
        <v>0</v>
      </c>
      <c r="P46" s="413">
        <f>SUMIFS('свод практик'!$AH$6:$AH$277,'свод практик'!$J$6:$J$277,'строго ИБ'!P$1,'свод практик'!$H$6:$H$277,"мун",'свод практик'!$B$6:$B$277,"ИБ")</f>
        <v>0</v>
      </c>
      <c r="Q46" s="413">
        <f>SUMIFS('свод практик'!$AH$6:$AH$277,'свод практик'!$J$6:$J$277,'строго ИБ'!Q$1,'свод практик'!$H$6:$H$277,"мун",'свод практик'!$B$6:$B$277,"ИБ")</f>
        <v>0</v>
      </c>
      <c r="R46" s="413">
        <f>SUMIFS('свод практик'!$AH$6:$AH$277,'свод практик'!$J$6:$J$277,'строго ИБ'!R$1,'свод практик'!$H$6:$H$277,"мун",'свод практик'!$B$6:$B$277,"ИБ")</f>
        <v>0</v>
      </c>
      <c r="S46" s="413">
        <f>SUMIFS('свод практик'!$AH$6:$AH$277,'свод практик'!$J$6:$J$277,'строго ИБ'!S$1,'свод практик'!$H$6:$H$277,"мун",'свод практик'!$B$6:$B$277,"ИБ")</f>
        <v>6</v>
      </c>
      <c r="T46" s="413">
        <f>SUMIFS('свод практик'!$AH$6:$AH$277,'свод практик'!$J$6:$J$277,'строго ИБ'!T$1,'свод практик'!$H$6:$H$277,"мун",'свод практик'!$B$6:$B$277,"ИБ")</f>
        <v>0</v>
      </c>
      <c r="U46" s="413">
        <f>SUMIFS('свод практик'!$AH$6:$AH$277,'свод практик'!$J$6:$J$277,'строго ИБ'!U$1,'свод практик'!$H$6:$H$277,"мун",'свод практик'!$B$6:$B$277,"ИБ")</f>
        <v>9.968</v>
      </c>
      <c r="V46" s="413">
        <f>SUMIFS('свод практик'!$AH$6:$AH$277,'свод практик'!$J$6:$J$277,'строго ИБ'!V$1,'свод практик'!$H$6:$H$277,"мун",'свод практик'!$B$6:$B$277,"ИБ")</f>
        <v>95.031000000000006</v>
      </c>
      <c r="W46" s="413">
        <f>SUMIFS('свод практик'!$AH$6:$AH$277,'свод практик'!$J$6:$J$277,'строго ИБ'!W$1,'свод практик'!$H$6:$H$277,"мун",'свод практик'!$B$6:$B$277,"ИБ")</f>
        <v>0</v>
      </c>
      <c r="X46" s="413">
        <f>SUMIFS('свод практик'!$AH$6:$AH$277,'свод практик'!$J$6:$J$277,'строго ИБ'!X$1,'свод практик'!$H$6:$H$277,"мун",'свод практик'!$B$6:$B$277,"ИБ")</f>
        <v>0</v>
      </c>
      <c r="Y46" s="413">
        <f>SUMIFS('свод практик'!$AH$6:$AH$277,'свод практик'!$J$6:$J$277,'строго ИБ'!Y$1,'свод практик'!$H$6:$H$277,"мун",'свод практик'!$B$6:$B$277,"ИБ")</f>
        <v>0</v>
      </c>
      <c r="Z46" s="413">
        <f>SUMIFS('свод практик'!$AH$6:$AH$277,'свод практик'!$J$6:$J$277,'строго ИБ'!Z$1,'свод практик'!$H$6:$H$277,"мун",'свод практик'!$B$6:$B$277,"ИБ")</f>
        <v>0</v>
      </c>
      <c r="AA46" s="413">
        <f>SUMIFS('свод практик'!$AH$6:$AH$277,'свод практик'!$J$6:$J$277,'строго ИБ'!AA$1,'свод практик'!$H$6:$H$277,"мун",'свод практик'!$B$6:$B$277,"ИБ")</f>
        <v>79.486000000000004</v>
      </c>
      <c r="AB46" s="413">
        <f>SUMIFS('свод практик'!$AH$6:$AH$277,'свод практик'!$J$6:$J$277,'строго ИБ'!AB$1,'свод практик'!$H$6:$H$277,"мун",'свод практик'!$B$6:$B$277,"ИБ")</f>
        <v>0</v>
      </c>
      <c r="AC46" s="413">
        <f>SUMIFS('свод практик'!$AH$6:$AH$277,'свод практик'!$J$6:$J$277,'строго ИБ'!AC$1,'свод практик'!$H$6:$H$277,"мун",'свод практик'!$B$6:$B$277,"ИБ")</f>
        <v>0</v>
      </c>
      <c r="AD46" s="413">
        <f>SUMIFS('свод практик'!$AH$6:$AH$277,'свод практик'!$J$6:$J$277,'строго ИБ'!AD$1,'свод практик'!$H$6:$H$277,"мун",'свод практик'!$B$6:$B$277,"ИБ")</f>
        <v>0</v>
      </c>
      <c r="AE46" s="413">
        <f>SUMIFS('свод практик'!$AH$6:$AH$277,'свод практик'!$J$6:$J$277,'строго ИБ'!AE$1,'свод практик'!$H$6:$H$277,"мун",'свод практик'!$B$6:$B$277,"ИБ")</f>
        <v>0</v>
      </c>
      <c r="AF46" s="413">
        <f>SUMIFS('свод практик'!$AH$6:$AH$277,'свод практик'!$J$6:$J$277,'строго ИБ'!AF$1,'свод практик'!$H$6:$H$277,"мун",'свод практик'!$B$6:$B$277,"ИБ")</f>
        <v>0</v>
      </c>
      <c r="AG46" s="413">
        <f>SUMIFS('свод практик'!$AH$6:$AH$277,'свод практик'!$J$6:$J$277,'строго ИБ'!AG$1,'свод практик'!$H$6:$H$277,"мун",'свод практик'!$B$6:$B$277,"ИБ")</f>
        <v>0</v>
      </c>
      <c r="AH46" s="413">
        <f>SUMIFS('свод практик'!$AH$6:$AH$277,'свод практик'!$J$6:$J$277,'строго ИБ'!AH$1,'свод практик'!$H$6:$H$277,"мун",'свод практик'!$B$6:$B$277,"ИБ")</f>
        <v>0</v>
      </c>
      <c r="AI46" s="413">
        <f>SUMIFS('свод практик'!$AH$6:$AH$277,'свод практик'!$J$6:$J$277,'строго ИБ'!AI$1,'свод практик'!$H$6:$H$277,"мун",'свод практик'!$B$6:$B$277,"ИБ")</f>
        <v>0</v>
      </c>
      <c r="AJ46" s="413">
        <f>SUMIFS('свод практик'!$AH$6:$AH$277,'свод практик'!$J$6:$J$277,'строго ИБ'!AJ$1,'свод практик'!$H$6:$H$277,"мун",'свод практик'!$B$6:$B$277,"ИБ")</f>
        <v>0</v>
      </c>
      <c r="AK46" s="413">
        <f>SUMIFS('свод практик'!$AH$6:$AH$277,'свод практик'!$J$6:$J$277,'строго ИБ'!AK$1,'свод практик'!$H$6:$H$277,"мун",'свод практик'!$B$6:$B$277,"ИБ")</f>
        <v>0</v>
      </c>
      <c r="AL46" s="413">
        <f>SUMIFS('свод практик'!$AH$6:$AH$277,'свод практик'!$J$6:$J$277,'строго ИБ'!AL$1,'свод практик'!$H$6:$H$277,"мун",'свод практик'!$B$6:$B$277,"ИБ")</f>
        <v>26.998057549999999</v>
      </c>
      <c r="AM46" s="413">
        <f>SUMIFS('свод практик'!$AH$6:$AH$277,'свод практик'!$J$6:$J$277,'строго ИБ'!AM$1,'свод практик'!$H$6:$H$277,"мун",'свод практик'!$B$6:$B$277,"ИБ")</f>
        <v>0</v>
      </c>
      <c r="AN46" s="413">
        <f>SUMIFS('свод практик'!$AH$6:$AH$277,'свод практик'!$J$6:$J$277,'строго ИБ'!AN$1,'свод практик'!$H$6:$H$277,"мун",'свод практик'!$B$6:$B$277,"ИБ")</f>
        <v>0</v>
      </c>
      <c r="AO46" s="413">
        <f>SUMIFS('свод практик'!$AH$6:$AH$277,'свод практик'!$J$6:$J$277,'строго ИБ'!AO$1,'свод практик'!$H$6:$H$277,"мун",'свод практик'!$B$6:$B$277,"ИБ")</f>
        <v>0</v>
      </c>
      <c r="AP46" s="413">
        <f>SUMIFS('свод практик'!$AH$6:$AH$277,'свод практик'!$J$6:$J$277,'строго ИБ'!AP$1,'свод практик'!$H$6:$H$277,"мун",'свод практик'!$B$6:$B$277,"ИБ")</f>
        <v>0</v>
      </c>
      <c r="AQ46" s="413">
        <f>SUMIFS('свод практик'!$AH$6:$AH$277,'свод практик'!$J$6:$J$277,'строго ИБ'!AQ$1,'свод практик'!$H$6:$H$277,"мун",'свод практик'!$B$6:$B$277,"ИБ")</f>
        <v>0</v>
      </c>
      <c r="AR46" s="413">
        <f>SUMIFS('свод практик'!$AH$6:$AH$277,'свод практик'!$J$6:$J$277,'строго ИБ'!AR$1,'свод практик'!$H$6:$H$277,"мун",'свод практик'!$B$6:$B$277,"ИБ")</f>
        <v>0</v>
      </c>
      <c r="AS46" s="413">
        <f>SUMIFS('свод практик'!$AH$6:$AH$277,'свод практик'!$J$6:$J$277,'строго ИБ'!AS$1,'свод практик'!$H$6:$H$277,"мун",'свод практик'!$B$6:$B$277,"ИБ")</f>
        <v>0</v>
      </c>
      <c r="AT46" s="413">
        <f>SUMIFS('свод практик'!$AH$6:$AH$277,'свод практик'!$J$6:$J$277,'строго ИБ'!AT$1,'свод практик'!$H$6:$H$277,"мун",'свод практик'!$B$6:$B$277,"ИБ")</f>
        <v>0</v>
      </c>
      <c r="AU46" s="413">
        <f>SUMIFS('свод практик'!$AH$6:$AH$277,'свод практик'!$J$6:$J$277,'строго ИБ'!AU$1,'свод практик'!$H$6:$H$277,"мун",'свод практик'!$B$6:$B$277,"ИБ")</f>
        <v>33.99</v>
      </c>
      <c r="AV46" s="413">
        <f>SUMIFS('свод практик'!$AH$6:$AH$277,'свод практик'!$J$6:$J$277,'строго ИБ'!AV$1,'свод практик'!$H$6:$H$277,"мун",'свод практик'!$B$6:$B$277,"ИБ")</f>
        <v>0</v>
      </c>
      <c r="AW46" s="413">
        <f>SUMIFS('свод практик'!$AH$6:$AH$277,'свод практик'!$J$6:$J$277,'строго ИБ'!AW$1,'свод практик'!$H$6:$H$277,"мун",'свод практик'!$B$6:$B$277,"ИБ")</f>
        <v>0</v>
      </c>
      <c r="AX46" s="413">
        <f>SUMIFS('свод практик'!$AH$6:$AH$277,'свод практик'!$J$6:$J$277,'строго ИБ'!AX$1,'свод практик'!$H$6:$H$277,"мун",'свод практик'!$B$6:$B$277,"ИБ")</f>
        <v>0</v>
      </c>
      <c r="AY46" s="413">
        <f>SUMIFS('свод практик'!$AH$6:$AH$277,'свод практик'!$J$6:$J$277,'строго ИБ'!AY$1,'свод практик'!$H$6:$H$277,"мун",'свод практик'!$B$6:$B$277,"ИБ")</f>
        <v>10.6</v>
      </c>
      <c r="AZ46" s="413">
        <f>SUMIFS('свод практик'!$AH$6:$AH$277,'свод практик'!$J$6:$J$277,'строго ИБ'!AZ$1,'свод практик'!$H$6:$H$277,"мун",'свод практик'!$B$6:$B$277,"ИБ")</f>
        <v>0</v>
      </c>
      <c r="BA46" s="413">
        <f>SUMIFS('свод практик'!$AH$6:$AH$277,'свод практик'!$J$6:$J$277,'строго ИБ'!BA$1,'свод практик'!$H$6:$H$277,"мун",'свод практик'!$B$6:$B$277,"ИБ")</f>
        <v>0</v>
      </c>
      <c r="BB46" s="413">
        <f>SUMIFS('свод практик'!$AH$6:$AH$277,'свод практик'!$J$6:$J$277,'строго ИБ'!BB$1,'свод практик'!$H$6:$H$277,"мун",'свод практик'!$B$6:$B$277,"ИБ")</f>
        <v>0</v>
      </c>
      <c r="BC46" s="413">
        <f>SUMIFS('свод практик'!$AH$6:$AH$277,'свод практик'!$J$6:$J$277,'строго ИБ'!BC$1,'свод практик'!$H$6:$H$277,"мун",'свод практик'!$B$6:$B$277,"ИБ")</f>
        <v>0</v>
      </c>
      <c r="BD46" s="413">
        <f>SUMIFS('свод практик'!$AH$6:$AH$277,'свод практик'!$J$6:$J$277,'строго ИБ'!BD$1,'свод практик'!$H$6:$H$277,"мун",'свод практик'!$B$6:$B$277,"ИБ")</f>
        <v>0</v>
      </c>
      <c r="BE46" s="413">
        <f>SUMIFS('свод практик'!$AH$6:$AH$277,'свод практик'!$J$6:$J$277,'строго ИБ'!BE$1,'свод практик'!$H$6:$H$277,"мун",'свод практик'!$B$6:$B$277,"ИБ")</f>
        <v>7.91</v>
      </c>
      <c r="BF46" s="413">
        <f>SUMIFS('свод практик'!$AH$6:$AH$277,'свод практик'!$J$6:$J$277,'строго ИБ'!BF$1,'свод практик'!$H$6:$H$277,"мун",'свод практик'!$B$6:$B$277,"ИБ")</f>
        <v>0</v>
      </c>
      <c r="BG46" s="413">
        <f>SUMIFS('свод практик'!$AH$6:$AH$277,'свод практик'!$J$6:$J$277,'строго ИБ'!BG$1,'свод практик'!$H$6:$H$277,"мун",'свод практик'!$B$6:$B$277,"ИБ")</f>
        <v>0</v>
      </c>
      <c r="BH46" s="413">
        <f>SUMIFS('свод практик'!$AH$6:$AH$277,'свод практик'!$J$6:$J$277,'строго ИБ'!BH$1,'свод практик'!$H$6:$H$277,"мун",'свод практик'!$B$6:$B$277,"ИБ")</f>
        <v>0</v>
      </c>
      <c r="BI46" s="413">
        <f>SUMIFS('свод практик'!$AH$6:$AH$277,'свод практик'!$J$6:$J$277,'строго ИБ'!BI$1,'свод практик'!$H$6:$H$277,"мун",'свод практик'!$B$6:$B$277,"ИБ")</f>
        <v>0</v>
      </c>
      <c r="BJ46" s="413">
        <f>SUMIFS('свод практик'!$AH$6:$AH$277,'свод практик'!$J$6:$J$277,'строго ИБ'!BJ$1,'свод практик'!$H$6:$H$277,"мун",'свод практик'!$B$6:$B$277,"ИБ")</f>
        <v>0</v>
      </c>
      <c r="BK46" s="413">
        <f>SUMIFS('свод практик'!$AH$6:$AH$277,'свод практик'!$J$6:$J$277,'строго ИБ'!BK$1,'свод практик'!$H$6:$H$277,"мун",'свод практик'!$B$6:$B$277,"ИБ")</f>
        <v>0</v>
      </c>
      <c r="BL46" s="413">
        <f>SUMIFS('свод практик'!$AH$6:$AH$277,'свод практик'!$J$6:$J$277,'строго ИБ'!BL$1,'свод практик'!$H$6:$H$277,"мун",'свод практик'!$B$6:$B$277,"ИБ")</f>
        <v>13.552899999999999</v>
      </c>
      <c r="BM46" s="413">
        <f>SUMIFS('свод практик'!$AH$6:$AH$277,'свод практик'!$J$6:$J$277,'строго ИБ'!BM$1,'свод практик'!$H$6:$H$277,"мун",'свод практик'!$B$6:$B$277,"ИБ")</f>
        <v>0</v>
      </c>
      <c r="BN46" s="413">
        <f>SUMIFS('свод практик'!$AH$6:$AH$277,'свод практик'!$J$6:$J$277,'строго ИБ'!BN$1,'свод практик'!$H$6:$H$277,"мун",'свод практик'!$B$6:$B$277,"ИБ")</f>
        <v>0</v>
      </c>
      <c r="BO46" s="413">
        <f>SUMIFS('свод практик'!$AH$6:$AH$277,'свод практик'!$J$6:$J$277,'строго ИБ'!BO$1,'свод практик'!$H$6:$H$277,"мун",'свод практик'!$B$6:$B$277,"ИБ")</f>
        <v>0</v>
      </c>
      <c r="BP46" s="413">
        <f>SUMIFS('свод практик'!$AH$6:$AH$277,'свод практик'!$J$6:$J$277,'строго ИБ'!BP$1,'свод практик'!$H$6:$H$277,"мун",'свод практик'!$B$6:$B$277,"ИБ")</f>
        <v>0</v>
      </c>
      <c r="BQ46" s="413">
        <f>SUMIFS('свод практик'!$AH$6:$AH$277,'свод практик'!$J$6:$J$277,'строго ИБ'!BQ$1,'свод практик'!$H$6:$H$277,"мун",'свод практик'!$B$6:$B$277,"ИБ")</f>
        <v>0</v>
      </c>
      <c r="BR46" s="413">
        <f>SUMIFS('свод практик'!$AH$6:$AH$277,'свод практик'!$J$6:$J$277,'строго ИБ'!BR$1,'свод практик'!$H$6:$H$277,"мун",'свод практик'!$B$6:$B$277,"ИБ")</f>
        <v>10.53</v>
      </c>
      <c r="BS46" s="413">
        <f>SUMIFS('свод практик'!$AH$6:$AH$277,'свод практик'!$J$6:$J$277,'строго ИБ'!BS$1,'свод практик'!$H$6:$H$277,"мун",'свод практик'!$B$6:$B$277,"ИБ")</f>
        <v>0</v>
      </c>
      <c r="BT46" s="413">
        <f>SUMIFS('свод практик'!$AH$6:$AH$277,'свод практик'!$J$6:$J$277,'строго ИБ'!BT$1,'свод практик'!$H$6:$H$277,"мун",'свод практик'!$B$6:$B$277,"ИБ")</f>
        <v>32.933999999999997</v>
      </c>
      <c r="BU46" s="413">
        <f>SUMIFS('свод практик'!$AH$6:$AH$277,'свод практик'!$J$6:$J$277,'строго ИБ'!BU$1,'свод практик'!$H$6:$H$277,"мун",'свод практик'!$B$6:$B$277,"ИБ")</f>
        <v>0</v>
      </c>
      <c r="BV46" s="413">
        <f>SUMIFS('свод практик'!$AH$6:$AH$277,'свод практик'!$J$6:$J$277,'строго ИБ'!BV$1,'свод практик'!$H$6:$H$277,"мун",'свод практик'!$B$6:$B$277,"ИБ")</f>
        <v>0</v>
      </c>
      <c r="BW46" s="413">
        <f>SUMIFS('свод практик'!$AH$6:$AH$277,'свод практик'!$J$6:$J$277,'строго ИБ'!BW$1,'свод практик'!$H$6:$H$277,"мун",'свод практик'!$B$6:$B$277,"ИБ")</f>
        <v>0</v>
      </c>
      <c r="BX46" s="413">
        <f>SUMIFS('свод практик'!$AH$6:$AH$277,'свод практик'!$J$6:$J$277,'строго ИБ'!BX$1,'свод практик'!$H$6:$H$277,"мун",'свод практик'!$B$6:$B$277,"ИБ")</f>
        <v>0</v>
      </c>
      <c r="BY46" s="413">
        <f>SUMIFS('свод практик'!$AH$6:$AH$277,'свод практик'!$J$6:$J$277,'строго ИБ'!BY$1,'свод практик'!$H$6:$H$277,"мун",'свод практик'!$B$6:$B$277,"ИБ")</f>
        <v>75.914000000000001</v>
      </c>
      <c r="BZ46" s="413">
        <f>SUMIFS('свод практик'!$AH$6:$AH$277,'свод практик'!$J$6:$J$277,'строго ИБ'!BZ$1,'свод практик'!$H$6:$H$277,"мун",'свод практик'!$B$6:$B$277,"ИБ")</f>
        <v>0</v>
      </c>
      <c r="CA46" s="413">
        <f>SUMIFS('свод практик'!$AH$6:$AH$277,'свод практик'!$J$6:$J$277,'строго ИБ'!CA$1,'свод практик'!$H$6:$H$277,"мун",'свод практик'!$B$6:$B$277,"ИБ")</f>
        <v>0</v>
      </c>
      <c r="CB46" s="413">
        <f>SUMIFS('свод практик'!$AH$6:$AH$277,'свод практик'!$J$6:$J$277,'строго ИБ'!CB$1,'свод практик'!$H$6:$H$277,"мун",'свод практик'!$B$6:$B$277,"ИБ")</f>
        <v>0</v>
      </c>
      <c r="CC46" s="413">
        <f>SUMIFS('свод практик'!$AH$6:$AH$277,'свод практик'!$J$6:$J$277,'строго ИБ'!CC$1,'свод практик'!$H$6:$H$277,"мун",'свод практик'!$B$6:$B$277,"ИБ")</f>
        <v>2.35</v>
      </c>
      <c r="CD46" s="413">
        <f>SUMIFS('свод практик'!$AH$6:$AH$277,'свод практик'!$J$6:$J$277,'строго ИБ'!CD$1,'свод практик'!$H$6:$H$277,"мун",'свод практик'!$B$6:$B$277,"ИБ")</f>
        <v>0</v>
      </c>
      <c r="CE46" s="413">
        <f>SUMIFS('свод практик'!$AH$6:$AH$277,'свод практик'!$J$6:$J$277,'строго ИБ'!CE$1,'свод практик'!$H$6:$H$277,"мун",'свод практик'!$B$6:$B$277,"ИБ")</f>
        <v>0</v>
      </c>
      <c r="CF46" s="413">
        <f>SUMIFS('свод практик'!$AH$6:$AH$277,'свод практик'!$J$6:$J$277,'строго ИБ'!CF$1,'свод практик'!$H$6:$H$277,"мун",'свод практик'!$B$6:$B$277,"ИБ")</f>
        <v>0</v>
      </c>
      <c r="CG46" s="413">
        <f>SUMIFS('свод практик'!$AH$6:$AH$277,'свод практик'!$J$6:$J$277,'строго ИБ'!CG$1,'свод практик'!$H$6:$H$277,"мун",'свод практик'!$B$6:$B$277,"ИБ")</f>
        <v>0</v>
      </c>
      <c r="CH46" s="413">
        <f>SUMIFS('свод практик'!$AH$6:$AH$277,'свод практик'!$J$6:$J$277,'строго ИБ'!CH$1,'свод практик'!$H$6:$H$277,"мун",'свод практик'!$B$6:$B$277,"ИБ")</f>
        <v>0</v>
      </c>
      <c r="CI46" s="413">
        <f>SUMIFS('свод практик'!$AH$6:$AH$277,'свод практик'!$J$6:$J$277,'строго ИБ'!CI$1,'свод практик'!$H$6:$H$277,"мун",'свод практик'!$B$6:$B$277,"ИБ")</f>
        <v>0</v>
      </c>
      <c r="CJ46" s="413">
        <f>SUMIFS('свод практик'!$AH$6:$AH$277,'свод практик'!$J$6:$J$277,'строго ИБ'!CJ$1,'свод практик'!$H$6:$H$277,"мун",'свод практик'!$B$6:$B$277,"ИБ")</f>
        <v>0</v>
      </c>
      <c r="CK46" s="413">
        <f>SUMIFS('свод практик'!$AH$6:$AH$277,'свод практик'!$J$6:$J$277,'строго ИБ'!CK$1,'свод практик'!$H$6:$H$277,"мун",'свод практик'!$B$6:$B$277,"ИБ")</f>
        <v>16.333395100000001</v>
      </c>
      <c r="CL46" s="413">
        <f>SUMIFS('свод практик'!$AH$6:$AH$277,'свод практик'!$J$6:$J$277,'строго ИБ'!CL$1,'свод практик'!$H$6:$H$277,"мун",'свод практик'!$B$6:$B$277,"ИБ")</f>
        <v>45.669532500000003</v>
      </c>
      <c r="CM46" s="413">
        <f>SUMIFS('свод практик'!$AH$6:$AH$277,'свод практик'!$J$6:$J$277,'строго ИБ'!CM$1,'свод практик'!$H$6:$H$277,"мун",'свод практик'!$B$6:$B$277,"ИБ")</f>
        <v>0</v>
      </c>
      <c r="CN46" s="413">
        <f>SUMIFS('свод практик'!$AH$6:$AH$277,'свод практик'!$J$6:$J$277,'строго ИБ'!CN$1,'свод практик'!$H$6:$H$277,"мун",'свод практик'!$B$6:$B$277,"ИБ")</f>
        <v>0</v>
      </c>
      <c r="CO46" s="413">
        <f>SUMIFS('свод практик'!$AH$6:$AH$277,'свод практик'!$J$6:$J$277,'строго ИБ'!CO$1,'свод практик'!$H$6:$H$277,"мун",'свод практик'!$B$6:$B$277,"ИБ")</f>
        <v>164.02139534000005</v>
      </c>
      <c r="CP46" s="413">
        <f>SUMIFS('свод практик'!$AH$6:$AH$277,'свод практик'!$J$6:$J$277,'строго ИБ'!CP$1,'свод практик'!$H$6:$H$277,"мун",'свод практик'!$B$6:$B$277,"ИБ")</f>
        <v>1.8</v>
      </c>
      <c r="CQ46" s="413">
        <f>SUMIFS('свод практик'!$AH$6:$AH$277,'свод практик'!$J$6:$J$277,'строго ИБ'!CQ$1,'свод практик'!$H$6:$H$277,"мун",'свод практик'!$B$6:$B$277,"ИБ")</f>
        <v>0</v>
      </c>
      <c r="CR46" s="413">
        <f>SUMIFS('свод практик'!$AH$6:$AH$277,'свод практик'!$J$6:$J$277,'строго ИБ'!CR$1,'свод практик'!$H$6:$H$277,"мун",'свод практик'!$B$6:$B$277,"ИБ")</f>
        <v>0</v>
      </c>
      <c r="CS46" s="413">
        <f>SUMIFS('свод практик'!$AH$6:$AH$277,'свод практик'!$J$6:$J$277,'строго ИБ'!CS$1,'свод практик'!$H$6:$H$277,"мун",'свод практик'!$B$6:$B$277,"ИБ")</f>
        <v>0</v>
      </c>
      <c r="CT46" s="413">
        <f>SUMIFS('свод практик'!$AH$6:$AH$277,'свод практик'!$J$6:$J$277,'строго ИБ'!CT$1,'свод практик'!$H$6:$H$277,"мун",'свод практик'!$B$6:$B$277,"ИБ")</f>
        <v>74.995999999999981</v>
      </c>
      <c r="CU46" s="413">
        <f>SUMIFS('свод практик'!$AH$6:$AH$277,'свод практик'!$J$6:$J$277,'строго ИБ'!CU$1,'свод практик'!$H$6:$H$277,"мун",'свод практик'!$B$6:$B$277,"ИБ")</f>
        <v>0</v>
      </c>
    </row>
    <row r="47" spans="1:99" ht="47" customHeight="1">
      <c r="A47" s="810" t="s">
        <v>5085</v>
      </c>
      <c r="B47" s="816" t="s">
        <v>4990</v>
      </c>
      <c r="C47" s="814" t="s">
        <v>5086</v>
      </c>
      <c r="D47" s="445" t="s">
        <v>4949</v>
      </c>
      <c r="E47" s="445">
        <v>26</v>
      </c>
      <c r="F47" s="446" t="s">
        <v>5087</v>
      </c>
      <c r="G47" s="447" t="s">
        <v>5744</v>
      </c>
      <c r="H47" s="448" t="s">
        <v>5082</v>
      </c>
      <c r="I47" s="449" t="s">
        <v>4961</v>
      </c>
      <c r="J47" s="450"/>
      <c r="K47" s="340" t="s">
        <v>278</v>
      </c>
      <c r="L47" s="364">
        <v>3374.4411190000001</v>
      </c>
      <c r="M47" s="365">
        <v>5115.879825</v>
      </c>
      <c r="N47" s="580">
        <f>SUM(O47:CU47)</f>
        <v>8238.6538357200006</v>
      </c>
      <c r="O47" s="413">
        <f>SUMIFS('свод практик'!$AK$6:$AK$277,'свод практик'!$J$6:$J$277,'строго ИБ'!O$1,'свод практик'!$B$6:$B$277,"ИБ")</f>
        <v>4.9550000000000001</v>
      </c>
      <c r="P47" s="413">
        <f>SUMIFS('свод практик'!$AK$6:$AK$277,'свод практик'!$J$6:$J$277,'строго ИБ'!P$1,'свод практик'!$B$6:$B$277,"ИБ")</f>
        <v>1.8120000000000001</v>
      </c>
      <c r="Q47" s="413">
        <f>SUMIFS('свод практик'!$AK$6:$AK$277,'свод практик'!$J$6:$J$277,'строго ИБ'!Q$1,'свод практик'!$B$6:$B$277,"ИБ")</f>
        <v>117.9</v>
      </c>
      <c r="R47" s="413">
        <f>SUMIFS('свод практик'!$AK$6:$AK$277,'свод практик'!$J$6:$J$277,'строго ИБ'!R$1,'свод практик'!$B$6:$B$277,"ИБ")</f>
        <v>71.326999999999998</v>
      </c>
      <c r="S47" s="413">
        <f>SUMIFS('свод практик'!$AK$6:$AK$277,'свод практик'!$J$6:$J$277,'строго ИБ'!S$1,'свод практик'!$B$6:$B$277,"ИБ")</f>
        <v>0</v>
      </c>
      <c r="T47" s="413">
        <f>SUMIFS('свод практик'!$AK$6:$AK$277,'свод практик'!$J$6:$J$277,'строго ИБ'!T$1,'свод практик'!$B$6:$B$277,"ИБ")</f>
        <v>1.2</v>
      </c>
      <c r="U47" s="413">
        <f>SUMIFS('свод практик'!$AK$6:$AK$277,'свод практик'!$J$6:$J$277,'строго ИБ'!U$1,'свод практик'!$B$6:$B$277,"ИБ")</f>
        <v>2474.855</v>
      </c>
      <c r="V47" s="413">
        <f>SUMIFS('свод практик'!$AK$6:$AK$277,'свод практик'!$J$6:$J$277,'строго ИБ'!V$1,'свод практик'!$B$6:$B$277,"ИБ")</f>
        <v>0</v>
      </c>
      <c r="W47" s="413">
        <f>SUMIFS('свод практик'!$AK$6:$AK$277,'свод практик'!$J$6:$J$277,'строго ИБ'!W$1,'свод практик'!$B$6:$B$277,"ИБ")</f>
        <v>96</v>
      </c>
      <c r="X47" s="413">
        <f>SUMIFS('свод практик'!$AK$6:$AK$277,'свод практик'!$J$6:$J$277,'строго ИБ'!X$1,'свод практик'!$B$6:$B$277,"ИБ")</f>
        <v>0</v>
      </c>
      <c r="Y47" s="413">
        <f>SUMIFS('свод практик'!$AK$6:$AK$277,'свод практик'!$J$6:$J$277,'строго ИБ'!Y$1,'свод практик'!$B$6:$B$277,"ИБ")</f>
        <v>0</v>
      </c>
      <c r="Z47" s="413">
        <f>SUMIFS('свод практик'!$AK$6:$AK$277,'свод практик'!$J$6:$J$277,'строго ИБ'!Z$1,'свод практик'!$B$6:$B$277,"ИБ")</f>
        <v>52.185000000000002</v>
      </c>
      <c r="AA47" s="413">
        <f>SUMIFS('свод практик'!$AK$6:$AK$277,'свод практик'!$J$6:$J$277,'строго ИБ'!AA$1,'свод практик'!$B$6:$B$277,"ИБ")</f>
        <v>82.058000000000007</v>
      </c>
      <c r="AB47" s="413">
        <f>SUMIFS('свод практик'!$AK$6:$AK$277,'свод практик'!$J$6:$J$277,'строго ИБ'!AB$1,'свод практик'!$B$6:$B$277,"ИБ")</f>
        <v>113.626</v>
      </c>
      <c r="AC47" s="413">
        <f>SUMIFS('свод практик'!$AK$6:$AK$277,'свод практик'!$J$6:$J$277,'строго ИБ'!AC$1,'свод практик'!$B$6:$B$277,"ИБ")</f>
        <v>0</v>
      </c>
      <c r="AD47" s="413">
        <f>SUMIFS('свод практик'!$AK$6:$AK$277,'свод практик'!$J$6:$J$277,'строго ИБ'!AD$1,'свод практик'!$B$6:$B$277,"ИБ")</f>
        <v>0</v>
      </c>
      <c r="AE47" s="413">
        <f>SUMIFS('свод практик'!$AK$6:$AK$277,'свод практик'!$J$6:$J$277,'строго ИБ'!AE$1,'свод практик'!$B$6:$B$277,"ИБ")</f>
        <v>0</v>
      </c>
      <c r="AF47" s="413">
        <f>SUMIFS('свод практик'!$AK$6:$AK$277,'свод практик'!$J$6:$J$277,'строго ИБ'!AF$1,'свод практик'!$B$6:$B$277,"ИБ")</f>
        <v>0</v>
      </c>
      <c r="AG47" s="413">
        <f>SUMIFS('свод практик'!$AK$6:$AK$277,'свод практик'!$J$6:$J$277,'строго ИБ'!AG$1,'свод практик'!$B$6:$B$277,"ИБ")</f>
        <v>0</v>
      </c>
      <c r="AH47" s="413">
        <f>SUMIFS('свод практик'!$AK$6:$AK$277,'свод практик'!$J$6:$J$277,'строго ИБ'!AH$1,'свод практик'!$B$6:$B$277,"ИБ")</f>
        <v>0</v>
      </c>
      <c r="AI47" s="413">
        <f>SUMIFS('свод практик'!$AK$6:$AK$277,'свод практик'!$J$6:$J$277,'строго ИБ'!AI$1,'свод практик'!$B$6:$B$277,"ИБ")</f>
        <v>0</v>
      </c>
      <c r="AJ47" s="413">
        <f>SUMIFS('свод практик'!$AK$6:$AK$277,'свод практик'!$J$6:$J$277,'строго ИБ'!AJ$1,'свод практик'!$B$6:$B$277,"ИБ")</f>
        <v>0</v>
      </c>
      <c r="AK47" s="413">
        <f>SUMIFS('свод практик'!$AK$6:$AK$277,'свод практик'!$J$6:$J$277,'строго ИБ'!AK$1,'свод практик'!$B$6:$B$277,"ИБ")</f>
        <v>5.3776929999999998</v>
      </c>
      <c r="AL47" s="413">
        <f>SUMIFS('свод практик'!$AK$6:$AK$277,'свод практик'!$J$6:$J$277,'строго ИБ'!AL$1,'свод практик'!$B$6:$B$277,"ИБ")</f>
        <v>92.531999999999996</v>
      </c>
      <c r="AM47" s="413">
        <f>SUMIFS('свод практик'!$AK$6:$AK$277,'свод практик'!$J$6:$J$277,'строго ИБ'!AM$1,'свод практик'!$B$6:$B$277,"ИБ")</f>
        <v>0</v>
      </c>
      <c r="AN47" s="413">
        <f>SUMIFS('свод практик'!$AK$6:$AK$277,'свод практик'!$J$6:$J$277,'строго ИБ'!AN$1,'свод практик'!$B$6:$B$277,"ИБ")</f>
        <v>0</v>
      </c>
      <c r="AO47" s="413">
        <f>SUMIFS('свод практик'!$AK$6:$AK$277,'свод практик'!$J$6:$J$277,'строго ИБ'!AO$1,'свод практик'!$B$6:$B$277,"ИБ")</f>
        <v>57.9</v>
      </c>
      <c r="AP47" s="413">
        <f>SUMIFS('свод практик'!$AK$6:$AK$277,'свод практик'!$J$6:$J$277,'строго ИБ'!AP$1,'свод практик'!$B$6:$B$277,"ИБ")</f>
        <v>87.6</v>
      </c>
      <c r="AQ47" s="413">
        <f>SUMIFS('свод практик'!$AK$6:$AK$277,'свод практик'!$J$6:$J$277,'строго ИБ'!AQ$1,'свод практик'!$B$6:$B$277,"ИБ")</f>
        <v>242.6</v>
      </c>
      <c r="AR47" s="413">
        <f>SUMIFS('свод практик'!$AK$6:$AK$277,'свод практик'!$J$6:$J$277,'строго ИБ'!AR$1,'свод практик'!$B$6:$B$277,"ИБ")</f>
        <v>90.042000000000002</v>
      </c>
      <c r="AS47" s="413">
        <f>SUMIFS('свод практик'!$AK$6:$AK$277,'свод практик'!$J$6:$J$277,'строго ИБ'!AS$1,'свод практик'!$B$6:$B$277,"ИБ")</f>
        <v>0</v>
      </c>
      <c r="AT47" s="413">
        <f>SUMIFS('свод практик'!$AK$6:$AK$277,'свод практик'!$J$6:$J$277,'строго ИБ'!AT$1,'свод практик'!$B$6:$B$277,"ИБ")</f>
        <v>0</v>
      </c>
      <c r="AU47" s="413">
        <f>SUMIFS('свод практик'!$AK$6:$AK$277,'свод практик'!$J$6:$J$277,'строго ИБ'!AU$1,'свод практик'!$B$6:$B$277,"ИБ")</f>
        <v>98.6</v>
      </c>
      <c r="AV47" s="413">
        <f>SUMIFS('свод практик'!$AK$6:$AK$277,'свод практик'!$J$6:$J$277,'строго ИБ'!AV$1,'свод практик'!$B$6:$B$277,"ИБ")</f>
        <v>0</v>
      </c>
      <c r="AW47" s="413">
        <f>SUMIFS('свод практик'!$AK$6:$AK$277,'свод практик'!$J$6:$J$277,'строго ИБ'!AW$1,'свод практик'!$B$6:$B$277,"ИБ")</f>
        <v>104.55200000000001</v>
      </c>
      <c r="AX47" s="413">
        <f>SUMIFS('свод практик'!$AK$6:$AK$277,'свод практик'!$J$6:$J$277,'строго ИБ'!AX$1,'свод практик'!$B$6:$B$277,"ИБ")</f>
        <v>0</v>
      </c>
      <c r="AY47" s="413">
        <f>SUMIFS('свод практик'!$AK$6:$AK$277,'свод практик'!$J$6:$J$277,'строго ИБ'!AY$1,'свод практик'!$B$6:$B$277,"ИБ")</f>
        <v>0</v>
      </c>
      <c r="AZ47" s="413">
        <f>SUMIFS('свод практик'!$AK$6:$AK$277,'свод практик'!$J$6:$J$277,'строго ИБ'!AZ$1,'свод практик'!$B$6:$B$277,"ИБ")</f>
        <v>0</v>
      </c>
      <c r="BA47" s="413">
        <f>SUMIFS('свод практик'!$AK$6:$AK$277,'свод практик'!$J$6:$J$277,'строго ИБ'!BA$1,'свод практик'!$B$6:$B$277,"ИБ")</f>
        <v>0</v>
      </c>
      <c r="BB47" s="413">
        <f>SUMIFS('свод практик'!$AK$6:$AK$277,'свод практик'!$J$6:$J$277,'строго ИБ'!BB$1,'свод практик'!$B$6:$B$277,"ИБ")</f>
        <v>21.801919999999999</v>
      </c>
      <c r="BC47" s="413">
        <f>SUMIFS('свод практик'!$AK$6:$AK$277,'свод практик'!$J$6:$J$277,'строго ИБ'!BC$1,'свод практик'!$B$6:$B$277,"ИБ")</f>
        <v>0</v>
      </c>
      <c r="BD47" s="413">
        <f>SUMIFS('свод практик'!$AK$6:$AK$277,'свод практик'!$J$6:$J$277,'строго ИБ'!BD$1,'свод практик'!$B$6:$B$277,"ИБ")</f>
        <v>0</v>
      </c>
      <c r="BE47" s="413">
        <f>SUMIFS('свод практик'!$AK$6:$AK$277,'свод практик'!$J$6:$J$277,'строго ИБ'!BE$1,'свод практик'!$B$6:$B$277,"ИБ")</f>
        <v>0</v>
      </c>
      <c r="BF47" s="413">
        <f>SUMIFS('свод практик'!$AK$6:$AK$277,'свод практик'!$J$6:$J$277,'строго ИБ'!BF$1,'свод практик'!$B$6:$B$277,"ИБ")</f>
        <v>22.6</v>
      </c>
      <c r="BG47" s="413">
        <f>SUMIFS('свод практик'!$AK$6:$AK$277,'свод практик'!$J$6:$J$277,'строго ИБ'!BG$1,'свод практик'!$B$6:$B$277,"ИБ")</f>
        <v>19.481000000000002</v>
      </c>
      <c r="BH47" s="413">
        <f>SUMIFS('свод практик'!$AK$6:$AK$277,'свод практик'!$J$6:$J$277,'строго ИБ'!BH$1,'свод практик'!$B$6:$B$277,"ИБ")</f>
        <v>364.10899999999998</v>
      </c>
      <c r="BI47" s="413">
        <f>SUMIFS('свод практик'!$AK$6:$AK$277,'свод практик'!$J$6:$J$277,'строго ИБ'!BI$1,'свод практик'!$B$6:$B$277,"ИБ")</f>
        <v>26.4</v>
      </c>
      <c r="BJ47" s="413">
        <f>SUMIFS('свод практик'!$AK$6:$AK$277,'свод практик'!$J$6:$J$277,'строго ИБ'!BJ$1,'свод практик'!$B$6:$B$277,"ИБ")</f>
        <v>112.8</v>
      </c>
      <c r="BK47" s="413">
        <f>SUMIFS('свод практик'!$AK$6:$AK$277,'свод практик'!$J$6:$J$277,'строго ИБ'!BK$1,'свод практик'!$B$6:$B$277,"ИБ")</f>
        <v>0</v>
      </c>
      <c r="BL47" s="413">
        <f>SUMIFS('свод практик'!$AK$6:$AK$277,'свод практик'!$J$6:$J$277,'строго ИБ'!BL$1,'свод практик'!$B$6:$B$277,"ИБ")</f>
        <v>70</v>
      </c>
      <c r="BM47" s="413">
        <f>SUMIFS('свод практик'!$AK$6:$AK$277,'свод практик'!$J$6:$J$277,'строго ИБ'!BM$1,'свод практик'!$B$6:$B$277,"ИБ")</f>
        <v>14.714</v>
      </c>
      <c r="BN47" s="413">
        <f>SUMIFS('свод практик'!$AK$6:$AK$277,'свод практик'!$J$6:$J$277,'строго ИБ'!BN$1,'свод практик'!$B$6:$B$277,"ИБ")</f>
        <v>0</v>
      </c>
      <c r="BO47" s="413">
        <f>SUMIFS('свод практик'!$AK$6:$AK$277,'свод практик'!$J$6:$J$277,'строго ИБ'!BO$1,'свод практик'!$B$6:$B$277,"ИБ")</f>
        <v>115.74010325</v>
      </c>
      <c r="BP47" s="413">
        <f>SUMIFS('свод практик'!$AK$6:$AK$277,'свод практик'!$J$6:$J$277,'строго ИБ'!BP$1,'свод практик'!$B$6:$B$277,"ИБ")</f>
        <v>0</v>
      </c>
      <c r="BQ47" s="413">
        <f>SUMIFS('свод практик'!$AK$6:$AK$277,'свод практик'!$J$6:$J$277,'строго ИБ'!BQ$1,'свод практик'!$B$6:$B$277,"ИБ")</f>
        <v>0</v>
      </c>
      <c r="BR47" s="413">
        <f>SUMIFS('свод практик'!$AK$6:$AK$277,'свод практик'!$J$6:$J$277,'строго ИБ'!BR$1,'свод практик'!$B$6:$B$277,"ИБ")</f>
        <v>0</v>
      </c>
      <c r="BS47" s="413">
        <f>SUMIFS('свод практик'!$AK$6:$AK$277,'свод практик'!$J$6:$J$277,'строго ИБ'!BS$1,'свод практик'!$B$6:$B$277,"ИБ")</f>
        <v>142.42599999999999</v>
      </c>
      <c r="BT47" s="413">
        <f>SUMIFS('свод практик'!$AK$6:$AK$277,'свод практик'!$J$6:$J$277,'строго ИБ'!BT$1,'свод практик'!$B$6:$B$277,"ИБ")</f>
        <v>165.10599999999999</v>
      </c>
      <c r="BU47" s="413">
        <f>SUMIFS('свод практик'!$AK$6:$AK$277,'свод практик'!$J$6:$J$277,'строго ИБ'!BU$1,'свод практик'!$B$6:$B$277,"ИБ")</f>
        <v>181.49923999999999</v>
      </c>
      <c r="BV47" s="413">
        <f>SUMIFS('свод практик'!$AK$6:$AK$277,'свод практик'!$J$6:$J$277,'строго ИБ'!BV$1,'свод практик'!$B$6:$B$277,"ИБ")</f>
        <v>75.990099999999998</v>
      </c>
      <c r="BW47" s="413">
        <f>SUMIFS('свод практик'!$AK$6:$AK$277,'свод практик'!$J$6:$J$277,'строго ИБ'!BW$1,'свод практик'!$B$6:$B$277,"ИБ")</f>
        <v>499.45</v>
      </c>
      <c r="BX47" s="413">
        <f>SUMIFS('свод практик'!$AK$6:$AK$277,'свод практик'!$J$6:$J$277,'строго ИБ'!BX$1,'свод практик'!$B$6:$B$277,"ИБ")</f>
        <v>814.69999999999993</v>
      </c>
      <c r="BY47" s="413">
        <f>SUMIFS('свод практик'!$AK$6:$AK$277,'свод практик'!$J$6:$J$277,'строго ИБ'!BY$1,'свод практик'!$B$6:$B$277,"ИБ")</f>
        <v>8.8810000000000002</v>
      </c>
      <c r="BZ47" s="413">
        <f>SUMIFS('свод практик'!$AK$6:$AK$277,'свод практик'!$J$6:$J$277,'строго ИБ'!BZ$1,'свод практик'!$B$6:$B$277,"ИБ")</f>
        <v>0</v>
      </c>
      <c r="CA47" s="413">
        <f>SUMIFS('свод практик'!$AK$6:$AK$277,'свод практик'!$J$6:$J$277,'строго ИБ'!CA$1,'свод практик'!$B$6:$B$277,"ИБ")</f>
        <v>0</v>
      </c>
      <c r="CB47" s="413">
        <f>SUMIFS('свод практик'!$AK$6:$AK$277,'свод практик'!$J$6:$J$277,'строго ИБ'!CB$1,'свод практик'!$B$6:$B$277,"ИБ")</f>
        <v>0</v>
      </c>
      <c r="CC47" s="413">
        <f>SUMIFS('свод практик'!$AK$6:$AK$277,'свод практик'!$J$6:$J$277,'строго ИБ'!CC$1,'свод практик'!$B$6:$B$277,"ИБ")</f>
        <v>396.16</v>
      </c>
      <c r="CD47" s="413">
        <f>SUMIFS('свод практик'!$AK$6:$AK$277,'свод практик'!$J$6:$J$277,'строго ИБ'!CD$1,'свод практик'!$B$6:$B$277,"ИБ")</f>
        <v>125.15300000000001</v>
      </c>
      <c r="CE47" s="413">
        <f>SUMIFS('свод практик'!$AK$6:$AK$277,'свод практик'!$J$6:$J$277,'строго ИБ'!CE$1,'свод практик'!$B$6:$B$277,"ИБ")</f>
        <v>0</v>
      </c>
      <c r="CF47" s="413">
        <f>SUMIFS('свод практик'!$AK$6:$AK$277,'свод практик'!$J$6:$J$277,'строго ИБ'!CF$1,'свод практик'!$B$6:$B$277,"ИБ")</f>
        <v>117.6</v>
      </c>
      <c r="CG47" s="413">
        <f>SUMIFS('свод практик'!$AK$6:$AK$277,'свод практик'!$J$6:$J$277,'строго ИБ'!CG$1,'свод практик'!$B$6:$B$277,"ИБ")</f>
        <v>39.420593400000001</v>
      </c>
      <c r="CH47" s="413">
        <f>SUMIFS('свод практик'!$AK$6:$AK$277,'свод практик'!$J$6:$J$277,'строго ИБ'!CH$1,'свод практик'!$B$6:$B$277,"ИБ")</f>
        <v>448</v>
      </c>
      <c r="CI47" s="413">
        <f>SUMIFS('свод практик'!$AK$6:$AK$277,'свод практик'!$J$6:$J$277,'строго ИБ'!CI$1,'свод практик'!$B$6:$B$277,"ИБ")</f>
        <v>0</v>
      </c>
      <c r="CJ47" s="413">
        <f>SUMIFS('свод практик'!$AK$6:$AK$277,'свод практик'!$J$6:$J$277,'строго ИБ'!CJ$1,'свод практик'!$B$6:$B$277,"ИБ")</f>
        <v>0</v>
      </c>
      <c r="CK47" s="413">
        <f>SUMIFS('свод практик'!$AK$6:$AK$277,'свод практик'!$J$6:$J$277,'строго ИБ'!CK$1,'свод практик'!$B$6:$B$277,"ИБ")</f>
        <v>48.65</v>
      </c>
      <c r="CL47" s="413">
        <f>SUMIFS('свод практик'!$AK$6:$AK$277,'свод практик'!$J$6:$J$277,'строго ИБ'!CL$1,'свод практик'!$B$6:$B$277,"ИБ")</f>
        <v>113</v>
      </c>
      <c r="CM47" s="413">
        <f>SUMIFS('свод практик'!$AK$6:$AK$277,'свод практик'!$J$6:$J$277,'строго ИБ'!CM$1,'свод практик'!$B$6:$B$277,"ИБ")</f>
        <v>45.1</v>
      </c>
      <c r="CN47" s="413">
        <f>SUMIFS('свод практик'!$AK$6:$AK$277,'свод практик'!$J$6:$J$277,'строго ИБ'!CN$1,'свод практик'!$B$6:$B$277,"ИБ")</f>
        <v>0</v>
      </c>
      <c r="CO47" s="413">
        <f>SUMIFS('свод практик'!$AK$6:$AK$277,'свод практик'!$J$6:$J$277,'строго ИБ'!CO$1,'свод практик'!$B$6:$B$277,"ИБ")</f>
        <v>0</v>
      </c>
      <c r="CP47" s="413">
        <f>SUMIFS('свод практик'!$AK$6:$AK$277,'свод практик'!$J$6:$J$277,'строго ИБ'!CP$1,'свод практик'!$B$6:$B$277,"ИБ")</f>
        <v>0</v>
      </c>
      <c r="CQ47" s="413">
        <f>SUMIFS('свод практик'!$AK$6:$AK$277,'свод практик'!$J$6:$J$277,'строго ИБ'!CQ$1,'свод практик'!$B$6:$B$277,"ИБ")</f>
        <v>0</v>
      </c>
      <c r="CR47" s="413">
        <f>SUMIFS('свод практик'!$AK$6:$AK$277,'свод практик'!$J$6:$J$277,'строго ИБ'!CR$1,'свод практик'!$B$6:$B$277,"ИБ")</f>
        <v>263.51900000000001</v>
      </c>
      <c r="CS47" s="413">
        <f>SUMIFS('свод практик'!$AK$6:$AK$277,'свод практик'!$J$6:$J$277,'строго ИБ'!CS$1,'свод практик'!$B$6:$B$277,"ИБ")</f>
        <v>21.331186070000001</v>
      </c>
      <c r="CT47" s="413">
        <f>SUMIFS('свод практик'!$AK$6:$AK$277,'свод практик'!$J$6:$J$277,'строго ИБ'!CT$1,'свод практик'!$B$6:$B$277,"ИБ")</f>
        <v>0</v>
      </c>
      <c r="CU47" s="413">
        <f>SUMIFS('свод практик'!$AK$6:$AK$277,'свод практик'!$J$6:$J$277,'строго ИБ'!CU$1,'свод практик'!$B$6:$B$277,"ИБ")</f>
        <v>169.9</v>
      </c>
    </row>
    <row r="48" spans="1:99" ht="37" customHeight="1" thickBot="1">
      <c r="A48" s="800"/>
      <c r="B48" s="796"/>
      <c r="C48" s="796"/>
      <c r="D48" s="452" t="s">
        <v>4949</v>
      </c>
      <c r="E48" s="439">
        <v>27</v>
      </c>
      <c r="F48" s="440" t="s">
        <v>5088</v>
      </c>
      <c r="G48" s="451" t="s">
        <v>5745</v>
      </c>
      <c r="H48" s="442" t="s">
        <v>60</v>
      </c>
      <c r="I48" s="444" t="s">
        <v>5090</v>
      </c>
      <c r="J48" s="444"/>
      <c r="K48" s="2"/>
      <c r="L48" s="366">
        <v>0.65746878018684585</v>
      </c>
      <c r="M48" s="367">
        <v>0.63752627967860287</v>
      </c>
      <c r="N48" s="607">
        <f>N47/N44</f>
        <v>0.65880942328137104</v>
      </c>
      <c r="O48" s="606">
        <f>O47/O44</f>
        <v>0.69145967066703873</v>
      </c>
      <c r="P48" s="606">
        <f t="shared" ref="P48:CA48" si="3">P47/P44</f>
        <v>0.56290773532152838</v>
      </c>
      <c r="Q48" s="606">
        <f t="shared" si="3"/>
        <v>0.67680826636050528</v>
      </c>
      <c r="R48" s="606">
        <f t="shared" si="3"/>
        <v>0.79586485461159084</v>
      </c>
      <c r="S48" s="606">
        <f t="shared" si="3"/>
        <v>0</v>
      </c>
      <c r="T48" s="606">
        <f t="shared" si="3"/>
        <v>1</v>
      </c>
      <c r="U48" s="606">
        <f t="shared" si="3"/>
        <v>0.85917728000822069</v>
      </c>
      <c r="V48" s="606">
        <f t="shared" si="3"/>
        <v>0</v>
      </c>
      <c r="W48" s="606">
        <f t="shared" si="3"/>
        <v>0.88073394495412849</v>
      </c>
      <c r="X48" s="606" t="e">
        <f t="shared" si="3"/>
        <v>#DIV/0!</v>
      </c>
      <c r="Y48" s="606" t="e">
        <f t="shared" si="3"/>
        <v>#DIV/0!</v>
      </c>
      <c r="Z48" s="606">
        <f t="shared" si="3"/>
        <v>0.45607886664161301</v>
      </c>
      <c r="AA48" s="606">
        <f t="shared" si="3"/>
        <v>0.32709892930887413</v>
      </c>
      <c r="AB48" s="606">
        <f t="shared" si="3"/>
        <v>0.74702343775681279</v>
      </c>
      <c r="AC48" s="606" t="e">
        <f t="shared" si="3"/>
        <v>#DIV/0!</v>
      </c>
      <c r="AD48" s="606" t="e">
        <f t="shared" si="3"/>
        <v>#DIV/0!</v>
      </c>
      <c r="AE48" s="606" t="e">
        <f t="shared" si="3"/>
        <v>#DIV/0!</v>
      </c>
      <c r="AF48" s="606" t="e">
        <f t="shared" si="3"/>
        <v>#DIV/0!</v>
      </c>
      <c r="AG48" s="606" t="e">
        <f t="shared" si="3"/>
        <v>#DIV/0!</v>
      </c>
      <c r="AH48" s="606" t="e">
        <f t="shared" si="3"/>
        <v>#DIV/0!</v>
      </c>
      <c r="AI48" s="606" t="e">
        <f t="shared" si="3"/>
        <v>#DIV/0!</v>
      </c>
      <c r="AJ48" s="606" t="e">
        <f t="shared" si="3"/>
        <v>#DIV/0!</v>
      </c>
      <c r="AK48" s="606">
        <f t="shared" si="3"/>
        <v>0.71672060148259553</v>
      </c>
      <c r="AL48" s="606">
        <f t="shared" si="3"/>
        <v>0.56028705702950565</v>
      </c>
      <c r="AM48" s="606" t="e">
        <f t="shared" si="3"/>
        <v>#DIV/0!</v>
      </c>
      <c r="AN48" s="606" t="e">
        <f t="shared" si="3"/>
        <v>#DIV/0!</v>
      </c>
      <c r="AO48" s="606">
        <f t="shared" si="3"/>
        <v>0.58366935483870963</v>
      </c>
      <c r="AP48" s="606">
        <f t="shared" si="3"/>
        <v>0.71510204081632645</v>
      </c>
      <c r="AQ48" s="606">
        <f t="shared" si="3"/>
        <v>0.61761710794297353</v>
      </c>
      <c r="AR48" s="606">
        <f t="shared" si="3"/>
        <v>0.76150606383518549</v>
      </c>
      <c r="AS48" s="606" t="e">
        <f t="shared" si="3"/>
        <v>#DIV/0!</v>
      </c>
      <c r="AT48" s="606" t="e">
        <f t="shared" si="3"/>
        <v>#DIV/0!</v>
      </c>
      <c r="AU48" s="606">
        <f t="shared" si="3"/>
        <v>0.6390563225095599</v>
      </c>
      <c r="AV48" s="606" t="e">
        <f t="shared" si="3"/>
        <v>#DIV/0!</v>
      </c>
      <c r="AW48" s="606">
        <f t="shared" si="3"/>
        <v>0.5469745639458844</v>
      </c>
      <c r="AX48" s="606" t="e">
        <f t="shared" si="3"/>
        <v>#DIV/0!</v>
      </c>
      <c r="AY48" s="606">
        <f t="shared" si="3"/>
        <v>0</v>
      </c>
      <c r="AZ48" s="606" t="e">
        <f t="shared" si="3"/>
        <v>#DIV/0!</v>
      </c>
      <c r="BA48" s="606" t="e">
        <f t="shared" si="3"/>
        <v>#DIV/0!</v>
      </c>
      <c r="BB48" s="606">
        <f t="shared" si="3"/>
        <v>0.67394264851282759</v>
      </c>
      <c r="BC48" s="606" t="e">
        <f t="shared" si="3"/>
        <v>#DIV/0!</v>
      </c>
      <c r="BD48" s="606" t="e">
        <f t="shared" si="3"/>
        <v>#DIV/0!</v>
      </c>
      <c r="BE48" s="606">
        <f t="shared" si="3"/>
        <v>0</v>
      </c>
      <c r="BF48" s="606">
        <f t="shared" si="3"/>
        <v>0.60648346930012875</v>
      </c>
      <c r="BG48" s="606">
        <f t="shared" si="3"/>
        <v>0.83674082982561637</v>
      </c>
      <c r="BH48" s="606">
        <f t="shared" si="3"/>
        <v>0.52357089242113553</v>
      </c>
      <c r="BI48" s="606">
        <f t="shared" si="3"/>
        <v>0.58735844439005946</v>
      </c>
      <c r="BJ48" s="606">
        <f t="shared" si="3"/>
        <v>0.71573604060913709</v>
      </c>
      <c r="BK48" s="606" t="e">
        <f t="shared" si="3"/>
        <v>#DIV/0!</v>
      </c>
      <c r="BL48" s="606">
        <f t="shared" si="3"/>
        <v>0.60788742619595326</v>
      </c>
      <c r="BM48" s="606">
        <f t="shared" si="3"/>
        <v>0.72866835041846179</v>
      </c>
      <c r="BN48" s="606" t="e">
        <f t="shared" si="3"/>
        <v>#DIV/0!</v>
      </c>
      <c r="BO48" s="606">
        <f t="shared" si="3"/>
        <v>0.88863584706707044</v>
      </c>
      <c r="BP48" s="606" t="e">
        <f t="shared" si="3"/>
        <v>#DIV/0!</v>
      </c>
      <c r="BQ48" s="606" t="e">
        <f t="shared" si="3"/>
        <v>#DIV/0!</v>
      </c>
      <c r="BR48" s="606">
        <f t="shared" si="3"/>
        <v>0</v>
      </c>
      <c r="BS48" s="606">
        <f t="shared" si="3"/>
        <v>0.69369843264463205</v>
      </c>
      <c r="BT48" s="606">
        <f t="shared" si="3"/>
        <v>0.62860166910331372</v>
      </c>
      <c r="BU48" s="606">
        <f t="shared" si="3"/>
        <v>1</v>
      </c>
      <c r="BV48" s="606">
        <f t="shared" si="3"/>
        <v>0.7021407920255982</v>
      </c>
      <c r="BW48" s="606">
        <f t="shared" si="3"/>
        <v>0.6188434708265701</v>
      </c>
      <c r="BX48" s="606">
        <f t="shared" si="3"/>
        <v>0.94534694824785326</v>
      </c>
      <c r="BY48" s="606">
        <f t="shared" si="3"/>
        <v>9.1995815076084814E-2</v>
      </c>
      <c r="BZ48" s="606" t="e">
        <f t="shared" si="3"/>
        <v>#DIV/0!</v>
      </c>
      <c r="CA48" s="606" t="e">
        <f t="shared" si="3"/>
        <v>#DIV/0!</v>
      </c>
      <c r="CB48" s="606" t="e">
        <f t="shared" ref="CB48:CU48" si="4">CB47/CB44</f>
        <v>#DIV/0!</v>
      </c>
      <c r="CC48" s="606">
        <f t="shared" si="4"/>
        <v>0.61200970168852631</v>
      </c>
      <c r="CD48" s="606">
        <f t="shared" si="4"/>
        <v>0.94346151236685194</v>
      </c>
      <c r="CE48" s="606" t="e">
        <f t="shared" si="4"/>
        <v>#DIV/0!</v>
      </c>
      <c r="CF48" s="606">
        <f t="shared" si="4"/>
        <v>0.52453166815343444</v>
      </c>
      <c r="CG48" s="606">
        <f t="shared" si="4"/>
        <v>0.73047356858092849</v>
      </c>
      <c r="CH48" s="606">
        <f t="shared" si="4"/>
        <v>0.6418338108882522</v>
      </c>
      <c r="CI48" s="606" t="e">
        <f t="shared" si="4"/>
        <v>#DIV/0!</v>
      </c>
      <c r="CJ48" s="606" t="e">
        <f t="shared" si="4"/>
        <v>#DIV/0!</v>
      </c>
      <c r="CK48" s="606">
        <f t="shared" si="4"/>
        <v>0.52643883440659356</v>
      </c>
      <c r="CL48" s="606">
        <f t="shared" si="4"/>
        <v>0.58680102990850835</v>
      </c>
      <c r="CM48" s="606">
        <f t="shared" si="4"/>
        <v>0.57598978288633462</v>
      </c>
      <c r="CN48" s="606" t="e">
        <f t="shared" si="4"/>
        <v>#DIV/0!</v>
      </c>
      <c r="CO48" s="606">
        <f t="shared" si="4"/>
        <v>0</v>
      </c>
      <c r="CP48" s="606">
        <f t="shared" si="4"/>
        <v>0</v>
      </c>
      <c r="CQ48" s="606" t="e">
        <f t="shared" si="4"/>
        <v>#DIV/0!</v>
      </c>
      <c r="CR48" s="606">
        <f t="shared" si="4"/>
        <v>0.60410763573675186</v>
      </c>
      <c r="CS48" s="606">
        <f t="shared" si="4"/>
        <v>0.80011950750187555</v>
      </c>
      <c r="CT48" s="606">
        <f t="shared" si="4"/>
        <v>0</v>
      </c>
      <c r="CU48" s="606">
        <f t="shared" si="4"/>
        <v>0.22974983096686952</v>
      </c>
    </row>
    <row r="49" spans="1:99" ht="41" customHeight="1">
      <c r="A49" s="810" t="s">
        <v>5091</v>
      </c>
      <c r="B49" s="816" t="s">
        <v>4990</v>
      </c>
      <c r="C49" s="814" t="s">
        <v>5092</v>
      </c>
      <c r="D49" s="445" t="s">
        <v>4949</v>
      </c>
      <c r="E49" s="445">
        <v>28</v>
      </c>
      <c r="F49" s="446" t="s">
        <v>5093</v>
      </c>
      <c r="G49" s="447" t="s">
        <v>5746</v>
      </c>
      <c r="H49" s="448" t="s">
        <v>5082</v>
      </c>
      <c r="I49" s="449" t="s">
        <v>4961</v>
      </c>
      <c r="J49" s="450"/>
      <c r="K49" s="340" t="s">
        <v>278</v>
      </c>
      <c r="L49" s="364">
        <v>920.76004400000011</v>
      </c>
      <c r="M49" s="361">
        <v>1619.9866565199998</v>
      </c>
      <c r="N49" s="580">
        <f>SUM(O49:CU49)</f>
        <v>2485.3305085000006</v>
      </c>
      <c r="O49" s="413">
        <f>SUMIFS('свод практик'!$AU$6:$AU$277,'свод практик'!$J$6:$J$277,'строго ИБ'!O$1,'свод практик'!$B$6:$B$277,"ИБ")</f>
        <v>0.97799999999999998</v>
      </c>
      <c r="P49" s="413">
        <f>SUMIFS('свод практик'!$AU$6:$AU$277,'свод практик'!$J$6:$J$277,'строго ИБ'!P$1,'свод практик'!$B$6:$B$277,"ИБ")</f>
        <v>0.9</v>
      </c>
      <c r="Q49" s="413">
        <f>SUMIFS('свод практик'!$AU$6:$AU$277,'свод практик'!$J$6:$J$277,'строго ИБ'!Q$1,'свод практик'!$B$6:$B$277,"ИБ")</f>
        <v>33.4</v>
      </c>
      <c r="R49" s="413">
        <f>SUMIFS('свод практик'!$AU$6:$AU$277,'свод практик'!$J$6:$J$277,'строго ИБ'!R$1,'свод практик'!$B$6:$B$277,"ИБ")</f>
        <v>12.093</v>
      </c>
      <c r="S49" s="413">
        <f>SUMIFS('свод практик'!$AU$6:$AU$277,'свод практик'!$J$6:$J$277,'строго ИБ'!S$1,'свод практик'!$B$6:$B$277,"ИБ")</f>
        <v>6</v>
      </c>
      <c r="T49" s="413">
        <f>SUMIFS('свод практик'!$AU$6:$AU$277,'свод практик'!$J$6:$J$277,'строго ИБ'!T$1,'свод практик'!$B$6:$B$277,"ИБ")</f>
        <v>3.7999999999999999E-2</v>
      </c>
      <c r="U49" s="413">
        <f>SUMIFS('свод практик'!$AU$6:$AU$277,'свод практик'!$J$6:$J$277,'строго ИБ'!U$1,'свод практик'!$B$6:$B$277,"ИБ")</f>
        <v>195.86500000000001</v>
      </c>
      <c r="V49" s="413">
        <f>SUMIFS('свод практик'!$AU$6:$AU$277,'свод практик'!$J$6:$J$277,'строго ИБ'!V$1,'свод практик'!$B$6:$B$277,"ИБ")</f>
        <v>95.031000000000006</v>
      </c>
      <c r="W49" s="413">
        <f>SUMIFS('свод практик'!$AU$6:$AU$277,'свод практик'!$J$6:$J$277,'строго ИБ'!W$1,'свод практик'!$B$6:$B$277,"ИБ")</f>
        <v>8</v>
      </c>
      <c r="X49" s="413">
        <f>SUMIFS('свод практик'!$AU$6:$AU$277,'свод практик'!$J$6:$J$277,'строго ИБ'!X$1,'свод практик'!$B$6:$B$277,"ИБ")</f>
        <v>0</v>
      </c>
      <c r="Y49" s="413">
        <f>SUMIFS('свод практик'!$AU$6:$AU$277,'свод практик'!$J$6:$J$277,'строго ИБ'!Y$1,'свод практик'!$B$6:$B$277,"ИБ")</f>
        <v>0</v>
      </c>
      <c r="Z49" s="413">
        <f>SUMIFS('свод практик'!$AU$6:$AU$277,'свод практик'!$J$6:$J$277,'строго ИБ'!Z$1,'свод практик'!$B$6:$B$277,"ИБ")</f>
        <v>60.6676</v>
      </c>
      <c r="AA49" s="413">
        <f>SUMIFS('свод практик'!$AU$6:$AU$277,'свод практик'!$J$6:$J$277,'строго ИБ'!AA$1,'свод практик'!$B$6:$B$277,"ИБ")</f>
        <v>140.95499999999998</v>
      </c>
      <c r="AB49" s="413">
        <f>SUMIFS('свод практик'!$AU$6:$AU$277,'свод практик'!$J$6:$J$277,'строго ИБ'!AB$1,'свод практик'!$B$6:$B$277,"ИБ")</f>
        <v>20.867999999999999</v>
      </c>
      <c r="AC49" s="413">
        <f>SUMIFS('свод практик'!$AU$6:$AU$277,'свод практик'!$J$6:$J$277,'строго ИБ'!AC$1,'свод практик'!$B$6:$B$277,"ИБ")</f>
        <v>0</v>
      </c>
      <c r="AD49" s="413">
        <f>SUMIFS('свод практик'!$AU$6:$AU$277,'свод практик'!$J$6:$J$277,'строго ИБ'!AD$1,'свод практик'!$B$6:$B$277,"ИБ")</f>
        <v>0</v>
      </c>
      <c r="AE49" s="413">
        <f>SUMIFS('свод практик'!$AU$6:$AU$277,'свод практик'!$J$6:$J$277,'строго ИБ'!AE$1,'свод практик'!$B$6:$B$277,"ИБ")</f>
        <v>0</v>
      </c>
      <c r="AF49" s="413">
        <f>SUMIFS('свод практик'!$AU$6:$AU$277,'свод практик'!$J$6:$J$277,'строго ИБ'!AF$1,'свод практик'!$B$6:$B$277,"ИБ")</f>
        <v>0</v>
      </c>
      <c r="AG49" s="413">
        <f>SUMIFS('свод практик'!$AU$6:$AU$277,'свод практик'!$J$6:$J$277,'строго ИБ'!AG$1,'свод практик'!$B$6:$B$277,"ИБ")</f>
        <v>0</v>
      </c>
      <c r="AH49" s="413">
        <f>SUMIFS('свод практик'!$AU$6:$AU$277,'свод практик'!$J$6:$J$277,'строго ИБ'!AH$1,'свод практик'!$B$6:$B$277,"ИБ")</f>
        <v>0</v>
      </c>
      <c r="AI49" s="413">
        <f>SUMIFS('свод практик'!$AU$6:$AU$277,'свод практик'!$J$6:$J$277,'строго ИБ'!AI$1,'свод практик'!$B$6:$B$277,"ИБ")</f>
        <v>0</v>
      </c>
      <c r="AJ49" s="413">
        <f>SUMIFS('свод практик'!$AU$6:$AU$277,'свод практик'!$J$6:$J$277,'строго ИБ'!AJ$1,'свод практик'!$B$6:$B$277,"ИБ")</f>
        <v>0</v>
      </c>
      <c r="AK49" s="413">
        <f>SUMIFS('свод практик'!$AU$6:$AU$277,'свод практик'!$J$6:$J$277,'строго ИБ'!AK$1,'свод практик'!$B$6:$B$277,"ИБ")</f>
        <v>1.0269999999999999</v>
      </c>
      <c r="AL49" s="413">
        <f>SUMIFS('свод практик'!$AU$6:$AU$277,'свод практик'!$J$6:$J$277,'строго ИБ'!AL$1,'свод практик'!$B$6:$B$277,"ИБ")</f>
        <v>55.384</v>
      </c>
      <c r="AM49" s="413">
        <f>SUMIFS('свод практик'!$AU$6:$AU$277,'свод практик'!$J$6:$J$277,'строго ИБ'!AM$1,'свод практик'!$B$6:$B$277,"ИБ")</f>
        <v>0</v>
      </c>
      <c r="AN49" s="413">
        <f>SUMIFS('свод практик'!$AU$6:$AU$277,'свод практик'!$J$6:$J$277,'строго ИБ'!AN$1,'свод практик'!$B$6:$B$277,"ИБ")</f>
        <v>0</v>
      </c>
      <c r="AO49" s="413">
        <f>SUMIFS('свод практик'!$AU$6:$AU$277,'свод практик'!$J$6:$J$277,'строго ИБ'!AO$1,'свод практик'!$B$6:$B$277,"ИБ")</f>
        <v>29</v>
      </c>
      <c r="AP49" s="413">
        <f>SUMIFS('свод практик'!$AU$6:$AU$277,'свод практик'!$J$6:$J$277,'строго ИБ'!AP$1,'свод практик'!$B$6:$B$277,"ИБ")</f>
        <v>25.3</v>
      </c>
      <c r="AQ49" s="413">
        <f>SUMIFS('свод практик'!$AU$6:$AU$277,'свод практик'!$J$6:$J$277,'строго ИБ'!AQ$1,'свод практик'!$B$6:$B$277,"ИБ")</f>
        <v>75.100000000000009</v>
      </c>
      <c r="AR49" s="413">
        <f>SUMIFS('свод практик'!$AU$6:$AU$277,'свод практик'!$J$6:$J$277,'строго ИБ'!AR$1,'свод практик'!$B$6:$B$277,"ИБ")</f>
        <v>19.797999999999998</v>
      </c>
      <c r="AS49" s="413">
        <f>SUMIFS('свод практик'!$AU$6:$AU$277,'свод практик'!$J$6:$J$277,'строго ИБ'!AS$1,'свод практик'!$B$6:$B$277,"ИБ")</f>
        <v>0</v>
      </c>
      <c r="AT49" s="413">
        <f>SUMIFS('свод практик'!$AU$6:$AU$277,'свод практик'!$J$6:$J$277,'строго ИБ'!AT$1,'свод практик'!$B$6:$B$277,"ИБ")</f>
        <v>0</v>
      </c>
      <c r="AU49" s="413">
        <f>SUMIFS('свод практик'!$AU$6:$AU$277,'свод практик'!$J$6:$J$277,'строго ИБ'!AU$1,'свод практик'!$B$6:$B$277,"ИБ")</f>
        <v>41.320000000000007</v>
      </c>
      <c r="AV49" s="413">
        <f>SUMIFS('свод практик'!$AU$6:$AU$277,'свод практик'!$J$6:$J$277,'строго ИБ'!AV$1,'свод практик'!$B$6:$B$277,"ИБ")</f>
        <v>0</v>
      </c>
      <c r="AW49" s="413">
        <f>SUMIFS('свод практик'!$AU$6:$AU$277,'свод практик'!$J$6:$J$277,'строго ИБ'!AW$1,'свод практик'!$B$6:$B$277,"ИБ")</f>
        <v>74.641000000000005</v>
      </c>
      <c r="AX49" s="413">
        <f>SUMIFS('свод практик'!$AU$6:$AU$277,'свод практик'!$J$6:$J$277,'строго ИБ'!AX$1,'свод практик'!$B$6:$B$277,"ИБ")</f>
        <v>0</v>
      </c>
      <c r="AY49" s="413">
        <f>SUMIFS('свод практик'!$AU$6:$AU$277,'свод практик'!$J$6:$J$277,'строго ИБ'!AY$1,'свод практик'!$B$6:$B$277,"ИБ")</f>
        <v>10.6</v>
      </c>
      <c r="AZ49" s="413">
        <f>SUMIFS('свод практик'!$AU$6:$AU$277,'свод практик'!$J$6:$J$277,'строго ИБ'!AZ$1,'свод практик'!$B$6:$B$277,"ИБ")</f>
        <v>0</v>
      </c>
      <c r="BA49" s="413">
        <f>SUMIFS('свод практик'!$AU$6:$AU$277,'свод практик'!$J$6:$J$277,'строго ИБ'!BA$1,'свод практик'!$B$6:$B$277,"ИБ")</f>
        <v>0</v>
      </c>
      <c r="BB49" s="413">
        <f>SUMIFS('свод практик'!$AU$6:$AU$277,'свод практик'!$J$6:$J$277,'строго ИБ'!BB$1,'свод практик'!$B$6:$B$277,"ИБ")</f>
        <v>5.4236829999999996</v>
      </c>
      <c r="BC49" s="413">
        <f>SUMIFS('свод практик'!$AU$6:$AU$277,'свод практик'!$J$6:$J$277,'строго ИБ'!BC$1,'свод практик'!$B$6:$B$277,"ИБ")</f>
        <v>0</v>
      </c>
      <c r="BD49" s="413">
        <f>SUMIFS('свод практик'!$AU$6:$AU$277,'свод практик'!$J$6:$J$277,'строго ИБ'!BD$1,'свод практик'!$B$6:$B$277,"ИБ")</f>
        <v>0</v>
      </c>
      <c r="BE49" s="413">
        <f>SUMIFS('свод практик'!$AU$6:$AU$277,'свод практик'!$J$6:$J$277,'строго ИБ'!BE$1,'свод практик'!$B$6:$B$277,"ИБ")</f>
        <v>7.4</v>
      </c>
      <c r="BF49" s="413">
        <f>SUMIFS('свод практик'!$AU$6:$AU$277,'свод практик'!$J$6:$J$277,'строго ИБ'!BF$1,'свод практик'!$B$6:$B$277,"ИБ")</f>
        <v>5.0949999999999998</v>
      </c>
      <c r="BG49" s="413">
        <f>SUMIFS('свод практик'!$AU$6:$AU$277,'свод практик'!$J$6:$J$277,'строго ИБ'!BG$1,'свод практик'!$B$6:$B$277,"ИБ")</f>
        <v>3.484</v>
      </c>
      <c r="BH49" s="413">
        <f>SUMIFS('свод практик'!$AU$6:$AU$277,'свод практик'!$J$6:$J$277,'строго ИБ'!BH$1,'свод практик'!$B$6:$B$277,"ИБ")</f>
        <v>228.06299999999999</v>
      </c>
      <c r="BI49" s="413">
        <f>SUMIFS('свод практик'!$AU$6:$AU$277,'свод практик'!$J$6:$J$277,'строго ИБ'!BI$1,'свод практик'!$B$6:$B$277,"ИБ")</f>
        <v>13.356999999999999</v>
      </c>
      <c r="BJ49" s="413">
        <f>SUMIFS('свод практик'!$AU$6:$AU$277,'свод практик'!$J$6:$J$277,'строго ИБ'!BJ$1,'свод практик'!$B$6:$B$277,"ИБ")</f>
        <v>30.8</v>
      </c>
      <c r="BK49" s="413">
        <f>SUMIFS('свод практик'!$AU$6:$AU$277,'свод практик'!$J$6:$J$277,'строго ИБ'!BK$1,'свод практик'!$B$6:$B$277,"ИБ")</f>
        <v>0</v>
      </c>
      <c r="BL49" s="413">
        <f>SUMIFS('свод практик'!$AU$6:$AU$277,'свод практик'!$J$6:$J$277,'строго ИБ'!BL$1,'свод практик'!$B$6:$B$277,"ИБ")</f>
        <v>28.63</v>
      </c>
      <c r="BM49" s="413">
        <f>SUMIFS('свод практик'!$AU$6:$AU$277,'свод практик'!$J$6:$J$277,'строго ИБ'!BM$1,'свод практик'!$B$6:$B$277,"ИБ")</f>
        <v>2.5579999999999998</v>
      </c>
      <c r="BN49" s="413">
        <f>SUMIFS('свод практик'!$AU$6:$AU$277,'свод практик'!$J$6:$J$277,'строго ИБ'!BN$1,'свод практик'!$B$6:$B$277,"ИБ")</f>
        <v>0</v>
      </c>
      <c r="BO49" s="413">
        <f>SUMIFS('свод практик'!$AU$6:$AU$277,'свод практик'!$J$6:$J$277,'строго ИБ'!BO$1,'свод практик'!$B$6:$B$277,"ИБ")</f>
        <v>0.69513455999999996</v>
      </c>
      <c r="BP49" s="413">
        <f>SUMIFS('свод практик'!$AU$6:$AU$277,'свод практик'!$J$6:$J$277,'строго ИБ'!BP$1,'свод практик'!$B$6:$B$277,"ИБ")</f>
        <v>0</v>
      </c>
      <c r="BQ49" s="413">
        <f>SUMIFS('свод практик'!$AU$6:$AU$277,'свод практик'!$J$6:$J$277,'строго ИБ'!BQ$1,'свод практик'!$B$6:$B$277,"ИБ")</f>
        <v>0</v>
      </c>
      <c r="BR49" s="413">
        <f>SUMIFS('свод практик'!$AU$6:$AU$277,'свод практик'!$J$6:$J$277,'строго ИБ'!BR$1,'свод практик'!$B$6:$B$277,"ИБ")</f>
        <v>0</v>
      </c>
      <c r="BS49" s="413">
        <f>SUMIFS('свод практик'!$AU$6:$AU$277,'свод практик'!$J$6:$J$277,'строго ИБ'!BS$1,'свод практик'!$B$6:$B$277,"ИБ")</f>
        <v>42.905000000000001</v>
      </c>
      <c r="BT49" s="413">
        <f>SUMIFS('свод практик'!$AU$6:$AU$277,'свод практик'!$J$6:$J$277,'строго ИБ'!BT$1,'свод практик'!$B$6:$B$277,"ИБ")</f>
        <v>68.652000000000001</v>
      </c>
      <c r="BU49" s="413">
        <f>SUMIFS('свод практик'!$AU$6:$AU$277,'свод практик'!$J$6:$J$277,'строго ИБ'!BU$1,'свод практик'!$B$6:$B$277,"ИБ")</f>
        <v>0</v>
      </c>
      <c r="BV49" s="413">
        <f>SUMIFS('свод практик'!$AU$6:$AU$277,'свод практик'!$J$6:$J$277,'строго ИБ'!BV$1,'свод практик'!$B$6:$B$277,"ИБ")</f>
        <v>17.645600000000002</v>
      </c>
      <c r="BW49" s="413">
        <f>SUMIFS('свод практик'!$AU$6:$AU$277,'свод практик'!$J$6:$J$277,'строго ИБ'!BW$1,'свод практик'!$B$6:$B$277,"ИБ")</f>
        <v>137.1</v>
      </c>
      <c r="BX49" s="413">
        <f>SUMIFS('свод практик'!$AU$6:$AU$277,'свод практик'!$J$6:$J$277,'строго ИБ'!BX$1,'свод практик'!$B$6:$B$277,"ИБ")</f>
        <v>43.5</v>
      </c>
      <c r="BY49" s="413">
        <f>SUMIFS('свод практик'!$AU$6:$AU$277,'свод практик'!$J$6:$J$277,'строго ИБ'!BY$1,'свод практик'!$B$6:$B$277,"ИБ")</f>
        <v>74.59174999999999</v>
      </c>
      <c r="BZ49" s="413">
        <f>SUMIFS('свод практик'!$AU$6:$AU$277,'свод практик'!$J$6:$J$277,'строго ИБ'!BZ$1,'свод практик'!$B$6:$B$277,"ИБ")</f>
        <v>0</v>
      </c>
      <c r="CA49" s="413">
        <f>SUMIFS('свод практик'!$AU$6:$AU$277,'свод практик'!$J$6:$J$277,'строго ИБ'!CA$1,'свод практик'!$B$6:$B$277,"ИБ")</f>
        <v>0</v>
      </c>
      <c r="CB49" s="413">
        <f>SUMIFS('свод практик'!$AU$6:$AU$277,'свод практик'!$J$6:$J$277,'строго ИБ'!CB$1,'свод практик'!$B$6:$B$277,"ИБ")</f>
        <v>0</v>
      </c>
      <c r="CC49" s="413">
        <f>SUMIFS('свод практик'!$AU$6:$AU$277,'свод практик'!$J$6:$J$277,'строго ИБ'!CC$1,'свод практик'!$B$6:$B$277,"ИБ")</f>
        <v>161.60900000000001</v>
      </c>
      <c r="CD49" s="413">
        <f>SUMIFS('свод практик'!$AU$6:$AU$277,'свод практик'!$J$6:$J$277,'строго ИБ'!CD$1,'свод практик'!$B$6:$B$277,"ИБ")</f>
        <v>7.5</v>
      </c>
      <c r="CE49" s="413">
        <f>SUMIFS('свод практик'!$AU$6:$AU$277,'свод практик'!$J$6:$J$277,'строго ИБ'!CE$1,'свод практик'!$B$6:$B$277,"ИБ")</f>
        <v>0</v>
      </c>
      <c r="CF49" s="413">
        <f>SUMIFS('свод практик'!$AU$6:$AU$277,'свод практик'!$J$6:$J$277,'строго ИБ'!CF$1,'свод практик'!$B$6:$B$277,"ИБ")</f>
        <v>71.099999999999994</v>
      </c>
      <c r="CG49" s="413">
        <f>SUMIFS('свод практик'!$AU$6:$AU$277,'свод практик'!$J$6:$J$277,'строго ИБ'!CG$1,'свод практик'!$B$6:$B$277,"ИБ")</f>
        <v>8.4418261000000001</v>
      </c>
      <c r="CH49" s="413">
        <f>SUMIFS('свод практик'!$AU$6:$AU$277,'свод практик'!$J$6:$J$277,'строго ИБ'!CH$1,'свод практик'!$B$6:$B$277,"ИБ")</f>
        <v>130</v>
      </c>
      <c r="CI49" s="413">
        <f>SUMIFS('свод практик'!$AU$6:$AU$277,'свод практик'!$J$6:$J$277,'строго ИБ'!CI$1,'свод практик'!$B$6:$B$277,"ИБ")</f>
        <v>0</v>
      </c>
      <c r="CJ49" s="413">
        <f>SUMIFS('свод практик'!$AU$6:$AU$277,'свод практик'!$J$6:$J$277,'строго ИБ'!CJ$1,'свод практик'!$B$6:$B$277,"ИБ")</f>
        <v>0</v>
      </c>
      <c r="CK49" s="413">
        <f>SUMIFS('свод практик'!$AU$6:$AU$277,'свод практик'!$J$6:$J$277,'строго ИБ'!CK$1,'свод практик'!$B$6:$B$277,"ИБ")</f>
        <v>25.062999999999999</v>
      </c>
      <c r="CL49" s="413">
        <f>SUMIFS('свод практик'!$AU$6:$AU$277,'свод практик'!$J$6:$J$277,'строго ИБ'!CL$1,'свод практик'!$B$6:$B$277,"ИБ")</f>
        <v>62.413632500000006</v>
      </c>
      <c r="CM49" s="413">
        <f>SUMIFS('свод практик'!$AU$6:$AU$277,'свод практик'!$J$6:$J$277,'строго ИБ'!CM$1,'свод практик'!$B$6:$B$277,"ИБ")</f>
        <v>11.1</v>
      </c>
      <c r="CN49" s="413">
        <f>SUMIFS('свод практик'!$AU$6:$AU$277,'свод практик'!$J$6:$J$277,'строго ИБ'!CN$1,'свод практик'!$B$6:$B$277,"ИБ")</f>
        <v>0</v>
      </c>
      <c r="CO49" s="413">
        <f>SUMIFS('свод практик'!$AU$6:$AU$277,'свод практик'!$J$6:$J$277,'строго ИБ'!CO$1,'свод практик'!$B$6:$B$277,"ИБ")</f>
        <v>143.30900534</v>
      </c>
      <c r="CP49" s="413">
        <f>SUMIFS('свод практик'!$AU$6:$AU$277,'свод практик'!$J$6:$J$277,'строго ИБ'!CP$1,'свод практик'!$B$6:$B$277,"ИБ")</f>
        <v>1.8</v>
      </c>
      <c r="CQ49" s="413">
        <f>SUMIFS('свод практик'!$AU$6:$AU$277,'свод практик'!$J$6:$J$277,'строго ИБ'!CQ$1,'свод практик'!$B$6:$B$277,"ИБ")</f>
        <v>0</v>
      </c>
      <c r="CR49" s="413">
        <f>SUMIFS('свод практик'!$AU$6:$AU$277,'свод практик'!$J$6:$J$277,'строго ИБ'!CR$1,'свод практик'!$B$6:$B$277,"ИБ")</f>
        <v>111.95</v>
      </c>
      <c r="CS49" s="413">
        <f>SUMIFS('свод практик'!$AU$6:$AU$277,'свод практик'!$J$6:$J$277,'строго ИБ'!CS$1,'свод практик'!$B$6:$B$277,"ИБ")</f>
        <v>5.285177</v>
      </c>
      <c r="CT49" s="413">
        <f>SUMIFS('свод практик'!$AU$6:$AU$277,'свод практик'!$J$6:$J$277,'строго ИБ'!CT$1,'свод практик'!$B$6:$B$277,"ИБ")</f>
        <v>61.493100000000005</v>
      </c>
      <c r="CU49" s="413">
        <f>SUMIFS('свод практик'!$AU$6:$AU$277,'свод практик'!$J$6:$J$277,'строго ИБ'!CU$1,'свод практик'!$B$6:$B$277,"ИБ")</f>
        <v>67.400000000000006</v>
      </c>
    </row>
    <row r="50" spans="1:99" ht="38.5" customHeight="1" thickBot="1">
      <c r="A50" s="800"/>
      <c r="B50" s="796"/>
      <c r="C50" s="796"/>
      <c r="D50" s="452" t="s">
        <v>4949</v>
      </c>
      <c r="E50" s="452">
        <v>29</v>
      </c>
      <c r="F50" s="453" t="s">
        <v>5094</v>
      </c>
      <c r="G50" s="454" t="s">
        <v>5732</v>
      </c>
      <c r="H50" s="455" t="s">
        <v>60</v>
      </c>
      <c r="I50" s="456" t="s">
        <v>5090</v>
      </c>
      <c r="J50" s="456"/>
      <c r="K50" s="343"/>
      <c r="L50" s="368">
        <v>0.17939888758612135</v>
      </c>
      <c r="M50" s="369">
        <v>0.20187809362003029</v>
      </c>
      <c r="N50" s="607">
        <f>N49/N44</f>
        <v>0.19874110402229181</v>
      </c>
      <c r="O50" s="608">
        <f>O49/O44</f>
        <v>0.13647781188947808</v>
      </c>
      <c r="P50" s="608">
        <f t="shared" ref="P50:CA50" si="5">P49/P44</f>
        <v>0.27958993476234856</v>
      </c>
      <c r="Q50" s="608">
        <f t="shared" si="5"/>
        <v>0.19173363949483352</v>
      </c>
      <c r="R50" s="608">
        <f t="shared" si="5"/>
        <v>0.13493338689161144</v>
      </c>
      <c r="S50" s="608">
        <f t="shared" si="5"/>
        <v>1</v>
      </c>
      <c r="T50" s="608">
        <f t="shared" si="5"/>
        <v>3.1666666666666669E-2</v>
      </c>
      <c r="U50" s="608">
        <f t="shared" si="5"/>
        <v>6.7997017178303434E-2</v>
      </c>
      <c r="V50" s="608">
        <f t="shared" si="5"/>
        <v>1</v>
      </c>
      <c r="W50" s="608">
        <f t="shared" si="5"/>
        <v>7.3394495412844041E-2</v>
      </c>
      <c r="X50" s="608" t="e">
        <f t="shared" si="5"/>
        <v>#DIV/0!</v>
      </c>
      <c r="Y50" s="608" t="e">
        <f t="shared" si="5"/>
        <v>#DIV/0!</v>
      </c>
      <c r="Z50" s="608">
        <f t="shared" si="5"/>
        <v>0.53021385934400156</v>
      </c>
      <c r="AA50" s="608">
        <f t="shared" si="5"/>
        <v>0.56187366960847618</v>
      </c>
      <c r="AB50" s="608">
        <f t="shared" si="5"/>
        <v>0.1371947010288945</v>
      </c>
      <c r="AC50" s="608" t="e">
        <f t="shared" si="5"/>
        <v>#DIV/0!</v>
      </c>
      <c r="AD50" s="608" t="e">
        <f t="shared" si="5"/>
        <v>#DIV/0!</v>
      </c>
      <c r="AE50" s="608" t="e">
        <f t="shared" si="5"/>
        <v>#DIV/0!</v>
      </c>
      <c r="AF50" s="608" t="e">
        <f t="shared" si="5"/>
        <v>#DIV/0!</v>
      </c>
      <c r="AG50" s="608" t="e">
        <f t="shared" si="5"/>
        <v>#DIV/0!</v>
      </c>
      <c r="AH50" s="608" t="e">
        <f t="shared" si="5"/>
        <v>#DIV/0!</v>
      </c>
      <c r="AI50" s="608" t="e">
        <f t="shared" si="5"/>
        <v>#DIV/0!</v>
      </c>
      <c r="AJ50" s="608" t="e">
        <f t="shared" si="5"/>
        <v>#DIV/0!</v>
      </c>
      <c r="AK50" s="608">
        <f t="shared" si="5"/>
        <v>0.13687506105733918</v>
      </c>
      <c r="AL50" s="608">
        <f t="shared" si="5"/>
        <v>0.33535358974756996</v>
      </c>
      <c r="AM50" s="608" t="e">
        <f t="shared" si="5"/>
        <v>#DIV/0!</v>
      </c>
      <c r="AN50" s="608" t="e">
        <f t="shared" si="5"/>
        <v>#DIV/0!</v>
      </c>
      <c r="AO50" s="608">
        <f t="shared" si="5"/>
        <v>0.29233870967741937</v>
      </c>
      <c r="AP50" s="608">
        <f t="shared" si="5"/>
        <v>0.20653061224489797</v>
      </c>
      <c r="AQ50" s="608">
        <f t="shared" si="5"/>
        <v>0.19119144602851326</v>
      </c>
      <c r="AR50" s="608">
        <f t="shared" si="5"/>
        <v>0.167436274758546</v>
      </c>
      <c r="AS50" s="608" t="e">
        <f t="shared" si="5"/>
        <v>#DIV/0!</v>
      </c>
      <c r="AT50" s="608" t="e">
        <f t="shared" si="5"/>
        <v>#DIV/0!</v>
      </c>
      <c r="AU50" s="608">
        <f t="shared" si="5"/>
        <v>0.26780737572104485</v>
      </c>
      <c r="AV50" s="608" t="e">
        <f t="shared" si="5"/>
        <v>#DIV/0!</v>
      </c>
      <c r="AW50" s="608">
        <f t="shared" si="5"/>
        <v>0.39049208458455847</v>
      </c>
      <c r="AX50" s="608" t="e">
        <f t="shared" si="5"/>
        <v>#DIV/0!</v>
      </c>
      <c r="AY50" s="608">
        <f t="shared" si="5"/>
        <v>1</v>
      </c>
      <c r="AZ50" s="608" t="e">
        <f t="shared" si="5"/>
        <v>#DIV/0!</v>
      </c>
      <c r="BA50" s="608" t="e">
        <f t="shared" si="5"/>
        <v>#DIV/0!</v>
      </c>
      <c r="BB50" s="608">
        <f t="shared" si="5"/>
        <v>0.16765731117782279</v>
      </c>
      <c r="BC50" s="608" t="e">
        <f t="shared" si="5"/>
        <v>#DIV/0!</v>
      </c>
      <c r="BD50" s="608" t="e">
        <f t="shared" si="5"/>
        <v>#DIV/0!</v>
      </c>
      <c r="BE50" s="608">
        <f t="shared" si="5"/>
        <v>0.93552465233881166</v>
      </c>
      <c r="BF50" s="608">
        <f t="shared" si="5"/>
        <v>0.13672713610991841</v>
      </c>
      <c r="BG50" s="608">
        <f t="shared" si="5"/>
        <v>0.14964350141740401</v>
      </c>
      <c r="BH50" s="608">
        <f t="shared" si="5"/>
        <v>0.32794341375313835</v>
      </c>
      <c r="BI50" s="608">
        <f t="shared" si="5"/>
        <v>0.29717222506507668</v>
      </c>
      <c r="BJ50" s="608">
        <f t="shared" si="5"/>
        <v>0.19543147208121828</v>
      </c>
      <c r="BK50" s="608" t="e">
        <f t="shared" si="5"/>
        <v>#DIV/0!</v>
      </c>
      <c r="BL50" s="608">
        <f t="shared" si="5"/>
        <v>0.24862595731414489</v>
      </c>
      <c r="BM50" s="608">
        <f t="shared" si="5"/>
        <v>0.12667756153122367</v>
      </c>
      <c r="BN50" s="608" t="e">
        <f t="shared" si="5"/>
        <v>#DIV/0!</v>
      </c>
      <c r="BO50" s="608">
        <f t="shared" si="5"/>
        <v>5.3371430576393169E-3</v>
      </c>
      <c r="BP50" s="608" t="e">
        <f t="shared" si="5"/>
        <v>#DIV/0!</v>
      </c>
      <c r="BQ50" s="608" t="e">
        <f t="shared" si="5"/>
        <v>#DIV/0!</v>
      </c>
      <c r="BR50" s="608">
        <f t="shared" si="5"/>
        <v>0</v>
      </c>
      <c r="BS50" s="608">
        <f t="shared" si="5"/>
        <v>0.20897259806929874</v>
      </c>
      <c r="BT50" s="608">
        <f t="shared" si="5"/>
        <v>0.261376096491228</v>
      </c>
      <c r="BU50" s="608">
        <f t="shared" si="5"/>
        <v>0</v>
      </c>
      <c r="BV50" s="608">
        <f t="shared" si="5"/>
        <v>0.16304354856444322</v>
      </c>
      <c r="BW50" s="608">
        <f t="shared" si="5"/>
        <v>0.16987374081554263</v>
      </c>
      <c r="BX50" s="608">
        <f t="shared" si="5"/>
        <v>5.0475748433511256E-2</v>
      </c>
      <c r="BY50" s="608">
        <f t="shared" si="5"/>
        <v>0.77267524368894813</v>
      </c>
      <c r="BZ50" s="608" t="e">
        <f t="shared" si="5"/>
        <v>#DIV/0!</v>
      </c>
      <c r="CA50" s="608" t="e">
        <f t="shared" si="5"/>
        <v>#DIV/0!</v>
      </c>
      <c r="CB50" s="608" t="e">
        <f t="shared" ref="CB50:CU50" si="6">CB49/CB44</f>
        <v>#DIV/0!</v>
      </c>
      <c r="CC50" s="608">
        <f t="shared" si="6"/>
        <v>0.24966244921289643</v>
      </c>
      <c r="CD50" s="608">
        <f t="shared" si="6"/>
        <v>5.6538487633148143E-2</v>
      </c>
      <c r="CE50" s="608" t="e">
        <f t="shared" si="6"/>
        <v>#DIV/0!</v>
      </c>
      <c r="CF50" s="608">
        <f t="shared" si="6"/>
        <v>0.31712756467439784</v>
      </c>
      <c r="CG50" s="608">
        <f t="shared" si="6"/>
        <v>0.1564291733012477</v>
      </c>
      <c r="CH50" s="608">
        <f t="shared" si="6"/>
        <v>0.18624641833810887</v>
      </c>
      <c r="CI50" s="608" t="e">
        <f t="shared" si="6"/>
        <v>#DIV/0!</v>
      </c>
      <c r="CJ50" s="608" t="e">
        <f t="shared" si="6"/>
        <v>#DIV/0!</v>
      </c>
      <c r="CK50" s="608">
        <f t="shared" si="6"/>
        <v>0.27120527249193122</v>
      </c>
      <c r="CL50" s="608">
        <f t="shared" si="6"/>
        <v>0.32410959142770934</v>
      </c>
      <c r="CM50" s="608">
        <f t="shared" si="6"/>
        <v>0.1417624521072797</v>
      </c>
      <c r="CN50" s="608" t="e">
        <f t="shared" si="6"/>
        <v>#DIV/0!</v>
      </c>
      <c r="CO50" s="608">
        <f t="shared" si="6"/>
        <v>0.87372141325181796</v>
      </c>
      <c r="CP50" s="608">
        <f t="shared" si="6"/>
        <v>1</v>
      </c>
      <c r="CQ50" s="608" t="e">
        <f t="shared" si="6"/>
        <v>#DIV/0!</v>
      </c>
      <c r="CR50" s="608">
        <f t="shared" si="6"/>
        <v>0.25664126617332855</v>
      </c>
      <c r="CS50" s="608">
        <f t="shared" si="6"/>
        <v>0.19824369842460615</v>
      </c>
      <c r="CT50" s="608">
        <f t="shared" si="6"/>
        <v>0.8199517307589741</v>
      </c>
      <c r="CU50" s="608">
        <f t="shared" si="6"/>
        <v>9.1142663962136591E-2</v>
      </c>
    </row>
    <row r="51" spans="1:99" ht="38" customHeight="1">
      <c r="A51" s="810" t="s">
        <v>5095</v>
      </c>
      <c r="B51" s="816" t="s">
        <v>4990</v>
      </c>
      <c r="C51" s="814" t="s">
        <v>5096</v>
      </c>
      <c r="D51" s="445" t="s">
        <v>4949</v>
      </c>
      <c r="E51" s="445">
        <v>30</v>
      </c>
      <c r="F51" s="446" t="s">
        <v>5097</v>
      </c>
      <c r="G51" s="447" t="s">
        <v>5747</v>
      </c>
      <c r="H51" s="448" t="s">
        <v>5082</v>
      </c>
      <c r="I51" s="449" t="s">
        <v>4961</v>
      </c>
      <c r="J51" s="450"/>
      <c r="K51" s="340" t="s">
        <v>278</v>
      </c>
      <c r="L51" s="364">
        <v>393.290617</v>
      </c>
      <c r="M51" s="361">
        <v>597.33428329999992</v>
      </c>
      <c r="N51" s="580">
        <f>SUM(O51:CU51)</f>
        <v>677.97053509</v>
      </c>
      <c r="O51" s="413">
        <f>SUMIFS('свод практик'!$AY$6:$AY$277,'свод практик'!$J$6:$J$277,'строго ИБ'!O$1,'свод практик'!$B$6:$B$277,"ИБ")</f>
        <v>0.68100000000000005</v>
      </c>
      <c r="P51" s="413">
        <f>SUMIFS('свод практик'!$AY$6:$AY$277,'свод практик'!$J$6:$J$277,'строго ИБ'!P$1,'свод практик'!$B$6:$B$277,"ИБ")</f>
        <v>0.23100000000000001</v>
      </c>
      <c r="Q51" s="413">
        <f>SUMIFS('свод практик'!$AY$6:$AY$277,'свод практик'!$J$6:$J$277,'строго ИБ'!Q$1,'свод практик'!$B$6:$B$277,"ИБ")</f>
        <v>14</v>
      </c>
      <c r="R51" s="413">
        <f>SUMIFS('свод практик'!$AY$6:$AY$277,'свод практик'!$J$6:$J$277,'строго ИБ'!R$1,'свод практик'!$B$6:$B$277,"ИБ")</f>
        <v>3.3490000000000002</v>
      </c>
      <c r="S51" s="413">
        <f>SUMIFS('свод практик'!$AY$6:$AY$277,'свод практик'!$J$6:$J$277,'строго ИБ'!S$1,'свод практик'!$B$6:$B$277,"ИБ")</f>
        <v>0</v>
      </c>
      <c r="T51" s="413">
        <f>SUMIFS('свод практик'!$AY$6:$AY$277,'свод практик'!$J$6:$J$277,'строго ИБ'!T$1,'свод практик'!$B$6:$B$277,"ИБ")</f>
        <v>2.5000000000000001E-2</v>
      </c>
      <c r="U51" s="413">
        <f>SUMIFS('свод практик'!$AY$6:$AY$277,'свод практик'!$J$6:$J$277,'строго ИБ'!U$1,'свод практик'!$B$6:$B$277,"ИБ")</f>
        <v>100.56500000000004</v>
      </c>
      <c r="V51" s="413">
        <f>SUMIFS('свод практик'!$AY$6:$AY$277,'свод практик'!$J$6:$J$277,'строго ИБ'!V$1,'свод практик'!$B$6:$B$277,"ИБ")</f>
        <v>0</v>
      </c>
      <c r="W51" s="413">
        <f>SUMIFS('свод практик'!$AY$6:$AY$277,'свод практик'!$J$6:$J$277,'строго ИБ'!W$1,'свод практик'!$B$6:$B$277,"ИБ")</f>
        <v>5</v>
      </c>
      <c r="X51" s="413">
        <f>SUMIFS('свод практик'!$AY$6:$AY$277,'свод практик'!$J$6:$J$277,'строго ИБ'!X$1,'свод практик'!$B$6:$B$277,"ИБ")</f>
        <v>0</v>
      </c>
      <c r="Y51" s="413">
        <f>SUMIFS('свод практик'!$AY$6:$AY$277,'свод практик'!$J$6:$J$277,'строго ИБ'!Y$1,'свод практик'!$B$6:$B$277,"ИБ")</f>
        <v>0</v>
      </c>
      <c r="Z51" s="413">
        <f>SUMIFS('свод практик'!$AY$6:$AY$277,'свод практик'!$J$6:$J$277,'строго ИБ'!Z$1,'свод практик'!$B$6:$B$277,"ИБ")</f>
        <v>1.5086999999999999</v>
      </c>
      <c r="AA51" s="413">
        <f>SUMIFS('свод практик'!$AY$6:$AY$277,'свод практик'!$J$6:$J$277,'строго ИБ'!AA$1,'свод практик'!$B$6:$B$277,"ИБ")</f>
        <v>15.617000000000001</v>
      </c>
      <c r="AB51" s="413">
        <f>SUMIFS('свод практик'!$AY$6:$AY$277,'свод практик'!$J$6:$J$277,'строго ИБ'!AB$1,'свод практик'!$B$6:$B$277,"ИБ")</f>
        <v>8.3350000000000009</v>
      </c>
      <c r="AC51" s="413">
        <f>SUMIFS('свод практик'!$AY$6:$AY$277,'свод практик'!$J$6:$J$277,'строго ИБ'!AC$1,'свод практик'!$B$6:$B$277,"ИБ")</f>
        <v>0</v>
      </c>
      <c r="AD51" s="413">
        <f>SUMIFS('свод практик'!$AY$6:$AY$277,'свод практик'!$J$6:$J$277,'строго ИБ'!AD$1,'свод практик'!$B$6:$B$277,"ИБ")</f>
        <v>0</v>
      </c>
      <c r="AE51" s="413">
        <f>SUMIFS('свод практик'!$AY$6:$AY$277,'свод практик'!$J$6:$J$277,'строго ИБ'!AE$1,'свод практик'!$B$6:$B$277,"ИБ")</f>
        <v>0</v>
      </c>
      <c r="AF51" s="413">
        <f>SUMIFS('свод практик'!$AY$6:$AY$277,'свод практик'!$J$6:$J$277,'строго ИБ'!AF$1,'свод практик'!$B$6:$B$277,"ИБ")</f>
        <v>0</v>
      </c>
      <c r="AG51" s="413">
        <f>SUMIFS('свод практик'!$AY$6:$AY$277,'свод практик'!$J$6:$J$277,'строго ИБ'!AG$1,'свод практик'!$B$6:$B$277,"ИБ")</f>
        <v>0</v>
      </c>
      <c r="AH51" s="413">
        <f>SUMIFS('свод практик'!$AY$6:$AY$277,'свод практик'!$J$6:$J$277,'строго ИБ'!AH$1,'свод практик'!$B$6:$B$277,"ИБ")</f>
        <v>0</v>
      </c>
      <c r="AI51" s="413">
        <f>SUMIFS('свод практик'!$AY$6:$AY$277,'свод практик'!$J$6:$J$277,'строго ИБ'!AI$1,'свод практик'!$B$6:$B$277,"ИБ")</f>
        <v>0</v>
      </c>
      <c r="AJ51" s="413">
        <f>SUMIFS('свод практик'!$AY$6:$AY$277,'свод практик'!$J$6:$J$277,'строго ИБ'!AJ$1,'свод практик'!$B$6:$B$277,"ИБ")</f>
        <v>0</v>
      </c>
      <c r="AK51" s="413">
        <f>SUMIFS('свод практик'!$AY$6:$AY$277,'свод практик'!$J$6:$J$277,'строго ИБ'!AK$1,'свод практик'!$B$6:$B$277,"ИБ")</f>
        <v>0.68300000000000005</v>
      </c>
      <c r="AL51" s="413">
        <f>SUMIFS('свод практик'!$AY$6:$AY$277,'свод практик'!$J$6:$J$277,'строго ИБ'!AL$1,'свод практик'!$B$6:$B$277,"ИБ")</f>
        <v>11.540226929999999</v>
      </c>
      <c r="AM51" s="413">
        <f>SUMIFS('свод практик'!$AY$6:$AY$277,'свод практик'!$J$6:$J$277,'строго ИБ'!AM$1,'свод практик'!$B$6:$B$277,"ИБ")</f>
        <v>0</v>
      </c>
      <c r="AN51" s="413">
        <f>SUMIFS('свод практик'!$AY$6:$AY$277,'свод практик'!$J$6:$J$277,'строго ИБ'!AN$1,'свод практик'!$B$6:$B$277,"ИБ")</f>
        <v>0</v>
      </c>
      <c r="AO51" s="413">
        <f>SUMIFS('свод практик'!$AY$6:$AY$277,'свод практик'!$J$6:$J$277,'строго ИБ'!AO$1,'свод практик'!$B$6:$B$277,"ИБ")</f>
        <v>12.3</v>
      </c>
      <c r="AP51" s="413">
        <f>SUMIFS('свод практик'!$AY$6:$AY$277,'свод практик'!$J$6:$J$277,'строго ИБ'!AP$1,'свод практик'!$B$6:$B$277,"ИБ")</f>
        <v>4</v>
      </c>
      <c r="AQ51" s="413">
        <f>SUMIFS('свод практик'!$AY$6:$AY$277,'свод практик'!$J$6:$J$277,'строго ИБ'!AQ$1,'свод практик'!$B$6:$B$277,"ИБ")</f>
        <v>47.1</v>
      </c>
      <c r="AR51" s="413">
        <f>SUMIFS('свод практик'!$AY$6:$AY$277,'свод практик'!$J$6:$J$277,'строго ИБ'!AR$1,'свод практик'!$B$6:$B$277,"ИБ")</f>
        <v>1.466</v>
      </c>
      <c r="AS51" s="413">
        <f>SUMIFS('свод практик'!$AY$6:$AY$277,'свод практик'!$J$6:$J$277,'строго ИБ'!AS$1,'свод практик'!$B$6:$B$277,"ИБ")</f>
        <v>0</v>
      </c>
      <c r="AT51" s="413">
        <f>SUMIFS('свод практик'!$AY$6:$AY$277,'свод практик'!$J$6:$J$277,'строго ИБ'!AT$1,'свод практик'!$B$6:$B$277,"ИБ")</f>
        <v>0</v>
      </c>
      <c r="AU51" s="413">
        <f>SUMIFS('свод практик'!$AY$6:$AY$277,'свод практик'!$J$6:$J$277,'строго ИБ'!AU$1,'свод практик'!$B$6:$B$277,"ИБ")</f>
        <v>6.0600000000000005</v>
      </c>
      <c r="AV51" s="413">
        <f>SUMIFS('свод практик'!$AY$6:$AY$277,'свод практик'!$J$6:$J$277,'строго ИБ'!AV$1,'свод практик'!$B$6:$B$277,"ИБ")</f>
        <v>0</v>
      </c>
      <c r="AW51" s="413">
        <f>SUMIFS('свод практик'!$AY$6:$AY$277,'свод практик'!$J$6:$J$277,'строго ИБ'!AW$1,'свод практик'!$B$6:$B$277,"ИБ")</f>
        <v>9.3239999999999998</v>
      </c>
      <c r="AX51" s="413">
        <f>SUMIFS('свод практик'!$AY$6:$AY$277,'свод практик'!$J$6:$J$277,'строго ИБ'!AX$1,'свод практик'!$B$6:$B$277,"ИБ")</f>
        <v>0</v>
      </c>
      <c r="AY51" s="413">
        <f>SUMIFS('свод практик'!$AY$6:$AY$277,'свод практик'!$J$6:$J$277,'строго ИБ'!AY$1,'свод практик'!$B$6:$B$277,"ИБ")</f>
        <v>0</v>
      </c>
      <c r="AZ51" s="413">
        <f>SUMIFS('свод практик'!$AY$6:$AY$277,'свод практик'!$J$6:$J$277,'строго ИБ'!AZ$1,'свод практик'!$B$6:$B$277,"ИБ")</f>
        <v>0</v>
      </c>
      <c r="BA51" s="413">
        <f>SUMIFS('свод практик'!$AY$6:$AY$277,'свод практик'!$J$6:$J$277,'строго ИБ'!BA$1,'свод практик'!$B$6:$B$277,"ИБ")</f>
        <v>0</v>
      </c>
      <c r="BB51" s="413">
        <f>SUMIFS('свод практик'!$AY$6:$AY$277,'свод практик'!$J$6:$J$277,'строго ИБ'!BB$1,'свод практик'!$B$6:$B$277,"ИБ")</f>
        <v>5.1242109999999998</v>
      </c>
      <c r="BC51" s="413">
        <f>SUMIFS('свод практик'!$AY$6:$AY$277,'свод практик'!$J$6:$J$277,'строго ИБ'!BC$1,'свод практик'!$B$6:$B$277,"ИБ")</f>
        <v>0</v>
      </c>
      <c r="BD51" s="413">
        <f>SUMIFS('свод практик'!$AY$6:$AY$277,'свод практик'!$J$6:$J$277,'строго ИБ'!BD$1,'свод практик'!$B$6:$B$277,"ИБ")</f>
        <v>0</v>
      </c>
      <c r="BE51" s="413">
        <f>SUMIFS('свод практик'!$AY$6:$AY$277,'свод практик'!$J$6:$J$277,'строго ИБ'!BE$1,'свод практик'!$B$6:$B$277,"ИБ")</f>
        <v>0</v>
      </c>
      <c r="BF51" s="413">
        <f>SUMIFS('свод практик'!$AY$6:$AY$277,'свод практик'!$J$6:$J$277,'строго ИБ'!BF$1,'свод практик'!$B$6:$B$277,"ИБ")</f>
        <v>4.3170000000000002</v>
      </c>
      <c r="BG51" s="413">
        <f>SUMIFS('свод практик'!$AY$6:$AY$277,'свод практик'!$J$6:$J$277,'строго ИБ'!BG$1,'свод практик'!$B$6:$B$277,"ИБ")</f>
        <v>0.20799999999999999</v>
      </c>
      <c r="BH51" s="413">
        <f>SUMIFS('свод практик'!$AY$6:$AY$277,'свод практик'!$J$6:$J$277,'строго ИБ'!BH$1,'свод практик'!$B$6:$B$277,"ИБ")</f>
        <v>37.768000000000001</v>
      </c>
      <c r="BI51" s="413">
        <f>SUMIFS('свод практик'!$AY$6:$AY$277,'свод практик'!$J$6:$J$277,'строго ИБ'!BI$1,'свод практик'!$B$6:$B$277,"ИБ")</f>
        <v>2.4449999999999998</v>
      </c>
      <c r="BJ51" s="413">
        <f>SUMIFS('свод практик'!$AY$6:$AY$277,'свод практик'!$J$6:$J$277,'строго ИБ'!BJ$1,'свод практик'!$B$6:$B$277,"ИБ")</f>
        <v>13.4</v>
      </c>
      <c r="BK51" s="413">
        <f>SUMIFS('свод практик'!$AY$6:$AY$277,'свод практик'!$J$6:$J$277,'строго ИБ'!BK$1,'свод практик'!$B$6:$B$277,"ИБ")</f>
        <v>0</v>
      </c>
      <c r="BL51" s="413">
        <f>SUMIFS('свод практик'!$AY$6:$AY$277,'свод практик'!$J$6:$J$277,'строго ИБ'!BL$1,'свод практик'!$B$6:$B$277,"ИБ")</f>
        <v>9.1731999999999978</v>
      </c>
      <c r="BM51" s="413">
        <f>SUMIFS('свод практик'!$AY$6:$AY$277,'свод практик'!$J$6:$J$277,'строго ИБ'!BM$1,'свод практик'!$B$6:$B$277,"ИБ")</f>
        <v>1.46</v>
      </c>
      <c r="BN51" s="413">
        <f>SUMIFS('свод практик'!$AY$6:$AY$277,'свод практик'!$J$6:$J$277,'строго ИБ'!BN$1,'свод практик'!$B$6:$B$277,"ИБ")</f>
        <v>0</v>
      </c>
      <c r="BO51" s="413">
        <f>SUMIFS('свод практик'!$AY$6:$AY$277,'свод практик'!$J$6:$J$277,'строго ИБ'!BO$1,'свод практик'!$B$6:$B$277,"ИБ")</f>
        <v>10.79590851</v>
      </c>
      <c r="BP51" s="413">
        <f>SUMIFS('свод практик'!$AY$6:$AY$277,'свод практик'!$J$6:$J$277,'строго ИБ'!BP$1,'свод практик'!$B$6:$B$277,"ИБ")</f>
        <v>0</v>
      </c>
      <c r="BQ51" s="413">
        <f>SUMIFS('свод практик'!$AY$6:$AY$277,'свод практик'!$J$6:$J$277,'строго ИБ'!BQ$1,'свод практик'!$B$6:$B$277,"ИБ")</f>
        <v>0</v>
      </c>
      <c r="BR51" s="413">
        <f>SUMIFS('свод практик'!$AY$6:$AY$277,'свод практик'!$J$6:$J$277,'строго ИБ'!BR$1,'свод практик'!$B$6:$B$277,"ИБ")</f>
        <v>3.762</v>
      </c>
      <c r="BS51" s="413">
        <f>SUMIFS('свод практик'!$AY$6:$AY$277,'свод практик'!$J$6:$J$277,'строго ИБ'!BS$1,'свод практик'!$B$6:$B$277,"ИБ")</f>
        <v>13.321</v>
      </c>
      <c r="BT51" s="413">
        <f>SUMIFS('свод практик'!$AY$6:$AY$277,'свод практик'!$J$6:$J$277,'строго ИБ'!BT$1,'свод практик'!$B$6:$B$277,"ИБ")</f>
        <v>14.516999999999999</v>
      </c>
      <c r="BU51" s="413">
        <f>SUMIFS('свод практик'!$AY$6:$AY$277,'свод практик'!$J$6:$J$277,'строго ИБ'!BU$1,'свод практик'!$B$6:$B$277,"ИБ")</f>
        <v>0</v>
      </c>
      <c r="BV51" s="413">
        <f>SUMIFS('свод практик'!$AY$6:$AY$277,'свод практик'!$J$6:$J$277,'строго ИБ'!BV$1,'свод практик'!$B$6:$B$277,"ИБ")</f>
        <v>6.1233000000000004</v>
      </c>
      <c r="BW51" s="413">
        <f>SUMIFS('свод практик'!$AY$6:$AY$277,'свод практик'!$J$6:$J$277,'строго ИБ'!BW$1,'свод практик'!$B$6:$B$277,"ИБ")</f>
        <v>49.4</v>
      </c>
      <c r="BX51" s="413">
        <f>SUMIFS('свод практик'!$AY$6:$AY$277,'свод практик'!$J$6:$J$277,'строго ИБ'!BX$1,'свод практик'!$B$6:$B$277,"ИБ")</f>
        <v>1.5</v>
      </c>
      <c r="BY51" s="413">
        <f>SUMIFS('свод практик'!$AY$6:$AY$277,'свод практик'!$J$6:$J$277,'строго ИБ'!BY$1,'свод практик'!$B$6:$B$277,"ИБ")</f>
        <v>2.3387500000000001</v>
      </c>
      <c r="BZ51" s="413">
        <f>SUMIFS('свод практик'!$AY$6:$AY$277,'свод практик'!$J$6:$J$277,'строго ИБ'!BZ$1,'свод практик'!$B$6:$B$277,"ИБ")</f>
        <v>0</v>
      </c>
      <c r="CA51" s="413">
        <f>SUMIFS('свод практик'!$AY$6:$AY$277,'свод практик'!$J$6:$J$277,'строго ИБ'!CA$1,'свод практик'!$B$6:$B$277,"ИБ")</f>
        <v>0</v>
      </c>
      <c r="CB51" s="413">
        <f>SUMIFS('свод практик'!$AY$6:$AY$277,'свод практик'!$J$6:$J$277,'строго ИБ'!CB$1,'свод практик'!$B$6:$B$277,"ИБ")</f>
        <v>0</v>
      </c>
      <c r="CC51" s="413">
        <f>SUMIFS('свод практик'!$AY$6:$AY$277,'свод практик'!$J$6:$J$277,'строго ИБ'!CC$1,'свод практик'!$B$6:$B$277,"ИБ")</f>
        <v>21.997</v>
      </c>
      <c r="CD51" s="413">
        <f>SUMIFS('свод практик'!$AY$6:$AY$277,'свод практик'!$J$6:$J$277,'строго ИБ'!CD$1,'свод практик'!$B$6:$B$277,"ИБ")</f>
        <v>0</v>
      </c>
      <c r="CE51" s="413">
        <f>SUMIFS('свод практик'!$AY$6:$AY$277,'свод практик'!$J$6:$J$277,'строго ИБ'!CE$1,'свод практик'!$B$6:$B$277,"ИБ")</f>
        <v>0</v>
      </c>
      <c r="CF51" s="413">
        <f>SUMIFS('свод практик'!$AY$6:$AY$277,'свод практик'!$J$6:$J$277,'строго ИБ'!CF$1,'свод практик'!$B$6:$B$277,"ИБ")</f>
        <v>24.7</v>
      </c>
      <c r="CG51" s="413">
        <f>SUMIFS('свод практик'!$AY$6:$AY$277,'свод практик'!$J$6:$J$277,'строго ИБ'!CG$1,'свод практик'!$B$6:$B$277,"ИБ")</f>
        <v>3.81820665</v>
      </c>
      <c r="CH51" s="413">
        <f>SUMIFS('свод практик'!$AY$6:$AY$277,'свод практик'!$J$6:$J$277,'строго ИБ'!CH$1,'свод практик'!$B$6:$B$277,"ИБ")</f>
        <v>120</v>
      </c>
      <c r="CI51" s="413">
        <f>SUMIFS('свод практик'!$AY$6:$AY$277,'свод практик'!$J$6:$J$277,'строго ИБ'!CI$1,'свод практик'!$B$6:$B$277,"ИБ")</f>
        <v>0</v>
      </c>
      <c r="CJ51" s="413">
        <f>SUMIFS('свод практик'!$AY$6:$AY$277,'свод практик'!$J$6:$J$277,'строго ИБ'!CJ$1,'свод практик'!$B$6:$B$277,"ИБ")</f>
        <v>0</v>
      </c>
      <c r="CK51" s="413">
        <f>SUMIFS('свод практик'!$AY$6:$AY$277,'свод практик'!$J$6:$J$277,'строго ИБ'!CK$1,'свод практик'!$B$6:$B$277,"ИБ")</f>
        <v>10.101000000000001</v>
      </c>
      <c r="CL51" s="413">
        <f>SUMIFS('свод практик'!$AY$6:$AY$277,'свод практик'!$J$6:$J$277,'строго ИБ'!CL$1,'свод практик'!$B$6:$B$277,"ИБ")</f>
        <v>10.699</v>
      </c>
      <c r="CM51" s="413">
        <f>SUMIFS('свод практик'!$AY$6:$AY$277,'свод практик'!$J$6:$J$277,'строго ИБ'!CM$1,'свод практик'!$B$6:$B$277,"ИБ")</f>
        <v>9</v>
      </c>
      <c r="CN51" s="413">
        <f>SUMIFS('свод практик'!$AY$6:$AY$277,'свод практик'!$J$6:$J$277,'строго ИБ'!CN$1,'свод практик'!$B$6:$B$277,"ИБ")</f>
        <v>0</v>
      </c>
      <c r="CO51" s="413">
        <f>SUMIFS('свод практик'!$AY$6:$AY$277,'свод практик'!$J$6:$J$277,'строго ИБ'!CO$1,'свод практик'!$B$6:$B$277,"ИБ")</f>
        <v>7.0443899999999999</v>
      </c>
      <c r="CP51" s="413">
        <f>SUMIFS('свод практик'!$AY$6:$AY$277,'свод практик'!$J$6:$J$277,'строго ИБ'!CP$1,'свод практик'!$B$6:$B$277,"ИБ")</f>
        <v>0</v>
      </c>
      <c r="CQ51" s="413">
        <f>SUMIFS('свод практик'!$AY$6:$AY$277,'свод практик'!$J$6:$J$277,'строго ИБ'!CQ$1,'свод практик'!$B$6:$B$277,"ИБ")</f>
        <v>0</v>
      </c>
      <c r="CR51" s="413">
        <f>SUMIFS('свод практик'!$AY$6:$AY$277,'свод практик'!$J$6:$J$277,'строго ИБ'!CR$1,'свод практик'!$B$6:$B$277,"ИБ")</f>
        <v>46.77</v>
      </c>
      <c r="CS51" s="413">
        <f>SUMIFS('свод практик'!$AY$6:$AY$277,'свод практик'!$J$6:$J$277,'строго ИБ'!CS$1,'свод практик'!$B$6:$B$277,"ИБ")</f>
        <v>4.3341999999999999E-2</v>
      </c>
      <c r="CT51" s="413">
        <f>SUMIFS('свод практик'!$AY$6:$AY$277,'свод практик'!$J$6:$J$277,'строго ИБ'!CT$1,'свод практик'!$B$6:$B$277,"ИБ")</f>
        <v>2.4593000000000003</v>
      </c>
      <c r="CU51" s="413">
        <f>SUMIFS('свод практик'!$AY$6:$AY$277,'свод практик'!$J$6:$J$277,'строго ИБ'!CU$1,'свод практик'!$B$6:$B$277,"ИБ")</f>
        <v>3.9</v>
      </c>
    </row>
    <row r="52" spans="1:99" ht="36" customHeight="1" thickBot="1">
      <c r="A52" s="800"/>
      <c r="B52" s="796"/>
      <c r="C52" s="796"/>
      <c r="D52" s="500" t="s">
        <v>4949</v>
      </c>
      <c r="E52" s="500">
        <v>31</v>
      </c>
      <c r="F52" s="501" t="s">
        <v>5098</v>
      </c>
      <c r="G52" s="502" t="s">
        <v>5745</v>
      </c>
      <c r="H52" s="503" t="s">
        <v>60</v>
      </c>
      <c r="I52" s="504" t="s">
        <v>5090</v>
      </c>
      <c r="J52" s="504"/>
      <c r="K52" s="133"/>
      <c r="L52" s="370">
        <v>7.6627889804327026E-2</v>
      </c>
      <c r="M52" s="369">
        <v>7.4438086191114458E-2</v>
      </c>
      <c r="N52" s="607">
        <f>N51/N44</f>
        <v>5.4214363915603338E-2</v>
      </c>
      <c r="O52" s="608">
        <f t="shared" ref="O52:BZ52" si="7">O51/O44</f>
        <v>9.5032096008931061E-2</v>
      </c>
      <c r="P52" s="608">
        <f t="shared" si="7"/>
        <v>7.1761416589002786E-2</v>
      </c>
      <c r="Q52" s="608">
        <f t="shared" si="7"/>
        <v>8.0367393800229628E-2</v>
      </c>
      <c r="R52" s="608">
        <f t="shared" si="7"/>
        <v>3.7368056950302382E-2</v>
      </c>
      <c r="S52" s="608">
        <f t="shared" si="7"/>
        <v>0</v>
      </c>
      <c r="T52" s="608">
        <f t="shared" si="7"/>
        <v>2.0833333333333336E-2</v>
      </c>
      <c r="U52" s="608">
        <f t="shared" si="7"/>
        <v>3.4912414328931086E-2</v>
      </c>
      <c r="V52" s="608">
        <f t="shared" si="7"/>
        <v>0</v>
      </c>
      <c r="W52" s="608">
        <f t="shared" si="7"/>
        <v>4.5871559633027525E-2</v>
      </c>
      <c r="X52" s="608" t="e">
        <f t="shared" si="7"/>
        <v>#DIV/0!</v>
      </c>
      <c r="Y52" s="608" t="e">
        <f t="shared" si="7"/>
        <v>#DIV/0!</v>
      </c>
      <c r="Z52" s="608">
        <f t="shared" si="7"/>
        <v>1.3185516644671868E-2</v>
      </c>
      <c r="AA52" s="608">
        <f t="shared" si="7"/>
        <v>6.2252357832468339E-2</v>
      </c>
      <c r="AB52" s="608">
        <f t="shared" si="7"/>
        <v>5.4797672660333328E-2</v>
      </c>
      <c r="AC52" s="608" t="e">
        <f t="shared" si="7"/>
        <v>#DIV/0!</v>
      </c>
      <c r="AD52" s="608" t="e">
        <f t="shared" si="7"/>
        <v>#DIV/0!</v>
      </c>
      <c r="AE52" s="608" t="e">
        <f t="shared" si="7"/>
        <v>#DIV/0!</v>
      </c>
      <c r="AF52" s="608" t="e">
        <f t="shared" si="7"/>
        <v>#DIV/0!</v>
      </c>
      <c r="AG52" s="608" t="e">
        <f t="shared" si="7"/>
        <v>#DIV/0!</v>
      </c>
      <c r="AH52" s="608" t="e">
        <f t="shared" si="7"/>
        <v>#DIV/0!</v>
      </c>
      <c r="AI52" s="608" t="e">
        <f t="shared" si="7"/>
        <v>#DIV/0!</v>
      </c>
      <c r="AJ52" s="608" t="e">
        <f t="shared" si="7"/>
        <v>#DIV/0!</v>
      </c>
      <c r="AK52" s="608">
        <f t="shared" si="7"/>
        <v>9.1027913049817596E-2</v>
      </c>
      <c r="AL52" s="608">
        <f t="shared" si="7"/>
        <v>6.9876797043858851E-2</v>
      </c>
      <c r="AM52" s="608" t="e">
        <f t="shared" si="7"/>
        <v>#DIV/0!</v>
      </c>
      <c r="AN52" s="608" t="e">
        <f t="shared" si="7"/>
        <v>#DIV/0!</v>
      </c>
      <c r="AO52" s="608">
        <f t="shared" si="7"/>
        <v>0.12399193548387097</v>
      </c>
      <c r="AP52" s="608">
        <f t="shared" si="7"/>
        <v>3.2653061224489799E-2</v>
      </c>
      <c r="AQ52" s="608">
        <f t="shared" si="7"/>
        <v>0.11990835030549898</v>
      </c>
      <c r="AR52" s="608">
        <f t="shared" si="7"/>
        <v>1.2398301787858798E-2</v>
      </c>
      <c r="AS52" s="608" t="e">
        <f t="shared" si="7"/>
        <v>#DIV/0!</v>
      </c>
      <c r="AT52" s="608" t="e">
        <f t="shared" si="7"/>
        <v>#DIV/0!</v>
      </c>
      <c r="AU52" s="608">
        <f t="shared" si="7"/>
        <v>3.9276686758701156E-2</v>
      </c>
      <c r="AV52" s="608" t="e">
        <f t="shared" si="7"/>
        <v>#DIV/0!</v>
      </c>
      <c r="AW52" s="608">
        <f t="shared" si="7"/>
        <v>4.8779467004279452E-2</v>
      </c>
      <c r="AX52" s="608" t="e">
        <f t="shared" si="7"/>
        <v>#DIV/0!</v>
      </c>
      <c r="AY52" s="608">
        <f t="shared" si="7"/>
        <v>0</v>
      </c>
      <c r="AZ52" s="608" t="e">
        <f t="shared" si="7"/>
        <v>#DIV/0!</v>
      </c>
      <c r="BA52" s="608" t="e">
        <f t="shared" si="7"/>
        <v>#DIV/0!</v>
      </c>
      <c r="BB52" s="608">
        <f t="shared" si="7"/>
        <v>0.15840000939727167</v>
      </c>
      <c r="BC52" s="608" t="e">
        <f t="shared" si="7"/>
        <v>#DIV/0!</v>
      </c>
      <c r="BD52" s="608" t="e">
        <f t="shared" si="7"/>
        <v>#DIV/0!</v>
      </c>
      <c r="BE52" s="608">
        <f t="shared" si="7"/>
        <v>0</v>
      </c>
      <c r="BF52" s="608">
        <f t="shared" si="7"/>
        <v>0.11584907685702017</v>
      </c>
      <c r="BG52" s="608">
        <f t="shared" si="7"/>
        <v>8.9339403831285961E-3</v>
      </c>
      <c r="BH52" s="608">
        <f t="shared" si="7"/>
        <v>5.4308532513509554E-2</v>
      </c>
      <c r="BI52" s="608">
        <f t="shared" si="7"/>
        <v>5.4397401383852094E-2</v>
      </c>
      <c r="BJ52" s="608">
        <f t="shared" si="7"/>
        <v>8.5025380710659904E-2</v>
      </c>
      <c r="BK52" s="608" t="e">
        <f t="shared" si="7"/>
        <v>#DIV/0!</v>
      </c>
      <c r="BL52" s="608">
        <f t="shared" si="7"/>
        <v>7.9661041971153104E-2</v>
      </c>
      <c r="BM52" s="608">
        <f t="shared" si="7"/>
        <v>7.2302282969345807E-2</v>
      </c>
      <c r="BN52" s="608" t="e">
        <f t="shared" si="7"/>
        <v>#DIV/0!</v>
      </c>
      <c r="BO52" s="608">
        <f t="shared" si="7"/>
        <v>8.2889431011825582E-2</v>
      </c>
      <c r="BP52" s="608" t="e">
        <f t="shared" si="7"/>
        <v>#DIV/0!</v>
      </c>
      <c r="BQ52" s="608" t="e">
        <f t="shared" si="7"/>
        <v>#DIV/0!</v>
      </c>
      <c r="BR52" s="608">
        <f t="shared" si="7"/>
        <v>0.35726495726495727</v>
      </c>
      <c r="BS52" s="608">
        <f t="shared" si="7"/>
        <v>6.4881108935581591E-2</v>
      </c>
      <c r="BT52" s="608">
        <f t="shared" si="7"/>
        <v>5.5270010964912263E-2</v>
      </c>
      <c r="BU52" s="608">
        <f t="shared" si="7"/>
        <v>0</v>
      </c>
      <c r="BV52" s="608">
        <f t="shared" si="7"/>
        <v>5.6578668955697464E-2</v>
      </c>
      <c r="BW52" s="608">
        <f t="shared" si="7"/>
        <v>6.1209064889043076E-2</v>
      </c>
      <c r="BX52" s="608">
        <f t="shared" si="7"/>
        <v>1.7405430494314227E-3</v>
      </c>
      <c r="BY52" s="608">
        <f t="shared" si="7"/>
        <v>2.4226462392657737E-2</v>
      </c>
      <c r="BZ52" s="608" t="e">
        <f t="shared" si="7"/>
        <v>#DIV/0!</v>
      </c>
      <c r="CA52" s="608" t="e">
        <f t="shared" ref="CA52:CU52" si="8">CA51/CA44</f>
        <v>#DIV/0!</v>
      </c>
      <c r="CB52" s="608" t="e">
        <f t="shared" si="8"/>
        <v>#DIV/0!</v>
      </c>
      <c r="CC52" s="608">
        <f t="shared" si="8"/>
        <v>3.3982172374905376E-2</v>
      </c>
      <c r="CD52" s="608">
        <f t="shared" si="8"/>
        <v>0</v>
      </c>
      <c r="CE52" s="608" t="e">
        <f t="shared" si="8"/>
        <v>#DIV/0!</v>
      </c>
      <c r="CF52" s="608">
        <f t="shared" si="8"/>
        <v>0.11016949152542373</v>
      </c>
      <c r="CG52" s="608">
        <f t="shared" si="8"/>
        <v>7.0752335179331216E-2</v>
      </c>
      <c r="CH52" s="608">
        <f t="shared" si="8"/>
        <v>0.17191977077363896</v>
      </c>
      <c r="CI52" s="608" t="e">
        <f t="shared" si="8"/>
        <v>#DIV/0!</v>
      </c>
      <c r="CJ52" s="608" t="e">
        <f t="shared" si="8"/>
        <v>#DIV/0!</v>
      </c>
      <c r="CK52" s="608">
        <f t="shared" si="8"/>
        <v>0.10930233640988699</v>
      </c>
      <c r="CL52" s="608">
        <f t="shared" si="8"/>
        <v>5.5559152380452489E-2</v>
      </c>
      <c r="CM52" s="608">
        <f t="shared" si="8"/>
        <v>0.11494252873563218</v>
      </c>
      <c r="CN52" s="608" t="e">
        <f t="shared" si="8"/>
        <v>#DIV/0!</v>
      </c>
      <c r="CO52" s="608">
        <f t="shared" si="8"/>
        <v>4.2947994591788954E-2</v>
      </c>
      <c r="CP52" s="608">
        <f t="shared" si="8"/>
        <v>0</v>
      </c>
      <c r="CQ52" s="608" t="e">
        <f t="shared" si="8"/>
        <v>#DIV/0!</v>
      </c>
      <c r="CR52" s="608">
        <f t="shared" si="8"/>
        <v>0.10721850843168002</v>
      </c>
      <c r="CS52" s="608">
        <f t="shared" si="8"/>
        <v>1.6257314328582144E-3</v>
      </c>
      <c r="CT52" s="608">
        <f t="shared" si="8"/>
        <v>3.2792415595498441E-2</v>
      </c>
      <c r="CU52" s="608">
        <f t="shared" si="8"/>
        <v>5.2738336713995942E-3</v>
      </c>
    </row>
    <row r="53" spans="1:99" ht="28" customHeight="1">
      <c r="A53" s="810" t="s">
        <v>5099</v>
      </c>
      <c r="B53" s="816" t="s">
        <v>4990</v>
      </c>
      <c r="C53" s="814" t="s">
        <v>5100</v>
      </c>
      <c r="D53" s="445" t="s">
        <v>4949</v>
      </c>
      <c r="E53" s="445">
        <v>32</v>
      </c>
      <c r="F53" s="446" t="s">
        <v>5101</v>
      </c>
      <c r="G53" s="447" t="s">
        <v>5748</v>
      </c>
      <c r="H53" s="448" t="s">
        <v>5082</v>
      </c>
      <c r="I53" s="449" t="s">
        <v>4961</v>
      </c>
      <c r="J53" s="450"/>
      <c r="K53" s="340" t="s">
        <v>278</v>
      </c>
      <c r="L53" s="364">
        <v>234.09202099999999</v>
      </c>
      <c r="M53" s="361">
        <v>400.91322339999988</v>
      </c>
      <c r="N53" s="580">
        <f>SUM(O53:CU53)</f>
        <v>502.57869642000003</v>
      </c>
      <c r="O53" s="413">
        <f>SUMIFS('свод практик'!$BC$6:$BC$277,'свод практик'!$J$6:$J$277,'строго ИБ'!O$1,'свод практик'!$B$6:$B$277,"ИБ")</f>
        <v>0.55200000000000005</v>
      </c>
      <c r="P53" s="413">
        <f>SUMIFS('свод практик'!$BC$6:$BC$277,'свод практик'!$J$6:$J$277,'строго ИБ'!P$1,'свод практик'!$B$6:$B$277,"ИБ")</f>
        <v>0.27600000000000002</v>
      </c>
      <c r="Q53" s="413">
        <f>SUMIFS('свод практик'!$BC$6:$BC$277,'свод практик'!$J$6:$J$277,'строго ИБ'!Q$1,'свод практик'!$B$6:$B$277,"ИБ")</f>
        <v>8.9</v>
      </c>
      <c r="R53" s="413">
        <f>SUMIFS('свод практик'!$BC$6:$BC$277,'свод практик'!$J$6:$J$277,'строго ИБ'!R$1,'свод практик'!$B$6:$B$277,"ИБ")</f>
        <v>2.8530000000000002</v>
      </c>
      <c r="S53" s="413">
        <f>SUMIFS('свод практик'!$BC$6:$BC$277,'свод практик'!$J$6:$J$277,'строго ИБ'!S$1,'свод практик'!$B$6:$B$277,"ИБ")</f>
        <v>0</v>
      </c>
      <c r="T53" s="413">
        <f>SUMIFS('свод практик'!$BC$6:$BC$277,'свод практик'!$J$6:$J$277,'строго ИБ'!T$1,'свод практик'!$B$6:$B$277,"ИБ")</f>
        <v>0</v>
      </c>
      <c r="U53" s="413">
        <f>SUMIFS('свод практик'!$BC$6:$BC$277,'свод практик'!$J$6:$J$277,'строго ИБ'!U$1,'свод практик'!$B$6:$B$277,"ИБ")</f>
        <v>109.209</v>
      </c>
      <c r="V53" s="413">
        <f>SUMIFS('свод практик'!$BC$6:$BC$277,'свод практик'!$J$6:$J$277,'строго ИБ'!V$1,'свод практик'!$B$6:$B$277,"ИБ")</f>
        <v>0</v>
      </c>
      <c r="W53" s="413">
        <f>SUMIFS('свод практик'!$BC$6:$BC$277,'свод практик'!$J$6:$J$277,'строго ИБ'!W$1,'свод практик'!$B$6:$B$277,"ИБ")</f>
        <v>0</v>
      </c>
      <c r="X53" s="413">
        <f>SUMIFS('свод практик'!$BC$6:$BC$277,'свод практик'!$J$6:$J$277,'строго ИБ'!X$1,'свод практик'!$B$6:$B$277,"ИБ")</f>
        <v>0</v>
      </c>
      <c r="Y53" s="413">
        <f>SUMIFS('свод практик'!$BC$6:$BC$277,'свод практик'!$J$6:$J$277,'строго ИБ'!Y$1,'свод практик'!$B$6:$B$277,"ИБ")</f>
        <v>0</v>
      </c>
      <c r="Z53" s="413">
        <f>SUMIFS('свод практик'!$BC$6:$BC$277,'свод практик'!$J$6:$J$277,'строго ИБ'!Z$1,'свод практик'!$B$6:$B$277,"ИБ")</f>
        <v>5.9607E-2</v>
      </c>
      <c r="AA53" s="413">
        <f>SUMIFS('свод практик'!$BC$6:$BC$277,'свод практик'!$J$6:$J$277,'строго ИБ'!AA$1,'свод практик'!$B$6:$B$277,"ИБ")</f>
        <v>12.236000000000001</v>
      </c>
      <c r="AB53" s="413">
        <f>SUMIFS('свод практик'!$BC$6:$BC$277,'свод практик'!$J$6:$J$277,'строго ИБ'!AB$1,'свод практик'!$B$6:$B$277,"ИБ")</f>
        <v>9.0090000000000003</v>
      </c>
      <c r="AC53" s="413">
        <f>SUMIFS('свод практик'!$BC$6:$BC$277,'свод практик'!$J$6:$J$277,'строго ИБ'!AC$1,'свод практик'!$B$6:$B$277,"ИБ")</f>
        <v>0</v>
      </c>
      <c r="AD53" s="413">
        <f>SUMIFS('свод практик'!$BC$6:$BC$277,'свод практик'!$J$6:$J$277,'строго ИБ'!AD$1,'свод практик'!$B$6:$B$277,"ИБ")</f>
        <v>0</v>
      </c>
      <c r="AE53" s="413">
        <f>SUMIFS('свод практик'!$BC$6:$BC$277,'свод практик'!$J$6:$J$277,'строго ИБ'!AE$1,'свод практик'!$B$6:$B$277,"ИБ")</f>
        <v>0</v>
      </c>
      <c r="AF53" s="413">
        <f>SUMIFS('свод практик'!$BC$6:$BC$277,'свод практик'!$J$6:$J$277,'строго ИБ'!AF$1,'свод практик'!$B$6:$B$277,"ИБ")</f>
        <v>0</v>
      </c>
      <c r="AG53" s="413">
        <f>SUMIFS('свод практик'!$BC$6:$BC$277,'свод практик'!$J$6:$J$277,'строго ИБ'!AG$1,'свод практик'!$B$6:$B$277,"ИБ")</f>
        <v>0</v>
      </c>
      <c r="AH53" s="413">
        <f>SUMIFS('свод практик'!$BC$6:$BC$277,'свод практик'!$J$6:$J$277,'строго ИБ'!AH$1,'свод практик'!$B$6:$B$277,"ИБ")</f>
        <v>0</v>
      </c>
      <c r="AI53" s="413">
        <f>SUMIFS('свод практик'!$BC$6:$BC$277,'свод практик'!$J$6:$J$277,'строго ИБ'!AI$1,'свод практик'!$B$6:$B$277,"ИБ")</f>
        <v>0</v>
      </c>
      <c r="AJ53" s="413">
        <f>SUMIFS('свод практик'!$BC$6:$BC$277,'свод практик'!$J$6:$J$277,'строго ИБ'!AJ$1,'свод практик'!$B$6:$B$277,"ИБ")</f>
        <v>0</v>
      </c>
      <c r="AK53" s="413">
        <f>SUMIFS('свод практик'!$BC$6:$BC$277,'свод практик'!$J$6:$J$277,'строго ИБ'!AK$1,'свод практик'!$B$6:$B$277,"ИБ")</f>
        <v>0.41499999999999998</v>
      </c>
      <c r="AL53" s="413">
        <f>SUMIFS('свод практик'!$BC$6:$BC$277,'свод практик'!$J$6:$J$277,'строго ИБ'!AL$1,'свод практик'!$B$6:$B$277,"ИБ")</f>
        <v>5.6949647500000005</v>
      </c>
      <c r="AM53" s="413">
        <f>SUMIFS('свод практик'!$BC$6:$BC$277,'свод практик'!$J$6:$J$277,'строго ИБ'!AM$1,'свод практик'!$B$6:$B$277,"ИБ")</f>
        <v>0</v>
      </c>
      <c r="AN53" s="413">
        <f>SUMIFS('свод практик'!$BC$6:$BC$277,'свод практик'!$J$6:$J$277,'строго ИБ'!AN$1,'свод практик'!$B$6:$B$277,"ИБ")</f>
        <v>0</v>
      </c>
      <c r="AO53" s="413">
        <f>SUMIFS('свод практик'!$BC$6:$BC$277,'свод практик'!$J$6:$J$277,'строго ИБ'!AO$1,'свод практик'!$B$6:$B$277,"ИБ")</f>
        <v>0</v>
      </c>
      <c r="AP53" s="413">
        <f>SUMIFS('свод практик'!$BC$6:$BC$277,'свод практик'!$J$6:$J$277,'строго ИБ'!AP$1,'свод практик'!$B$6:$B$277,"ИБ")</f>
        <v>5.6</v>
      </c>
      <c r="AQ53" s="413">
        <f>SUMIFS('свод практик'!$BC$6:$BC$277,'свод практик'!$J$6:$J$277,'строго ИБ'!AQ$1,'свод практик'!$B$6:$B$277,"ИБ")</f>
        <v>28</v>
      </c>
      <c r="AR53" s="413">
        <f>SUMIFS('свод практик'!$BC$6:$BC$277,'свод практик'!$J$6:$J$277,'строго ИБ'!AR$1,'свод практик'!$B$6:$B$277,"ИБ")</f>
        <v>6.9359999999999999</v>
      </c>
      <c r="AS53" s="413">
        <f>SUMIFS('свод практик'!$BC$6:$BC$277,'свод практик'!$J$6:$J$277,'строго ИБ'!AS$1,'свод практик'!$B$6:$B$277,"ИБ")</f>
        <v>0</v>
      </c>
      <c r="AT53" s="413">
        <f>SUMIFS('свод практик'!$BC$6:$BC$277,'свод практик'!$J$6:$J$277,'строго ИБ'!AT$1,'свод практик'!$B$6:$B$277,"ИБ")</f>
        <v>0</v>
      </c>
      <c r="AU53" s="413">
        <f>SUMIFS('свод практик'!$BC$6:$BC$277,'свод практик'!$J$6:$J$277,'строго ИБ'!AU$1,'свод практик'!$B$6:$B$277,"ИБ")</f>
        <v>8.31</v>
      </c>
      <c r="AV53" s="413">
        <f>SUMIFS('свод практик'!$BC$6:$BC$277,'свод практик'!$J$6:$J$277,'строго ИБ'!AV$1,'свод практик'!$B$6:$B$277,"ИБ")</f>
        <v>0</v>
      </c>
      <c r="AW53" s="413">
        <f>SUMIFS('свод практик'!$BC$6:$BC$277,'свод практик'!$J$6:$J$277,'строго ИБ'!AW$1,'свод практик'!$B$6:$B$277,"ИБ")</f>
        <v>2.629</v>
      </c>
      <c r="AX53" s="413">
        <f>SUMIFS('свод практик'!$BC$6:$BC$277,'свод практик'!$J$6:$J$277,'строго ИБ'!AX$1,'свод практик'!$B$6:$B$277,"ИБ")</f>
        <v>0</v>
      </c>
      <c r="AY53" s="413">
        <f>SUMIFS('свод практик'!$BC$6:$BC$277,'свод практик'!$J$6:$J$277,'строго ИБ'!AY$1,'свод практик'!$B$6:$B$277,"ИБ")</f>
        <v>0</v>
      </c>
      <c r="AZ53" s="413">
        <f>SUMIFS('свод практик'!$BC$6:$BC$277,'свод практик'!$J$6:$J$277,'строго ИБ'!AZ$1,'свод практик'!$B$6:$B$277,"ИБ")</f>
        <v>0</v>
      </c>
      <c r="BA53" s="413">
        <f>SUMIFS('свод практик'!$BC$6:$BC$277,'свод практик'!$J$6:$J$277,'строго ИБ'!BA$1,'свод практик'!$B$6:$B$277,"ИБ")</f>
        <v>0</v>
      </c>
      <c r="BB53" s="413">
        <f>SUMIFS('свод практик'!$BC$6:$BC$277,'свод практик'!$J$6:$J$277,'строго ИБ'!BB$1,'свод практик'!$B$6:$B$277,"ИБ")</f>
        <v>0</v>
      </c>
      <c r="BC53" s="413">
        <f>SUMIFS('свод практик'!$BC$6:$BC$277,'свод практик'!$J$6:$J$277,'строго ИБ'!BC$1,'свод практик'!$B$6:$B$277,"ИБ")</f>
        <v>0</v>
      </c>
      <c r="BD53" s="413">
        <f>SUMIFS('свод практик'!$BC$6:$BC$277,'свод практик'!$J$6:$J$277,'строго ИБ'!BD$1,'свод практик'!$B$6:$B$277,"ИБ")</f>
        <v>0</v>
      </c>
      <c r="BE53" s="413">
        <f>SUMIFS('свод практик'!$BC$6:$BC$277,'свод практик'!$J$6:$J$277,'строго ИБ'!BE$1,'свод практик'!$B$6:$B$277,"ИБ")</f>
        <v>0.5</v>
      </c>
      <c r="BF53" s="413">
        <f>SUMIFS('свод практик'!$BC$6:$BC$277,'свод практик'!$J$6:$J$277,'строго ИБ'!BF$1,'свод практик'!$B$6:$B$277,"ИБ")</f>
        <v>5.2519999999999998</v>
      </c>
      <c r="BG53" s="413">
        <f>SUMIFS('свод практик'!$BC$6:$BC$277,'свод практик'!$J$6:$J$277,'строго ИБ'!BG$1,'свод практик'!$B$6:$B$277,"ИБ")</f>
        <v>0.108</v>
      </c>
      <c r="BH53" s="413">
        <f>SUMIFS('свод практик'!$BC$6:$BC$277,'свод практик'!$J$6:$J$277,'строго ИБ'!BH$1,'свод практик'!$B$6:$B$277,"ИБ")</f>
        <v>65.494</v>
      </c>
      <c r="BI53" s="413">
        <f>SUMIFS('свод практик'!$BC$6:$BC$277,'свод практик'!$J$6:$J$277,'строго ИБ'!BI$1,'свод практик'!$B$6:$B$277,"ИБ")</f>
        <v>2.7450000000000001</v>
      </c>
      <c r="BJ53" s="413">
        <f>SUMIFS('свод практик'!$BC$6:$BC$277,'свод практик'!$J$6:$J$277,'строго ИБ'!BJ$1,'свод практик'!$B$6:$B$277,"ИБ")</f>
        <v>0.6</v>
      </c>
      <c r="BK53" s="413">
        <f>SUMIFS('свод практик'!$BC$6:$BC$277,'свод практик'!$J$6:$J$277,'строго ИБ'!BK$1,'свод практик'!$B$6:$B$277,"ИБ")</f>
        <v>0</v>
      </c>
      <c r="BL53" s="413">
        <f>SUMIFS('свод практик'!$BC$6:$BC$277,'свод практик'!$J$6:$J$277,'строго ИБ'!BL$1,'свод практик'!$B$6:$B$277,"ИБ")</f>
        <v>7.3500999999999994</v>
      </c>
      <c r="BM53" s="413">
        <f>SUMIFS('свод практик'!$BC$6:$BC$277,'свод практик'!$J$6:$J$277,'строго ИБ'!BM$1,'свод практик'!$B$6:$B$277,"ИБ")</f>
        <v>1.46</v>
      </c>
      <c r="BN53" s="413">
        <f>SUMIFS('свод практик'!$BC$6:$BC$277,'свод практик'!$J$6:$J$277,'строго ИБ'!BN$1,'свод практик'!$B$6:$B$277,"ИБ")</f>
        <v>0</v>
      </c>
      <c r="BO53" s="413">
        <f>SUMIFS('свод практик'!$BC$6:$BC$277,'свод практик'!$J$6:$J$277,'строго ИБ'!BO$1,'свод практик'!$B$6:$B$277,"ИБ")</f>
        <v>3.0135468599999999</v>
      </c>
      <c r="BP53" s="413">
        <f>SUMIFS('свод практик'!$BC$6:$BC$277,'свод практик'!$J$6:$J$277,'строго ИБ'!BP$1,'свод практик'!$B$6:$B$277,"ИБ")</f>
        <v>0</v>
      </c>
      <c r="BQ53" s="413">
        <f>SUMIFS('свод практик'!$BC$6:$BC$277,'свод практик'!$J$6:$J$277,'строго ИБ'!BQ$1,'свод практик'!$B$6:$B$277,"ИБ")</f>
        <v>0</v>
      </c>
      <c r="BR53" s="413">
        <f>SUMIFS('свод практик'!$BC$6:$BC$277,'свод практик'!$J$6:$J$277,'строго ИБ'!BR$1,'свод практик'!$B$6:$B$277,"ИБ")</f>
        <v>3.2679999999999998</v>
      </c>
      <c r="BS53" s="413">
        <f>SUMIFS('свод практик'!$BC$6:$BC$277,'свод практик'!$J$6:$J$277,'строго ИБ'!BS$1,'свод практик'!$B$6:$B$277,"ИБ")</f>
        <v>6.6609999999999996</v>
      </c>
      <c r="BT53" s="413">
        <f>SUMIFS('свод практик'!$BC$6:$BC$277,'свод практик'!$J$6:$J$277,'строго ИБ'!BT$1,'свод практик'!$B$6:$B$277,"ИБ")</f>
        <v>14.381</v>
      </c>
      <c r="BU53" s="413">
        <f>SUMIFS('свод практик'!$BC$6:$BC$277,'свод практик'!$J$6:$J$277,'строго ИБ'!BU$1,'свод практик'!$B$6:$B$277,"ИБ")</f>
        <v>0</v>
      </c>
      <c r="BV53" s="413">
        <f>SUMIFS('свод практик'!$BC$6:$BC$277,'свод практик'!$J$6:$J$277,'строго ИБ'!BV$1,'свод практик'!$B$6:$B$277,"ИБ")</f>
        <v>8.4672999999999998</v>
      </c>
      <c r="BW53" s="413">
        <f>SUMIFS('свод практик'!$BC$6:$BC$277,'свод практик'!$J$6:$J$277,'строго ИБ'!BW$1,'свод практик'!$B$6:$B$277,"ИБ")</f>
        <v>40.4</v>
      </c>
      <c r="BX53" s="413">
        <f>SUMIFS('свод практик'!$BC$6:$BC$277,'свод практик'!$J$6:$J$277,'строго ИБ'!BX$1,'свод практик'!$B$6:$B$277,"ИБ")</f>
        <v>2</v>
      </c>
      <c r="BY53" s="413">
        <f>SUMIFS('свод практик'!$BC$6:$BC$277,'свод практик'!$J$6:$J$277,'строго ИБ'!BY$1,'свод практик'!$B$6:$B$277,"ИБ")</f>
        <v>10.7255</v>
      </c>
      <c r="BZ53" s="413">
        <f>SUMIFS('свод практик'!$BC$6:$BC$277,'свод практик'!$J$6:$J$277,'строго ИБ'!BZ$1,'свод практик'!$B$6:$B$277,"ИБ")</f>
        <v>0</v>
      </c>
      <c r="CA53" s="413">
        <f>SUMIFS('свод практик'!$BC$6:$BC$277,'свод практик'!$J$6:$J$277,'строго ИБ'!CA$1,'свод практик'!$B$6:$B$277,"ИБ")</f>
        <v>0</v>
      </c>
      <c r="CB53" s="413">
        <f>SUMIFS('свод практик'!$BC$6:$BC$277,'свод практик'!$J$6:$J$277,'строго ИБ'!CB$1,'свод практик'!$B$6:$B$277,"ИБ")</f>
        <v>0</v>
      </c>
      <c r="CC53" s="413">
        <f>SUMIFS('свод практик'!$BC$6:$BC$277,'свод практик'!$J$6:$J$277,'строго ИБ'!CC$1,'свод практик'!$B$6:$B$277,"ИБ")</f>
        <v>67.543999999999997</v>
      </c>
      <c r="CD53" s="413">
        <f>SUMIFS('свод практик'!$BC$6:$BC$277,'свод практик'!$J$6:$J$277,'строго ИБ'!CD$1,'свод практик'!$B$6:$B$277,"ИБ")</f>
        <v>0</v>
      </c>
      <c r="CE53" s="413">
        <f>SUMIFS('свод практик'!$BC$6:$BC$277,'свод практик'!$J$6:$J$277,'строго ИБ'!CE$1,'свод практик'!$B$6:$B$277,"ИБ")</f>
        <v>0</v>
      </c>
      <c r="CF53" s="413">
        <f>SUMIFS('свод практик'!$BC$6:$BC$277,'свод практик'!$J$6:$J$277,'строго ИБ'!CF$1,'свод практик'!$B$6:$B$277,"ИБ")</f>
        <v>10.8</v>
      </c>
      <c r="CG53" s="413">
        <f>SUMIFS('свод практик'!$BC$6:$BC$277,'свод практик'!$J$6:$J$277,'строго ИБ'!CG$1,'свод практик'!$B$6:$B$277,"ИБ")</f>
        <v>2.28517781</v>
      </c>
      <c r="CH53" s="413">
        <f>SUMIFS('свод практик'!$BC$6:$BC$277,'свод практик'!$J$6:$J$277,'строго ИБ'!CH$1,'свод практик'!$B$6:$B$277,"ИБ")</f>
        <v>0</v>
      </c>
      <c r="CI53" s="413">
        <f>SUMIFS('свод практик'!$BC$6:$BC$277,'свод практик'!$J$6:$J$277,'строго ИБ'!CI$1,'свод практик'!$B$6:$B$277,"ИБ")</f>
        <v>0</v>
      </c>
      <c r="CJ53" s="413">
        <f>SUMIFS('свод практик'!$BC$6:$BC$277,'свод практик'!$J$6:$J$277,'строго ИБ'!CJ$1,'свод практик'!$B$6:$B$277,"ИБ")</f>
        <v>0</v>
      </c>
      <c r="CK53" s="413">
        <f>SUMIFS('свод практик'!$BC$6:$BC$277,'свод практик'!$J$6:$J$277,'строго ИБ'!CK$1,'свод практик'!$B$6:$B$277,"ИБ")</f>
        <v>8.5950000000000006</v>
      </c>
      <c r="CL53" s="413">
        <f>SUMIFS('свод практик'!$BC$6:$BC$277,'свод практик'!$J$6:$J$277,'строго ИБ'!CL$1,'свод практик'!$B$6:$B$277,"ИБ")</f>
        <v>6.4</v>
      </c>
      <c r="CM53" s="413">
        <f>SUMIFS('свод практик'!$BC$6:$BC$277,'свод практик'!$J$6:$J$277,'строго ИБ'!CM$1,'свод практик'!$B$6:$B$277,"ИБ")</f>
        <v>9.4</v>
      </c>
      <c r="CN53" s="413">
        <f>SUMIFS('свод практик'!$BC$6:$BC$277,'свод практик'!$J$6:$J$277,'строго ИБ'!CN$1,'свод практик'!$B$6:$B$277,"ИБ")</f>
        <v>0</v>
      </c>
      <c r="CO53" s="413">
        <f>SUMIFS('свод практик'!$BC$6:$BC$277,'свод практик'!$J$6:$J$277,'строго ИБ'!CO$1,'свод практик'!$B$6:$B$277,"ИБ")</f>
        <v>4.6684999999999999</v>
      </c>
      <c r="CP53" s="413">
        <f>SUMIFS('свод практик'!$BC$6:$BC$277,'свод практик'!$J$6:$J$277,'строго ИБ'!CP$1,'свод практик'!$B$6:$B$277,"ИБ")</f>
        <v>0</v>
      </c>
      <c r="CQ53" s="413">
        <f>SUMIFS('свод практик'!$BC$6:$BC$277,'свод практик'!$J$6:$J$277,'строго ИБ'!CQ$1,'свод практик'!$B$6:$B$277,"ИБ")</f>
        <v>0</v>
      </c>
      <c r="CR53" s="413">
        <f>SUMIFS('свод практик'!$BC$6:$BC$277,'свод практик'!$J$6:$J$277,'строго ИБ'!CR$1,'свод практик'!$B$6:$B$277,"ИБ")</f>
        <v>13.973000000000001</v>
      </c>
      <c r="CS53" s="413">
        <f>SUMIFS('свод практик'!$BC$6:$BC$277,'свод практик'!$J$6:$J$277,'строго ИБ'!CS$1,'свод практик'!$B$6:$B$277,"ИБ")</f>
        <v>0</v>
      </c>
      <c r="CT53" s="413">
        <f>SUMIFS('свод практик'!$BC$6:$BC$277,'свод практик'!$J$6:$J$277,'строго ИБ'!CT$1,'свод практик'!$B$6:$B$277,"ИБ")</f>
        <v>5.2079999999999993</v>
      </c>
      <c r="CU53" s="413">
        <f>SUMIFS('свод практик'!$BC$6:$BC$277,'свод практик'!$J$6:$J$277,'строго ИБ'!CU$1,'свод практик'!$B$6:$B$277,"ИБ")</f>
        <v>0.6</v>
      </c>
    </row>
    <row r="54" spans="1:99" ht="33" customHeight="1" thickBot="1">
      <c r="A54" s="800"/>
      <c r="B54" s="796"/>
      <c r="C54" s="796"/>
      <c r="D54" s="452" t="s">
        <v>4949</v>
      </c>
      <c r="E54" s="452">
        <v>33</v>
      </c>
      <c r="F54" s="453" t="s">
        <v>5102</v>
      </c>
      <c r="G54" s="454" t="s">
        <v>5745</v>
      </c>
      <c r="H54" s="455" t="s">
        <v>60</v>
      </c>
      <c r="I54" s="456" t="s">
        <v>5090</v>
      </c>
      <c r="J54" s="456"/>
      <c r="K54" s="343"/>
      <c r="L54" s="368">
        <v>4.5609981051900374E-2</v>
      </c>
      <c r="M54" s="369">
        <v>4.996065672597353E-2</v>
      </c>
      <c r="N54" s="607">
        <f>N53/N44</f>
        <v>4.0189039100831131E-2</v>
      </c>
      <c r="O54" s="608">
        <f t="shared" ref="O54:BZ54" si="9">O53/O44</f>
        <v>7.7030421434552049E-2</v>
      </c>
      <c r="P54" s="608">
        <f t="shared" si="9"/>
        <v>8.5740913327120222E-2</v>
      </c>
      <c r="Q54" s="608">
        <f t="shared" si="9"/>
        <v>5.1090700344431694E-2</v>
      </c>
      <c r="R54" s="608">
        <f t="shared" si="9"/>
        <v>3.1833701546495285E-2</v>
      </c>
      <c r="S54" s="608">
        <f t="shared" si="9"/>
        <v>0</v>
      </c>
      <c r="T54" s="608">
        <f t="shared" si="9"/>
        <v>0</v>
      </c>
      <c r="U54" s="608">
        <f t="shared" si="9"/>
        <v>3.7913288484544658E-2</v>
      </c>
      <c r="V54" s="608">
        <f t="shared" si="9"/>
        <v>0</v>
      </c>
      <c r="W54" s="608">
        <f t="shared" si="9"/>
        <v>0</v>
      </c>
      <c r="X54" s="608" t="e">
        <f t="shared" si="9"/>
        <v>#DIV/0!</v>
      </c>
      <c r="Y54" s="608" t="e">
        <f t="shared" si="9"/>
        <v>#DIV/0!</v>
      </c>
      <c r="Z54" s="608">
        <f t="shared" si="9"/>
        <v>5.2094458185123361E-4</v>
      </c>
      <c r="AA54" s="608">
        <f t="shared" si="9"/>
        <v>4.877504325018138E-2</v>
      </c>
      <c r="AB54" s="608">
        <f t="shared" si="9"/>
        <v>5.9228822195194118E-2</v>
      </c>
      <c r="AC54" s="608" t="e">
        <f t="shared" si="9"/>
        <v>#DIV/0!</v>
      </c>
      <c r="AD54" s="608" t="e">
        <f t="shared" si="9"/>
        <v>#DIV/0!</v>
      </c>
      <c r="AE54" s="608" t="e">
        <f t="shared" si="9"/>
        <v>#DIV/0!</v>
      </c>
      <c r="AF54" s="608" t="e">
        <f t="shared" si="9"/>
        <v>#DIV/0!</v>
      </c>
      <c r="AG54" s="608" t="e">
        <f t="shared" si="9"/>
        <v>#DIV/0!</v>
      </c>
      <c r="AH54" s="608" t="e">
        <f t="shared" si="9"/>
        <v>#DIV/0!</v>
      </c>
      <c r="AI54" s="608" t="e">
        <f t="shared" si="9"/>
        <v>#DIV/0!</v>
      </c>
      <c r="AJ54" s="608" t="e">
        <f t="shared" si="9"/>
        <v>#DIV/0!</v>
      </c>
      <c r="AK54" s="608">
        <f t="shared" si="9"/>
        <v>5.5309786113725182E-2</v>
      </c>
      <c r="AL54" s="608">
        <f t="shared" si="9"/>
        <v>3.4483368344618882E-2</v>
      </c>
      <c r="AM54" s="608" t="e">
        <f t="shared" si="9"/>
        <v>#DIV/0!</v>
      </c>
      <c r="AN54" s="608" t="e">
        <f t="shared" si="9"/>
        <v>#DIV/0!</v>
      </c>
      <c r="AO54" s="608">
        <f t="shared" si="9"/>
        <v>0</v>
      </c>
      <c r="AP54" s="608">
        <f t="shared" si="9"/>
        <v>4.5714285714285714E-2</v>
      </c>
      <c r="AQ54" s="608">
        <f t="shared" si="9"/>
        <v>7.128309572301425E-2</v>
      </c>
      <c r="AR54" s="608">
        <f t="shared" si="9"/>
        <v>5.86593596184097E-2</v>
      </c>
      <c r="AS54" s="608" t="e">
        <f t="shared" si="9"/>
        <v>#DIV/0!</v>
      </c>
      <c r="AT54" s="608" t="e">
        <f t="shared" si="9"/>
        <v>#DIV/0!</v>
      </c>
      <c r="AU54" s="608">
        <f t="shared" si="9"/>
        <v>5.3859615010694153E-2</v>
      </c>
      <c r="AV54" s="608" t="e">
        <f t="shared" si="9"/>
        <v>#DIV/0!</v>
      </c>
      <c r="AW54" s="608">
        <f t="shared" si="9"/>
        <v>1.3753884465277852E-2</v>
      </c>
      <c r="AX54" s="608" t="e">
        <f t="shared" si="9"/>
        <v>#DIV/0!</v>
      </c>
      <c r="AY54" s="608">
        <f t="shared" si="9"/>
        <v>0</v>
      </c>
      <c r="AZ54" s="608" t="e">
        <f t="shared" si="9"/>
        <v>#DIV/0!</v>
      </c>
      <c r="BA54" s="608" t="e">
        <f t="shared" si="9"/>
        <v>#DIV/0!</v>
      </c>
      <c r="BB54" s="608">
        <f t="shared" si="9"/>
        <v>0</v>
      </c>
      <c r="BC54" s="608" t="e">
        <f t="shared" si="9"/>
        <v>#DIV/0!</v>
      </c>
      <c r="BD54" s="608" t="e">
        <f t="shared" si="9"/>
        <v>#DIV/0!</v>
      </c>
      <c r="BE54" s="608">
        <f t="shared" si="9"/>
        <v>6.3211125158027806E-2</v>
      </c>
      <c r="BF54" s="608">
        <f t="shared" si="9"/>
        <v>0.14094031773293259</v>
      </c>
      <c r="BG54" s="608">
        <f t="shared" si="9"/>
        <v>4.6387767373936946E-3</v>
      </c>
      <c r="BH54" s="608">
        <f t="shared" si="9"/>
        <v>9.4177161312216554E-2</v>
      </c>
      <c r="BI54" s="608">
        <f t="shared" si="9"/>
        <v>6.1071929161011868E-2</v>
      </c>
      <c r="BJ54" s="608">
        <f t="shared" si="9"/>
        <v>3.8071065989847717E-3</v>
      </c>
      <c r="BK54" s="608" t="e">
        <f t="shared" si="9"/>
        <v>#DIV/0!</v>
      </c>
      <c r="BL54" s="608">
        <f t="shared" si="9"/>
        <v>6.3829048161183941E-2</v>
      </c>
      <c r="BM54" s="608">
        <f t="shared" si="9"/>
        <v>7.2302282969345807E-2</v>
      </c>
      <c r="BN54" s="608" t="e">
        <f t="shared" si="9"/>
        <v>#DIV/0!</v>
      </c>
      <c r="BO54" s="608">
        <f t="shared" si="9"/>
        <v>2.3137578863464597E-2</v>
      </c>
      <c r="BP54" s="608" t="e">
        <f t="shared" si="9"/>
        <v>#DIV/0!</v>
      </c>
      <c r="BQ54" s="608" t="e">
        <f t="shared" si="9"/>
        <v>#DIV/0!</v>
      </c>
      <c r="BR54" s="608">
        <f t="shared" si="9"/>
        <v>0.31035137701804366</v>
      </c>
      <c r="BS54" s="608">
        <f t="shared" si="9"/>
        <v>3.2442989762023047E-2</v>
      </c>
      <c r="BT54" s="608">
        <f t="shared" si="9"/>
        <v>5.4752223440545797E-2</v>
      </c>
      <c r="BU54" s="608">
        <f t="shared" si="9"/>
        <v>0</v>
      </c>
      <c r="BV54" s="608">
        <f t="shared" si="9"/>
        <v>7.8236990454261121E-2</v>
      </c>
      <c r="BW54" s="608">
        <f t="shared" si="9"/>
        <v>5.0057615820189076E-2</v>
      </c>
      <c r="BX54" s="608">
        <f t="shared" si="9"/>
        <v>2.3207240659085635E-3</v>
      </c>
      <c r="BY54" s="608">
        <f t="shared" si="9"/>
        <v>0.11110247884230916</v>
      </c>
      <c r="BZ54" s="608" t="e">
        <f t="shared" si="9"/>
        <v>#DIV/0!</v>
      </c>
      <c r="CA54" s="608" t="e">
        <f t="shared" ref="CA54:CU54" si="10">CA53/CA44</f>
        <v>#DIV/0!</v>
      </c>
      <c r="CB54" s="608" t="e">
        <f t="shared" si="10"/>
        <v>#DIV/0!</v>
      </c>
      <c r="CC54" s="608">
        <f t="shared" si="10"/>
        <v>0.1043456767236718</v>
      </c>
      <c r="CD54" s="608">
        <f t="shared" si="10"/>
        <v>0</v>
      </c>
      <c r="CE54" s="608" t="e">
        <f t="shared" si="10"/>
        <v>#DIV/0!</v>
      </c>
      <c r="CF54" s="608">
        <f t="shared" si="10"/>
        <v>4.8171275646743984E-2</v>
      </c>
      <c r="CG54" s="608">
        <f t="shared" si="10"/>
        <v>4.2344922938492617E-2</v>
      </c>
      <c r="CH54" s="608">
        <f t="shared" si="10"/>
        <v>0</v>
      </c>
      <c r="CI54" s="608" t="e">
        <f t="shared" si="10"/>
        <v>#DIV/0!</v>
      </c>
      <c r="CJ54" s="608" t="e">
        <f t="shared" si="10"/>
        <v>#DIV/0!</v>
      </c>
      <c r="CK54" s="608">
        <f t="shared" si="10"/>
        <v>9.3005997568852458E-2</v>
      </c>
      <c r="CL54" s="608">
        <f t="shared" si="10"/>
        <v>3.3234748596588086E-2</v>
      </c>
      <c r="CM54" s="608">
        <f t="shared" si="10"/>
        <v>0.12005108556832696</v>
      </c>
      <c r="CN54" s="608" t="e">
        <f t="shared" si="10"/>
        <v>#DIV/0!</v>
      </c>
      <c r="CO54" s="608">
        <f t="shared" si="10"/>
        <v>2.8462750181600781E-2</v>
      </c>
      <c r="CP54" s="608">
        <f t="shared" si="10"/>
        <v>0</v>
      </c>
      <c r="CQ54" s="608" t="e">
        <f t="shared" si="10"/>
        <v>#DIV/0!</v>
      </c>
      <c r="CR54" s="608">
        <f t="shared" si="10"/>
        <v>3.2032589658239574E-2</v>
      </c>
      <c r="CS54" s="608">
        <f t="shared" si="10"/>
        <v>0</v>
      </c>
      <c r="CT54" s="608">
        <f t="shared" si="10"/>
        <v>6.944370366419543E-2</v>
      </c>
      <c r="CU54" s="608">
        <f t="shared" si="10"/>
        <v>8.1135902636916835E-4</v>
      </c>
    </row>
    <row r="55" spans="1:99" ht="51" customHeight="1">
      <c r="A55" s="810" t="s">
        <v>5103</v>
      </c>
      <c r="B55" s="816" t="s">
        <v>4990</v>
      </c>
      <c r="C55" s="814" t="s">
        <v>5104</v>
      </c>
      <c r="D55" s="445" t="s">
        <v>4949</v>
      </c>
      <c r="E55" s="445">
        <v>34</v>
      </c>
      <c r="F55" s="446" t="s">
        <v>5105</v>
      </c>
      <c r="G55" s="447" t="s">
        <v>5749</v>
      </c>
      <c r="H55" s="448" t="s">
        <v>5082</v>
      </c>
      <c r="I55" s="449" t="s">
        <v>4961</v>
      </c>
      <c r="J55" s="450"/>
      <c r="K55" s="340" t="s">
        <v>278</v>
      </c>
      <c r="L55" s="364">
        <v>5.0999999999999996</v>
      </c>
      <c r="M55" s="361">
        <v>78.239000000000019</v>
      </c>
      <c r="N55" s="580">
        <f>SUM(O55:CU55)</f>
        <v>100.779</v>
      </c>
      <c r="O55" s="413">
        <f>SUMIFS('свод практик'!$BN$6:$BN$277,'свод практик'!$J$6:$J$277,'строго ИБ'!O$1,'свод практик'!$B$6:$B$277,"ИБ")</f>
        <v>0</v>
      </c>
      <c r="P55" s="413">
        <f>SUMIFS('свод практик'!$BN$6:$BN$277,'свод практик'!$J$6:$J$277,'строго ИБ'!P$1,'свод практик'!$B$6:$B$277,"ИБ")</f>
        <v>0</v>
      </c>
      <c r="Q55" s="413">
        <f>SUMIFS('свод практик'!$BN$6:$BN$277,'свод практик'!$J$6:$J$277,'строго ИБ'!Q$1,'свод практик'!$B$6:$B$277,"ИБ")</f>
        <v>0</v>
      </c>
      <c r="R55" s="413">
        <f>SUMIFS('свод практик'!$BN$6:$BN$277,'свод практик'!$J$6:$J$277,'строго ИБ'!R$1,'свод практик'!$B$6:$B$277,"ИБ")</f>
        <v>0</v>
      </c>
      <c r="S55" s="413">
        <f>SUMIFS('свод практик'!$BN$6:$BN$277,'свод практик'!$J$6:$J$277,'строго ИБ'!S$1,'свод практик'!$B$6:$B$277,"ИБ")</f>
        <v>0</v>
      </c>
      <c r="T55" s="413">
        <f>SUMIFS('свод практик'!$BN$6:$BN$277,'свод практик'!$J$6:$J$277,'строго ИБ'!T$1,'свод практик'!$B$6:$B$277,"ИБ")</f>
        <v>0</v>
      </c>
      <c r="U55" s="413">
        <f>SUMIFS('свод практик'!$BN$6:$BN$277,'свод практик'!$J$6:$J$277,'строго ИБ'!U$1,'свод практик'!$B$6:$B$277,"ИБ")</f>
        <v>0</v>
      </c>
      <c r="V55" s="413">
        <f>SUMIFS('свод практик'!$BN$6:$BN$277,'свод практик'!$J$6:$J$277,'строго ИБ'!V$1,'свод практик'!$B$6:$B$277,"ИБ")</f>
        <v>0</v>
      </c>
      <c r="W55" s="413">
        <f>SUMIFS('свод практик'!$BN$6:$BN$277,'свод практик'!$J$6:$J$277,'строго ИБ'!W$1,'свод практик'!$B$6:$B$277,"ИБ")</f>
        <v>0</v>
      </c>
      <c r="X55" s="413">
        <f>SUMIFS('свод практик'!$BN$6:$BN$277,'свод практик'!$J$6:$J$277,'строго ИБ'!X$1,'свод практик'!$B$6:$B$277,"ИБ")</f>
        <v>0</v>
      </c>
      <c r="Y55" s="413">
        <f>SUMIFS('свод практик'!$BN$6:$BN$277,'свод практик'!$J$6:$J$277,'строго ИБ'!Y$1,'свод практик'!$B$6:$B$277,"ИБ")</f>
        <v>0</v>
      </c>
      <c r="Z55" s="413">
        <f>SUMIFS('свод практик'!$BN$6:$BN$277,'свод практик'!$J$6:$J$277,'строго ИБ'!Z$1,'свод практик'!$B$6:$B$277,"ИБ")</f>
        <v>0</v>
      </c>
      <c r="AA55" s="413">
        <f>SUMIFS('свод практик'!$BN$6:$BN$277,'свод практик'!$J$6:$J$277,'строго ИБ'!AA$1,'свод практик'!$B$6:$B$277,"ИБ")</f>
        <v>0</v>
      </c>
      <c r="AB55" s="413">
        <f>SUMIFS('свод практик'!$BN$6:$BN$277,'свод практик'!$J$6:$J$277,'строго ИБ'!AB$1,'свод практик'!$B$6:$B$277,"ИБ")</f>
        <v>0.26400000000000023</v>
      </c>
      <c r="AC55" s="413">
        <f>SUMIFS('свод практик'!$BN$6:$BN$277,'свод практик'!$J$6:$J$277,'строго ИБ'!AC$1,'свод практик'!$B$6:$B$277,"ИБ")</f>
        <v>0</v>
      </c>
      <c r="AD55" s="413">
        <f>SUMIFS('свод практик'!$BN$6:$BN$277,'свод практик'!$J$6:$J$277,'строго ИБ'!AD$1,'свод практик'!$B$6:$B$277,"ИБ")</f>
        <v>0</v>
      </c>
      <c r="AE55" s="413">
        <f>SUMIFS('свод практик'!$BN$6:$BN$277,'свод практик'!$J$6:$J$277,'строго ИБ'!AE$1,'свод практик'!$B$6:$B$277,"ИБ")</f>
        <v>0</v>
      </c>
      <c r="AF55" s="413">
        <f>SUMIFS('свод практик'!$BN$6:$BN$277,'свод практик'!$J$6:$J$277,'строго ИБ'!AF$1,'свод практик'!$B$6:$B$277,"ИБ")</f>
        <v>0</v>
      </c>
      <c r="AG55" s="413">
        <f>SUMIFS('свод практик'!$BN$6:$BN$277,'свод практик'!$J$6:$J$277,'строго ИБ'!AG$1,'свод практик'!$B$6:$B$277,"ИБ")</f>
        <v>0</v>
      </c>
      <c r="AH55" s="413">
        <f>SUMIFS('свод практик'!$BN$6:$BN$277,'свод практик'!$J$6:$J$277,'строго ИБ'!AH$1,'свод практик'!$B$6:$B$277,"ИБ")</f>
        <v>0</v>
      </c>
      <c r="AI55" s="413">
        <f>SUMIFS('свод практик'!$BN$6:$BN$277,'свод практик'!$J$6:$J$277,'строго ИБ'!AI$1,'свод практик'!$B$6:$B$277,"ИБ")</f>
        <v>0</v>
      </c>
      <c r="AJ55" s="413">
        <f>SUMIFS('свод практик'!$BN$6:$BN$277,'свод практик'!$J$6:$J$277,'строго ИБ'!AJ$1,'свод практик'!$B$6:$B$277,"ИБ")</f>
        <v>0</v>
      </c>
      <c r="AK55" s="413">
        <f>SUMIFS('свод практик'!$BN$6:$BN$277,'свод практик'!$J$6:$J$277,'строго ИБ'!AK$1,'свод практик'!$B$6:$B$277,"ИБ")</f>
        <v>0</v>
      </c>
      <c r="AL55" s="413">
        <f>SUMIFS('свод практик'!$BN$6:$BN$277,'свод практик'!$J$6:$J$277,'строго ИБ'!AL$1,'свод практик'!$B$6:$B$277,"ИБ")</f>
        <v>0</v>
      </c>
      <c r="AM55" s="413">
        <f>SUMIFS('свод практик'!$BN$6:$BN$277,'свод практик'!$J$6:$J$277,'строго ИБ'!AM$1,'свод практик'!$B$6:$B$277,"ИБ")</f>
        <v>0</v>
      </c>
      <c r="AN55" s="413">
        <f>SUMIFS('свод практик'!$BN$6:$BN$277,'свод практик'!$J$6:$J$277,'строго ИБ'!AN$1,'свод практик'!$B$6:$B$277,"ИБ")</f>
        <v>0</v>
      </c>
      <c r="AO55" s="413">
        <f>SUMIFS('свод практик'!$BN$6:$BN$277,'свод практик'!$J$6:$J$277,'строго ИБ'!AO$1,'свод практик'!$B$6:$B$277,"ИБ")</f>
        <v>0</v>
      </c>
      <c r="AP55" s="413">
        <f>SUMIFS('свод практик'!$BN$6:$BN$277,'свод практик'!$J$6:$J$277,'строго ИБ'!AP$1,'свод практик'!$B$6:$B$277,"ИБ")</f>
        <v>0</v>
      </c>
      <c r="AQ55" s="413">
        <f>SUMIFS('свод практик'!$BN$6:$BN$277,'свод практик'!$J$6:$J$277,'строго ИБ'!AQ$1,'свод практик'!$B$6:$B$277,"ИБ")</f>
        <v>0</v>
      </c>
      <c r="AR55" s="413">
        <f>SUMIFS('свод практик'!$BN$6:$BN$277,'свод практик'!$J$6:$J$277,'строго ИБ'!AR$1,'свод практик'!$B$6:$B$277,"ИБ")</f>
        <v>0</v>
      </c>
      <c r="AS55" s="413">
        <f>SUMIFS('свод практик'!$BN$6:$BN$277,'свод практик'!$J$6:$J$277,'строго ИБ'!AS$1,'свод практик'!$B$6:$B$277,"ИБ")</f>
        <v>0</v>
      </c>
      <c r="AT55" s="413">
        <f>SUMIFS('свод практик'!$BN$6:$BN$277,'свод практик'!$J$6:$J$277,'строго ИБ'!AT$1,'свод практик'!$B$6:$B$277,"ИБ")</f>
        <v>0</v>
      </c>
      <c r="AU55" s="413">
        <f>SUMIFS('свод практик'!$BN$6:$BN$277,'свод практик'!$J$6:$J$277,'строго ИБ'!AU$1,'свод практик'!$B$6:$B$277,"ИБ")</f>
        <v>0</v>
      </c>
      <c r="AV55" s="413">
        <f>SUMIFS('свод практик'!$BN$6:$BN$277,'свод практик'!$J$6:$J$277,'строго ИБ'!AV$1,'свод практик'!$B$6:$B$277,"ИБ")</f>
        <v>0</v>
      </c>
      <c r="AW55" s="413">
        <f>SUMIFS('свод практик'!$BN$6:$BN$277,'свод практик'!$J$6:$J$277,'строго ИБ'!AW$1,'свод практик'!$B$6:$B$277,"ИБ")</f>
        <v>0</v>
      </c>
      <c r="AX55" s="413">
        <f>SUMIFS('свод практик'!$BN$6:$BN$277,'свод практик'!$J$6:$J$277,'строго ИБ'!AX$1,'свод практик'!$B$6:$B$277,"ИБ")</f>
        <v>0</v>
      </c>
      <c r="AY55" s="413">
        <f>SUMIFS('свод практик'!$BN$6:$BN$277,'свод практик'!$J$6:$J$277,'строго ИБ'!AY$1,'свод практик'!$B$6:$B$277,"ИБ")</f>
        <v>0</v>
      </c>
      <c r="AZ55" s="413">
        <f>SUMIFS('свод практик'!$BN$6:$BN$277,'свод практик'!$J$6:$J$277,'строго ИБ'!AZ$1,'свод практик'!$B$6:$B$277,"ИБ")</f>
        <v>0</v>
      </c>
      <c r="BA55" s="413">
        <f>SUMIFS('свод практик'!$BN$6:$BN$277,'свод практик'!$J$6:$J$277,'строго ИБ'!BA$1,'свод практик'!$B$6:$B$277,"ИБ")</f>
        <v>0</v>
      </c>
      <c r="BB55" s="413">
        <f>SUMIFS('свод практик'!$BN$6:$BN$277,'свод практик'!$J$6:$J$277,'строго ИБ'!BB$1,'свод практик'!$B$6:$B$277,"ИБ")</f>
        <v>0</v>
      </c>
      <c r="BC55" s="413">
        <f>SUMIFS('свод практик'!$BN$6:$BN$277,'свод практик'!$J$6:$J$277,'строго ИБ'!BC$1,'свод практик'!$B$6:$B$277,"ИБ")</f>
        <v>0</v>
      </c>
      <c r="BD55" s="413">
        <f>SUMIFS('свод практик'!$BN$6:$BN$277,'свод практик'!$J$6:$J$277,'строго ИБ'!BD$1,'свод практик'!$B$6:$B$277,"ИБ")</f>
        <v>0</v>
      </c>
      <c r="BE55" s="413">
        <f>SUMIFS('свод практик'!$BN$6:$BN$277,'свод практик'!$J$6:$J$277,'строго ИБ'!BE$1,'свод практик'!$B$6:$B$277,"ИБ")</f>
        <v>0</v>
      </c>
      <c r="BF55" s="413">
        <f>SUMIFS('свод практик'!$BN$6:$BN$277,'свод практик'!$J$6:$J$277,'строго ИБ'!BF$1,'свод практик'!$B$6:$B$277,"ИБ")</f>
        <v>0</v>
      </c>
      <c r="BG55" s="413">
        <f>SUMIFS('свод практик'!$BN$6:$BN$277,'свод практик'!$J$6:$J$277,'строго ИБ'!BG$1,'свод практик'!$B$6:$B$277,"ИБ")</f>
        <v>0</v>
      </c>
      <c r="BH55" s="413">
        <f>SUMIFS('свод практик'!$BN$6:$BN$277,'свод практик'!$J$6:$J$277,'строго ИБ'!BH$1,'свод практик'!$B$6:$B$277,"ИБ")</f>
        <v>0</v>
      </c>
      <c r="BI55" s="413">
        <f>SUMIFS('свод практик'!$BN$6:$BN$277,'свод практик'!$J$6:$J$277,'строго ИБ'!BI$1,'свод практик'!$B$6:$B$277,"ИБ")</f>
        <v>0</v>
      </c>
      <c r="BJ55" s="413">
        <f>SUMIFS('свод практик'!$BN$6:$BN$277,'свод практик'!$J$6:$J$277,'строго ИБ'!BJ$1,'свод практик'!$B$6:$B$277,"ИБ")</f>
        <v>0</v>
      </c>
      <c r="BK55" s="413">
        <f>SUMIFS('свод практик'!$BN$6:$BN$277,'свод практик'!$J$6:$J$277,'строго ИБ'!BK$1,'свод практик'!$B$6:$B$277,"ИБ")</f>
        <v>0</v>
      </c>
      <c r="BL55" s="413">
        <f>SUMIFS('свод практик'!$BN$6:$BN$277,'свод практик'!$J$6:$J$277,'строго ИБ'!BL$1,'свод практик'!$B$6:$B$277,"ИБ")</f>
        <v>0</v>
      </c>
      <c r="BM55" s="413">
        <f>SUMIFS('свод практик'!$BN$6:$BN$277,'свод практик'!$J$6:$J$277,'строго ИБ'!BM$1,'свод практик'!$B$6:$B$277,"ИБ")</f>
        <v>0</v>
      </c>
      <c r="BN55" s="413">
        <f>SUMIFS('свод практик'!$BN$6:$BN$277,'свод практик'!$J$6:$J$277,'строго ИБ'!BN$1,'свод практик'!$B$6:$B$277,"ИБ")</f>
        <v>0</v>
      </c>
      <c r="BO55" s="413">
        <f>SUMIFS('свод практик'!$BN$6:$BN$277,'свод практик'!$J$6:$J$277,'строго ИБ'!BO$1,'свод практик'!$B$6:$B$277,"ИБ")</f>
        <v>0</v>
      </c>
      <c r="BP55" s="413">
        <f>SUMIFS('свод практик'!$BN$6:$BN$277,'свод практик'!$J$6:$J$277,'строго ИБ'!BP$1,'свод практик'!$B$6:$B$277,"ИБ")</f>
        <v>0</v>
      </c>
      <c r="BQ55" s="413">
        <f>SUMIFS('свод практик'!$BN$6:$BN$277,'свод практик'!$J$6:$J$277,'строго ИБ'!BQ$1,'свод практик'!$B$6:$B$277,"ИБ")</f>
        <v>0</v>
      </c>
      <c r="BR55" s="413">
        <f>SUMIFS('свод практик'!$BN$6:$BN$277,'свод практик'!$J$6:$J$277,'строго ИБ'!BR$1,'свод практик'!$B$6:$B$277,"ИБ")</f>
        <v>3.5</v>
      </c>
      <c r="BS55" s="413">
        <f>SUMIFS('свод практик'!$BN$6:$BN$277,'свод практик'!$J$6:$J$277,'строго ИБ'!BS$1,'свод практик'!$B$6:$B$277,"ИБ")</f>
        <v>0</v>
      </c>
      <c r="BT55" s="413">
        <f>SUMIFS('свод практик'!$BN$6:$BN$277,'свод практик'!$J$6:$J$277,'строго ИБ'!BT$1,'свод практик'!$B$6:$B$277,"ИБ")</f>
        <v>0</v>
      </c>
      <c r="BU55" s="413">
        <f>SUMIFS('свод практик'!$BN$6:$BN$277,'свод практик'!$J$6:$J$277,'строго ИБ'!BU$1,'свод практик'!$B$6:$B$277,"ИБ")</f>
        <v>0</v>
      </c>
      <c r="BV55" s="413">
        <f>SUMIFS('свод практик'!$BN$6:$BN$277,'свод практик'!$J$6:$J$277,'строго ИБ'!BV$1,'свод практик'!$B$6:$B$277,"ИБ")</f>
        <v>0</v>
      </c>
      <c r="BW55" s="413">
        <f>SUMIFS('свод практик'!$BN$6:$BN$277,'свод практик'!$J$6:$J$277,'строго ИБ'!BW$1,'свод практик'!$B$6:$B$277,"ИБ")</f>
        <v>80.72</v>
      </c>
      <c r="BX55" s="413">
        <f>SUMIFS('свод практик'!$BN$6:$BN$277,'свод практик'!$J$6:$J$277,'строго ИБ'!BX$1,'свод практик'!$B$6:$B$277,"ИБ")</f>
        <v>0</v>
      </c>
      <c r="BY55" s="413">
        <f>SUMIFS('свод практик'!$BN$6:$BN$277,'свод практик'!$J$6:$J$277,'строго ИБ'!BY$1,'свод практик'!$B$6:$B$277,"ИБ")</f>
        <v>0</v>
      </c>
      <c r="BZ55" s="413">
        <f>SUMIFS('свод практик'!$BN$6:$BN$277,'свод практик'!$J$6:$J$277,'строго ИБ'!BZ$1,'свод практик'!$B$6:$B$277,"ИБ")</f>
        <v>0</v>
      </c>
      <c r="CA55" s="413">
        <f>SUMIFS('свод практик'!$BN$6:$BN$277,'свод практик'!$J$6:$J$277,'строго ИБ'!CA$1,'свод практик'!$B$6:$B$277,"ИБ")</f>
        <v>0</v>
      </c>
      <c r="CB55" s="413">
        <f>SUMIFS('свод практик'!$BN$6:$BN$277,'свод практик'!$J$6:$J$277,'строго ИБ'!CB$1,'свод практик'!$B$6:$B$277,"ИБ")</f>
        <v>0</v>
      </c>
      <c r="CC55" s="413">
        <f>SUMIFS('свод практик'!$BN$6:$BN$277,'свод практик'!$J$6:$J$277,'строго ИБ'!CC$1,'свод практик'!$B$6:$B$277,"ИБ")</f>
        <v>0</v>
      </c>
      <c r="CD55" s="413">
        <f>SUMIFS('свод практик'!$BN$6:$BN$277,'свод практик'!$J$6:$J$277,'строго ИБ'!CD$1,'свод практик'!$B$6:$B$277,"ИБ")</f>
        <v>0</v>
      </c>
      <c r="CE55" s="413">
        <f>SUMIFS('свод практик'!$BN$6:$BN$277,'свод практик'!$J$6:$J$277,'строго ИБ'!CE$1,'свод практик'!$B$6:$B$277,"ИБ")</f>
        <v>0</v>
      </c>
      <c r="CF55" s="413">
        <f>SUMIFS('свод практик'!$BN$6:$BN$277,'свод практик'!$J$6:$J$277,'строго ИБ'!CF$1,'свод практик'!$B$6:$B$277,"ИБ")</f>
        <v>0</v>
      </c>
      <c r="CG55" s="413">
        <f>SUMIFS('свод практик'!$BN$6:$BN$277,'свод практик'!$J$6:$J$277,'строго ИБ'!CG$1,'свод практик'!$B$6:$B$277,"ИБ")</f>
        <v>0</v>
      </c>
      <c r="CH55" s="413">
        <f>SUMIFS('свод практик'!$BN$6:$BN$277,'свод практик'!$J$6:$J$277,'строго ИБ'!CH$1,'свод практик'!$B$6:$B$277,"ИБ")</f>
        <v>0</v>
      </c>
      <c r="CI55" s="413">
        <f>SUMIFS('свод практик'!$BN$6:$BN$277,'свод практик'!$J$6:$J$277,'строго ИБ'!CI$1,'свод практик'!$B$6:$B$277,"ИБ")</f>
        <v>0</v>
      </c>
      <c r="CJ55" s="413">
        <f>SUMIFS('свод практик'!$BN$6:$BN$277,'свод практик'!$J$6:$J$277,'строго ИБ'!CJ$1,'свод практик'!$B$6:$B$277,"ИБ")</f>
        <v>0</v>
      </c>
      <c r="CK55" s="413">
        <f>SUMIFS('свод практик'!$BN$6:$BN$277,'свод практик'!$J$6:$J$277,'строго ИБ'!CK$1,'свод практик'!$B$6:$B$277,"ИБ")</f>
        <v>0</v>
      </c>
      <c r="CL55" s="413">
        <f>SUMIFS('свод практик'!$BN$6:$BN$277,'свод практик'!$J$6:$J$277,'строго ИБ'!CL$1,'свод практик'!$B$6:$B$277,"ИБ")</f>
        <v>0</v>
      </c>
      <c r="CM55" s="413">
        <f>SUMIFS('свод практик'!$BN$6:$BN$277,'свод практик'!$J$6:$J$277,'строго ИБ'!CM$1,'свод практик'!$B$6:$B$277,"ИБ")</f>
        <v>0</v>
      </c>
      <c r="CN55" s="413">
        <f>SUMIFS('свод практик'!$BN$6:$BN$277,'свод практик'!$J$6:$J$277,'строго ИБ'!CN$1,'свод практик'!$B$6:$B$277,"ИБ")</f>
        <v>0</v>
      </c>
      <c r="CO55" s="413">
        <f>SUMIFS('свод практик'!$BN$6:$BN$277,'свод практик'!$J$6:$J$277,'строго ИБ'!CO$1,'свод практик'!$B$6:$B$277,"ИБ")</f>
        <v>10.457999999999998</v>
      </c>
      <c r="CP55" s="413">
        <f>SUMIFS('свод практик'!$BN$6:$BN$277,'свод практик'!$J$6:$J$277,'строго ИБ'!CP$1,'свод практик'!$B$6:$B$277,"ИБ")</f>
        <v>0</v>
      </c>
      <c r="CQ55" s="413">
        <f>SUMIFS('свод практик'!$BN$6:$BN$277,'свод практик'!$J$6:$J$277,'строго ИБ'!CQ$1,'свод практик'!$B$6:$B$277,"ИБ")</f>
        <v>0</v>
      </c>
      <c r="CR55" s="413">
        <f>SUMIFS('свод практик'!$BN$6:$BN$277,'свод практик'!$J$6:$J$277,'строго ИБ'!CR$1,'свод практик'!$B$6:$B$277,"ИБ")</f>
        <v>0</v>
      </c>
      <c r="CS55" s="413">
        <f>SUMIFS('свод практик'!$BN$6:$BN$277,'свод практик'!$J$6:$J$277,'строго ИБ'!CS$1,'свод практик'!$B$6:$B$277,"ИБ")</f>
        <v>0</v>
      </c>
      <c r="CT55" s="413">
        <f>SUMIFS('свод практик'!$BN$6:$BN$277,'свод практик'!$J$6:$J$277,'строго ИБ'!CT$1,'свод практик'!$B$6:$B$277,"ИБ")</f>
        <v>5.8369999999999997</v>
      </c>
      <c r="CU55" s="413">
        <f>SUMIFS('свод практик'!$BN$6:$BN$277,'свод практик'!$J$6:$J$277,'строго ИБ'!CU$1,'свод практик'!$B$6:$B$277,"ИБ")</f>
        <v>0</v>
      </c>
    </row>
    <row r="56" spans="1:99" ht="43" customHeight="1" thickBot="1">
      <c r="A56" s="800"/>
      <c r="B56" s="796"/>
      <c r="C56" s="796"/>
      <c r="D56" s="452" t="s">
        <v>4949</v>
      </c>
      <c r="E56" s="452">
        <v>35</v>
      </c>
      <c r="F56" s="453" t="s">
        <v>5106</v>
      </c>
      <c r="G56" s="454" t="s">
        <v>5745</v>
      </c>
      <c r="H56" s="455" t="s">
        <v>60</v>
      </c>
      <c r="I56" s="456" t="s">
        <v>5090</v>
      </c>
      <c r="J56" s="456"/>
      <c r="K56" s="343"/>
      <c r="L56" s="368">
        <v>9.9367292559147881E-4</v>
      </c>
      <c r="M56" s="369">
        <v>9.7499199164191117E-3</v>
      </c>
      <c r="N56" s="607">
        <f>N55/N44</f>
        <v>8.0588596380892739E-3</v>
      </c>
      <c r="O56" s="608">
        <f t="shared" ref="O56:BZ56" si="11">O55/O44</f>
        <v>0</v>
      </c>
      <c r="P56" s="608">
        <f t="shared" si="11"/>
        <v>0</v>
      </c>
      <c r="Q56" s="608">
        <f t="shared" si="11"/>
        <v>0</v>
      </c>
      <c r="R56" s="608">
        <f t="shared" si="11"/>
        <v>0</v>
      </c>
      <c r="S56" s="608">
        <f t="shared" si="11"/>
        <v>0</v>
      </c>
      <c r="T56" s="608">
        <f t="shared" si="11"/>
        <v>0</v>
      </c>
      <c r="U56" s="608">
        <f t="shared" si="11"/>
        <v>0</v>
      </c>
      <c r="V56" s="608">
        <f t="shared" si="11"/>
        <v>0</v>
      </c>
      <c r="W56" s="608">
        <f t="shared" si="11"/>
        <v>0</v>
      </c>
      <c r="X56" s="608" t="e">
        <f t="shared" si="11"/>
        <v>#DIV/0!</v>
      </c>
      <c r="Y56" s="608" t="e">
        <f t="shared" si="11"/>
        <v>#DIV/0!</v>
      </c>
      <c r="Z56" s="608">
        <f t="shared" si="11"/>
        <v>0</v>
      </c>
      <c r="AA56" s="608">
        <f t="shared" si="11"/>
        <v>0</v>
      </c>
      <c r="AB56" s="608">
        <f t="shared" si="11"/>
        <v>1.7356431412511111E-3</v>
      </c>
      <c r="AC56" s="608" t="e">
        <f t="shared" si="11"/>
        <v>#DIV/0!</v>
      </c>
      <c r="AD56" s="608" t="e">
        <f t="shared" si="11"/>
        <v>#DIV/0!</v>
      </c>
      <c r="AE56" s="608" t="e">
        <f t="shared" si="11"/>
        <v>#DIV/0!</v>
      </c>
      <c r="AF56" s="608" t="e">
        <f t="shared" si="11"/>
        <v>#DIV/0!</v>
      </c>
      <c r="AG56" s="608" t="e">
        <f t="shared" si="11"/>
        <v>#DIV/0!</v>
      </c>
      <c r="AH56" s="608" t="e">
        <f t="shared" si="11"/>
        <v>#DIV/0!</v>
      </c>
      <c r="AI56" s="608" t="e">
        <f t="shared" si="11"/>
        <v>#DIV/0!</v>
      </c>
      <c r="AJ56" s="608" t="e">
        <f t="shared" si="11"/>
        <v>#DIV/0!</v>
      </c>
      <c r="AK56" s="608">
        <f t="shared" si="11"/>
        <v>0</v>
      </c>
      <c r="AL56" s="608">
        <f t="shared" si="11"/>
        <v>0</v>
      </c>
      <c r="AM56" s="608" t="e">
        <f t="shared" si="11"/>
        <v>#DIV/0!</v>
      </c>
      <c r="AN56" s="608" t="e">
        <f t="shared" si="11"/>
        <v>#DIV/0!</v>
      </c>
      <c r="AO56" s="608">
        <f t="shared" si="11"/>
        <v>0</v>
      </c>
      <c r="AP56" s="608">
        <f t="shared" si="11"/>
        <v>0</v>
      </c>
      <c r="AQ56" s="608">
        <f t="shared" si="11"/>
        <v>0</v>
      </c>
      <c r="AR56" s="608">
        <f t="shared" si="11"/>
        <v>0</v>
      </c>
      <c r="AS56" s="608" t="e">
        <f t="shared" si="11"/>
        <v>#DIV/0!</v>
      </c>
      <c r="AT56" s="608" t="e">
        <f t="shared" si="11"/>
        <v>#DIV/0!</v>
      </c>
      <c r="AU56" s="608">
        <f t="shared" si="11"/>
        <v>0</v>
      </c>
      <c r="AV56" s="608" t="e">
        <f t="shared" si="11"/>
        <v>#DIV/0!</v>
      </c>
      <c r="AW56" s="608">
        <f t="shared" si="11"/>
        <v>0</v>
      </c>
      <c r="AX56" s="608" t="e">
        <f t="shared" si="11"/>
        <v>#DIV/0!</v>
      </c>
      <c r="AY56" s="608">
        <f t="shared" si="11"/>
        <v>0</v>
      </c>
      <c r="AZ56" s="608" t="e">
        <f t="shared" si="11"/>
        <v>#DIV/0!</v>
      </c>
      <c r="BA56" s="608" t="e">
        <f t="shared" si="11"/>
        <v>#DIV/0!</v>
      </c>
      <c r="BB56" s="608">
        <f t="shared" si="11"/>
        <v>0</v>
      </c>
      <c r="BC56" s="608" t="e">
        <f t="shared" si="11"/>
        <v>#DIV/0!</v>
      </c>
      <c r="BD56" s="608" t="e">
        <f t="shared" si="11"/>
        <v>#DIV/0!</v>
      </c>
      <c r="BE56" s="608">
        <f t="shared" si="11"/>
        <v>0</v>
      </c>
      <c r="BF56" s="608">
        <f t="shared" si="11"/>
        <v>0</v>
      </c>
      <c r="BG56" s="608">
        <f t="shared" si="11"/>
        <v>0</v>
      </c>
      <c r="BH56" s="608">
        <f t="shared" si="11"/>
        <v>0</v>
      </c>
      <c r="BI56" s="608">
        <f t="shared" si="11"/>
        <v>0</v>
      </c>
      <c r="BJ56" s="608">
        <f t="shared" si="11"/>
        <v>0</v>
      </c>
      <c r="BK56" s="608" t="e">
        <f t="shared" si="11"/>
        <v>#DIV/0!</v>
      </c>
      <c r="BL56" s="608">
        <f t="shared" si="11"/>
        <v>0</v>
      </c>
      <c r="BM56" s="608">
        <f t="shared" si="11"/>
        <v>0</v>
      </c>
      <c r="BN56" s="608" t="e">
        <f t="shared" si="11"/>
        <v>#DIV/0!</v>
      </c>
      <c r="BO56" s="608">
        <f t="shared" si="11"/>
        <v>0</v>
      </c>
      <c r="BP56" s="608" t="e">
        <f t="shared" si="11"/>
        <v>#DIV/0!</v>
      </c>
      <c r="BQ56" s="608" t="e">
        <f t="shared" si="11"/>
        <v>#DIV/0!</v>
      </c>
      <c r="BR56" s="608">
        <f t="shared" si="11"/>
        <v>0.33238366571699907</v>
      </c>
      <c r="BS56" s="608">
        <f t="shared" si="11"/>
        <v>0</v>
      </c>
      <c r="BT56" s="608">
        <f t="shared" si="11"/>
        <v>0</v>
      </c>
      <c r="BU56" s="608">
        <f t="shared" si="11"/>
        <v>0</v>
      </c>
      <c r="BV56" s="608">
        <f t="shared" si="11"/>
        <v>0</v>
      </c>
      <c r="BW56" s="608">
        <f t="shared" si="11"/>
        <v>0.100016107648655</v>
      </c>
      <c r="BX56" s="608">
        <f t="shared" si="11"/>
        <v>0</v>
      </c>
      <c r="BY56" s="608">
        <f t="shared" si="11"/>
        <v>0</v>
      </c>
      <c r="BZ56" s="608" t="e">
        <f t="shared" si="11"/>
        <v>#DIV/0!</v>
      </c>
      <c r="CA56" s="608" t="e">
        <f t="shared" ref="CA56:CU56" si="12">CA55/CA44</f>
        <v>#DIV/0!</v>
      </c>
      <c r="CB56" s="608" t="e">
        <f t="shared" si="12"/>
        <v>#DIV/0!</v>
      </c>
      <c r="CC56" s="608">
        <f t="shared" si="12"/>
        <v>0</v>
      </c>
      <c r="CD56" s="608">
        <f t="shared" si="12"/>
        <v>0</v>
      </c>
      <c r="CE56" s="608" t="e">
        <f t="shared" si="12"/>
        <v>#DIV/0!</v>
      </c>
      <c r="CF56" s="608">
        <f t="shared" si="12"/>
        <v>0</v>
      </c>
      <c r="CG56" s="608">
        <f t="shared" si="12"/>
        <v>0</v>
      </c>
      <c r="CH56" s="608">
        <f t="shared" si="12"/>
        <v>0</v>
      </c>
      <c r="CI56" s="608" t="e">
        <f t="shared" si="12"/>
        <v>#DIV/0!</v>
      </c>
      <c r="CJ56" s="608" t="e">
        <f t="shared" si="12"/>
        <v>#DIV/0!</v>
      </c>
      <c r="CK56" s="608">
        <f t="shared" si="12"/>
        <v>0</v>
      </c>
      <c r="CL56" s="608">
        <f t="shared" si="12"/>
        <v>0</v>
      </c>
      <c r="CM56" s="608">
        <f t="shared" si="12"/>
        <v>0</v>
      </c>
      <c r="CN56" s="608" t="e">
        <f t="shared" si="12"/>
        <v>#DIV/0!</v>
      </c>
      <c r="CO56" s="608">
        <f t="shared" si="12"/>
        <v>6.3759974595519103E-2</v>
      </c>
      <c r="CP56" s="608">
        <f t="shared" si="12"/>
        <v>0</v>
      </c>
      <c r="CQ56" s="608" t="e">
        <f t="shared" si="12"/>
        <v>#DIV/0!</v>
      </c>
      <c r="CR56" s="608">
        <f t="shared" si="12"/>
        <v>0</v>
      </c>
      <c r="CS56" s="608">
        <f t="shared" si="12"/>
        <v>0</v>
      </c>
      <c r="CT56" s="608">
        <f t="shared" si="12"/>
        <v>7.7830817643607678E-2</v>
      </c>
      <c r="CU56" s="608">
        <f t="shared" si="12"/>
        <v>0</v>
      </c>
    </row>
    <row r="57" spans="1:99" ht="48.5" customHeight="1">
      <c r="A57" s="810" t="s">
        <v>5107</v>
      </c>
      <c r="B57" s="816" t="s">
        <v>4947</v>
      </c>
      <c r="C57" s="814" t="s">
        <v>5108</v>
      </c>
      <c r="D57" s="445" t="s">
        <v>4949</v>
      </c>
      <c r="E57" s="445">
        <v>36</v>
      </c>
      <c r="F57" s="446" t="s">
        <v>5109</v>
      </c>
      <c r="G57" s="447" t="s">
        <v>5750</v>
      </c>
      <c r="H57" s="505" t="s">
        <v>5082</v>
      </c>
      <c r="I57" s="449" t="s">
        <v>4961</v>
      </c>
      <c r="J57" s="450"/>
      <c r="K57" s="371" t="s">
        <v>278</v>
      </c>
      <c r="L57" s="364">
        <v>632.48263800000018</v>
      </c>
      <c r="M57" s="361">
        <v>1076.4865066999998</v>
      </c>
      <c r="N57" s="580">
        <f>N51+N53+N55</f>
        <v>1281.32823151</v>
      </c>
      <c r="O57" s="413">
        <f>O51+O53+O55</f>
        <v>1.2330000000000001</v>
      </c>
      <c r="P57" s="413">
        <f t="shared" ref="P57:CA57" si="13">P51+P53+P55</f>
        <v>0.50700000000000001</v>
      </c>
      <c r="Q57" s="413">
        <f t="shared" si="13"/>
        <v>22.9</v>
      </c>
      <c r="R57" s="413">
        <f t="shared" si="13"/>
        <v>6.202</v>
      </c>
      <c r="S57" s="413">
        <f t="shared" si="13"/>
        <v>0</v>
      </c>
      <c r="T57" s="413">
        <f t="shared" si="13"/>
        <v>2.5000000000000001E-2</v>
      </c>
      <c r="U57" s="413">
        <f t="shared" si="13"/>
        <v>209.77400000000006</v>
      </c>
      <c r="V57" s="413">
        <f t="shared" si="13"/>
        <v>0</v>
      </c>
      <c r="W57" s="413">
        <f t="shared" si="13"/>
        <v>5</v>
      </c>
      <c r="X57" s="413">
        <f t="shared" si="13"/>
        <v>0</v>
      </c>
      <c r="Y57" s="413">
        <f t="shared" si="13"/>
        <v>0</v>
      </c>
      <c r="Z57" s="413">
        <f t="shared" si="13"/>
        <v>1.5683069999999999</v>
      </c>
      <c r="AA57" s="413">
        <f t="shared" si="13"/>
        <v>27.853000000000002</v>
      </c>
      <c r="AB57" s="413">
        <f t="shared" si="13"/>
        <v>17.608000000000001</v>
      </c>
      <c r="AC57" s="413">
        <f t="shared" si="13"/>
        <v>0</v>
      </c>
      <c r="AD57" s="413">
        <f t="shared" si="13"/>
        <v>0</v>
      </c>
      <c r="AE57" s="413">
        <f t="shared" si="13"/>
        <v>0</v>
      </c>
      <c r="AF57" s="413">
        <f t="shared" si="13"/>
        <v>0</v>
      </c>
      <c r="AG57" s="413">
        <f t="shared" si="13"/>
        <v>0</v>
      </c>
      <c r="AH57" s="413">
        <f t="shared" si="13"/>
        <v>0</v>
      </c>
      <c r="AI57" s="413">
        <f t="shared" si="13"/>
        <v>0</v>
      </c>
      <c r="AJ57" s="413">
        <f t="shared" si="13"/>
        <v>0</v>
      </c>
      <c r="AK57" s="413">
        <f t="shared" si="13"/>
        <v>1.0980000000000001</v>
      </c>
      <c r="AL57" s="413">
        <f t="shared" si="13"/>
        <v>17.23519168</v>
      </c>
      <c r="AM57" s="413">
        <f t="shared" si="13"/>
        <v>0</v>
      </c>
      <c r="AN57" s="413">
        <f t="shared" si="13"/>
        <v>0</v>
      </c>
      <c r="AO57" s="413">
        <f t="shared" si="13"/>
        <v>12.3</v>
      </c>
      <c r="AP57" s="413">
        <f t="shared" si="13"/>
        <v>9.6</v>
      </c>
      <c r="AQ57" s="413">
        <f t="shared" si="13"/>
        <v>75.099999999999994</v>
      </c>
      <c r="AR57" s="413">
        <f t="shared" si="13"/>
        <v>8.4019999999999992</v>
      </c>
      <c r="AS57" s="413">
        <f t="shared" si="13"/>
        <v>0</v>
      </c>
      <c r="AT57" s="413">
        <f t="shared" si="13"/>
        <v>0</v>
      </c>
      <c r="AU57" s="413">
        <f t="shared" si="13"/>
        <v>14.370000000000001</v>
      </c>
      <c r="AV57" s="413">
        <f t="shared" si="13"/>
        <v>0</v>
      </c>
      <c r="AW57" s="413">
        <f t="shared" si="13"/>
        <v>11.952999999999999</v>
      </c>
      <c r="AX57" s="413">
        <f t="shared" si="13"/>
        <v>0</v>
      </c>
      <c r="AY57" s="413">
        <f t="shared" si="13"/>
        <v>0</v>
      </c>
      <c r="AZ57" s="413">
        <f t="shared" si="13"/>
        <v>0</v>
      </c>
      <c r="BA57" s="413">
        <f t="shared" si="13"/>
        <v>0</v>
      </c>
      <c r="BB57" s="413">
        <f t="shared" si="13"/>
        <v>5.1242109999999998</v>
      </c>
      <c r="BC57" s="413">
        <f t="shared" si="13"/>
        <v>0</v>
      </c>
      <c r="BD57" s="413">
        <f t="shared" si="13"/>
        <v>0</v>
      </c>
      <c r="BE57" s="413">
        <f t="shared" si="13"/>
        <v>0.5</v>
      </c>
      <c r="BF57" s="413">
        <f t="shared" si="13"/>
        <v>9.5689999999999991</v>
      </c>
      <c r="BG57" s="413">
        <f t="shared" si="13"/>
        <v>0.316</v>
      </c>
      <c r="BH57" s="413">
        <f t="shared" si="13"/>
        <v>103.262</v>
      </c>
      <c r="BI57" s="413">
        <f t="shared" si="13"/>
        <v>5.1899999999999995</v>
      </c>
      <c r="BJ57" s="413">
        <f t="shared" si="13"/>
        <v>14</v>
      </c>
      <c r="BK57" s="413">
        <f t="shared" si="13"/>
        <v>0</v>
      </c>
      <c r="BL57" s="413">
        <f t="shared" si="13"/>
        <v>16.523299999999999</v>
      </c>
      <c r="BM57" s="413">
        <f t="shared" si="13"/>
        <v>2.92</v>
      </c>
      <c r="BN57" s="413">
        <f t="shared" si="13"/>
        <v>0</v>
      </c>
      <c r="BO57" s="413">
        <f t="shared" si="13"/>
        <v>13.80945537</v>
      </c>
      <c r="BP57" s="413">
        <f t="shared" si="13"/>
        <v>0</v>
      </c>
      <c r="BQ57" s="413">
        <f t="shared" si="13"/>
        <v>0</v>
      </c>
      <c r="BR57" s="413">
        <f t="shared" si="13"/>
        <v>10.53</v>
      </c>
      <c r="BS57" s="413">
        <f t="shared" si="13"/>
        <v>19.981999999999999</v>
      </c>
      <c r="BT57" s="413">
        <f t="shared" si="13"/>
        <v>28.898</v>
      </c>
      <c r="BU57" s="413">
        <f t="shared" si="13"/>
        <v>0</v>
      </c>
      <c r="BV57" s="413">
        <f t="shared" si="13"/>
        <v>14.5906</v>
      </c>
      <c r="BW57" s="413">
        <f t="shared" si="13"/>
        <v>170.51999999999998</v>
      </c>
      <c r="BX57" s="413">
        <f t="shared" si="13"/>
        <v>3.5</v>
      </c>
      <c r="BY57" s="413">
        <f t="shared" si="13"/>
        <v>13.064250000000001</v>
      </c>
      <c r="BZ57" s="413">
        <f t="shared" si="13"/>
        <v>0</v>
      </c>
      <c r="CA57" s="413">
        <f t="shared" si="13"/>
        <v>0</v>
      </c>
      <c r="CB57" s="413">
        <f t="shared" ref="CB57:CU57" si="14">CB51+CB53+CB55</f>
        <v>0</v>
      </c>
      <c r="CC57" s="413">
        <f t="shared" si="14"/>
        <v>89.540999999999997</v>
      </c>
      <c r="CD57" s="413">
        <f t="shared" si="14"/>
        <v>0</v>
      </c>
      <c r="CE57" s="413">
        <f t="shared" si="14"/>
        <v>0</v>
      </c>
      <c r="CF57" s="413">
        <f t="shared" si="14"/>
        <v>35.5</v>
      </c>
      <c r="CG57" s="413">
        <f t="shared" si="14"/>
        <v>6.10338446</v>
      </c>
      <c r="CH57" s="413">
        <f t="shared" si="14"/>
        <v>120</v>
      </c>
      <c r="CI57" s="413">
        <f t="shared" si="14"/>
        <v>0</v>
      </c>
      <c r="CJ57" s="413">
        <f t="shared" si="14"/>
        <v>0</v>
      </c>
      <c r="CK57" s="413">
        <f t="shared" si="14"/>
        <v>18.696000000000002</v>
      </c>
      <c r="CL57" s="413">
        <f t="shared" si="14"/>
        <v>17.099</v>
      </c>
      <c r="CM57" s="413">
        <f t="shared" si="14"/>
        <v>18.399999999999999</v>
      </c>
      <c r="CN57" s="413">
        <f t="shared" si="14"/>
        <v>0</v>
      </c>
      <c r="CO57" s="413">
        <f t="shared" si="14"/>
        <v>22.17089</v>
      </c>
      <c r="CP57" s="413">
        <f t="shared" si="14"/>
        <v>0</v>
      </c>
      <c r="CQ57" s="413">
        <f t="shared" si="14"/>
        <v>0</v>
      </c>
      <c r="CR57" s="413">
        <f t="shared" si="14"/>
        <v>60.743000000000002</v>
      </c>
      <c r="CS57" s="413">
        <f t="shared" si="14"/>
        <v>4.3341999999999999E-2</v>
      </c>
      <c r="CT57" s="413">
        <f t="shared" si="14"/>
        <v>13.504299999999999</v>
      </c>
      <c r="CU57" s="413">
        <f t="shared" si="14"/>
        <v>4.5</v>
      </c>
    </row>
    <row r="58" spans="1:99" ht="38.5" customHeight="1" thickBot="1">
      <c r="A58" s="800"/>
      <c r="B58" s="796"/>
      <c r="C58" s="796"/>
      <c r="D58" s="452" t="s">
        <v>4949</v>
      </c>
      <c r="E58" s="452">
        <v>37</v>
      </c>
      <c r="F58" s="453" t="s">
        <v>5110</v>
      </c>
      <c r="G58" s="454" t="s">
        <v>5745</v>
      </c>
      <c r="H58" s="506" t="s">
        <v>60</v>
      </c>
      <c r="I58" s="456" t="s">
        <v>5090</v>
      </c>
      <c r="J58" s="456"/>
      <c r="K58" s="372"/>
      <c r="L58" s="368">
        <v>0.12323154378181891</v>
      </c>
      <c r="M58" s="369">
        <v>0.1341486628335071</v>
      </c>
      <c r="N58" s="607">
        <f>N57/N44</f>
        <v>0.10246226265452374</v>
      </c>
      <c r="O58" s="608">
        <f t="shared" ref="O58:BZ58" si="15">O57/O44</f>
        <v>0.17206251744348311</v>
      </c>
      <c r="P58" s="608">
        <f t="shared" si="15"/>
        <v>0.15750232991612301</v>
      </c>
      <c r="Q58" s="608">
        <f t="shared" si="15"/>
        <v>0.13145809414466131</v>
      </c>
      <c r="R58" s="608">
        <f t="shared" si="15"/>
        <v>6.9201758496797661E-2</v>
      </c>
      <c r="S58" s="608">
        <f t="shared" si="15"/>
        <v>0</v>
      </c>
      <c r="T58" s="608">
        <f t="shared" si="15"/>
        <v>2.0833333333333336E-2</v>
      </c>
      <c r="U58" s="608">
        <f t="shared" si="15"/>
        <v>7.2825702813475751E-2</v>
      </c>
      <c r="V58" s="608">
        <f t="shared" si="15"/>
        <v>0</v>
      </c>
      <c r="W58" s="608">
        <f t="shared" si="15"/>
        <v>4.5871559633027525E-2</v>
      </c>
      <c r="X58" s="608" t="e">
        <f t="shared" si="15"/>
        <v>#DIV/0!</v>
      </c>
      <c r="Y58" s="608" t="e">
        <f t="shared" si="15"/>
        <v>#DIV/0!</v>
      </c>
      <c r="Z58" s="608">
        <f t="shared" si="15"/>
        <v>1.3706461226523102E-2</v>
      </c>
      <c r="AA58" s="608">
        <f t="shared" si="15"/>
        <v>0.11102740108264972</v>
      </c>
      <c r="AB58" s="608">
        <f t="shared" si="15"/>
        <v>0.11576213799677855</v>
      </c>
      <c r="AC58" s="608" t="e">
        <f t="shared" si="15"/>
        <v>#DIV/0!</v>
      </c>
      <c r="AD58" s="608" t="e">
        <f t="shared" si="15"/>
        <v>#DIV/0!</v>
      </c>
      <c r="AE58" s="608" t="e">
        <f t="shared" si="15"/>
        <v>#DIV/0!</v>
      </c>
      <c r="AF58" s="608" t="e">
        <f t="shared" si="15"/>
        <v>#DIV/0!</v>
      </c>
      <c r="AG58" s="608" t="e">
        <f t="shared" si="15"/>
        <v>#DIV/0!</v>
      </c>
      <c r="AH58" s="608" t="e">
        <f t="shared" si="15"/>
        <v>#DIV/0!</v>
      </c>
      <c r="AI58" s="608" t="e">
        <f t="shared" si="15"/>
        <v>#DIV/0!</v>
      </c>
      <c r="AJ58" s="608" t="e">
        <f t="shared" si="15"/>
        <v>#DIV/0!</v>
      </c>
      <c r="AK58" s="608">
        <f t="shared" si="15"/>
        <v>0.14633769916354281</v>
      </c>
      <c r="AL58" s="608">
        <f t="shared" si="15"/>
        <v>0.10436016538847773</v>
      </c>
      <c r="AM58" s="608" t="e">
        <f t="shared" si="15"/>
        <v>#DIV/0!</v>
      </c>
      <c r="AN58" s="608" t="e">
        <f t="shared" si="15"/>
        <v>#DIV/0!</v>
      </c>
      <c r="AO58" s="608">
        <f t="shared" si="15"/>
        <v>0.12399193548387097</v>
      </c>
      <c r="AP58" s="608">
        <f t="shared" si="15"/>
        <v>7.8367346938775506E-2</v>
      </c>
      <c r="AQ58" s="608">
        <f t="shared" si="15"/>
        <v>0.19119144602851321</v>
      </c>
      <c r="AR58" s="608">
        <f t="shared" si="15"/>
        <v>7.1057661406268485E-2</v>
      </c>
      <c r="AS58" s="608" t="e">
        <f t="shared" si="15"/>
        <v>#DIV/0!</v>
      </c>
      <c r="AT58" s="608" t="e">
        <f t="shared" si="15"/>
        <v>#DIV/0!</v>
      </c>
      <c r="AU58" s="608">
        <f t="shared" si="15"/>
        <v>9.3136301769395302E-2</v>
      </c>
      <c r="AV58" s="608" t="e">
        <f t="shared" si="15"/>
        <v>#DIV/0!</v>
      </c>
      <c r="AW58" s="608">
        <f t="shared" si="15"/>
        <v>6.2533351469557297E-2</v>
      </c>
      <c r="AX58" s="608" t="e">
        <f t="shared" si="15"/>
        <v>#DIV/0!</v>
      </c>
      <c r="AY58" s="608">
        <f t="shared" si="15"/>
        <v>0</v>
      </c>
      <c r="AZ58" s="608" t="e">
        <f t="shared" si="15"/>
        <v>#DIV/0!</v>
      </c>
      <c r="BA58" s="608" t="e">
        <f t="shared" si="15"/>
        <v>#DIV/0!</v>
      </c>
      <c r="BB58" s="608">
        <f t="shared" si="15"/>
        <v>0.15840000939727167</v>
      </c>
      <c r="BC58" s="608" t="e">
        <f t="shared" si="15"/>
        <v>#DIV/0!</v>
      </c>
      <c r="BD58" s="608" t="e">
        <f t="shared" si="15"/>
        <v>#DIV/0!</v>
      </c>
      <c r="BE58" s="608">
        <f t="shared" si="15"/>
        <v>6.3211125158027806E-2</v>
      </c>
      <c r="BF58" s="608">
        <f t="shared" si="15"/>
        <v>0.2567893945899527</v>
      </c>
      <c r="BG58" s="608">
        <f t="shared" si="15"/>
        <v>1.3572717120522292E-2</v>
      </c>
      <c r="BH58" s="608">
        <f t="shared" si="15"/>
        <v>0.1484856938257261</v>
      </c>
      <c r="BI58" s="608">
        <f t="shared" si="15"/>
        <v>0.11546933054486395</v>
      </c>
      <c r="BJ58" s="608">
        <f t="shared" si="15"/>
        <v>8.8832487309644673E-2</v>
      </c>
      <c r="BK58" s="608" t="e">
        <f t="shared" si="15"/>
        <v>#DIV/0!</v>
      </c>
      <c r="BL58" s="608">
        <f t="shared" si="15"/>
        <v>0.14349009013233707</v>
      </c>
      <c r="BM58" s="608">
        <f t="shared" si="15"/>
        <v>0.14460456593869161</v>
      </c>
      <c r="BN58" s="608" t="e">
        <f t="shared" si="15"/>
        <v>#DIV/0!</v>
      </c>
      <c r="BO58" s="608">
        <f t="shared" si="15"/>
        <v>0.10602700987529018</v>
      </c>
      <c r="BP58" s="608" t="e">
        <f t="shared" si="15"/>
        <v>#DIV/0!</v>
      </c>
      <c r="BQ58" s="608" t="e">
        <f t="shared" si="15"/>
        <v>#DIV/0!</v>
      </c>
      <c r="BR58" s="608">
        <f t="shared" si="15"/>
        <v>1</v>
      </c>
      <c r="BS58" s="608">
        <f t="shared" si="15"/>
        <v>9.7324098697604638E-2</v>
      </c>
      <c r="BT58" s="608">
        <f t="shared" si="15"/>
        <v>0.11002223440545807</v>
      </c>
      <c r="BU58" s="608">
        <f t="shared" si="15"/>
        <v>0</v>
      </c>
      <c r="BV58" s="608">
        <f t="shared" si="15"/>
        <v>0.1348156594099586</v>
      </c>
      <c r="BW58" s="608">
        <f t="shared" si="15"/>
        <v>0.21128278835788714</v>
      </c>
      <c r="BX58" s="608">
        <f t="shared" si="15"/>
        <v>4.0612671153399862E-3</v>
      </c>
      <c r="BY58" s="608">
        <f t="shared" si="15"/>
        <v>0.13532894123496692</v>
      </c>
      <c r="BZ58" s="608" t="e">
        <f t="shared" si="15"/>
        <v>#DIV/0!</v>
      </c>
      <c r="CA58" s="608" t="e">
        <f t="shared" ref="CA58:CU58" si="16">CA57/CA44</f>
        <v>#DIV/0!</v>
      </c>
      <c r="CB58" s="608" t="e">
        <f t="shared" si="16"/>
        <v>#DIV/0!</v>
      </c>
      <c r="CC58" s="608">
        <f t="shared" si="16"/>
        <v>0.13832784909857718</v>
      </c>
      <c r="CD58" s="608">
        <f t="shared" si="16"/>
        <v>0</v>
      </c>
      <c r="CE58" s="608" t="e">
        <f t="shared" si="16"/>
        <v>#DIV/0!</v>
      </c>
      <c r="CF58" s="608">
        <f t="shared" si="16"/>
        <v>0.15834076717216772</v>
      </c>
      <c r="CG58" s="608">
        <f t="shared" si="16"/>
        <v>0.11309725811782384</v>
      </c>
      <c r="CH58" s="608">
        <f t="shared" si="16"/>
        <v>0.17191977077363896</v>
      </c>
      <c r="CI58" s="608" t="e">
        <f t="shared" si="16"/>
        <v>#DIV/0!</v>
      </c>
      <c r="CJ58" s="608" t="e">
        <f t="shared" si="16"/>
        <v>#DIV/0!</v>
      </c>
      <c r="CK58" s="608">
        <f t="shared" si="16"/>
        <v>0.20230833397873946</v>
      </c>
      <c r="CL58" s="608">
        <f t="shared" si="16"/>
        <v>8.8793900977040582E-2</v>
      </c>
      <c r="CM58" s="608">
        <f t="shared" si="16"/>
        <v>0.23499361430395913</v>
      </c>
      <c r="CN58" s="608" t="e">
        <f t="shared" si="16"/>
        <v>#DIV/0!</v>
      </c>
      <c r="CO58" s="608">
        <f t="shared" si="16"/>
        <v>0.13517071936890884</v>
      </c>
      <c r="CP58" s="608">
        <f t="shared" si="16"/>
        <v>0</v>
      </c>
      <c r="CQ58" s="608" t="e">
        <f t="shared" si="16"/>
        <v>#DIV/0!</v>
      </c>
      <c r="CR58" s="608">
        <f t="shared" si="16"/>
        <v>0.13925109808991959</v>
      </c>
      <c r="CS58" s="608">
        <f t="shared" si="16"/>
        <v>1.6257314328582144E-3</v>
      </c>
      <c r="CT58" s="608">
        <f t="shared" si="16"/>
        <v>0.18006693690330153</v>
      </c>
      <c r="CU58" s="608">
        <f t="shared" si="16"/>
        <v>6.0851926977687626E-3</v>
      </c>
    </row>
    <row r="59" spans="1:99" ht="54.5" customHeight="1" thickBot="1">
      <c r="A59" s="462" t="s">
        <v>5111</v>
      </c>
      <c r="B59" s="463" t="s">
        <v>4947</v>
      </c>
      <c r="C59" s="464" t="s">
        <v>5112</v>
      </c>
      <c r="D59" s="465" t="s">
        <v>4949</v>
      </c>
      <c r="E59" s="465">
        <v>38</v>
      </c>
      <c r="F59" s="466" t="s">
        <v>5113</v>
      </c>
      <c r="G59" s="467" t="s">
        <v>5751</v>
      </c>
      <c r="H59" s="468" t="s">
        <v>5115</v>
      </c>
      <c r="I59" s="507" t="s">
        <v>4956</v>
      </c>
      <c r="J59" s="469"/>
      <c r="K59" s="345"/>
      <c r="L59" s="373">
        <v>0.18743330101057845</v>
      </c>
      <c r="M59" s="374">
        <v>0.210420600859208</v>
      </c>
      <c r="N59" s="610">
        <f>N57/N47</f>
        <v>0.15552640723349689</v>
      </c>
      <c r="O59" s="611">
        <f t="shared" ref="O59:BZ59" si="17">O57/O47</f>
        <v>0.24883955600403634</v>
      </c>
      <c r="P59" s="611">
        <f t="shared" si="17"/>
        <v>0.27980132450331124</v>
      </c>
      <c r="Q59" s="611">
        <f t="shared" si="17"/>
        <v>0.19423240033927056</v>
      </c>
      <c r="R59" s="611">
        <f t="shared" si="17"/>
        <v>8.6951645239530612E-2</v>
      </c>
      <c r="S59" s="611" t="e">
        <f t="shared" si="17"/>
        <v>#DIV/0!</v>
      </c>
      <c r="T59" s="611">
        <f t="shared" si="17"/>
        <v>2.0833333333333336E-2</v>
      </c>
      <c r="U59" s="611">
        <f t="shared" si="17"/>
        <v>8.4762137579777422E-2</v>
      </c>
      <c r="V59" s="611" t="e">
        <f t="shared" si="17"/>
        <v>#DIV/0!</v>
      </c>
      <c r="W59" s="611">
        <f t="shared" si="17"/>
        <v>5.2083333333333336E-2</v>
      </c>
      <c r="X59" s="611" t="e">
        <f t="shared" si="17"/>
        <v>#DIV/0!</v>
      </c>
      <c r="Y59" s="611" t="e">
        <f t="shared" si="17"/>
        <v>#DIV/0!</v>
      </c>
      <c r="Z59" s="611">
        <f t="shared" si="17"/>
        <v>3.0052831273354407E-2</v>
      </c>
      <c r="AA59" s="611">
        <f t="shared" si="17"/>
        <v>0.3394306466158083</v>
      </c>
      <c r="AB59" s="611">
        <f t="shared" si="17"/>
        <v>0.15496453276538821</v>
      </c>
      <c r="AC59" s="611" t="e">
        <f t="shared" si="17"/>
        <v>#DIV/0!</v>
      </c>
      <c r="AD59" s="611" t="e">
        <f t="shared" si="17"/>
        <v>#DIV/0!</v>
      </c>
      <c r="AE59" s="611" t="e">
        <f t="shared" si="17"/>
        <v>#DIV/0!</v>
      </c>
      <c r="AF59" s="611" t="e">
        <f t="shared" si="17"/>
        <v>#DIV/0!</v>
      </c>
      <c r="AG59" s="611" t="e">
        <f t="shared" si="17"/>
        <v>#DIV/0!</v>
      </c>
      <c r="AH59" s="611" t="e">
        <f t="shared" si="17"/>
        <v>#DIV/0!</v>
      </c>
      <c r="AI59" s="611" t="e">
        <f t="shared" si="17"/>
        <v>#DIV/0!</v>
      </c>
      <c r="AJ59" s="611" t="e">
        <f t="shared" si="17"/>
        <v>#DIV/0!</v>
      </c>
      <c r="AK59" s="611">
        <f t="shared" si="17"/>
        <v>0.20417677245614432</v>
      </c>
      <c r="AL59" s="611">
        <f t="shared" si="17"/>
        <v>0.18626195997060477</v>
      </c>
      <c r="AM59" s="611" t="e">
        <f t="shared" si="17"/>
        <v>#DIV/0!</v>
      </c>
      <c r="AN59" s="611" t="e">
        <f t="shared" si="17"/>
        <v>#DIV/0!</v>
      </c>
      <c r="AO59" s="611">
        <f t="shared" si="17"/>
        <v>0.21243523316062177</v>
      </c>
      <c r="AP59" s="611">
        <f t="shared" si="17"/>
        <v>0.10958904109589042</v>
      </c>
      <c r="AQ59" s="611">
        <f t="shared" si="17"/>
        <v>0.30956306677658696</v>
      </c>
      <c r="AR59" s="611">
        <f t="shared" si="17"/>
        <v>9.3312009950911781E-2</v>
      </c>
      <c r="AS59" s="611" t="e">
        <f t="shared" si="17"/>
        <v>#DIV/0!</v>
      </c>
      <c r="AT59" s="611" t="e">
        <f t="shared" si="17"/>
        <v>#DIV/0!</v>
      </c>
      <c r="AU59" s="611">
        <f t="shared" si="17"/>
        <v>0.14574036511156188</v>
      </c>
      <c r="AV59" s="611" t="e">
        <f t="shared" si="17"/>
        <v>#DIV/0!</v>
      </c>
      <c r="AW59" s="611">
        <f t="shared" si="17"/>
        <v>0.11432588568367892</v>
      </c>
      <c r="AX59" s="611" t="e">
        <f t="shared" si="17"/>
        <v>#DIV/0!</v>
      </c>
      <c r="AY59" s="611" t="e">
        <f t="shared" si="17"/>
        <v>#DIV/0!</v>
      </c>
      <c r="AZ59" s="611" t="e">
        <f t="shared" si="17"/>
        <v>#DIV/0!</v>
      </c>
      <c r="BA59" s="611" t="e">
        <f t="shared" si="17"/>
        <v>#DIV/0!</v>
      </c>
      <c r="BB59" s="611">
        <f t="shared" si="17"/>
        <v>0.23503485014163891</v>
      </c>
      <c r="BC59" s="611" t="e">
        <f t="shared" si="17"/>
        <v>#DIV/0!</v>
      </c>
      <c r="BD59" s="611" t="e">
        <f t="shared" si="17"/>
        <v>#DIV/0!</v>
      </c>
      <c r="BE59" s="611" t="e">
        <f t="shared" si="17"/>
        <v>#DIV/0!</v>
      </c>
      <c r="BF59" s="611">
        <f t="shared" si="17"/>
        <v>0.42340707964601765</v>
      </c>
      <c r="BG59" s="611">
        <f t="shared" si="17"/>
        <v>1.6220933216980645E-2</v>
      </c>
      <c r="BH59" s="611">
        <f t="shared" si="17"/>
        <v>0.283601888445493</v>
      </c>
      <c r="BI59" s="611">
        <f t="shared" si="17"/>
        <v>0.19659090909090909</v>
      </c>
      <c r="BJ59" s="611">
        <f t="shared" si="17"/>
        <v>0.12411347517730496</v>
      </c>
      <c r="BK59" s="611" t="e">
        <f t="shared" si="17"/>
        <v>#DIV/0!</v>
      </c>
      <c r="BL59" s="611">
        <f t="shared" si="17"/>
        <v>0.23604714285714284</v>
      </c>
      <c r="BM59" s="611">
        <f t="shared" si="17"/>
        <v>0.19845045534864753</v>
      </c>
      <c r="BN59" s="611" t="e">
        <f t="shared" si="17"/>
        <v>#DIV/0!</v>
      </c>
      <c r="BO59" s="611">
        <f t="shared" si="17"/>
        <v>0.1193143515707033</v>
      </c>
      <c r="BP59" s="611" t="e">
        <f t="shared" si="17"/>
        <v>#DIV/0!</v>
      </c>
      <c r="BQ59" s="611" t="e">
        <f t="shared" si="17"/>
        <v>#DIV/0!</v>
      </c>
      <c r="BR59" s="611" t="e">
        <f t="shared" si="17"/>
        <v>#DIV/0!</v>
      </c>
      <c r="BS59" s="611">
        <f t="shared" si="17"/>
        <v>0.14029741760633593</v>
      </c>
      <c r="BT59" s="611">
        <f t="shared" si="17"/>
        <v>0.17502695238210605</v>
      </c>
      <c r="BU59" s="611">
        <f t="shared" si="17"/>
        <v>0</v>
      </c>
      <c r="BV59" s="611">
        <f t="shared" si="17"/>
        <v>0.19200659033216169</v>
      </c>
      <c r="BW59" s="611">
        <f t="shared" si="17"/>
        <v>0.34141555711282406</v>
      </c>
      <c r="BX59" s="611">
        <f t="shared" si="17"/>
        <v>4.2960598993494539E-3</v>
      </c>
      <c r="BY59" s="611">
        <f t="shared" si="17"/>
        <v>1.4710336673797997</v>
      </c>
      <c r="BZ59" s="611" t="e">
        <f t="shared" si="17"/>
        <v>#DIV/0!</v>
      </c>
      <c r="CA59" s="611" t="e">
        <f t="shared" ref="CA59:CU59" si="18">CA57/CA47</f>
        <v>#DIV/0!</v>
      </c>
      <c r="CB59" s="611" t="e">
        <f t="shared" si="18"/>
        <v>#DIV/0!</v>
      </c>
      <c r="CC59" s="611">
        <f t="shared" si="18"/>
        <v>0.22602231421647817</v>
      </c>
      <c r="CD59" s="611">
        <f t="shared" si="18"/>
        <v>0</v>
      </c>
      <c r="CE59" s="611" t="e">
        <f t="shared" si="18"/>
        <v>#DIV/0!</v>
      </c>
      <c r="CF59" s="611">
        <f t="shared" si="18"/>
        <v>0.30187074829931976</v>
      </c>
      <c r="CG59" s="611">
        <f t="shared" si="18"/>
        <v>0.15482731064114322</v>
      </c>
      <c r="CH59" s="611">
        <f t="shared" si="18"/>
        <v>0.26785714285714285</v>
      </c>
      <c r="CI59" s="611" t="e">
        <f t="shared" si="18"/>
        <v>#DIV/0!</v>
      </c>
      <c r="CJ59" s="611" t="e">
        <f t="shared" si="18"/>
        <v>#DIV/0!</v>
      </c>
      <c r="CK59" s="611">
        <f t="shared" si="18"/>
        <v>0.38429599177800622</v>
      </c>
      <c r="CL59" s="611">
        <f t="shared" si="18"/>
        <v>0.15131858407079646</v>
      </c>
      <c r="CM59" s="611">
        <f t="shared" si="18"/>
        <v>0.4079822616407982</v>
      </c>
      <c r="CN59" s="611" t="e">
        <f t="shared" si="18"/>
        <v>#DIV/0!</v>
      </c>
      <c r="CO59" s="611" t="e">
        <f t="shared" si="18"/>
        <v>#DIV/0!</v>
      </c>
      <c r="CP59" s="611" t="e">
        <f t="shared" si="18"/>
        <v>#DIV/0!</v>
      </c>
      <c r="CQ59" s="611" t="e">
        <f t="shared" si="18"/>
        <v>#DIV/0!</v>
      </c>
      <c r="CR59" s="611">
        <f t="shared" si="18"/>
        <v>0.23050709815990497</v>
      </c>
      <c r="CS59" s="611">
        <f t="shared" si="18"/>
        <v>2.0318607628178639E-3</v>
      </c>
      <c r="CT59" s="611" t="e">
        <f t="shared" si="18"/>
        <v>#DIV/0!</v>
      </c>
      <c r="CU59" s="611">
        <f t="shared" si="18"/>
        <v>2.6486168334314303E-2</v>
      </c>
    </row>
    <row r="60" spans="1:99" ht="55.5" customHeight="1">
      <c r="A60" s="810" t="s">
        <v>5116</v>
      </c>
      <c r="B60" s="816" t="s">
        <v>4990</v>
      </c>
      <c r="C60" s="814" t="s">
        <v>5117</v>
      </c>
      <c r="D60" s="445" t="s">
        <v>4949</v>
      </c>
      <c r="E60" s="445">
        <v>39</v>
      </c>
      <c r="F60" s="446" t="s">
        <v>5118</v>
      </c>
      <c r="G60" s="447" t="s">
        <v>5752</v>
      </c>
      <c r="H60" s="448" t="s">
        <v>5082</v>
      </c>
      <c r="I60" s="449" t="s">
        <v>4961</v>
      </c>
      <c r="J60" s="450"/>
      <c r="K60" s="340" t="s">
        <v>278</v>
      </c>
      <c r="L60" s="364">
        <v>206.8</v>
      </c>
      <c r="M60" s="365">
        <v>211.21100000000001</v>
      </c>
      <c r="N60" s="580">
        <f>SUM(O60:CU60)</f>
        <v>499.09999999999997</v>
      </c>
      <c r="O60" s="413">
        <f>SUMIFS('свод практик'!$BG$6:$BG$277,'свод практик'!$J$6:$J$277,'строго ИБ'!O$1,'свод практик'!$B$6:$B$277,"ИБ")</f>
        <v>0</v>
      </c>
      <c r="P60" s="413">
        <f>SUMIFS('свод практик'!$BG$6:$BG$277,'свод практик'!$J$6:$J$277,'строго ИБ'!P$1,'свод практик'!$B$6:$B$277,"ИБ")</f>
        <v>0</v>
      </c>
      <c r="Q60" s="413">
        <f>SUMIFS('свод практик'!$BG$6:$BG$277,'свод практик'!$J$6:$J$277,'строго ИБ'!Q$1,'свод практик'!$B$6:$B$277,"ИБ")</f>
        <v>0</v>
      </c>
      <c r="R60" s="413">
        <f>SUMIFS('свод практик'!$BG$6:$BG$277,'свод практик'!$J$6:$J$277,'строго ИБ'!R$1,'свод практик'!$B$6:$B$277,"ИБ")</f>
        <v>0</v>
      </c>
      <c r="S60" s="413">
        <f>SUMIFS('свод практик'!$BG$6:$BG$277,'свод практик'!$J$6:$J$277,'строго ИБ'!S$1,'свод практик'!$B$6:$B$277,"ИБ")</f>
        <v>0</v>
      </c>
      <c r="T60" s="413">
        <f>SUMIFS('свод практик'!$BG$6:$BG$277,'свод практик'!$J$6:$J$277,'строго ИБ'!T$1,'свод практик'!$B$6:$B$277,"ИБ")</f>
        <v>0</v>
      </c>
      <c r="U60" s="413">
        <f>SUMIFS('свод практик'!$BG$6:$BG$277,'свод практик'!$J$6:$J$277,'строго ИБ'!U$1,'свод практик'!$B$6:$B$277,"ИБ")</f>
        <v>0</v>
      </c>
      <c r="V60" s="413">
        <f>SUMIFS('свод практик'!$BG$6:$BG$277,'свод практик'!$J$6:$J$277,'строго ИБ'!V$1,'свод практик'!$B$6:$B$277,"ИБ")</f>
        <v>0</v>
      </c>
      <c r="W60" s="413">
        <f>SUMIFS('свод практик'!$BG$6:$BG$277,'свод практик'!$J$6:$J$277,'строго ИБ'!W$1,'свод практик'!$B$6:$B$277,"ИБ")</f>
        <v>0</v>
      </c>
      <c r="X60" s="413">
        <f>SUMIFS('свод практик'!$BG$6:$BG$277,'свод практик'!$J$6:$J$277,'строго ИБ'!X$1,'свод практик'!$B$6:$B$277,"ИБ")</f>
        <v>0</v>
      </c>
      <c r="Y60" s="413">
        <f>SUMIFS('свод практик'!$BG$6:$BG$277,'свод практик'!$J$6:$J$277,'строго ИБ'!Y$1,'свод практик'!$B$6:$B$277,"ИБ")</f>
        <v>0</v>
      </c>
      <c r="Z60" s="413">
        <f>SUMIFS('свод практик'!$BG$6:$BG$277,'свод практик'!$J$6:$J$277,'строго ИБ'!Z$1,'свод практик'!$B$6:$B$277,"ИБ")</f>
        <v>0</v>
      </c>
      <c r="AA60" s="413">
        <f>SUMIFS('свод практик'!$BG$6:$BG$277,'свод практик'!$J$6:$J$277,'строго ИБ'!AA$1,'свод практик'!$B$6:$B$277,"ИБ")</f>
        <v>0</v>
      </c>
      <c r="AB60" s="413">
        <f>SUMIFS('свод практик'!$BG$6:$BG$277,'свод практик'!$J$6:$J$277,'строго ИБ'!AB$1,'свод практик'!$B$6:$B$277,"ИБ")</f>
        <v>0</v>
      </c>
      <c r="AC60" s="413">
        <f>SUMIFS('свод практик'!$BG$6:$BG$277,'свод практик'!$J$6:$J$277,'строго ИБ'!AC$1,'свод практик'!$B$6:$B$277,"ИБ")</f>
        <v>0</v>
      </c>
      <c r="AD60" s="413">
        <f>SUMIFS('свод практик'!$BG$6:$BG$277,'свод практик'!$J$6:$J$277,'строго ИБ'!AD$1,'свод практик'!$B$6:$B$277,"ИБ")</f>
        <v>0</v>
      </c>
      <c r="AE60" s="413">
        <f>SUMIFS('свод практик'!$BG$6:$BG$277,'свод практик'!$J$6:$J$277,'строго ИБ'!AE$1,'свод практик'!$B$6:$B$277,"ИБ")</f>
        <v>0</v>
      </c>
      <c r="AF60" s="413">
        <f>SUMIFS('свод практик'!$BG$6:$BG$277,'свод практик'!$J$6:$J$277,'строго ИБ'!AF$1,'свод практик'!$B$6:$B$277,"ИБ")</f>
        <v>0</v>
      </c>
      <c r="AG60" s="413">
        <f>SUMIFS('свод практик'!$BG$6:$BG$277,'свод практик'!$J$6:$J$277,'строго ИБ'!AG$1,'свод практик'!$B$6:$B$277,"ИБ")</f>
        <v>0</v>
      </c>
      <c r="AH60" s="413">
        <f>SUMIFS('свод практик'!$BG$6:$BG$277,'свод практик'!$J$6:$J$277,'строго ИБ'!AH$1,'свод практик'!$B$6:$B$277,"ИБ")</f>
        <v>0</v>
      </c>
      <c r="AI60" s="413">
        <f>SUMIFS('свод практик'!$BG$6:$BG$277,'свод практик'!$J$6:$J$277,'строго ИБ'!AI$1,'свод практик'!$B$6:$B$277,"ИБ")</f>
        <v>0</v>
      </c>
      <c r="AJ60" s="413">
        <f>SUMIFS('свод практик'!$BG$6:$BG$277,'свод практик'!$J$6:$J$277,'строго ИБ'!AJ$1,'свод практик'!$B$6:$B$277,"ИБ")</f>
        <v>0</v>
      </c>
      <c r="AK60" s="413">
        <f>SUMIFS('свод практик'!$BG$6:$BG$277,'свод практик'!$J$6:$J$277,'строго ИБ'!AK$1,'свод практик'!$B$6:$B$277,"ИБ")</f>
        <v>0</v>
      </c>
      <c r="AL60" s="413">
        <f>SUMIFS('свод практик'!$BG$6:$BG$277,'свод практик'!$J$6:$J$277,'строго ИБ'!AL$1,'свод практик'!$B$6:$B$277,"ИБ")</f>
        <v>0</v>
      </c>
      <c r="AM60" s="413">
        <f>SUMIFS('свод практик'!$BG$6:$BG$277,'свод практик'!$J$6:$J$277,'строго ИБ'!AM$1,'свод практик'!$B$6:$B$277,"ИБ")</f>
        <v>0</v>
      </c>
      <c r="AN60" s="413">
        <f>SUMIFS('свод практик'!$BG$6:$BG$277,'свод практик'!$J$6:$J$277,'строго ИБ'!AN$1,'свод практик'!$B$6:$B$277,"ИБ")</f>
        <v>0</v>
      </c>
      <c r="AO60" s="413">
        <f>SUMIFS('свод практик'!$BG$6:$BG$277,'свод практик'!$J$6:$J$277,'строго ИБ'!AO$1,'свод практик'!$B$6:$B$277,"ИБ")</f>
        <v>0</v>
      </c>
      <c r="AP60" s="413">
        <f>SUMIFS('свод практик'!$BG$6:$BG$277,'свод практик'!$J$6:$J$277,'строго ИБ'!AP$1,'свод практик'!$B$6:$B$277,"ИБ")</f>
        <v>0</v>
      </c>
      <c r="AQ60" s="413">
        <f>SUMIFS('свод практик'!$BG$6:$BG$277,'свод практик'!$J$6:$J$277,'строго ИБ'!AQ$1,'свод практик'!$B$6:$B$277,"ИБ")</f>
        <v>0</v>
      </c>
      <c r="AR60" s="413">
        <f>SUMIFS('свод практик'!$BG$6:$BG$277,'свод практик'!$J$6:$J$277,'строго ИБ'!AR$1,'свод практик'!$B$6:$B$277,"ИБ")</f>
        <v>0</v>
      </c>
      <c r="AS60" s="413">
        <f>SUMIFS('свод практик'!$BG$6:$BG$277,'свод практик'!$J$6:$J$277,'строго ИБ'!AS$1,'свод практик'!$B$6:$B$277,"ИБ")</f>
        <v>0</v>
      </c>
      <c r="AT60" s="413">
        <f>SUMIFS('свод практик'!$BG$6:$BG$277,'свод практик'!$J$6:$J$277,'строго ИБ'!AT$1,'свод практик'!$B$6:$B$277,"ИБ")</f>
        <v>0</v>
      </c>
      <c r="AU60" s="413">
        <f>SUMIFS('свод практик'!$BG$6:$BG$277,'свод практик'!$J$6:$J$277,'строго ИБ'!AU$1,'свод практик'!$B$6:$B$277,"ИБ")</f>
        <v>0</v>
      </c>
      <c r="AV60" s="413">
        <f>SUMIFS('свод практик'!$BG$6:$BG$277,'свод практик'!$J$6:$J$277,'строго ИБ'!AV$1,'свод практик'!$B$6:$B$277,"ИБ")</f>
        <v>0</v>
      </c>
      <c r="AW60" s="413">
        <f>SUMIFS('свод практик'!$BG$6:$BG$277,'свод практик'!$J$6:$J$277,'строго ИБ'!AW$1,'свод практик'!$B$6:$B$277,"ИБ")</f>
        <v>0</v>
      </c>
      <c r="AX60" s="413">
        <f>SUMIFS('свод практик'!$BG$6:$BG$277,'свод практик'!$J$6:$J$277,'строго ИБ'!AX$1,'свод практик'!$B$6:$B$277,"ИБ")</f>
        <v>0</v>
      </c>
      <c r="AY60" s="413">
        <f>SUMIFS('свод практик'!$BG$6:$BG$277,'свод практик'!$J$6:$J$277,'строго ИБ'!AY$1,'свод практик'!$B$6:$B$277,"ИБ")</f>
        <v>0</v>
      </c>
      <c r="AZ60" s="413">
        <f>SUMIFS('свод практик'!$BG$6:$BG$277,'свод практик'!$J$6:$J$277,'строго ИБ'!AZ$1,'свод практик'!$B$6:$B$277,"ИБ")</f>
        <v>0</v>
      </c>
      <c r="BA60" s="413">
        <f>SUMIFS('свод практик'!$BG$6:$BG$277,'свод практик'!$J$6:$J$277,'строго ИБ'!BA$1,'свод практик'!$B$6:$B$277,"ИБ")</f>
        <v>0</v>
      </c>
      <c r="BB60" s="413">
        <f>SUMIFS('свод практик'!$BG$6:$BG$277,'свод практик'!$J$6:$J$277,'строго ИБ'!BB$1,'свод практик'!$B$6:$B$277,"ИБ")</f>
        <v>0</v>
      </c>
      <c r="BC60" s="413">
        <f>SUMIFS('свод практик'!$BG$6:$BG$277,'свод практик'!$J$6:$J$277,'строго ИБ'!BC$1,'свод практик'!$B$6:$B$277,"ИБ")</f>
        <v>0</v>
      </c>
      <c r="BD60" s="413">
        <f>SUMIFS('свод практик'!$BG$6:$BG$277,'свод практик'!$J$6:$J$277,'строго ИБ'!BD$1,'свод практик'!$B$6:$B$277,"ИБ")</f>
        <v>0</v>
      </c>
      <c r="BE60" s="413">
        <f>SUMIFS('свод практик'!$BG$6:$BG$277,'свод практик'!$J$6:$J$277,'строго ИБ'!BE$1,'свод практик'!$B$6:$B$277,"ИБ")</f>
        <v>0</v>
      </c>
      <c r="BF60" s="413">
        <f>SUMIFS('свод практик'!$BG$6:$BG$277,'свод практик'!$J$6:$J$277,'строго ИБ'!BF$1,'свод практик'!$B$6:$B$277,"ИБ")</f>
        <v>0</v>
      </c>
      <c r="BG60" s="413">
        <f>SUMIFS('свод практик'!$BG$6:$BG$277,'свод практик'!$J$6:$J$277,'строго ИБ'!BG$1,'свод практик'!$B$6:$B$277,"ИБ")</f>
        <v>0</v>
      </c>
      <c r="BH60" s="413">
        <f>SUMIFS('свод практик'!$BG$6:$BG$277,'свод практик'!$J$6:$J$277,'строго ИБ'!BH$1,'свод практик'!$B$6:$B$277,"ИБ")</f>
        <v>0</v>
      </c>
      <c r="BI60" s="413">
        <f>SUMIFS('свод практик'!$BG$6:$BG$277,'свод практик'!$J$6:$J$277,'строго ИБ'!BI$1,'свод практик'!$B$6:$B$277,"ИБ")</f>
        <v>0</v>
      </c>
      <c r="BJ60" s="413">
        <f>SUMIFS('свод практик'!$BG$6:$BG$277,'свод практик'!$J$6:$J$277,'строго ИБ'!BJ$1,'свод практик'!$B$6:$B$277,"ИБ")</f>
        <v>0</v>
      </c>
      <c r="BK60" s="413">
        <f>SUMIFS('свод практик'!$BG$6:$BG$277,'свод практик'!$J$6:$J$277,'строго ИБ'!BK$1,'свод практик'!$B$6:$B$277,"ИБ")</f>
        <v>0</v>
      </c>
      <c r="BL60" s="413">
        <f>SUMIFS('свод практик'!$BG$6:$BG$277,'свод практик'!$J$6:$J$277,'строго ИБ'!BL$1,'свод практик'!$B$6:$B$277,"ИБ")</f>
        <v>0</v>
      </c>
      <c r="BM60" s="413">
        <f>SUMIFS('свод практик'!$BG$6:$BG$277,'свод практик'!$J$6:$J$277,'строго ИБ'!BM$1,'свод практик'!$B$6:$B$277,"ИБ")</f>
        <v>0</v>
      </c>
      <c r="BN60" s="413">
        <f>SUMIFS('свод практик'!$BG$6:$BG$277,'свод практик'!$J$6:$J$277,'строго ИБ'!BN$1,'свод практик'!$B$6:$B$277,"ИБ")</f>
        <v>0</v>
      </c>
      <c r="BO60" s="413">
        <f>SUMIFS('свод практик'!$BG$6:$BG$277,'свод практик'!$J$6:$J$277,'строго ИБ'!BO$1,'свод практик'!$B$6:$B$277,"ИБ")</f>
        <v>0</v>
      </c>
      <c r="BP60" s="413">
        <f>SUMIFS('свод практик'!$BG$6:$BG$277,'свод практик'!$J$6:$J$277,'строго ИБ'!BP$1,'свод практик'!$B$6:$B$277,"ИБ")</f>
        <v>0</v>
      </c>
      <c r="BQ60" s="413">
        <f>SUMIFS('свод практик'!$BG$6:$BG$277,'свод практик'!$J$6:$J$277,'строго ИБ'!BQ$1,'свод практик'!$B$6:$B$277,"ИБ")</f>
        <v>0</v>
      </c>
      <c r="BR60" s="413">
        <f>SUMIFS('свод практик'!$BG$6:$BG$277,'свод практик'!$J$6:$J$277,'строго ИБ'!BR$1,'свод практик'!$B$6:$B$277,"ИБ")</f>
        <v>0</v>
      </c>
      <c r="BS60" s="413">
        <f>SUMIFS('свод практик'!$BG$6:$BG$277,'свод практик'!$J$6:$J$277,'строго ИБ'!BS$1,'свод практик'!$B$6:$B$277,"ИБ")</f>
        <v>0</v>
      </c>
      <c r="BT60" s="413">
        <f>SUMIFS('свод практик'!$BG$6:$BG$277,'свод практик'!$J$6:$J$277,'строго ИБ'!BT$1,'свод практик'!$B$6:$B$277,"ИБ")</f>
        <v>0</v>
      </c>
      <c r="BU60" s="413">
        <f>SUMIFS('свод практик'!$BG$6:$BG$277,'свод практик'!$J$6:$J$277,'строго ИБ'!BU$1,'свод практик'!$B$6:$B$277,"ИБ")</f>
        <v>0</v>
      </c>
      <c r="BV60" s="413">
        <f>SUMIFS('свод практик'!$BG$6:$BG$277,'свод практик'!$J$6:$J$277,'строго ИБ'!BV$1,'свод практик'!$B$6:$B$277,"ИБ")</f>
        <v>0</v>
      </c>
      <c r="BW60" s="413">
        <f>SUMIFS('свод практик'!$BG$6:$BG$277,'свод практик'!$J$6:$J$277,'строго ИБ'!BW$1,'свод практик'!$B$6:$B$277,"ИБ")</f>
        <v>0</v>
      </c>
      <c r="BX60" s="413">
        <f>SUMIFS('свод практик'!$BG$6:$BG$277,'свод практик'!$J$6:$J$277,'строго ИБ'!BX$1,'свод практик'!$B$6:$B$277,"ИБ")</f>
        <v>0</v>
      </c>
      <c r="BY60" s="413">
        <f>SUMIFS('свод практик'!$BG$6:$BG$277,'свод практик'!$J$6:$J$277,'строго ИБ'!BY$1,'свод практик'!$B$6:$B$277,"ИБ")</f>
        <v>0</v>
      </c>
      <c r="BZ60" s="413">
        <f>SUMIFS('свод практик'!$BG$6:$BG$277,'свод практик'!$J$6:$J$277,'строго ИБ'!BZ$1,'свод практик'!$B$6:$B$277,"ИБ")</f>
        <v>0</v>
      </c>
      <c r="CA60" s="413">
        <f>SUMIFS('свод практик'!$BG$6:$BG$277,'свод практик'!$J$6:$J$277,'строго ИБ'!CA$1,'свод практик'!$B$6:$B$277,"ИБ")</f>
        <v>0</v>
      </c>
      <c r="CB60" s="413">
        <f>SUMIFS('свод практик'!$BG$6:$BG$277,'свод практик'!$J$6:$J$277,'строго ИБ'!CB$1,'свод практик'!$B$6:$B$277,"ИБ")</f>
        <v>0</v>
      </c>
      <c r="CC60" s="413">
        <f>SUMIFS('свод практик'!$BG$6:$BG$277,'свод практик'!$J$6:$J$277,'строго ИБ'!CC$1,'свод практик'!$B$6:$B$277,"ИБ")</f>
        <v>0</v>
      </c>
      <c r="CD60" s="413">
        <f>SUMIFS('свод практик'!$BG$6:$BG$277,'свод практик'!$J$6:$J$277,'строго ИБ'!CD$1,'свод практик'!$B$6:$B$277,"ИБ")</f>
        <v>0</v>
      </c>
      <c r="CE60" s="413">
        <f>SUMIFS('свод практик'!$BG$6:$BG$277,'свод практик'!$J$6:$J$277,'строго ИБ'!CE$1,'свод практик'!$B$6:$B$277,"ИБ")</f>
        <v>0</v>
      </c>
      <c r="CF60" s="413">
        <f>SUMIFS('свод практик'!$BG$6:$BG$277,'свод практик'!$J$6:$J$277,'строго ИБ'!CF$1,'свод практик'!$B$6:$B$277,"ИБ")</f>
        <v>0</v>
      </c>
      <c r="CG60" s="413">
        <f>SUMIFS('свод практик'!$BG$6:$BG$277,'свод практик'!$J$6:$J$277,'строго ИБ'!CG$1,'свод практик'!$B$6:$B$277,"ИБ")</f>
        <v>0</v>
      </c>
      <c r="CH60" s="413">
        <f>SUMIFS('свод практик'!$BG$6:$BG$277,'свод практик'!$J$6:$J$277,'строго ИБ'!CH$1,'свод практик'!$B$6:$B$277,"ИБ")</f>
        <v>0</v>
      </c>
      <c r="CI60" s="413">
        <f>SUMIFS('свод практик'!$BG$6:$BG$277,'свод практик'!$J$6:$J$277,'строго ИБ'!CI$1,'свод практик'!$B$6:$B$277,"ИБ")</f>
        <v>0</v>
      </c>
      <c r="CJ60" s="413">
        <f>SUMIFS('свод практик'!$BG$6:$BG$277,'свод практик'!$J$6:$J$277,'строго ИБ'!CJ$1,'свод практик'!$B$6:$B$277,"ИБ")</f>
        <v>0</v>
      </c>
      <c r="CK60" s="413">
        <f>SUMIFS('свод практик'!$BG$6:$BG$277,'свод практик'!$J$6:$J$277,'строго ИБ'!CK$1,'свод практик'!$B$6:$B$277,"ИБ")</f>
        <v>0</v>
      </c>
      <c r="CL60" s="413">
        <f>SUMIFS('свод практик'!$BG$6:$BG$277,'свод практик'!$J$6:$J$277,'строго ИБ'!CL$1,'свод практик'!$B$6:$B$277,"ИБ")</f>
        <v>0</v>
      </c>
      <c r="CM60" s="413">
        <f>SUMIFS('свод практик'!$BG$6:$BG$277,'свод практик'!$J$6:$J$277,'строго ИБ'!CM$1,'свод практик'!$B$6:$B$277,"ИБ")</f>
        <v>1.4</v>
      </c>
      <c r="CN60" s="413">
        <f>SUMIFS('свод практик'!$BG$6:$BG$277,'свод практик'!$J$6:$J$277,'строго ИБ'!CN$1,'свод практик'!$B$6:$B$277,"ИБ")</f>
        <v>0</v>
      </c>
      <c r="CO60" s="413">
        <f>SUMIFS('свод практик'!$BG$6:$BG$277,'свод практик'!$J$6:$J$277,'строго ИБ'!CO$1,'свод практик'!$B$6:$B$277,"ИБ")</f>
        <v>0</v>
      </c>
      <c r="CP60" s="413">
        <f>SUMIFS('свод практик'!$BG$6:$BG$277,'свод практик'!$J$6:$J$277,'строго ИБ'!CP$1,'свод практик'!$B$6:$B$277,"ИБ")</f>
        <v>0</v>
      </c>
      <c r="CQ60" s="413">
        <f>SUMIFS('свод практик'!$BG$6:$BG$277,'свод практик'!$J$6:$J$277,'строго ИБ'!CQ$1,'свод практик'!$B$6:$B$277,"ИБ")</f>
        <v>0</v>
      </c>
      <c r="CR60" s="413">
        <f>SUMIFS('свод практик'!$BG$6:$BG$277,'свод практик'!$J$6:$J$277,'строго ИБ'!CR$1,'свод практик'!$B$6:$B$277,"ИБ")</f>
        <v>0</v>
      </c>
      <c r="CS60" s="413">
        <f>SUMIFS('свод практик'!$BG$6:$BG$277,'свод практик'!$J$6:$J$277,'строго ИБ'!CS$1,'свод практик'!$B$6:$B$277,"ИБ")</f>
        <v>0</v>
      </c>
      <c r="CT60" s="413">
        <f>SUMIFS('свод практик'!$BG$6:$BG$277,'свод практик'!$J$6:$J$277,'строго ИБ'!CT$1,'свод практик'!$B$6:$B$277,"ИБ")</f>
        <v>0</v>
      </c>
      <c r="CU60" s="413">
        <f>SUMIFS('свод практик'!$BG$6:$BG$277,'свод практик'!$J$6:$J$277,'строго ИБ'!CU$1,'свод практик'!$B$6:$B$277,"ИБ")</f>
        <v>497.7</v>
      </c>
    </row>
    <row r="61" spans="1:99" ht="44.5" customHeight="1" thickBot="1">
      <c r="A61" s="800"/>
      <c r="B61" s="796"/>
      <c r="C61" s="796"/>
      <c r="D61" s="452" t="s">
        <v>4949</v>
      </c>
      <c r="E61" s="452">
        <v>40</v>
      </c>
      <c r="F61" s="453" t="s">
        <v>5119</v>
      </c>
      <c r="G61" s="454" t="s">
        <v>5745</v>
      </c>
      <c r="H61" s="455" t="s">
        <v>60</v>
      </c>
      <c r="I61" s="456" t="s">
        <v>5090</v>
      </c>
      <c r="J61" s="456"/>
      <c r="K61" s="343"/>
      <c r="L61" s="368">
        <v>4.0292462943591734E-2</v>
      </c>
      <c r="M61" s="367">
        <v>2.6320509406648818E-2</v>
      </c>
      <c r="N61" s="607">
        <f>N60/N44</f>
        <v>3.9910862832240407E-2</v>
      </c>
      <c r="O61" s="609">
        <f t="shared" ref="O61:BZ61" si="19">O60/O44</f>
        <v>0</v>
      </c>
      <c r="P61" s="609">
        <f t="shared" si="19"/>
        <v>0</v>
      </c>
      <c r="Q61" s="609">
        <f t="shared" si="19"/>
        <v>0</v>
      </c>
      <c r="R61" s="609">
        <f t="shared" si="19"/>
        <v>0</v>
      </c>
      <c r="S61" s="609">
        <f t="shared" si="19"/>
        <v>0</v>
      </c>
      <c r="T61" s="609">
        <f t="shared" si="19"/>
        <v>0</v>
      </c>
      <c r="U61" s="609">
        <f t="shared" si="19"/>
        <v>0</v>
      </c>
      <c r="V61" s="609">
        <f t="shared" si="19"/>
        <v>0</v>
      </c>
      <c r="W61" s="609">
        <f t="shared" si="19"/>
        <v>0</v>
      </c>
      <c r="X61" s="609" t="e">
        <f t="shared" si="19"/>
        <v>#DIV/0!</v>
      </c>
      <c r="Y61" s="609" t="e">
        <f t="shared" si="19"/>
        <v>#DIV/0!</v>
      </c>
      <c r="Z61" s="609">
        <f t="shared" si="19"/>
        <v>0</v>
      </c>
      <c r="AA61" s="609">
        <f t="shared" si="19"/>
        <v>0</v>
      </c>
      <c r="AB61" s="609">
        <f t="shared" si="19"/>
        <v>0</v>
      </c>
      <c r="AC61" s="609" t="e">
        <f t="shared" si="19"/>
        <v>#DIV/0!</v>
      </c>
      <c r="AD61" s="609" t="e">
        <f t="shared" si="19"/>
        <v>#DIV/0!</v>
      </c>
      <c r="AE61" s="609" t="e">
        <f t="shared" si="19"/>
        <v>#DIV/0!</v>
      </c>
      <c r="AF61" s="609" t="e">
        <f t="shared" si="19"/>
        <v>#DIV/0!</v>
      </c>
      <c r="AG61" s="609" t="e">
        <f t="shared" si="19"/>
        <v>#DIV/0!</v>
      </c>
      <c r="AH61" s="609" t="e">
        <f t="shared" si="19"/>
        <v>#DIV/0!</v>
      </c>
      <c r="AI61" s="609" t="e">
        <f t="shared" si="19"/>
        <v>#DIV/0!</v>
      </c>
      <c r="AJ61" s="609" t="e">
        <f t="shared" si="19"/>
        <v>#DIV/0!</v>
      </c>
      <c r="AK61" s="609">
        <f t="shared" si="19"/>
        <v>0</v>
      </c>
      <c r="AL61" s="609">
        <f t="shared" si="19"/>
        <v>0</v>
      </c>
      <c r="AM61" s="609" t="e">
        <f t="shared" si="19"/>
        <v>#DIV/0!</v>
      </c>
      <c r="AN61" s="609" t="e">
        <f t="shared" si="19"/>
        <v>#DIV/0!</v>
      </c>
      <c r="AO61" s="609">
        <f t="shared" si="19"/>
        <v>0</v>
      </c>
      <c r="AP61" s="609">
        <f t="shared" si="19"/>
        <v>0</v>
      </c>
      <c r="AQ61" s="609">
        <f t="shared" si="19"/>
        <v>0</v>
      </c>
      <c r="AR61" s="609">
        <f t="shared" si="19"/>
        <v>0</v>
      </c>
      <c r="AS61" s="609" t="e">
        <f t="shared" si="19"/>
        <v>#DIV/0!</v>
      </c>
      <c r="AT61" s="609" t="e">
        <f t="shared" si="19"/>
        <v>#DIV/0!</v>
      </c>
      <c r="AU61" s="609">
        <f t="shared" si="19"/>
        <v>0</v>
      </c>
      <c r="AV61" s="609" t="e">
        <f t="shared" si="19"/>
        <v>#DIV/0!</v>
      </c>
      <c r="AW61" s="609">
        <f t="shared" si="19"/>
        <v>0</v>
      </c>
      <c r="AX61" s="609" t="e">
        <f t="shared" si="19"/>
        <v>#DIV/0!</v>
      </c>
      <c r="AY61" s="609">
        <f t="shared" si="19"/>
        <v>0</v>
      </c>
      <c r="AZ61" s="609" t="e">
        <f t="shared" si="19"/>
        <v>#DIV/0!</v>
      </c>
      <c r="BA61" s="609" t="e">
        <f t="shared" si="19"/>
        <v>#DIV/0!</v>
      </c>
      <c r="BB61" s="609">
        <f t="shared" si="19"/>
        <v>0</v>
      </c>
      <c r="BC61" s="609" t="e">
        <f t="shared" si="19"/>
        <v>#DIV/0!</v>
      </c>
      <c r="BD61" s="609" t="e">
        <f t="shared" si="19"/>
        <v>#DIV/0!</v>
      </c>
      <c r="BE61" s="609">
        <f t="shared" si="19"/>
        <v>0</v>
      </c>
      <c r="BF61" s="609">
        <f t="shared" si="19"/>
        <v>0</v>
      </c>
      <c r="BG61" s="609">
        <f t="shared" si="19"/>
        <v>0</v>
      </c>
      <c r="BH61" s="609">
        <f t="shared" si="19"/>
        <v>0</v>
      </c>
      <c r="BI61" s="609">
        <f t="shared" si="19"/>
        <v>0</v>
      </c>
      <c r="BJ61" s="609">
        <f t="shared" si="19"/>
        <v>0</v>
      </c>
      <c r="BK61" s="609" t="e">
        <f t="shared" si="19"/>
        <v>#DIV/0!</v>
      </c>
      <c r="BL61" s="609">
        <f t="shared" si="19"/>
        <v>0</v>
      </c>
      <c r="BM61" s="609">
        <f t="shared" si="19"/>
        <v>0</v>
      </c>
      <c r="BN61" s="609" t="e">
        <f t="shared" si="19"/>
        <v>#DIV/0!</v>
      </c>
      <c r="BO61" s="609">
        <f t="shared" si="19"/>
        <v>0</v>
      </c>
      <c r="BP61" s="609" t="e">
        <f t="shared" si="19"/>
        <v>#DIV/0!</v>
      </c>
      <c r="BQ61" s="609" t="e">
        <f t="shared" si="19"/>
        <v>#DIV/0!</v>
      </c>
      <c r="BR61" s="609">
        <f t="shared" si="19"/>
        <v>0</v>
      </c>
      <c r="BS61" s="609">
        <f t="shared" si="19"/>
        <v>0</v>
      </c>
      <c r="BT61" s="609">
        <f t="shared" si="19"/>
        <v>0</v>
      </c>
      <c r="BU61" s="609">
        <f t="shared" si="19"/>
        <v>0</v>
      </c>
      <c r="BV61" s="609">
        <f t="shared" si="19"/>
        <v>0</v>
      </c>
      <c r="BW61" s="609">
        <f t="shared" si="19"/>
        <v>0</v>
      </c>
      <c r="BX61" s="609">
        <f t="shared" si="19"/>
        <v>0</v>
      </c>
      <c r="BY61" s="609">
        <f t="shared" si="19"/>
        <v>0</v>
      </c>
      <c r="BZ61" s="609" t="e">
        <f t="shared" si="19"/>
        <v>#DIV/0!</v>
      </c>
      <c r="CA61" s="609" t="e">
        <f t="shared" ref="CA61:CU61" si="20">CA60/CA44</f>
        <v>#DIV/0!</v>
      </c>
      <c r="CB61" s="609" t="e">
        <f t="shared" si="20"/>
        <v>#DIV/0!</v>
      </c>
      <c r="CC61" s="609">
        <f t="shared" si="20"/>
        <v>0</v>
      </c>
      <c r="CD61" s="609">
        <f t="shared" si="20"/>
        <v>0</v>
      </c>
      <c r="CE61" s="609" t="e">
        <f t="shared" si="20"/>
        <v>#DIV/0!</v>
      </c>
      <c r="CF61" s="609">
        <f t="shared" si="20"/>
        <v>0</v>
      </c>
      <c r="CG61" s="609">
        <f t="shared" si="20"/>
        <v>0</v>
      </c>
      <c r="CH61" s="609">
        <f t="shared" si="20"/>
        <v>0</v>
      </c>
      <c r="CI61" s="609" t="e">
        <f t="shared" si="20"/>
        <v>#DIV/0!</v>
      </c>
      <c r="CJ61" s="609" t="e">
        <f t="shared" si="20"/>
        <v>#DIV/0!</v>
      </c>
      <c r="CK61" s="609">
        <f t="shared" si="20"/>
        <v>0</v>
      </c>
      <c r="CL61" s="609">
        <f t="shared" si="20"/>
        <v>0</v>
      </c>
      <c r="CM61" s="609">
        <f t="shared" si="20"/>
        <v>1.7879948914431672E-2</v>
      </c>
      <c r="CN61" s="609" t="e">
        <f t="shared" si="20"/>
        <v>#DIV/0!</v>
      </c>
      <c r="CO61" s="609">
        <f t="shared" si="20"/>
        <v>0</v>
      </c>
      <c r="CP61" s="609">
        <f t="shared" si="20"/>
        <v>0</v>
      </c>
      <c r="CQ61" s="609" t="e">
        <f t="shared" si="20"/>
        <v>#DIV/0!</v>
      </c>
      <c r="CR61" s="609">
        <f t="shared" si="20"/>
        <v>0</v>
      </c>
      <c r="CS61" s="609">
        <f t="shared" si="20"/>
        <v>0</v>
      </c>
      <c r="CT61" s="609">
        <f t="shared" si="20"/>
        <v>0</v>
      </c>
      <c r="CU61" s="609">
        <f t="shared" si="20"/>
        <v>0.67302231237322518</v>
      </c>
    </row>
    <row r="62" spans="1:99" ht="48.5" customHeight="1" thickBot="1">
      <c r="A62" s="462" t="s">
        <v>5120</v>
      </c>
      <c r="B62" s="463" t="s">
        <v>4990</v>
      </c>
      <c r="C62" s="464" t="s">
        <v>5121</v>
      </c>
      <c r="D62" s="465" t="s">
        <v>4949</v>
      </c>
      <c r="E62" s="465">
        <v>41</v>
      </c>
      <c r="F62" s="466" t="s">
        <v>5122</v>
      </c>
      <c r="G62" s="467" t="s">
        <v>5753</v>
      </c>
      <c r="H62" s="468" t="s">
        <v>60</v>
      </c>
      <c r="I62" s="507" t="s">
        <v>4961</v>
      </c>
      <c r="J62" s="469"/>
      <c r="K62" s="345"/>
      <c r="L62" s="375" t="s">
        <v>5476</v>
      </c>
      <c r="M62" s="347" t="s">
        <v>5476</v>
      </c>
      <c r="N62" s="612" t="s">
        <v>5476</v>
      </c>
      <c r="O62" s="606">
        <f>SUMIFS('свод практик'!$AM$6:$AM$277,'свод практик'!$J$6:$J$277,'строго ИБ'!O$1,'свод практик'!$B$6:$B$277,"ИБ")</f>
        <v>2.0000000000000001E-4</v>
      </c>
      <c r="P62" s="606">
        <f>SUMIFS('свод практик'!$AM$6:$AM$277,'свод практик'!$J$6:$J$277,'строго ИБ'!P$1,'свод практик'!$B$6:$B$277,"ИБ")</f>
        <v>8.0755872543115148E-5</v>
      </c>
      <c r="Q62" s="606">
        <f>SUMIFS('свод практик'!$AM$6:$AM$277,'свод практик'!$J$6:$J$277,'строго ИБ'!Q$1,'свод практик'!$B$6:$B$277,"ИБ")</f>
        <v>4.3E-3</v>
      </c>
      <c r="R62" s="606">
        <f>SUMIFS('свод практик'!$AM$6:$AM$277,'свод практик'!$J$6:$J$277,'строго ИБ'!R$1,'свод практик'!$B$6:$B$277,"ИБ")</f>
        <v>1.1000000000000001E-3</v>
      </c>
      <c r="S62" s="606">
        <f>SUMIFS('свод практик'!$AM$6:$AM$277,'свод практик'!$J$6:$J$277,'строго ИБ'!S$1,'свод практик'!$B$6:$B$277,"ИБ")</f>
        <v>0</v>
      </c>
      <c r="T62" s="606">
        <f>SUMIFS('свод практик'!$AM$6:$AM$277,'свод практик'!$J$6:$J$277,'строго ИБ'!T$1,'свод практик'!$B$6:$B$277,"ИБ")</f>
        <v>3.0000000000000001E-5</v>
      </c>
      <c r="U62" s="606">
        <f>SUMIFS('свод практик'!$AM$6:$AM$277,'свод практик'!$J$6:$J$277,'строго ИБ'!U$1,'свод практик'!$B$6:$B$277,"ИБ")</f>
        <v>1.15E-2</v>
      </c>
      <c r="V62" s="606">
        <f>SUMIFS('свод практик'!$AM$6:$AM$277,'свод практик'!$J$6:$J$277,'строго ИБ'!V$1,'свод практик'!$B$6:$B$277,"ИБ")</f>
        <v>0</v>
      </c>
      <c r="W62" s="606">
        <f>SUMIFS('свод практик'!$AM$6:$AM$277,'свод практик'!$J$6:$J$277,'строго ИБ'!W$1,'свод практик'!$B$6:$B$277,"ИБ")</f>
        <v>1.5E-3</v>
      </c>
      <c r="X62" s="606">
        <f>SUMIFS('свод практик'!$AM$6:$AM$277,'свод практик'!$J$6:$J$277,'строго ИБ'!X$1,'свод практик'!$B$6:$B$277,"ИБ")</f>
        <v>0</v>
      </c>
      <c r="Y62" s="606">
        <f>SUMIFS('свод практик'!$AM$6:$AM$277,'свод практик'!$J$6:$J$277,'строго ИБ'!Y$1,'свод практик'!$B$6:$B$277,"ИБ")</f>
        <v>0</v>
      </c>
      <c r="Z62" s="606">
        <f>SUMIFS('свод практик'!$AM$6:$AM$277,'свод практик'!$J$6:$J$277,'строго ИБ'!Z$1,'свод практик'!$B$6:$B$277,"ИБ")</f>
        <v>4.8326478184357221E-4</v>
      </c>
      <c r="AA62" s="606">
        <f>SUMIFS('свод практик'!$AM$6:$AM$277,'свод практик'!$J$6:$J$277,'строго ИБ'!AA$1,'свод практик'!$B$6:$B$277,"ИБ")</f>
        <v>9.9711397367051899E-4</v>
      </c>
      <c r="AB62" s="606">
        <f>SUMIFS('свод практик'!$AM$6:$AM$277,'свод практик'!$J$6:$J$277,'строго ИБ'!AB$1,'свод практик'!$B$6:$B$277,"ИБ")</f>
        <v>9.8399213679210558E-4</v>
      </c>
      <c r="AC62" s="606">
        <f>SUMIFS('свод практик'!$AM$6:$AM$277,'свод практик'!$J$6:$J$277,'строго ИБ'!AC$1,'свод практик'!$B$6:$B$277,"ИБ")</f>
        <v>0</v>
      </c>
      <c r="AD62" s="606">
        <f>SUMIFS('свод практик'!$AM$6:$AM$277,'свод практик'!$J$6:$J$277,'строго ИБ'!AD$1,'свод практик'!$B$6:$B$277,"ИБ")</f>
        <v>0</v>
      </c>
      <c r="AE62" s="606">
        <f>SUMIFS('свод практик'!$AM$6:$AM$277,'свод практик'!$J$6:$J$277,'строго ИБ'!AE$1,'свод практик'!$B$6:$B$277,"ИБ")</f>
        <v>0</v>
      </c>
      <c r="AF62" s="606">
        <f>SUMIFS('свод практик'!$AM$6:$AM$277,'свод практик'!$J$6:$J$277,'строго ИБ'!AF$1,'свод практик'!$B$6:$B$277,"ИБ")</f>
        <v>0</v>
      </c>
      <c r="AG62" s="606">
        <f>SUMIFS('свод практик'!$AM$6:$AM$277,'свод практик'!$J$6:$J$277,'строго ИБ'!AG$1,'свод практик'!$B$6:$B$277,"ИБ")</f>
        <v>0</v>
      </c>
      <c r="AH62" s="606">
        <f>SUMIFS('свод практик'!$AM$6:$AM$277,'свод практик'!$J$6:$J$277,'строго ИБ'!AH$1,'свод практик'!$B$6:$B$277,"ИБ")</f>
        <v>0</v>
      </c>
      <c r="AI62" s="606">
        <f>SUMIFS('свод практик'!$AM$6:$AM$277,'свод практик'!$J$6:$J$277,'строго ИБ'!AI$1,'свод практик'!$B$6:$B$277,"ИБ")</f>
        <v>0</v>
      </c>
      <c r="AJ62" s="606">
        <f>SUMIFS('свод практик'!$AM$6:$AM$277,'свод практик'!$J$6:$J$277,'строго ИБ'!AJ$1,'свод практик'!$B$6:$B$277,"ИБ")</f>
        <v>0</v>
      </c>
      <c r="AK62" s="606">
        <f>SUMIFS('свод практик'!$AM$6:$AM$277,'свод практик'!$J$6:$J$277,'строго ИБ'!AK$1,'свод практик'!$B$6:$B$277,"ИБ")</f>
        <v>3.1E-4</v>
      </c>
      <c r="AL62" s="606">
        <f>SUMIFS('свод практик'!$AM$6:$AM$277,'свод практик'!$J$6:$J$277,'строго ИБ'!AL$1,'свод практик'!$B$6:$B$277,"ИБ")</f>
        <v>1.3600126388932301E-3</v>
      </c>
      <c r="AM62" s="606">
        <f>SUMIFS('свод практик'!$AM$6:$AM$277,'свод практик'!$J$6:$J$277,'строго ИБ'!AM$1,'свод практик'!$B$6:$B$277,"ИБ")</f>
        <v>0</v>
      </c>
      <c r="AN62" s="606">
        <f>SUMIFS('свод практик'!$AM$6:$AM$277,'свод практик'!$J$6:$J$277,'строго ИБ'!AN$1,'свод практик'!$B$6:$B$277,"ИБ")</f>
        <v>0</v>
      </c>
      <c r="AO62" s="606">
        <f>SUMIFS('свод практик'!$AM$6:$AM$277,'свод практик'!$J$6:$J$277,'строго ИБ'!AO$1,'свод практик'!$B$6:$B$277,"ИБ")</f>
        <v>1.0507385112904484E-3</v>
      </c>
      <c r="AP62" s="606">
        <f>SUMIFS('свод практик'!$AM$6:$AM$277,'свод практик'!$J$6:$J$277,'строго ИБ'!AP$1,'свод практик'!$B$6:$B$277,"ИБ")</f>
        <v>1E-3</v>
      </c>
      <c r="AQ62" s="606">
        <f>SUMIFS('свод практик'!$AM$6:$AM$277,'свод практик'!$J$6:$J$277,'строго ИБ'!AQ$1,'свод практик'!$B$6:$B$277,"ИБ")</f>
        <v>4.0999999999999995E-3</v>
      </c>
      <c r="AR62" s="606">
        <f>SUMIFS('свод практик'!$AM$6:$AM$277,'свод практик'!$J$6:$J$277,'строго ИБ'!AR$1,'свод практик'!$B$6:$B$277,"ИБ")</f>
        <v>1.1000000000000001E-3</v>
      </c>
      <c r="AS62" s="606">
        <f>SUMIFS('свод практик'!$AM$6:$AM$277,'свод практик'!$J$6:$J$277,'строго ИБ'!AS$1,'свод практик'!$B$6:$B$277,"ИБ")</f>
        <v>0</v>
      </c>
      <c r="AT62" s="606">
        <f>SUMIFS('свод практик'!$AM$6:$AM$277,'свод практик'!$J$6:$J$277,'строго ИБ'!AT$1,'свод практик'!$B$6:$B$277,"ИБ")</f>
        <v>0</v>
      </c>
      <c r="AU62" s="606">
        <f>SUMIFS('свод практик'!$AM$6:$AM$277,'свод практик'!$J$6:$J$277,'строго ИБ'!AU$1,'свод практик'!$B$6:$B$277,"ИБ")</f>
        <v>4.0000000000000002E-4</v>
      </c>
      <c r="AV62" s="606">
        <f>SUMIFS('свод практик'!$AM$6:$AM$277,'свод практик'!$J$6:$J$277,'строго ИБ'!AV$1,'свод практик'!$B$6:$B$277,"ИБ")</f>
        <v>0</v>
      </c>
      <c r="AW62" s="606">
        <f>SUMIFS('свод практик'!$AM$6:$AM$277,'свод практик'!$J$6:$J$277,'строго ИБ'!AW$1,'свод практик'!$B$6:$B$277,"ИБ")</f>
        <v>1.6000000000000001E-3</v>
      </c>
      <c r="AX62" s="606">
        <f>SUMIFS('свод практик'!$AM$6:$AM$277,'свод практик'!$J$6:$J$277,'строго ИБ'!AX$1,'свод практик'!$B$6:$B$277,"ИБ")</f>
        <v>0</v>
      </c>
      <c r="AY62" s="606">
        <f>SUMIFS('свод практик'!$AM$6:$AM$277,'свод практик'!$J$6:$J$277,'строго ИБ'!AY$1,'свод практик'!$B$6:$B$277,"ИБ")</f>
        <v>0</v>
      </c>
      <c r="AZ62" s="606">
        <f>SUMIFS('свод практик'!$AM$6:$AM$277,'свод практик'!$J$6:$J$277,'строго ИБ'!AZ$1,'свод практик'!$B$6:$B$277,"ИБ")</f>
        <v>0</v>
      </c>
      <c r="BA62" s="606">
        <f>SUMIFS('свод практик'!$AM$6:$AM$277,'свод практик'!$J$6:$J$277,'строго ИБ'!BA$1,'свод практик'!$B$6:$B$277,"ИБ")</f>
        <v>0</v>
      </c>
      <c r="BB62" s="606">
        <f>SUMIFS('свод практик'!$AM$6:$AM$277,'свод практик'!$J$6:$J$277,'строго ИБ'!BB$1,'свод практик'!$B$6:$B$277,"ИБ")</f>
        <v>6.9999999999999999E-4</v>
      </c>
      <c r="BC62" s="606">
        <f>SUMIFS('свод практик'!$AM$6:$AM$277,'свод практик'!$J$6:$J$277,'строго ИБ'!BC$1,'свод практик'!$B$6:$B$277,"ИБ")</f>
        <v>0</v>
      </c>
      <c r="BD62" s="606">
        <f>SUMIFS('свод практик'!$AM$6:$AM$277,'свод практик'!$J$6:$J$277,'строго ИБ'!BD$1,'свод практик'!$B$6:$B$277,"ИБ")</f>
        <v>0</v>
      </c>
      <c r="BE62" s="606">
        <f>SUMIFS('свод практик'!$AM$6:$AM$277,'свод практик'!$J$6:$J$277,'строго ИБ'!BE$1,'свод практик'!$B$6:$B$277,"ИБ")</f>
        <v>0</v>
      </c>
      <c r="BF62" s="606">
        <f>SUMIFS('свод практик'!$AM$6:$AM$277,'свод практик'!$J$6:$J$277,'строго ИБ'!BF$1,'свод практик'!$B$6:$B$277,"ИБ")</f>
        <v>2.9999999999999997E-4</v>
      </c>
      <c r="BG62" s="606">
        <f>SUMIFS('свод практик'!$AM$6:$AM$277,'свод практик'!$J$6:$J$277,'строго ИБ'!BG$1,'свод практик'!$B$6:$B$277,"ИБ")</f>
        <v>8.0000000000000004E-4</v>
      </c>
      <c r="BH62" s="606">
        <f>SUMIFS('свод практик'!$AM$6:$AM$277,'свод практик'!$J$6:$J$277,'строго ИБ'!BH$1,'свод практик'!$B$6:$B$277,"ИБ")</f>
        <v>1.8709589236779644E-3</v>
      </c>
      <c r="BI62" s="606">
        <f>SUMIFS('свод практик'!$AM$6:$AM$277,'свод практик'!$J$6:$J$277,'строго ИБ'!BI$1,'свод практик'!$B$6:$B$277,"ИБ")</f>
        <v>7.0999999999999991E-4</v>
      </c>
      <c r="BJ62" s="606">
        <f>SUMIFS('свод практик'!$AM$6:$AM$277,'свод практик'!$J$6:$J$277,'строго ИБ'!BJ$1,'свод практик'!$B$6:$B$277,"ИБ")</f>
        <v>6.9999999999999999E-4</v>
      </c>
      <c r="BK62" s="606">
        <f>SUMIFS('свод практик'!$AM$6:$AM$277,'свод практик'!$J$6:$J$277,'строго ИБ'!BK$1,'свод практик'!$B$6:$B$277,"ИБ")</f>
        <v>0</v>
      </c>
      <c r="BL62" s="606">
        <f>SUMIFS('свод практик'!$AM$6:$AM$277,'свод практик'!$J$6:$J$277,'строго ИБ'!BL$1,'свод практик'!$B$6:$B$277,"ИБ")</f>
        <v>6.9999999999999999E-4</v>
      </c>
      <c r="BM62" s="606">
        <f>SUMIFS('свод практик'!$AM$6:$AM$277,'свод практик'!$J$6:$J$277,'строго ИБ'!BM$1,'свод практик'!$B$6:$B$277,"ИБ")</f>
        <v>4.1792527577870405E-4</v>
      </c>
      <c r="BN62" s="606">
        <f>SUMIFS('свод практик'!$AM$6:$AM$277,'свод практик'!$J$6:$J$277,'строго ИБ'!BN$1,'свод практик'!$B$6:$B$277,"ИБ")</f>
        <v>0</v>
      </c>
      <c r="BO62" s="606">
        <f>SUMIFS('свод практик'!$AM$6:$AM$277,'свод практик'!$J$6:$J$277,'строго ИБ'!BO$1,'свод практик'!$B$6:$B$277,"ИБ")</f>
        <v>9.1751418188019713E-4</v>
      </c>
      <c r="BP62" s="606">
        <f>SUMIFS('свод практик'!$AM$6:$AM$277,'свод практик'!$J$6:$J$277,'строго ИБ'!BP$1,'свод практик'!$B$6:$B$277,"ИБ")</f>
        <v>0</v>
      </c>
      <c r="BQ62" s="606">
        <f>SUMIFS('свод практик'!$AM$6:$AM$277,'свод практик'!$J$6:$J$277,'строго ИБ'!BQ$1,'свод практик'!$B$6:$B$277,"ИБ")</f>
        <v>0</v>
      </c>
      <c r="BR62" s="606">
        <f>SUMIFS('свод практик'!$AM$6:$AM$277,'свод практик'!$J$6:$J$277,'строго ИБ'!BR$1,'свод практик'!$B$6:$B$277,"ИБ")</f>
        <v>0</v>
      </c>
      <c r="BS62" s="606">
        <f>SUMIFS('свод практик'!$AM$6:$AM$277,'свод практик'!$J$6:$J$277,'строго ИБ'!BS$1,'свод практик'!$B$6:$B$277,"ИБ")</f>
        <v>0</v>
      </c>
      <c r="BT62" s="606">
        <f>SUMIFS('свод практик'!$AM$6:$AM$277,'свод практик'!$J$6:$J$277,'строго ИБ'!BT$1,'свод практик'!$B$6:$B$277,"ИБ")</f>
        <v>8.9999999999999998E-4</v>
      </c>
      <c r="BU62" s="606">
        <f>SUMIFS('свод практик'!$AM$6:$AM$277,'свод практик'!$J$6:$J$277,'строго ИБ'!BU$1,'свод практик'!$B$6:$B$277,"ИБ")</f>
        <v>2.7935952938648503E-4</v>
      </c>
      <c r="BV62" s="606">
        <f>SUMIFS('свод практик'!$AM$6:$AM$277,'свод практик'!$J$6:$J$277,'строго ИБ'!BV$1,'свод практик'!$B$6:$B$277,"ИБ")</f>
        <v>7.2900000000000005E-4</v>
      </c>
      <c r="BW62" s="606">
        <f>SUMIFS('свод практик'!$AM$6:$AM$277,'свод практик'!$J$6:$J$277,'строго ИБ'!BW$1,'свод практик'!$B$6:$B$277,"ИБ")</f>
        <v>2.3E-3</v>
      </c>
      <c r="BX62" s="606">
        <f>SUMIFS('свод практик'!$AM$6:$AM$277,'свод практик'!$J$6:$J$277,'строго ИБ'!BX$1,'свод практик'!$B$6:$B$277,"ИБ")</f>
        <v>4.4999999999999997E-3</v>
      </c>
      <c r="BY62" s="606">
        <f>SUMIFS('свод практик'!$AM$6:$AM$277,'свод практик'!$J$6:$J$277,'строго ИБ'!BY$1,'свод практик'!$B$6:$B$277,"ИБ")</f>
        <v>3.292566459347315E-5</v>
      </c>
      <c r="BZ62" s="606">
        <f>SUMIFS('свод практик'!$AM$6:$AM$277,'свод практик'!$J$6:$J$277,'строго ИБ'!BZ$1,'свод практик'!$B$6:$B$277,"ИБ")</f>
        <v>0</v>
      </c>
      <c r="CA62" s="606">
        <f>SUMIFS('свод практик'!$AM$6:$AM$277,'свод практик'!$J$6:$J$277,'строго ИБ'!CA$1,'свод практик'!$B$6:$B$277,"ИБ")</f>
        <v>0</v>
      </c>
      <c r="CB62" s="606">
        <f>SUMIFS('свод практик'!$AM$6:$AM$277,'свод практик'!$J$6:$J$277,'строго ИБ'!CB$1,'свод практик'!$B$6:$B$277,"ИБ")</f>
        <v>0</v>
      </c>
      <c r="CC62" s="606">
        <f>SUMIFS('свод практик'!$AM$6:$AM$277,'свод практик'!$J$6:$J$277,'строго ИБ'!CC$1,'свод практик'!$B$6:$B$277,"ИБ")</f>
        <v>3.5000000000000001E-3</v>
      </c>
      <c r="CD62" s="606">
        <f>SUMIFS('свод практик'!$AM$6:$AM$277,'свод практик'!$J$6:$J$277,'строго ИБ'!CD$1,'свод практик'!$B$6:$B$277,"ИБ")</f>
        <v>2.5999999999999999E-3</v>
      </c>
      <c r="CE62" s="606">
        <f>SUMIFS('свод практик'!$AM$6:$AM$277,'свод практик'!$J$6:$J$277,'строго ИБ'!CE$1,'свод практик'!$B$6:$B$277,"ИБ")</f>
        <v>0</v>
      </c>
      <c r="CF62" s="606">
        <f>SUMIFS('свод практик'!$AM$6:$AM$277,'свод практик'!$J$6:$J$277,'строго ИБ'!CF$1,'свод практик'!$B$6:$B$277,"ИБ")</f>
        <v>1.8E-3</v>
      </c>
      <c r="CG62" s="606">
        <f>SUMIFS('свод практик'!$AM$6:$AM$277,'свод практик'!$J$6:$J$277,'строго ИБ'!CG$1,'свод практик'!$B$6:$B$277,"ИБ")</f>
        <v>5.5999999999999995E-4</v>
      </c>
      <c r="CH62" s="606">
        <f>SUMIFS('свод практик'!$AM$6:$AM$277,'свод практик'!$J$6:$J$277,'строго ИБ'!CH$1,'свод практик'!$B$6:$B$277,"ИБ")</f>
        <v>6.4999999999999997E-3</v>
      </c>
      <c r="CI62" s="606">
        <f>SUMIFS('свод практик'!$AM$6:$AM$277,'свод практик'!$J$6:$J$277,'строго ИБ'!CI$1,'свод практик'!$B$6:$B$277,"ИБ")</f>
        <v>0</v>
      </c>
      <c r="CJ62" s="606">
        <f>SUMIFS('свод практик'!$AM$6:$AM$277,'свод практик'!$J$6:$J$277,'строго ИБ'!CJ$1,'свод практик'!$B$6:$B$277,"ИБ")</f>
        <v>0</v>
      </c>
      <c r="CK62" s="606">
        <f>SUMIFS('свод практик'!$AM$6:$AM$277,'свод практик'!$J$6:$J$277,'строго ИБ'!CK$1,'свод практик'!$B$6:$B$277,"ИБ")</f>
        <v>5.5999999999999995E-4</v>
      </c>
      <c r="CL62" s="606">
        <f>SUMIFS('свод практик'!$AM$6:$AM$277,'свод практик'!$J$6:$J$277,'строго ИБ'!CL$1,'свод практик'!$B$6:$B$277,"ИБ")</f>
        <v>1.8E-3</v>
      </c>
      <c r="CM62" s="606">
        <f>SUMIFS('свод практик'!$AM$6:$AM$277,'свод практик'!$J$6:$J$277,'строго ИБ'!CM$1,'свод практик'!$B$6:$B$277,"ИБ")</f>
        <v>2.9999999999999997E-4</v>
      </c>
      <c r="CN62" s="606">
        <f>SUMIFS('свод практик'!$AM$6:$AM$277,'свод практик'!$J$6:$J$277,'строго ИБ'!CN$1,'свод практик'!$B$6:$B$277,"ИБ")</f>
        <v>0</v>
      </c>
      <c r="CO62" s="606">
        <f>SUMIFS('свод практик'!$AM$6:$AM$277,'свод практик'!$J$6:$J$277,'строго ИБ'!CO$1,'свод практик'!$B$6:$B$277,"ИБ")</f>
        <v>0</v>
      </c>
      <c r="CP62" s="606">
        <f>SUMIFS('свод практик'!$AM$6:$AM$277,'свод практик'!$J$6:$J$277,'строго ИБ'!CP$1,'свод практик'!$B$6:$B$277,"ИБ")</f>
        <v>0</v>
      </c>
      <c r="CQ62" s="606">
        <f>SUMIFS('свод практик'!$AM$6:$AM$277,'свод практик'!$J$6:$J$277,'строго ИБ'!CQ$1,'свод практик'!$B$6:$B$277,"ИБ")</f>
        <v>0</v>
      </c>
      <c r="CR62" s="606">
        <f>SUMIFS('свод практик'!$AM$6:$AM$277,'свод практик'!$J$6:$J$277,'строго ИБ'!CR$1,'свод практик'!$B$6:$B$277,"ИБ")</f>
        <v>4.5841460080453386E-3</v>
      </c>
      <c r="CS62" s="606">
        <f>SUMIFS('свод практик'!$AM$6:$AM$277,'свод практик'!$J$6:$J$277,'строго ИБ'!CS$1,'свод практик'!$B$6:$B$277,"ИБ")</f>
        <v>4.0000000000000002E-4</v>
      </c>
      <c r="CT62" s="606">
        <f>SUMIFS('свод практик'!$AM$6:$AM$277,'свод практик'!$J$6:$J$277,'строго ИБ'!CT$1,'свод практик'!$B$6:$B$277,"ИБ")</f>
        <v>0</v>
      </c>
      <c r="CU62" s="606">
        <f>SUMIFS('свод практик'!$AM$6:$AM$277,'свод практик'!$J$6:$J$277,'строго ИБ'!CU$1,'свод практик'!$B$6:$B$277,"ИБ")</f>
        <v>2E-3</v>
      </c>
    </row>
    <row r="63" spans="1:99" ht="53" customHeight="1">
      <c r="A63" s="810" t="s">
        <v>5124</v>
      </c>
      <c r="B63" s="508" t="s">
        <v>4990</v>
      </c>
      <c r="C63" s="371" t="s">
        <v>5125</v>
      </c>
      <c r="D63" s="445" t="s">
        <v>4949</v>
      </c>
      <c r="E63" s="445">
        <v>42</v>
      </c>
      <c r="F63" s="446" t="s">
        <v>5126</v>
      </c>
      <c r="G63" s="447" t="s">
        <v>5754</v>
      </c>
      <c r="H63" s="509" t="s">
        <v>5115</v>
      </c>
      <c r="I63" s="449" t="s">
        <v>4956</v>
      </c>
      <c r="J63" s="450"/>
      <c r="K63" s="340"/>
      <c r="L63" s="376">
        <v>87.33653442454677</v>
      </c>
      <c r="M63" s="377">
        <v>98.852594740896421</v>
      </c>
      <c r="N63" s="610">
        <f>N44/N123*1000</f>
        <v>101.87075850353082</v>
      </c>
      <c r="O63" s="611">
        <f>O44/O123*1000</f>
        <v>15.615058433679771</v>
      </c>
      <c r="P63" s="611">
        <f t="shared" ref="P63:BZ63" si="21">P44/P123*1000</f>
        <v>14.66354476048177</v>
      </c>
      <c r="Q63" s="611">
        <f t="shared" si="21"/>
        <v>74.925279023545542</v>
      </c>
      <c r="R63" s="611">
        <f t="shared" si="21"/>
        <v>113.21355348974696</v>
      </c>
      <c r="S63" s="611">
        <f t="shared" si="21"/>
        <v>5.2616486323659792</v>
      </c>
      <c r="T63" s="611">
        <f t="shared" si="21"/>
        <v>1.1882082216087546</v>
      </c>
      <c r="U63" s="611">
        <f t="shared" si="21"/>
        <v>712.1865371368782</v>
      </c>
      <c r="V63" s="611">
        <f t="shared" si="21"/>
        <v>61.378274270095154</v>
      </c>
      <c r="W63" s="611">
        <f t="shared" si="21"/>
        <v>91.111298720513176</v>
      </c>
      <c r="X63" s="611">
        <f t="shared" si="21"/>
        <v>0</v>
      </c>
      <c r="Y63" s="611">
        <f t="shared" si="21"/>
        <v>0</v>
      </c>
      <c r="Z63" s="611">
        <f t="shared" si="21"/>
        <v>45.781731640253646</v>
      </c>
      <c r="AA63" s="611">
        <f t="shared" si="21"/>
        <v>215.50599229090122</v>
      </c>
      <c r="AB63" s="611">
        <f t="shared" si="21"/>
        <v>65.39301371058545</v>
      </c>
      <c r="AC63" s="611" t="e">
        <f t="shared" si="21"/>
        <v>#DIV/0!</v>
      </c>
      <c r="AD63" s="611" t="e">
        <f t="shared" si="21"/>
        <v>#DIV/0!</v>
      </c>
      <c r="AE63" s="611">
        <f t="shared" si="21"/>
        <v>0</v>
      </c>
      <c r="AF63" s="611" t="e">
        <f t="shared" si="21"/>
        <v>#DIV/0!</v>
      </c>
      <c r="AG63" s="611" t="e">
        <f t="shared" si="21"/>
        <v>#DIV/0!</v>
      </c>
      <c r="AH63" s="611">
        <f t="shared" si="21"/>
        <v>0</v>
      </c>
      <c r="AI63" s="611">
        <f t="shared" si="21"/>
        <v>0</v>
      </c>
      <c r="AJ63" s="611">
        <f t="shared" si="21"/>
        <v>0</v>
      </c>
      <c r="AK63" s="611">
        <f t="shared" si="21"/>
        <v>27.59632720465186</v>
      </c>
      <c r="AL63" s="611">
        <f t="shared" si="21"/>
        <v>164.16965137408567</v>
      </c>
      <c r="AM63" s="611" t="e">
        <f t="shared" si="21"/>
        <v>#DIV/0!</v>
      </c>
      <c r="AN63" s="611" t="e">
        <f t="shared" si="21"/>
        <v>#DIV/0!</v>
      </c>
      <c r="AO63" s="611">
        <f t="shared" si="21"/>
        <v>161.02327956730321</v>
      </c>
      <c r="AP63" s="611">
        <f t="shared" si="21"/>
        <v>45.94803933152167</v>
      </c>
      <c r="AQ63" s="611">
        <f t="shared" si="21"/>
        <v>309.96129429357148</v>
      </c>
      <c r="AR63" s="611">
        <f t="shared" si="21"/>
        <v>143.26216560726874</v>
      </c>
      <c r="AS63" s="611">
        <f t="shared" si="21"/>
        <v>0</v>
      </c>
      <c r="AT63" s="611">
        <f t="shared" si="21"/>
        <v>0</v>
      </c>
      <c r="AU63" s="611">
        <f t="shared" si="21"/>
        <v>53.756959590821353</v>
      </c>
      <c r="AV63" s="611">
        <f t="shared" si="21"/>
        <v>0</v>
      </c>
      <c r="AW63" s="611">
        <f t="shared" si="21"/>
        <v>172.90081445540758</v>
      </c>
      <c r="AX63" s="611" t="e">
        <f t="shared" si="21"/>
        <v>#DIV/0!</v>
      </c>
      <c r="AY63" s="611">
        <f t="shared" si="21"/>
        <v>5.6932009522319005</v>
      </c>
      <c r="AZ63" s="611">
        <f t="shared" si="21"/>
        <v>0</v>
      </c>
      <c r="BA63" s="611">
        <f t="shared" si="21"/>
        <v>0</v>
      </c>
      <c r="BB63" s="611">
        <f t="shared" si="21"/>
        <v>47.546687145418737</v>
      </c>
      <c r="BC63" s="611" t="e">
        <f t="shared" si="21"/>
        <v>#DIV/0!</v>
      </c>
      <c r="BD63" s="611" t="e">
        <f t="shared" si="21"/>
        <v>#DIV/0!</v>
      </c>
      <c r="BE63" s="611">
        <f t="shared" si="21"/>
        <v>1.0346286683701198</v>
      </c>
      <c r="BF63" s="611">
        <f t="shared" si="21"/>
        <v>50.036926806183807</v>
      </c>
      <c r="BG63" s="611">
        <f t="shared" si="21"/>
        <v>529.49738458039576</v>
      </c>
      <c r="BH63" s="611">
        <f t="shared" si="21"/>
        <v>216.72813853218585</v>
      </c>
      <c r="BI63" s="611">
        <f t="shared" si="21"/>
        <v>75.111715454021137</v>
      </c>
      <c r="BJ63" s="611">
        <f t="shared" si="21"/>
        <v>56.370733431171367</v>
      </c>
      <c r="BK63" s="611">
        <f t="shared" si="21"/>
        <v>0</v>
      </c>
      <c r="BL63" s="611">
        <f t="shared" si="21"/>
        <v>58.753847731617768</v>
      </c>
      <c r="BM63" s="611">
        <f t="shared" si="21"/>
        <v>27.418148144627917</v>
      </c>
      <c r="BN63" s="611">
        <f t="shared" si="21"/>
        <v>0</v>
      </c>
      <c r="BO63" s="611">
        <f t="shared" si="21"/>
        <v>49.997387047366061</v>
      </c>
      <c r="BP63" s="611" t="e">
        <f t="shared" si="21"/>
        <v>#DIV/0!</v>
      </c>
      <c r="BQ63" s="611">
        <f t="shared" si="21"/>
        <v>0</v>
      </c>
      <c r="BR63" s="611">
        <f t="shared" si="21"/>
        <v>2.5071004752062525</v>
      </c>
      <c r="BS63" s="611">
        <f t="shared" si="21"/>
        <v>184.71927823142227</v>
      </c>
      <c r="BT63" s="611">
        <f t="shared" si="21"/>
        <v>82.562863748453864</v>
      </c>
      <c r="BU63" s="611">
        <f t="shared" si="21"/>
        <v>33.667225810831688</v>
      </c>
      <c r="BV63" s="611">
        <f t="shared" si="21"/>
        <v>44.512751120260099</v>
      </c>
      <c r="BW63" s="611">
        <f t="shared" si="21"/>
        <v>832.45746359173177</v>
      </c>
      <c r="BX63" s="611">
        <f t="shared" si="21"/>
        <v>1762.5596538396649</v>
      </c>
      <c r="BY63" s="611">
        <f t="shared" si="21"/>
        <v>22.381810214713475</v>
      </c>
      <c r="BZ63" s="611" t="e">
        <f t="shared" si="21"/>
        <v>#DIV/0!</v>
      </c>
      <c r="CA63" s="611" t="e">
        <f t="shared" ref="CA63:CU63" si="22">CA44/CA123*1000</f>
        <v>#DIV/0!</v>
      </c>
      <c r="CB63" s="611">
        <f t="shared" si="22"/>
        <v>0</v>
      </c>
      <c r="CC63" s="611">
        <f t="shared" si="22"/>
        <v>231.23103170384599</v>
      </c>
      <c r="CD63" s="611">
        <f t="shared" si="22"/>
        <v>131.16337752148846</v>
      </c>
      <c r="CE63" s="611">
        <f t="shared" si="22"/>
        <v>0</v>
      </c>
      <c r="CF63" s="611">
        <f t="shared" si="22"/>
        <v>177.23222084937078</v>
      </c>
      <c r="CG63" s="611">
        <f t="shared" si="22"/>
        <v>50.044516338245593</v>
      </c>
      <c r="CH63" s="611">
        <f t="shared" si="22"/>
        <v>474.03278296633147</v>
      </c>
      <c r="CI63" s="611" t="e">
        <f t="shared" si="22"/>
        <v>#DIV/0!</v>
      </c>
      <c r="CJ63" s="611">
        <f t="shared" si="22"/>
        <v>0</v>
      </c>
      <c r="CK63" s="611">
        <f t="shared" si="22"/>
        <v>61.438050369239683</v>
      </c>
      <c r="CL63" s="611">
        <f t="shared" si="22"/>
        <v>156.03793188668854</v>
      </c>
      <c r="CM63" s="611">
        <f t="shared" si="22"/>
        <v>59.3830537555652</v>
      </c>
      <c r="CN63" s="611" t="e">
        <f t="shared" si="22"/>
        <v>#DIV/0!</v>
      </c>
      <c r="CO63" s="611">
        <f t="shared" si="22"/>
        <v>98.261357495285296</v>
      </c>
      <c r="CP63" s="611">
        <f t="shared" si="22"/>
        <v>0.51857342754852187</v>
      </c>
      <c r="CQ63" s="611" t="e">
        <f t="shared" si="22"/>
        <v>#DIV/0!</v>
      </c>
      <c r="CR63" s="611">
        <f t="shared" si="22"/>
        <v>357.37330766335168</v>
      </c>
      <c r="CS63" s="611">
        <f t="shared" si="22"/>
        <v>533.46673336668334</v>
      </c>
      <c r="CT63" s="611">
        <f t="shared" si="22"/>
        <v>138.12410099436235</v>
      </c>
      <c r="CU63" s="611">
        <f t="shared" si="22"/>
        <v>588.53912571498154</v>
      </c>
    </row>
    <row r="64" spans="1:99" ht="48.5" customHeight="1" thickBot="1">
      <c r="A64" s="811"/>
      <c r="B64" s="510" t="s">
        <v>4947</v>
      </c>
      <c r="C64" s="378" t="s">
        <v>5127</v>
      </c>
      <c r="D64" s="511" t="s">
        <v>4949</v>
      </c>
      <c r="E64" s="511">
        <v>43</v>
      </c>
      <c r="F64" s="512" t="s">
        <v>5128</v>
      </c>
      <c r="G64" s="513" t="s">
        <v>5755</v>
      </c>
      <c r="H64" s="514" t="s">
        <v>5115</v>
      </c>
      <c r="I64" s="515" t="s">
        <v>4956</v>
      </c>
      <c r="J64" s="516"/>
      <c r="K64" s="378"/>
      <c r="L64" s="379">
        <v>34.952258149522777</v>
      </c>
      <c r="M64" s="380">
        <v>54.651959766200186</v>
      </c>
      <c r="N64" s="610">
        <f>N44/N124*1000</f>
        <v>85.206941178242118</v>
      </c>
    </row>
    <row r="65" spans="1:99" ht="60.5" customHeight="1" thickBot="1">
      <c r="A65" s="810" t="s">
        <v>5129</v>
      </c>
      <c r="B65" s="816" t="s">
        <v>4990</v>
      </c>
      <c r="C65" s="814" t="s">
        <v>5130</v>
      </c>
      <c r="D65" s="445" t="s">
        <v>4949</v>
      </c>
      <c r="E65" s="445">
        <v>44</v>
      </c>
      <c r="F65" s="446" t="s">
        <v>5131</v>
      </c>
      <c r="G65" s="447" t="s">
        <v>5756</v>
      </c>
      <c r="H65" s="448" t="s">
        <v>5082</v>
      </c>
      <c r="I65" s="449" t="s">
        <v>4961</v>
      </c>
      <c r="J65" s="450"/>
      <c r="K65" s="340"/>
      <c r="L65" s="364">
        <v>6709.6</v>
      </c>
      <c r="M65" s="361">
        <v>13878.172658840002</v>
      </c>
      <c r="N65" s="580">
        <f>SUM(O65:CU65)</f>
        <v>10792.742235010001</v>
      </c>
      <c r="O65" s="413">
        <f>SUMIFS('свод практик'!$BR$6:$BR$277,'свод практик'!$J$6:$J$277,'строго ИБ'!O$1,'свод практик'!$B$6:$B$277,"ИБ")</f>
        <v>10</v>
      </c>
      <c r="P65" s="413">
        <f>SUMIFS('свод практик'!$BR$6:$BR$277,'свод практик'!$J$6:$J$277,'строго ИБ'!P$1,'свод практик'!$B$6:$B$277,"ИБ")</f>
        <v>3</v>
      </c>
      <c r="Q65" s="413">
        <f>SUMIFS('свод практик'!$BR$6:$BR$277,'свод практик'!$J$6:$J$277,'строго ИБ'!Q$1,'свод практик'!$B$6:$B$277,"ИБ")</f>
        <v>250</v>
      </c>
      <c r="R65" s="413">
        <f>SUMIFS('свод практик'!$BR$6:$BR$277,'свод практик'!$J$6:$J$277,'строго ИБ'!R$1,'свод практик'!$B$6:$B$277,"ИБ")</f>
        <v>165.50399999999999</v>
      </c>
      <c r="S65" s="413">
        <f>SUMIFS('свод практик'!$BR$6:$BR$277,'свод практик'!$J$6:$J$277,'строго ИБ'!S$1,'свод практик'!$B$6:$B$277,"ИБ")</f>
        <v>0</v>
      </c>
      <c r="T65" s="413">
        <f>SUMIFS('свод практик'!$BR$6:$BR$277,'свод практик'!$J$6:$J$277,'строго ИБ'!T$1,'свод практик'!$B$6:$B$277,"ИБ")</f>
        <v>1.2</v>
      </c>
      <c r="U65" s="413">
        <f>SUMIFS('свод практик'!$BR$6:$BR$277,'свод практик'!$J$6:$J$277,'строго ИБ'!U$1,'свод практик'!$B$6:$B$277,"ИБ")</f>
        <v>2787.55</v>
      </c>
      <c r="V65" s="413">
        <f>SUMIFS('свод практик'!$BR$6:$BR$277,'свод практик'!$J$6:$J$277,'строго ИБ'!V$1,'свод практик'!$B$6:$B$277,"ИБ")</f>
        <v>0</v>
      </c>
      <c r="W65" s="413">
        <f>SUMIFS('свод практик'!$BR$6:$BR$277,'свод практик'!$J$6:$J$277,'строго ИБ'!W$1,'свод практик'!$B$6:$B$277,"ИБ")</f>
        <v>100</v>
      </c>
      <c r="X65" s="413">
        <f>SUMIFS('свод практик'!$BR$6:$BR$277,'свод практик'!$J$6:$J$277,'строго ИБ'!X$1,'свод практик'!$B$6:$B$277,"ИБ")</f>
        <v>0</v>
      </c>
      <c r="Y65" s="413">
        <f>SUMIFS('свод практик'!$BR$6:$BR$277,'свод практик'!$J$6:$J$277,'строго ИБ'!Y$1,'свод практик'!$B$6:$B$277,"ИБ")</f>
        <v>0</v>
      </c>
      <c r="Z65" s="413">
        <f>SUMIFS('свод практик'!$BR$6:$BR$277,'свод практик'!$J$6:$J$277,'строго ИБ'!Z$1,'свод практик'!$B$6:$B$277,"ИБ")</f>
        <v>73.5</v>
      </c>
      <c r="AA65" s="413">
        <f>SUMIFS('свод практик'!$BR$6:$BR$277,'свод практик'!$J$6:$J$277,'строго ИБ'!AA$1,'свод практик'!$B$6:$B$277,"ИБ")</f>
        <v>167.267</v>
      </c>
      <c r="AB65" s="413">
        <f>SUMIFS('свод практик'!$BR$6:$BR$277,'свод практик'!$J$6:$J$277,'строго ИБ'!AB$1,'свод практик'!$B$6:$B$277,"ИБ")</f>
        <v>120</v>
      </c>
      <c r="AC65" s="413">
        <f>SUMIFS('свод практик'!$BR$6:$BR$277,'свод практик'!$J$6:$J$277,'строго ИБ'!AC$1,'свод практик'!$B$6:$B$277,"ИБ")</f>
        <v>0</v>
      </c>
      <c r="AD65" s="413">
        <f>SUMIFS('свод практик'!$BR$6:$BR$277,'свод практик'!$J$6:$J$277,'строго ИБ'!AD$1,'свод практик'!$B$6:$B$277,"ИБ")</f>
        <v>0</v>
      </c>
      <c r="AE65" s="413">
        <f>SUMIFS('свод практик'!$BR$6:$BR$277,'свод практик'!$J$6:$J$277,'строго ИБ'!AE$1,'свод практик'!$B$6:$B$277,"ИБ")</f>
        <v>0</v>
      </c>
      <c r="AF65" s="413">
        <f>SUMIFS('свод практик'!$BR$6:$BR$277,'свод практик'!$J$6:$J$277,'строго ИБ'!AF$1,'свод практик'!$B$6:$B$277,"ИБ")</f>
        <v>0</v>
      </c>
      <c r="AG65" s="413">
        <f>SUMIFS('свод практик'!$BR$6:$BR$277,'свод практик'!$J$6:$J$277,'строго ИБ'!AG$1,'свод практик'!$B$6:$B$277,"ИБ")</f>
        <v>0</v>
      </c>
      <c r="AH65" s="413">
        <f>SUMIFS('свод практик'!$BR$6:$BR$277,'свод практик'!$J$6:$J$277,'строго ИБ'!AH$1,'свод практик'!$B$6:$B$277,"ИБ")</f>
        <v>0</v>
      </c>
      <c r="AI65" s="413">
        <f>SUMIFS('свод практик'!$BR$6:$BR$277,'свод практик'!$J$6:$J$277,'строго ИБ'!AI$1,'свод практик'!$B$6:$B$277,"ИБ")</f>
        <v>0</v>
      </c>
      <c r="AJ65" s="413">
        <f>SUMIFS('свод практик'!$BR$6:$BR$277,'свод практик'!$J$6:$J$277,'строго ИБ'!AJ$1,'свод практик'!$B$6:$B$277,"ИБ")</f>
        <v>0</v>
      </c>
      <c r="AK65" s="413">
        <f>SUMIFS('свод практик'!$BR$6:$BR$277,'свод практик'!$J$6:$J$277,'строго ИБ'!AK$1,'свод практик'!$B$6:$B$277,"ИБ")</f>
        <v>10</v>
      </c>
      <c r="AL65" s="413">
        <f>SUMIFS('свод практик'!$BR$6:$BR$277,'свод практик'!$J$6:$J$277,'строго ИБ'!AL$1,'свод практик'!$B$6:$B$277,"ИБ")</f>
        <v>133.10900000000001</v>
      </c>
      <c r="AM65" s="413">
        <f>SUMIFS('свод практик'!$BR$6:$BR$277,'свод практик'!$J$6:$J$277,'строго ИБ'!AM$1,'свод практик'!$B$6:$B$277,"ИБ")</f>
        <v>0</v>
      </c>
      <c r="AN65" s="413">
        <f>SUMIFS('свод практик'!$BR$6:$BR$277,'свод практик'!$J$6:$J$277,'строго ИБ'!AN$1,'свод практик'!$B$6:$B$277,"ИБ")</f>
        <v>0</v>
      </c>
      <c r="AO65" s="413">
        <f>SUMIFS('свод практик'!$BR$6:$BR$277,'свод практик'!$J$6:$J$277,'строго ИБ'!AO$1,'свод практик'!$B$6:$B$277,"ИБ")</f>
        <v>70</v>
      </c>
      <c r="AP65" s="413">
        <f>SUMIFS('свод практик'!$BR$6:$BR$277,'свод практик'!$J$6:$J$277,'строго ИБ'!AP$1,'свод практик'!$B$6:$B$277,"ИБ")</f>
        <v>125</v>
      </c>
      <c r="AQ65" s="413">
        <f>SUMIFS('свод практик'!$BR$6:$BR$277,'свод практик'!$J$6:$J$277,'строго ИБ'!AQ$1,'свод практик'!$B$6:$B$277,"ИБ")</f>
        <v>15</v>
      </c>
      <c r="AR65" s="413">
        <f>SUMIFS('свод практик'!$BR$6:$BR$277,'свод практик'!$J$6:$J$277,'строго ИБ'!AR$1,'свод практик'!$B$6:$B$277,"ИБ")</f>
        <v>124.1</v>
      </c>
      <c r="AS65" s="413">
        <f>SUMIFS('свод практик'!$BR$6:$BR$277,'свод практик'!$J$6:$J$277,'строго ИБ'!AS$1,'свод практик'!$B$6:$B$277,"ИБ")</f>
        <v>0</v>
      </c>
      <c r="AT65" s="413">
        <f>SUMIFS('свод практик'!$BR$6:$BR$277,'свод практик'!$J$6:$J$277,'строго ИБ'!AT$1,'свод практик'!$B$6:$B$277,"ИБ")</f>
        <v>0</v>
      </c>
      <c r="AU65" s="413">
        <f>SUMIFS('свод практик'!$BR$6:$BR$277,'свод практик'!$J$6:$J$277,'строго ИБ'!AU$1,'свод практик'!$B$6:$B$277,"ИБ")</f>
        <v>140</v>
      </c>
      <c r="AV65" s="413">
        <f>SUMIFS('свод практик'!$BR$6:$BR$277,'свод практик'!$J$6:$J$277,'строго ИБ'!AV$1,'свод практик'!$B$6:$B$277,"ИБ")</f>
        <v>0</v>
      </c>
      <c r="AW65" s="413">
        <f>SUMIFS('свод практик'!$BR$6:$BR$277,'свод практик'!$J$6:$J$277,'строго ИБ'!AW$1,'свод практик'!$B$6:$B$277,"ИБ")</f>
        <v>181.44</v>
      </c>
      <c r="AX65" s="413">
        <f>SUMIFS('свод практик'!$BR$6:$BR$277,'свод практик'!$J$6:$J$277,'строго ИБ'!AX$1,'свод практик'!$B$6:$B$277,"ИБ")</f>
        <v>0</v>
      </c>
      <c r="AY65" s="413">
        <f>SUMIFS('свод практик'!$BR$6:$BR$277,'свод практик'!$J$6:$J$277,'строго ИБ'!AY$1,'свод практик'!$B$6:$B$277,"ИБ")</f>
        <v>0</v>
      </c>
      <c r="AZ65" s="413">
        <f>SUMIFS('свод практик'!$BR$6:$BR$277,'свод практик'!$J$6:$J$277,'строго ИБ'!AZ$1,'свод практик'!$B$6:$B$277,"ИБ")</f>
        <v>0</v>
      </c>
      <c r="BA65" s="413">
        <f>SUMIFS('свод практик'!$BR$6:$BR$277,'свод практик'!$J$6:$J$277,'строго ИБ'!BA$1,'свод практик'!$B$6:$B$277,"ИБ")</f>
        <v>0</v>
      </c>
      <c r="BB65" s="413">
        <f>SUMIFS('свод практик'!$BR$6:$BR$277,'свод практик'!$J$6:$J$277,'строго ИБ'!BB$1,'свод практик'!$B$6:$B$277,"ИБ")</f>
        <v>25</v>
      </c>
      <c r="BC65" s="413">
        <f>SUMIFS('свод практик'!$BR$6:$BR$277,'свод практик'!$J$6:$J$277,'строго ИБ'!BC$1,'свод практик'!$B$6:$B$277,"ИБ")</f>
        <v>0</v>
      </c>
      <c r="BD65" s="413">
        <f>SUMIFS('свод практик'!$BR$6:$BR$277,'свод практик'!$J$6:$J$277,'строго ИБ'!BD$1,'свод практик'!$B$6:$B$277,"ИБ")</f>
        <v>0</v>
      </c>
      <c r="BE65" s="413">
        <f>SUMIFS('свод практик'!$BR$6:$BR$277,'свод практик'!$J$6:$J$277,'строго ИБ'!BE$1,'свод практик'!$B$6:$B$277,"ИБ")</f>
        <v>0</v>
      </c>
      <c r="BF65" s="413">
        <f>SUMIFS('свод практик'!$BR$6:$BR$277,'свод практик'!$J$6:$J$277,'строго ИБ'!BF$1,'свод практик'!$B$6:$B$277,"ИБ")</f>
        <v>32.627000000000002</v>
      </c>
      <c r="BG65" s="413">
        <f>SUMIFS('свод практик'!$BR$6:$BR$277,'свод практик'!$J$6:$J$277,'строго ИБ'!BG$1,'свод практик'!$B$6:$B$277,"ИБ")</f>
        <v>17</v>
      </c>
      <c r="BH65" s="413">
        <f>SUMIFS('свод практик'!$BR$6:$BR$277,'свод практик'!$J$6:$J$277,'строго ИБ'!BH$1,'свод практик'!$B$6:$B$277,"ИБ")</f>
        <v>365</v>
      </c>
      <c r="BI65" s="413">
        <f>SUMIFS('свод практик'!$BR$6:$BR$277,'свод практик'!$J$6:$J$277,'строго ИБ'!BI$1,'свод практик'!$B$6:$B$277,"ИБ")</f>
        <v>40.200000000000003</v>
      </c>
      <c r="BJ65" s="413">
        <f>SUMIFS('свод практик'!$BR$6:$BR$277,'свод практик'!$J$6:$J$277,'строго ИБ'!BJ$1,'свод практик'!$B$6:$B$277,"ИБ")</f>
        <v>200</v>
      </c>
      <c r="BK65" s="413">
        <f>SUMIFS('свод практик'!$BR$6:$BR$277,'свод практик'!$J$6:$J$277,'строго ИБ'!BK$1,'свод практик'!$B$6:$B$277,"ИБ")</f>
        <v>0</v>
      </c>
      <c r="BL65" s="413">
        <f>SUMIFS('свод практик'!$BR$6:$BR$277,'свод практик'!$J$6:$J$277,'строго ИБ'!BL$1,'свод практик'!$B$6:$B$277,"ИБ")</f>
        <v>80</v>
      </c>
      <c r="BM65" s="413">
        <f>SUMIFS('свод практик'!$BR$6:$BR$277,'свод практик'!$J$6:$J$277,'строго ИБ'!BM$1,'свод практик'!$B$6:$B$277,"ИБ")</f>
        <v>30</v>
      </c>
      <c r="BN65" s="413">
        <f>SUMIFS('свод практик'!$BR$6:$BR$277,'свод практик'!$J$6:$J$277,'строго ИБ'!BN$1,'свод практик'!$B$6:$B$277,"ИБ")</f>
        <v>0</v>
      </c>
      <c r="BO65" s="413">
        <f>SUMIFS('свод практик'!$BR$6:$BR$277,'свод практик'!$J$6:$J$277,'строго ИБ'!BO$1,'свод практик'!$B$6:$B$277,"ИБ")</f>
        <v>207.63553501000001</v>
      </c>
      <c r="BP65" s="413">
        <f>SUMIFS('свод практик'!$BR$6:$BR$277,'свод практик'!$J$6:$J$277,'строго ИБ'!BP$1,'свод практик'!$B$6:$B$277,"ИБ")</f>
        <v>0</v>
      </c>
      <c r="BQ65" s="413">
        <f>SUMIFS('свод практик'!$BR$6:$BR$277,'свод практик'!$J$6:$J$277,'строго ИБ'!BQ$1,'свод практик'!$B$6:$B$277,"ИБ")</f>
        <v>0</v>
      </c>
      <c r="BR65" s="413">
        <f>SUMIFS('свод практик'!$BR$6:$BR$277,'свод практик'!$J$6:$J$277,'строго ИБ'!BR$1,'свод практик'!$B$6:$B$277,"ИБ")</f>
        <v>0</v>
      </c>
      <c r="BS65" s="413">
        <f>SUMIFS('свод практик'!$BR$6:$BR$277,'свод практик'!$J$6:$J$277,'строго ИБ'!BS$1,'свод практик'!$B$6:$B$277,"ИБ")</f>
        <v>177.45</v>
      </c>
      <c r="BT65" s="413">
        <f>SUMIFS('свод практик'!$BR$6:$BR$277,'свод практик'!$J$6:$J$277,'строго ИБ'!BT$1,'свод практик'!$B$6:$B$277,"ИБ")</f>
        <v>267.25200000000001</v>
      </c>
      <c r="BU65" s="413">
        <f>SUMIFS('свод практик'!$BR$6:$BR$277,'свод практик'!$J$6:$J$277,'строго ИБ'!BU$1,'свод практик'!$B$6:$B$277,"ИБ")</f>
        <v>90</v>
      </c>
      <c r="BV65" s="413">
        <f>SUMIFS('свод практик'!$BR$6:$BR$277,'свод практик'!$J$6:$J$277,'строго ИБ'!BV$1,'свод практик'!$B$6:$B$277,"ИБ")</f>
        <v>120</v>
      </c>
      <c r="BW65" s="413">
        <f>SUMIFS('свод практик'!$BR$6:$BR$277,'свод практик'!$J$6:$J$277,'строго ИБ'!BW$1,'свод практик'!$B$6:$B$277,"ИБ")</f>
        <v>500</v>
      </c>
      <c r="BX65" s="413">
        <f>SUMIFS('свод практик'!$BR$6:$BR$277,'свод практик'!$J$6:$J$277,'строго ИБ'!BX$1,'свод практик'!$B$6:$B$277,"ИБ")</f>
        <v>1723.7027</v>
      </c>
      <c r="BY65" s="413">
        <f>SUMIFS('свод практик'!$BR$6:$BR$277,'свод практик'!$J$6:$J$277,'строго ИБ'!BY$1,'свод практик'!$B$6:$B$277,"ИБ")</f>
        <v>12</v>
      </c>
      <c r="BZ65" s="413">
        <f>SUMIFS('свод практик'!$BR$6:$BR$277,'свод практик'!$J$6:$J$277,'строго ИБ'!BZ$1,'свод практик'!$B$6:$B$277,"ИБ")</f>
        <v>0</v>
      </c>
      <c r="CA65" s="413">
        <f>SUMIFS('свод практик'!$BR$6:$BR$277,'свод практик'!$J$6:$J$277,'строго ИБ'!CA$1,'свод практик'!$B$6:$B$277,"ИБ")</f>
        <v>0</v>
      </c>
      <c r="CB65" s="413">
        <f>SUMIFS('свод практик'!$BR$6:$BR$277,'свод практик'!$J$6:$J$277,'строго ИБ'!CB$1,'свод практик'!$B$6:$B$277,"ИБ")</f>
        <v>0</v>
      </c>
      <c r="CC65" s="413">
        <f>SUMIFS('свод практик'!$BR$6:$BR$277,'свод практик'!$J$6:$J$277,'строго ИБ'!CC$1,'свод практик'!$B$6:$B$277,"ИБ")</f>
        <v>502.44</v>
      </c>
      <c r="CD65" s="413">
        <f>SUMIFS('свод практик'!$BR$6:$BR$277,'свод практик'!$J$6:$J$277,'строго ИБ'!CD$1,'свод практик'!$B$6:$B$277,"ИБ")</f>
        <v>200</v>
      </c>
      <c r="CE65" s="413">
        <f>SUMIFS('свод практик'!$BR$6:$BR$277,'свод практик'!$J$6:$J$277,'строго ИБ'!CE$1,'свод практик'!$B$6:$B$277,"ИБ")</f>
        <v>0</v>
      </c>
      <c r="CF65" s="413">
        <f>SUMIFS('свод практик'!$BR$6:$BR$277,'свод практик'!$J$6:$J$277,'строго ИБ'!CF$1,'свод практик'!$B$6:$B$277,"ИБ")</f>
        <v>146.80000000000001</v>
      </c>
      <c r="CG65" s="413">
        <f>SUMIFS('свод практик'!$BR$6:$BR$277,'свод практик'!$J$6:$J$277,'строго ИБ'!CG$1,'свод практик'!$B$6:$B$277,"ИБ")</f>
        <v>40</v>
      </c>
      <c r="CH65" s="413">
        <f>SUMIFS('свод практик'!$BR$6:$BR$277,'свод практик'!$J$6:$J$277,'строго ИБ'!CH$1,'свод практик'!$B$6:$B$277,"ИБ")</f>
        <v>406.7</v>
      </c>
      <c r="CI65" s="413">
        <f>SUMIFS('свод практик'!$BR$6:$BR$277,'свод практик'!$J$6:$J$277,'строго ИБ'!CI$1,'свод практик'!$B$6:$B$277,"ИБ")</f>
        <v>0</v>
      </c>
      <c r="CJ65" s="413">
        <f>SUMIFS('свод практик'!$BR$6:$BR$277,'свод практик'!$J$6:$J$277,'строго ИБ'!CJ$1,'свод практик'!$B$6:$B$277,"ИБ")</f>
        <v>0</v>
      </c>
      <c r="CK65" s="413">
        <f>SUMIFS('свод практик'!$BR$6:$BR$277,'свод практик'!$J$6:$J$277,'строго ИБ'!CK$1,'свод практик'!$B$6:$B$277,"ИБ")</f>
        <v>150</v>
      </c>
      <c r="CL65" s="413">
        <f>SUMIFS('свод практик'!$BR$6:$BR$277,'свод практик'!$J$6:$J$277,'строго ИБ'!CL$1,'свод практик'!$B$6:$B$277,"ИБ")</f>
        <v>180</v>
      </c>
      <c r="CM65" s="413">
        <f>SUMIFS('свод практик'!$BR$6:$BR$277,'свод практик'!$J$6:$J$277,'строго ИБ'!CM$1,'свод практик'!$B$6:$B$277,"ИБ")</f>
        <v>70.099999999999994</v>
      </c>
      <c r="CN65" s="413">
        <f>SUMIFS('свод практик'!$BR$6:$BR$277,'свод практик'!$J$6:$J$277,'строго ИБ'!CN$1,'свод практик'!$B$6:$B$277,"ИБ")</f>
        <v>0</v>
      </c>
      <c r="CO65" s="413">
        <f>SUMIFS('свод практик'!$BR$6:$BR$277,'свод практик'!$J$6:$J$277,'строго ИБ'!CO$1,'свод практик'!$B$6:$B$277,"ИБ")</f>
        <v>0</v>
      </c>
      <c r="CP65" s="413">
        <f>SUMIFS('свод практик'!$BR$6:$BR$277,'свод практик'!$J$6:$J$277,'строго ИБ'!CP$1,'свод практик'!$B$6:$B$277,"ИБ")</f>
        <v>0</v>
      </c>
      <c r="CQ65" s="413">
        <f>SUMIFS('свод практик'!$BR$6:$BR$277,'свод практик'!$J$6:$J$277,'строго ИБ'!CQ$1,'свод практик'!$B$6:$B$277,"ИБ")</f>
        <v>0</v>
      </c>
      <c r="CR65" s="413">
        <f>SUMIFS('свод практик'!$BR$6:$BR$277,'свод практик'!$J$6:$J$277,'строго ИБ'!CR$1,'свод практик'!$B$6:$B$277,"ИБ")</f>
        <v>463.76499999999999</v>
      </c>
      <c r="CS65" s="413">
        <f>SUMIFS('свод практик'!$BR$6:$BR$277,'свод практик'!$J$6:$J$277,'строго ИБ'!CS$1,'свод практик'!$B$6:$B$277,"ИБ")</f>
        <v>50</v>
      </c>
      <c r="CT65" s="413">
        <f>SUMIFS('свод практик'!$BR$6:$BR$277,'свод практик'!$J$6:$J$277,'строго ИБ'!CT$1,'свод практик'!$B$6:$B$277,"ИБ")</f>
        <v>0</v>
      </c>
      <c r="CU65" s="413">
        <f>SUMIFS('свод практик'!$BR$6:$BR$277,'свод практик'!$J$6:$J$277,'строго ИБ'!CU$1,'свод практик'!$B$6:$B$277,"ИБ")</f>
        <v>218.4</v>
      </c>
    </row>
    <row r="66" spans="1:99" ht="55.5" customHeight="1" thickBot="1">
      <c r="A66" s="800"/>
      <c r="B66" s="796"/>
      <c r="C66" s="796"/>
      <c r="D66" s="452" t="s">
        <v>4949</v>
      </c>
      <c r="E66" s="452">
        <v>45</v>
      </c>
      <c r="F66" s="453" t="s">
        <v>5132</v>
      </c>
      <c r="G66" s="454" t="s">
        <v>5757</v>
      </c>
      <c r="H66" s="455" t="s">
        <v>60</v>
      </c>
      <c r="I66" s="507" t="s">
        <v>4961</v>
      </c>
      <c r="J66" s="456"/>
      <c r="K66" s="343"/>
      <c r="L66" s="381" t="s">
        <v>5497</v>
      </c>
      <c r="M66" s="335" t="s">
        <v>5497</v>
      </c>
      <c r="N66" s="613" t="s">
        <v>5709</v>
      </c>
      <c r="O66" s="606">
        <f>SUMIFS('свод практик'!$BS$6:$BS$277,'свод практик'!$J$6:$J$277,'строго ИБ'!O$1,'свод практик'!$B$6:$B$277,"ИБ")</f>
        <v>4.0000000000000002E-4</v>
      </c>
      <c r="P66" s="606">
        <f>SUMIFS('свод практик'!$BS$6:$BS$277,'свод практик'!$J$6:$J$277,'строго ИБ'!P$1,'свод практик'!$B$6:$B$277,"ИБ")</f>
        <v>2.5999999999999999E-3</v>
      </c>
      <c r="Q66" s="606">
        <f>SUMIFS('свод практик'!$BS$6:$BS$277,'свод практик'!$J$6:$J$277,'строго ИБ'!Q$1,'свод практик'!$B$6:$B$277,"ИБ")</f>
        <v>2.0999999999999999E-3</v>
      </c>
      <c r="R66" s="606">
        <f>SUMIFS('свод практик'!$BS$6:$BS$277,'свод практик'!$J$6:$J$277,'строго ИБ'!R$1,'свод практик'!$B$6:$B$277,"ИБ")</f>
        <v>2.3999999999999998E-3</v>
      </c>
      <c r="S66" s="606">
        <f>SUMIFS('свод практик'!$BS$6:$BS$277,'свод практик'!$J$6:$J$277,'строго ИБ'!S$1,'свод практик'!$B$6:$B$277,"ИБ")</f>
        <v>0</v>
      </c>
      <c r="T66" s="606">
        <f>SUMIFS('свод практик'!$BS$6:$BS$277,'свод практик'!$J$6:$J$277,'строго ИБ'!T$1,'свод практик'!$B$6:$B$277,"ИБ")</f>
        <v>2.0000000000000001E-4</v>
      </c>
      <c r="U66" s="606">
        <f>SUMIFS('свод практик'!$BS$6:$BS$277,'свод практик'!$J$6:$J$277,'строго ИБ'!U$1,'свод практик'!$B$6:$B$277,"ИБ")</f>
        <v>1.18E-2</v>
      </c>
      <c r="V66" s="606">
        <f>SUMIFS('свод практик'!$BS$6:$BS$277,'свод практик'!$J$6:$J$277,'строго ИБ'!V$1,'свод практик'!$B$6:$B$277,"ИБ")</f>
        <v>0</v>
      </c>
      <c r="W66" s="606">
        <f>SUMIFS('свод практик'!$BS$6:$BS$277,'свод практик'!$J$6:$J$277,'строго ИБ'!W$1,'свод практик'!$B$6:$B$277,"ИБ")</f>
        <v>1.4E-3</v>
      </c>
      <c r="X66" s="606">
        <f>SUMIFS('свод практик'!$BS$6:$BS$277,'свод практик'!$J$6:$J$277,'строго ИБ'!X$1,'свод практик'!$B$6:$B$277,"ИБ")</f>
        <v>0</v>
      </c>
      <c r="Y66" s="606">
        <f>SUMIFS('свод практик'!$BS$6:$BS$277,'свод практик'!$J$6:$J$277,'строго ИБ'!Y$1,'свод практик'!$B$6:$B$277,"ИБ")</f>
        <v>0</v>
      </c>
      <c r="Z66" s="606">
        <f>SUMIFS('свод практик'!$BS$6:$BS$277,'свод практик'!$J$6:$J$277,'строго ИБ'!Z$1,'свод практик'!$B$6:$B$277,"ИБ")</f>
        <v>6.4191699646426004E-4</v>
      </c>
      <c r="AA66" s="606">
        <f>SUMIFS('свод практик'!$BS$6:$BS$277,'свод практик'!$J$6:$J$277,'строго ИБ'!AA$1,'свод практик'!$B$6:$B$277,"ИБ")</f>
        <v>1.7697557193908291E-3</v>
      </c>
      <c r="AB66" s="606">
        <f>SUMIFS('свод практик'!$BS$6:$BS$277,'свод практик'!$J$6:$J$277,'строго ИБ'!AB$1,'свод практик'!$B$6:$B$277,"ИБ")</f>
        <v>9.6603579162607975E-4</v>
      </c>
      <c r="AC66" s="606">
        <f>SUMIFS('свод практик'!$BS$6:$BS$277,'свод практик'!$J$6:$J$277,'строго ИБ'!AC$1,'свод практик'!$B$6:$B$277,"ИБ")</f>
        <v>0</v>
      </c>
      <c r="AD66" s="606">
        <f>SUMIFS('свод практик'!$BS$6:$BS$277,'свод практик'!$J$6:$J$277,'строго ИБ'!AD$1,'свод практик'!$B$6:$B$277,"ИБ")</f>
        <v>0</v>
      </c>
      <c r="AE66" s="606">
        <f>SUMIFS('свод практик'!$BS$6:$BS$277,'свод практик'!$J$6:$J$277,'строго ИБ'!AE$1,'свод практик'!$B$6:$B$277,"ИБ")</f>
        <v>0</v>
      </c>
      <c r="AF66" s="606">
        <f>SUMIFS('свод практик'!$BS$6:$BS$277,'свод практик'!$J$6:$J$277,'строго ИБ'!AF$1,'свод практик'!$B$6:$B$277,"ИБ")</f>
        <v>0</v>
      </c>
      <c r="AG66" s="606">
        <f>SUMIFS('свод практик'!$BS$6:$BS$277,'свод практик'!$J$6:$J$277,'строго ИБ'!AG$1,'свод практик'!$B$6:$B$277,"ИБ")</f>
        <v>0</v>
      </c>
      <c r="AH66" s="606">
        <f>SUMIFS('свод практик'!$BS$6:$BS$277,'свод практик'!$J$6:$J$277,'строго ИБ'!AH$1,'свод практик'!$B$6:$B$277,"ИБ")</f>
        <v>0</v>
      </c>
      <c r="AI66" s="606">
        <f>SUMIFS('свод практик'!$BS$6:$BS$277,'свод практик'!$J$6:$J$277,'строго ИБ'!AI$1,'свод практик'!$B$6:$B$277,"ИБ")</f>
        <v>0</v>
      </c>
      <c r="AJ66" s="606">
        <f>SUMIFS('свод практик'!$BS$6:$BS$277,'свод практик'!$J$6:$J$277,'строго ИБ'!AJ$1,'свод практик'!$B$6:$B$277,"ИБ")</f>
        <v>0</v>
      </c>
      <c r="AK66" s="606">
        <f>SUMIFS('свод практик'!$BS$6:$BS$277,'свод практик'!$J$6:$J$277,'строго ИБ'!AK$1,'свод практик'!$B$6:$B$277,"ИБ")</f>
        <v>5.9999999999999995E-4</v>
      </c>
      <c r="AL66" s="606">
        <f>SUMIFS('свод практик'!$BS$6:$BS$277,'свод практик'!$J$6:$J$277,'строго ИБ'!AL$1,'свод практик'!$B$6:$B$277,"ИБ")</f>
        <v>1.92E-3</v>
      </c>
      <c r="AM66" s="606">
        <f>SUMIFS('свод практик'!$BS$6:$BS$277,'свод практик'!$J$6:$J$277,'строго ИБ'!AM$1,'свод практик'!$B$6:$B$277,"ИБ")</f>
        <v>0</v>
      </c>
      <c r="AN66" s="606">
        <f>SUMIFS('свод практик'!$BS$6:$BS$277,'свод практик'!$J$6:$J$277,'строго ИБ'!AN$1,'свод практик'!$B$6:$B$277,"ИБ")</f>
        <v>0</v>
      </c>
      <c r="AO66" s="606">
        <f>SUMIFS('свод практик'!$BS$6:$BS$277,'свод практик'!$J$6:$J$277,'строго ИБ'!AO$1,'свод практик'!$B$6:$B$277,"ИБ")</f>
        <v>1.1470370394646287E-3</v>
      </c>
      <c r="AP66" s="606">
        <f>SUMIFS('свод практик'!$BS$6:$BS$277,'свод практик'!$J$6:$J$277,'строго ИБ'!AP$1,'свод практик'!$B$6:$B$277,"ИБ")</f>
        <v>1E-3</v>
      </c>
      <c r="AQ66" s="606">
        <f>SUMIFS('свод практик'!$BS$6:$BS$277,'свод практик'!$J$6:$J$277,'строго ИБ'!AQ$1,'свод практик'!$B$6:$B$277,"ИБ")</f>
        <v>2.0000000000000001E-4</v>
      </c>
      <c r="AR66" s="606">
        <f>SUMIFS('свод практик'!$BS$6:$BS$277,'свод практик'!$J$6:$J$277,'строго ИБ'!AR$1,'свод практик'!$B$6:$B$277,"ИБ")</f>
        <v>1.6000000000000001E-3</v>
      </c>
      <c r="AS66" s="606">
        <f>SUMIFS('свод практик'!$BS$6:$BS$277,'свод практик'!$J$6:$J$277,'строго ИБ'!AS$1,'свод практик'!$B$6:$B$277,"ИБ")</f>
        <v>0</v>
      </c>
      <c r="AT66" s="606">
        <f>SUMIFS('свод практик'!$BS$6:$BS$277,'свод практик'!$J$6:$J$277,'строго ИБ'!AT$1,'свод практик'!$B$6:$B$277,"ИБ")</f>
        <v>0</v>
      </c>
      <c r="AU66" s="606">
        <f>SUMIFS('свод практик'!$BS$6:$BS$277,'свод практик'!$J$6:$J$277,'строго ИБ'!AU$1,'свод практик'!$B$6:$B$277,"ИБ")</f>
        <v>5.0000000000000001E-4</v>
      </c>
      <c r="AV66" s="606">
        <f>SUMIFS('свод практик'!$BS$6:$BS$277,'свод практик'!$J$6:$J$277,'строго ИБ'!AV$1,'свод практик'!$B$6:$B$277,"ИБ")</f>
        <v>0</v>
      </c>
      <c r="AW66" s="606">
        <f>SUMIFS('свод практик'!$BS$6:$BS$277,'свод практик'!$J$6:$J$277,'строго ИБ'!AW$1,'свод практик'!$B$6:$B$277,"ИБ")</f>
        <v>2.8E-3</v>
      </c>
      <c r="AX66" s="606">
        <f>SUMIFS('свод практик'!$BS$6:$BS$277,'свод практик'!$J$6:$J$277,'строго ИБ'!AX$1,'свод практик'!$B$6:$B$277,"ИБ")</f>
        <v>0</v>
      </c>
      <c r="AY66" s="606">
        <f>SUMIFS('свод практик'!$BS$6:$BS$277,'свод практик'!$J$6:$J$277,'строго ИБ'!AY$1,'свод практик'!$B$6:$B$277,"ИБ")</f>
        <v>0</v>
      </c>
      <c r="AZ66" s="606">
        <f>SUMIFS('свод практик'!$BS$6:$BS$277,'свод практик'!$J$6:$J$277,'строго ИБ'!AZ$1,'свод практик'!$B$6:$B$277,"ИБ")</f>
        <v>0</v>
      </c>
      <c r="BA66" s="606">
        <f>SUMIFS('свод практик'!$BS$6:$BS$277,'свод практик'!$J$6:$J$277,'строго ИБ'!BA$1,'свод практик'!$B$6:$B$277,"ИБ")</f>
        <v>0</v>
      </c>
      <c r="BB66" s="606">
        <f>SUMIFS('свод практик'!$BS$6:$BS$277,'свод практик'!$J$6:$J$277,'строго ИБ'!BB$1,'свод практик'!$B$6:$B$277,"ИБ")</f>
        <v>6.9999999999999999E-4</v>
      </c>
      <c r="BC66" s="606">
        <f>SUMIFS('свод практик'!$BS$6:$BS$277,'свод практик'!$J$6:$J$277,'строго ИБ'!BC$1,'свод практик'!$B$6:$B$277,"ИБ")</f>
        <v>0</v>
      </c>
      <c r="BD66" s="606">
        <f>SUMIFS('свод практик'!$BS$6:$BS$277,'свод практик'!$J$6:$J$277,'строго ИБ'!BD$1,'свод практик'!$B$6:$B$277,"ИБ")</f>
        <v>0</v>
      </c>
      <c r="BE66" s="606">
        <f>SUMIFS('свод практик'!$BS$6:$BS$277,'свод практик'!$J$6:$J$277,'строго ИБ'!BE$1,'свод практик'!$B$6:$B$277,"ИБ")</f>
        <v>0</v>
      </c>
      <c r="BF66" s="606">
        <f>SUMIFS('свод практик'!$BS$6:$BS$277,'свод практик'!$J$6:$J$277,'строго ИБ'!BF$1,'свод практик'!$B$6:$B$277,"ИБ")</f>
        <v>4.0000000000000002E-4</v>
      </c>
      <c r="BG66" s="606">
        <f>SUMIFS('свод практик'!$BS$6:$BS$277,'свод практик'!$J$6:$J$277,'строго ИБ'!BG$1,'свод практик'!$B$6:$B$277,"ИБ")</f>
        <v>8.9999999999999998E-4</v>
      </c>
      <c r="BH66" s="606">
        <f>SUMIFS('свод практик'!$BS$6:$BS$277,'свод практик'!$J$6:$J$277,'строго ИБ'!BH$1,'свод практик'!$B$6:$B$277,"ИБ")</f>
        <v>1.7535001544521369E-3</v>
      </c>
      <c r="BI66" s="606">
        <f>SUMIFS('свод практик'!$BS$6:$BS$277,'свод практик'!$J$6:$J$277,'строго ИБ'!BI$1,'свод практик'!$B$6:$B$277,"ИБ")</f>
        <v>1.06E-3</v>
      </c>
      <c r="BJ66" s="606">
        <f>SUMIFS('свод практик'!$BS$6:$BS$277,'свод практик'!$J$6:$J$277,'строго ИБ'!BJ$1,'свод практик'!$B$6:$B$277,"ИБ")</f>
        <v>1.1000000000000001E-3</v>
      </c>
      <c r="BK66" s="606">
        <f>SUMIFS('свод практик'!$BS$6:$BS$277,'свод практик'!$J$6:$J$277,'строго ИБ'!BK$1,'свод практик'!$B$6:$B$277,"ИБ")</f>
        <v>0</v>
      </c>
      <c r="BL66" s="606">
        <f>SUMIFS('свод практик'!$BS$6:$BS$277,'свод практик'!$J$6:$J$277,'строго ИБ'!BL$1,'свод практик'!$B$6:$B$277,"ИБ")</f>
        <v>8.0000000000000004E-4</v>
      </c>
      <c r="BM66" s="606">
        <f>SUMIFS('свод практик'!$BS$6:$BS$277,'свод практик'!$J$6:$J$277,'строго ИБ'!BM$1,'свод практик'!$B$6:$B$277,"ИБ")</f>
        <v>8.1898733913549646E-4</v>
      </c>
      <c r="BN66" s="606">
        <f>SUMIFS('свод практик'!$BS$6:$BS$277,'свод практик'!$J$6:$J$277,'строго ИБ'!BN$1,'свод практик'!$B$6:$B$277,"ИБ")</f>
        <v>0</v>
      </c>
      <c r="BO66" s="606">
        <f>SUMIFS('свод практик'!$BS$6:$BS$277,'свод практик'!$J$6:$J$277,'строго ИБ'!BO$1,'свод практик'!$B$6:$B$277,"ИБ")</f>
        <v>1.3362034320393663E-3</v>
      </c>
      <c r="BP66" s="606">
        <f>SUMIFS('свод практик'!$BS$6:$BS$277,'свод практик'!$J$6:$J$277,'строго ИБ'!BP$1,'свод практик'!$B$6:$B$277,"ИБ")</f>
        <v>0</v>
      </c>
      <c r="BQ66" s="606">
        <f>SUMIFS('свод практик'!$BS$6:$BS$277,'свод практик'!$J$6:$J$277,'строго ИБ'!BQ$1,'свод практик'!$B$6:$B$277,"ИБ")</f>
        <v>0</v>
      </c>
      <c r="BR66" s="606">
        <f>SUMIFS('свод практик'!$BS$6:$BS$277,'свод практик'!$J$6:$J$277,'строго ИБ'!BR$1,'свод практик'!$B$6:$B$277,"ИБ")</f>
        <v>0</v>
      </c>
      <c r="BS66" s="606">
        <f>SUMIFS('свод практик'!$BS$6:$BS$277,'свод практик'!$J$6:$J$277,'строго ИБ'!BS$1,'свод практик'!$B$6:$B$277,"ИБ")</f>
        <v>0</v>
      </c>
      <c r="BT66" s="606">
        <f>SUMIFS('свод практик'!$BS$6:$BS$277,'свод практик'!$J$6:$J$277,'строго ИБ'!BT$1,'свод практик'!$B$6:$B$277,"ИБ")</f>
        <v>1.4E-3</v>
      </c>
      <c r="BU66" s="606">
        <f>SUMIFS('свод практик'!$BS$6:$BS$277,'свод практик'!$J$6:$J$277,'строго ИБ'!BU$1,'свод практик'!$B$6:$B$277,"ИБ")</f>
        <v>1.2367344258342938E-4</v>
      </c>
      <c r="BV66" s="606">
        <f>SUMIFS('свод практик'!$BS$6:$BS$277,'свод практик'!$J$6:$J$277,'строго ИБ'!BV$1,'свод практик'!$B$6:$B$277,"ИБ")</f>
        <v>1.15E-3</v>
      </c>
      <c r="BW66" s="606">
        <f>SUMIFS('свод практик'!$BS$6:$BS$277,'свод практик'!$J$6:$J$277,'строго ИБ'!BW$1,'свод практик'!$B$6:$B$277,"ИБ")</f>
        <v>2.3E-3</v>
      </c>
      <c r="BX66" s="606">
        <f>SUMIFS('свод практик'!$BS$6:$BS$277,'свод практик'!$J$6:$J$277,'строго ИБ'!BX$1,'свод практик'!$B$6:$B$277,"ИБ")</f>
        <v>1.04E-2</v>
      </c>
      <c r="BY66" s="606">
        <f>SUMIFS('свод практик'!$BS$6:$BS$277,'свод практик'!$J$6:$J$277,'строго ИБ'!BY$1,'свод практик'!$B$6:$B$277,"ИБ")</f>
        <v>4.0459341648964301E-5</v>
      </c>
      <c r="BZ66" s="606">
        <f>SUMIFS('свод практик'!$BS$6:$BS$277,'свод практик'!$J$6:$J$277,'строго ИБ'!BZ$1,'свод практик'!$B$6:$B$277,"ИБ")</f>
        <v>0</v>
      </c>
      <c r="CA66" s="606">
        <f>SUMIFS('свод практик'!$BS$6:$BS$277,'свод практик'!$J$6:$J$277,'строго ИБ'!CA$1,'свод практик'!$B$6:$B$277,"ИБ")</f>
        <v>0</v>
      </c>
      <c r="CB66" s="606">
        <f>SUMIFS('свод практик'!$BS$6:$BS$277,'свод практик'!$J$6:$J$277,'строго ИБ'!CB$1,'свод практик'!$B$6:$B$277,"ИБ")</f>
        <v>0</v>
      </c>
      <c r="CC66" s="606">
        <f>SUMIFS('свод практик'!$BS$6:$BS$277,'свод практик'!$J$6:$J$277,'строго ИБ'!CC$1,'свод практик'!$B$6:$B$277,"ИБ")</f>
        <v>4.1000000000000003E-3</v>
      </c>
      <c r="CD66" s="606">
        <f>SUMIFS('свод практик'!$BS$6:$BS$277,'свод практик'!$J$6:$J$277,'строго ИБ'!CD$1,'свод практик'!$B$6:$B$277,"ИБ")</f>
        <v>3.8999999999999998E-3</v>
      </c>
      <c r="CE66" s="606">
        <f>SUMIFS('свод практик'!$BS$6:$BS$277,'свод практик'!$J$6:$J$277,'строго ИБ'!CE$1,'свод практик'!$B$6:$B$277,"ИБ")</f>
        <v>0</v>
      </c>
      <c r="CF66" s="606">
        <f>SUMIFS('свод практик'!$BS$6:$BS$277,'свод практик'!$J$6:$J$277,'строго ИБ'!CF$1,'свод практик'!$B$6:$B$277,"ИБ")</f>
        <v>2.1595119246497919E-3</v>
      </c>
      <c r="CG66" s="606">
        <f>SUMIFS('свод практик'!$BS$6:$BS$277,'свод практик'!$J$6:$J$277,'строго ИБ'!CG$1,'свод практик'!$B$6:$B$277,"ИБ")</f>
        <v>5.0000000000000001E-4</v>
      </c>
      <c r="CH66" s="606">
        <f>SUMIFS('свод практик'!$BS$6:$BS$277,'свод практик'!$J$6:$J$277,'строго ИБ'!CH$1,'свод практик'!$B$6:$B$277,"ИБ")</f>
        <v>5.3E-3</v>
      </c>
      <c r="CI66" s="606">
        <f>SUMIFS('свод практик'!$BS$6:$BS$277,'свод практик'!$J$6:$J$277,'строго ИБ'!CI$1,'свод практик'!$B$6:$B$277,"ИБ")</f>
        <v>0</v>
      </c>
      <c r="CJ66" s="606">
        <f>SUMIFS('свод практик'!$BS$6:$BS$277,'свод практик'!$J$6:$J$277,'строго ИБ'!CJ$1,'свод практик'!$B$6:$B$277,"ИБ")</f>
        <v>0</v>
      </c>
      <c r="CK66" s="606">
        <f>SUMIFS('свод практик'!$BS$6:$BS$277,'свод практик'!$J$6:$J$277,'строго ИБ'!CK$1,'свод практик'!$B$6:$B$277,"ИБ")</f>
        <v>1.9E-3</v>
      </c>
      <c r="CL66" s="606">
        <f>SUMIFS('свод практик'!$BS$6:$BS$277,'свод практик'!$J$6:$J$277,'строго ИБ'!CL$1,'свод практик'!$B$6:$B$277,"ИБ")</f>
        <v>2.5999999999999999E-3</v>
      </c>
      <c r="CM66" s="606">
        <f>SUMIFS('свод практик'!$BS$6:$BS$277,'свод практик'!$J$6:$J$277,'строго ИБ'!CM$1,'свод практик'!$B$6:$B$277,"ИБ")</f>
        <v>5.9999999999999995E-4</v>
      </c>
      <c r="CN66" s="606">
        <f>SUMIFS('свод практик'!$BS$6:$BS$277,'свод практик'!$J$6:$J$277,'строго ИБ'!CN$1,'свод практик'!$B$6:$B$277,"ИБ")</f>
        <v>0</v>
      </c>
      <c r="CO66" s="606">
        <f>SUMIFS('свод практик'!$BS$6:$BS$277,'свод практик'!$J$6:$J$277,'строго ИБ'!CO$1,'свод практик'!$B$6:$B$277,"ИБ")</f>
        <v>0</v>
      </c>
      <c r="CP66" s="606">
        <f>SUMIFS('свод практик'!$BS$6:$BS$277,'свод практик'!$J$6:$J$277,'строго ИБ'!CP$1,'свод практик'!$B$6:$B$277,"ИБ")</f>
        <v>0</v>
      </c>
      <c r="CQ66" s="606">
        <f>SUMIFS('свод практик'!$BS$6:$BS$277,'свод практик'!$J$6:$J$277,'строго ИБ'!CQ$1,'свод практик'!$B$6:$B$277,"ИБ")</f>
        <v>0</v>
      </c>
      <c r="CR66" s="606">
        <f>SUMIFS('свод практик'!$BS$6:$BS$277,'свод практик'!$J$6:$J$277,'строго ИБ'!CR$1,'свод практик'!$B$6:$B$277,"ИБ")</f>
        <v>7.367695013759311E-3</v>
      </c>
      <c r="CS66" s="606">
        <f>SUMIFS('свод практик'!$BS$6:$BS$277,'свод практик'!$J$6:$J$277,'строго ИБ'!CS$1,'свод практик'!$B$6:$B$277,"ИБ")</f>
        <v>0.12419427165447222</v>
      </c>
      <c r="CT66" s="606">
        <f>SUMIFS('свод практик'!$BS$6:$BS$277,'свод практик'!$J$6:$J$277,'строго ИБ'!CT$1,'свод практик'!$B$6:$B$277,"ИБ")</f>
        <v>0</v>
      </c>
      <c r="CU66" s="606">
        <f>SUMIFS('свод практик'!$BS$6:$BS$277,'свод практик'!$J$6:$J$277,'строго ИБ'!CU$1,'свод практик'!$B$6:$B$277,"ИБ")</f>
        <v>2E-3</v>
      </c>
    </row>
    <row r="67" spans="1:99" ht="17" customHeight="1">
      <c r="A67" s="810" t="s">
        <v>5136</v>
      </c>
      <c r="B67" s="816" t="s">
        <v>4990</v>
      </c>
      <c r="C67" s="814" t="s">
        <v>5137</v>
      </c>
      <c r="D67" s="445" t="s">
        <v>4949</v>
      </c>
      <c r="E67" s="445">
        <v>52</v>
      </c>
      <c r="F67" s="446" t="s">
        <v>5138</v>
      </c>
      <c r="G67" s="835" t="s">
        <v>5758</v>
      </c>
      <c r="H67" s="448" t="s">
        <v>5140</v>
      </c>
      <c r="I67" s="449" t="s">
        <v>4961</v>
      </c>
      <c r="J67" s="450"/>
      <c r="K67" s="340" t="s">
        <v>278</v>
      </c>
      <c r="L67" s="382">
        <v>454</v>
      </c>
      <c r="M67" s="351">
        <v>712</v>
      </c>
      <c r="N67" s="580">
        <f>SUM(O67:CU67)</f>
        <v>808</v>
      </c>
      <c r="O67" s="413">
        <f>SUMIFS('свод практик'!$BY$6:$BY$277,'свод практик'!$J$6:$J$277,'строго ИБ'!O$1,'свод практик'!$B$6:$B$277,"ИБ")</f>
        <v>2</v>
      </c>
      <c r="P67" s="413">
        <f>SUMIFS('свод практик'!$BY$6:$BY$277,'свод практик'!$J$6:$J$277,'строго ИБ'!P$1,'свод практик'!$B$6:$B$277,"ИБ")</f>
        <v>0</v>
      </c>
      <c r="Q67" s="413">
        <f>SUMIFS('свод практик'!$BY$6:$BY$277,'свод практик'!$J$6:$J$277,'строго ИБ'!Q$1,'свод практик'!$B$6:$B$277,"ИБ")</f>
        <v>13</v>
      </c>
      <c r="R67" s="413">
        <f>SUMIFS('свод практик'!$BY$6:$BY$277,'свод практик'!$J$6:$J$277,'строго ИБ'!R$1,'свод практик'!$B$6:$B$277,"ИБ")</f>
        <v>3</v>
      </c>
      <c r="S67" s="413">
        <f>SUMIFS('свод практик'!$BY$6:$BY$277,'свод практик'!$J$6:$J$277,'строго ИБ'!S$1,'свод практик'!$B$6:$B$277,"ИБ")</f>
        <v>0</v>
      </c>
      <c r="T67" s="413">
        <f>SUMIFS('свод практик'!$BY$6:$BY$277,'свод практик'!$J$6:$J$277,'строго ИБ'!T$1,'свод практик'!$B$6:$B$277,"ИБ")</f>
        <v>0</v>
      </c>
      <c r="U67" s="413">
        <f>SUMIFS('свод практик'!$BY$6:$BY$277,'свод практик'!$J$6:$J$277,'строго ИБ'!U$1,'свод практик'!$B$6:$B$277,"ИБ")</f>
        <v>58</v>
      </c>
      <c r="V67" s="413">
        <f>SUMIFS('свод практик'!$BY$6:$BY$277,'свод практик'!$J$6:$J$277,'строго ИБ'!V$1,'свод практик'!$B$6:$B$277,"ИБ")</f>
        <v>2</v>
      </c>
      <c r="W67" s="413">
        <f>SUMIFS('свод практик'!$BY$6:$BY$277,'свод практик'!$J$6:$J$277,'строго ИБ'!W$1,'свод практик'!$B$6:$B$277,"ИБ")</f>
        <v>1</v>
      </c>
      <c r="X67" s="413">
        <f>SUMIFS('свод практик'!$BY$6:$BY$277,'свод практик'!$J$6:$J$277,'строго ИБ'!X$1,'свод практик'!$B$6:$B$277,"ИБ")</f>
        <v>0</v>
      </c>
      <c r="Y67" s="413">
        <f>SUMIFS('свод практик'!$BY$6:$BY$277,'свод практик'!$J$6:$J$277,'строго ИБ'!Y$1,'свод практик'!$B$6:$B$277,"ИБ")</f>
        <v>0</v>
      </c>
      <c r="Z67" s="413">
        <f>SUMIFS('свод практик'!$BY$6:$BY$277,'свод практик'!$J$6:$J$277,'строго ИБ'!Z$1,'свод практик'!$B$6:$B$277,"ИБ")</f>
        <v>2</v>
      </c>
      <c r="AA67" s="413">
        <f>SUMIFS('свод практик'!$BY$6:$BY$277,'свод практик'!$J$6:$J$277,'строго ИБ'!AA$1,'свод практик'!$B$6:$B$277,"ИБ")</f>
        <v>134</v>
      </c>
      <c r="AB67" s="413">
        <f>SUMIFS('свод практик'!$BY$6:$BY$277,'свод практик'!$J$6:$J$277,'строго ИБ'!AB$1,'свод практик'!$B$6:$B$277,"ИБ")</f>
        <v>13</v>
      </c>
      <c r="AC67" s="413">
        <f>SUMIFS('свод практик'!$BY$6:$BY$277,'свод практик'!$J$6:$J$277,'строго ИБ'!AC$1,'свод практик'!$B$6:$B$277,"ИБ")</f>
        <v>0</v>
      </c>
      <c r="AD67" s="413">
        <f>SUMIFS('свод практик'!$BY$6:$BY$277,'свод практик'!$J$6:$J$277,'строго ИБ'!AD$1,'свод практик'!$B$6:$B$277,"ИБ")</f>
        <v>0</v>
      </c>
      <c r="AE67" s="413">
        <f>SUMIFS('свод практик'!$BY$6:$BY$277,'свод практик'!$J$6:$J$277,'строго ИБ'!AE$1,'свод практик'!$B$6:$B$277,"ИБ")</f>
        <v>0</v>
      </c>
      <c r="AF67" s="413">
        <f>SUMIFS('свод практик'!$BY$6:$BY$277,'свод практик'!$J$6:$J$277,'строго ИБ'!AF$1,'свод практик'!$B$6:$B$277,"ИБ")</f>
        <v>0</v>
      </c>
      <c r="AG67" s="413">
        <f>SUMIFS('свод практик'!$BY$6:$BY$277,'свод практик'!$J$6:$J$277,'строго ИБ'!AG$1,'свод практик'!$B$6:$B$277,"ИБ")</f>
        <v>0</v>
      </c>
      <c r="AH67" s="413">
        <f>SUMIFS('свод практик'!$BY$6:$BY$277,'свод практик'!$J$6:$J$277,'строго ИБ'!AH$1,'свод практик'!$B$6:$B$277,"ИБ")</f>
        <v>0</v>
      </c>
      <c r="AI67" s="413">
        <f>SUMIFS('свод практик'!$BY$6:$BY$277,'свод практик'!$J$6:$J$277,'строго ИБ'!AI$1,'свод практик'!$B$6:$B$277,"ИБ")</f>
        <v>0</v>
      </c>
      <c r="AJ67" s="413">
        <f>SUMIFS('свод практик'!$BY$6:$BY$277,'свод практик'!$J$6:$J$277,'строго ИБ'!AJ$1,'свод практик'!$B$6:$B$277,"ИБ")</f>
        <v>0</v>
      </c>
      <c r="AK67" s="413">
        <f>SUMIFS('свод практик'!$BY$6:$BY$277,'свод практик'!$J$6:$J$277,'строго ИБ'!AK$1,'свод практик'!$B$6:$B$277,"ИБ")</f>
        <v>1</v>
      </c>
      <c r="AL67" s="413">
        <f>SUMIFS('свод практик'!$BY$6:$BY$277,'свод практик'!$J$6:$J$277,'строго ИБ'!AL$1,'свод практик'!$B$6:$B$277,"ИБ")</f>
        <v>11</v>
      </c>
      <c r="AM67" s="413">
        <f>SUMIFS('свод практик'!$BY$6:$BY$277,'свод практик'!$J$6:$J$277,'строго ИБ'!AM$1,'свод практик'!$B$6:$B$277,"ИБ")</f>
        <v>0</v>
      </c>
      <c r="AN67" s="413">
        <f>SUMIFS('свод практик'!$BY$6:$BY$277,'свод практик'!$J$6:$J$277,'строго ИБ'!AN$1,'свод практик'!$B$6:$B$277,"ИБ")</f>
        <v>0</v>
      </c>
      <c r="AO67" s="413">
        <f>SUMIFS('свод практик'!$BY$6:$BY$277,'свод практик'!$J$6:$J$277,'строго ИБ'!AO$1,'свод практик'!$B$6:$B$277,"ИБ")</f>
        <v>9</v>
      </c>
      <c r="AP67" s="413">
        <f>SUMIFS('свод практик'!$BY$6:$BY$277,'свод практик'!$J$6:$J$277,'строго ИБ'!AP$1,'свод практик'!$B$6:$B$277,"ИБ")</f>
        <v>0</v>
      </c>
      <c r="AQ67" s="413">
        <f>SUMIFS('свод практик'!$BY$6:$BY$277,'свод практик'!$J$6:$J$277,'строго ИБ'!AQ$1,'свод практик'!$B$6:$B$277,"ИБ")</f>
        <v>53</v>
      </c>
      <c r="AR67" s="413">
        <f>SUMIFS('свод практик'!$BY$6:$BY$277,'свод практик'!$J$6:$J$277,'строго ИБ'!AR$1,'свод практик'!$B$6:$B$277,"ИБ")</f>
        <v>8</v>
      </c>
      <c r="AS67" s="413">
        <f>SUMIFS('свод практик'!$BY$6:$BY$277,'свод практик'!$J$6:$J$277,'строго ИБ'!AS$1,'свод практик'!$B$6:$B$277,"ИБ")</f>
        <v>0</v>
      </c>
      <c r="AT67" s="413">
        <f>SUMIFS('свод практик'!$BY$6:$BY$277,'свод практик'!$J$6:$J$277,'строго ИБ'!AT$1,'свод практик'!$B$6:$B$277,"ИБ")</f>
        <v>0</v>
      </c>
      <c r="AU67" s="413">
        <f>SUMIFS('свод практик'!$BY$6:$BY$277,'свод практик'!$J$6:$J$277,'строго ИБ'!AU$1,'свод практик'!$B$6:$B$277,"ИБ")</f>
        <v>12</v>
      </c>
      <c r="AV67" s="413">
        <f>SUMIFS('свод практик'!$BY$6:$BY$277,'свод практик'!$J$6:$J$277,'строго ИБ'!AV$1,'свод практик'!$B$6:$B$277,"ИБ")</f>
        <v>0</v>
      </c>
      <c r="AW67" s="413">
        <f>SUMIFS('свод практик'!$BY$6:$BY$277,'свод практик'!$J$6:$J$277,'строго ИБ'!AW$1,'свод практик'!$B$6:$B$277,"ИБ")</f>
        <v>5</v>
      </c>
      <c r="AX67" s="413">
        <f>SUMIFS('свод практик'!$BY$6:$BY$277,'свод практик'!$J$6:$J$277,'строго ИБ'!AX$1,'свод практик'!$B$6:$B$277,"ИБ")</f>
        <v>0</v>
      </c>
      <c r="AY67" s="413">
        <f>SUMIFS('свод практик'!$BY$6:$BY$277,'свод практик'!$J$6:$J$277,'строго ИБ'!AY$1,'свод практик'!$B$6:$B$277,"ИБ")</f>
        <v>0</v>
      </c>
      <c r="AZ67" s="413">
        <f>SUMIFS('свод практик'!$BY$6:$BY$277,'свод практик'!$J$6:$J$277,'строго ИБ'!AZ$1,'свод практик'!$B$6:$B$277,"ИБ")</f>
        <v>0</v>
      </c>
      <c r="BA67" s="413">
        <f>SUMIFS('свод практик'!$BY$6:$BY$277,'свод практик'!$J$6:$J$277,'строго ИБ'!BA$1,'свод практик'!$B$6:$B$277,"ИБ")</f>
        <v>0</v>
      </c>
      <c r="BB67" s="413">
        <f>SUMIFS('свод практик'!$BY$6:$BY$277,'свод практик'!$J$6:$J$277,'строго ИБ'!BB$1,'свод практик'!$B$6:$B$277,"ИБ")</f>
        <v>1</v>
      </c>
      <c r="BC67" s="413">
        <f>SUMIFS('свод практик'!$BY$6:$BY$277,'свод практик'!$J$6:$J$277,'строго ИБ'!BC$1,'свод практик'!$B$6:$B$277,"ИБ")</f>
        <v>0</v>
      </c>
      <c r="BD67" s="413">
        <f>SUMIFS('свод практик'!$BY$6:$BY$277,'свод практик'!$J$6:$J$277,'строго ИБ'!BD$1,'свод практик'!$B$6:$B$277,"ИБ")</f>
        <v>0</v>
      </c>
      <c r="BE67" s="413">
        <f>SUMIFS('свод практик'!$BY$6:$BY$277,'свод практик'!$J$6:$J$277,'строго ИБ'!BE$1,'свод практик'!$B$6:$B$277,"ИБ")</f>
        <v>0</v>
      </c>
      <c r="BF67" s="413">
        <f>SUMIFS('свод практик'!$BY$6:$BY$277,'свод практик'!$J$6:$J$277,'строго ИБ'!BF$1,'свод практик'!$B$6:$B$277,"ИБ")</f>
        <v>0</v>
      </c>
      <c r="BG67" s="413">
        <f>SUMIFS('свод практик'!$BY$6:$BY$277,'свод практик'!$J$6:$J$277,'строго ИБ'!BG$1,'свод практик'!$B$6:$B$277,"ИБ")</f>
        <v>0</v>
      </c>
      <c r="BH67" s="413">
        <f>SUMIFS('свод практик'!$BY$6:$BY$277,'свод практик'!$J$6:$J$277,'строго ИБ'!BH$1,'свод практик'!$B$6:$B$277,"ИБ")</f>
        <v>42</v>
      </c>
      <c r="BI67" s="413">
        <f>SUMIFS('свод практик'!$BY$6:$BY$277,'свод практик'!$J$6:$J$277,'строго ИБ'!BI$1,'свод практик'!$B$6:$B$277,"ИБ")</f>
        <v>0</v>
      </c>
      <c r="BJ67" s="413">
        <f>SUMIFS('свод практик'!$BY$6:$BY$277,'свод практик'!$J$6:$J$277,'строго ИБ'!BJ$1,'свод практик'!$B$6:$B$277,"ИБ")</f>
        <v>8</v>
      </c>
      <c r="BK67" s="413">
        <f>SUMIFS('свод практик'!$BY$6:$BY$277,'свод практик'!$J$6:$J$277,'строго ИБ'!BK$1,'свод практик'!$B$6:$B$277,"ИБ")</f>
        <v>0</v>
      </c>
      <c r="BL67" s="413">
        <f>SUMIFS('свод практик'!$BY$6:$BY$277,'свод практик'!$J$6:$J$277,'строго ИБ'!BL$1,'свод практик'!$B$6:$B$277,"ИБ")</f>
        <v>15</v>
      </c>
      <c r="BM67" s="413">
        <f>SUMIFS('свод практик'!$BY$6:$BY$277,'свод практик'!$J$6:$J$277,'строго ИБ'!BM$1,'свод практик'!$B$6:$B$277,"ИБ")</f>
        <v>0</v>
      </c>
      <c r="BN67" s="413">
        <f>SUMIFS('свод практик'!$BY$6:$BY$277,'свод практик'!$J$6:$J$277,'строго ИБ'!BN$1,'свод практик'!$B$6:$B$277,"ИБ")</f>
        <v>0</v>
      </c>
      <c r="BO67" s="413">
        <f>SUMIFS('свод практик'!$BY$6:$BY$277,'свод практик'!$J$6:$J$277,'строго ИБ'!BO$1,'свод практик'!$B$6:$B$277,"ИБ")</f>
        <v>21</v>
      </c>
      <c r="BP67" s="413">
        <f>SUMIFS('свод практик'!$BY$6:$BY$277,'свод практик'!$J$6:$J$277,'строго ИБ'!BP$1,'свод практик'!$B$6:$B$277,"ИБ")</f>
        <v>0</v>
      </c>
      <c r="BQ67" s="413">
        <f>SUMIFS('свод практик'!$BY$6:$BY$277,'свод практик'!$J$6:$J$277,'строго ИБ'!BQ$1,'свод практик'!$B$6:$B$277,"ИБ")</f>
        <v>0</v>
      </c>
      <c r="BR67" s="413">
        <f>SUMIFS('свод практик'!$BY$6:$BY$277,'свод практик'!$J$6:$J$277,'строго ИБ'!BR$1,'свод практик'!$B$6:$B$277,"ИБ")</f>
        <v>9</v>
      </c>
      <c r="BS67" s="413">
        <f>SUMIFS('свод практик'!$BY$6:$BY$277,'свод практик'!$J$6:$J$277,'строго ИБ'!BS$1,'свод практик'!$B$6:$B$277,"ИБ")</f>
        <v>4</v>
      </c>
      <c r="BT67" s="413">
        <f>SUMIFS('свод практик'!$BY$6:$BY$277,'свод практик'!$J$6:$J$277,'строго ИБ'!BT$1,'свод практик'!$B$6:$B$277,"ИБ")</f>
        <v>11</v>
      </c>
      <c r="BU67" s="413">
        <f>SUMIFS('свод практик'!$BY$6:$BY$277,'свод практик'!$J$6:$J$277,'строго ИБ'!BU$1,'свод практик'!$B$6:$B$277,"ИБ")</f>
        <v>0</v>
      </c>
      <c r="BV67" s="413">
        <f>SUMIFS('свод практик'!$BY$6:$BY$277,'свод практик'!$J$6:$J$277,'строго ИБ'!BV$1,'свод практик'!$B$6:$B$277,"ИБ")</f>
        <v>51</v>
      </c>
      <c r="BW67" s="413">
        <f>SUMIFS('свод практик'!$BY$6:$BY$277,'свод практик'!$J$6:$J$277,'строго ИБ'!BW$1,'свод практик'!$B$6:$B$277,"ИБ")</f>
        <v>103</v>
      </c>
      <c r="BX67" s="413">
        <f>SUMIFS('свод практик'!$BY$6:$BY$277,'свод практик'!$J$6:$J$277,'строго ИБ'!BX$1,'свод практик'!$B$6:$B$277,"ИБ")</f>
        <v>1</v>
      </c>
      <c r="BY67" s="413">
        <f>SUMIFS('свод практик'!$BY$6:$BY$277,'свод практик'!$J$6:$J$277,'строго ИБ'!BY$1,'свод практик'!$B$6:$B$277,"ИБ")</f>
        <v>0</v>
      </c>
      <c r="BZ67" s="413">
        <f>SUMIFS('свод практик'!$BY$6:$BY$277,'свод практик'!$J$6:$J$277,'строго ИБ'!BZ$1,'свод практик'!$B$6:$B$277,"ИБ")</f>
        <v>0</v>
      </c>
      <c r="CA67" s="413">
        <f>SUMIFS('свод практик'!$BY$6:$BY$277,'свод практик'!$J$6:$J$277,'строго ИБ'!CA$1,'свод практик'!$B$6:$B$277,"ИБ")</f>
        <v>0</v>
      </c>
      <c r="CB67" s="413">
        <f>SUMIFS('свод практик'!$BY$6:$BY$277,'свод практик'!$J$6:$J$277,'строго ИБ'!CB$1,'свод практик'!$B$6:$B$277,"ИБ")</f>
        <v>0</v>
      </c>
      <c r="CC67" s="413">
        <f>SUMIFS('свод практик'!$BY$6:$BY$277,'свод практик'!$J$6:$J$277,'строго ИБ'!CC$1,'свод практик'!$B$6:$B$277,"ИБ")</f>
        <v>2</v>
      </c>
      <c r="CD67" s="413">
        <f>SUMIFS('свод практик'!$BY$6:$BY$277,'свод практик'!$J$6:$J$277,'строго ИБ'!CD$1,'свод практик'!$B$6:$B$277,"ИБ")</f>
        <v>90</v>
      </c>
      <c r="CE67" s="413">
        <f>SUMIFS('свод практик'!$BY$6:$BY$277,'свод практик'!$J$6:$J$277,'строго ИБ'!CE$1,'свод практик'!$B$6:$B$277,"ИБ")</f>
        <v>0</v>
      </c>
      <c r="CF67" s="413">
        <f>SUMIFS('свод практик'!$BY$6:$BY$277,'свод практик'!$J$6:$J$277,'строго ИБ'!CF$1,'свод практик'!$B$6:$B$277,"ИБ")</f>
        <v>53</v>
      </c>
      <c r="CG67" s="413">
        <f>SUMIFS('свод практик'!$BY$6:$BY$277,'свод практик'!$J$6:$J$277,'строго ИБ'!CG$1,'свод практик'!$B$6:$B$277,"ИБ")</f>
        <v>6</v>
      </c>
      <c r="CH67" s="413">
        <f>SUMIFS('свод практик'!$BY$6:$BY$277,'свод практик'!$J$6:$J$277,'строго ИБ'!CH$1,'свод практик'!$B$6:$B$277,"ИБ")</f>
        <v>0</v>
      </c>
      <c r="CI67" s="413">
        <f>SUMIFS('свод практик'!$BY$6:$BY$277,'свод практик'!$J$6:$J$277,'строго ИБ'!CI$1,'свод практик'!$B$6:$B$277,"ИБ")</f>
        <v>0</v>
      </c>
      <c r="CJ67" s="413">
        <f>SUMIFS('свод практик'!$BY$6:$BY$277,'свод практик'!$J$6:$J$277,'строго ИБ'!CJ$1,'свод практик'!$B$6:$B$277,"ИБ")</f>
        <v>0</v>
      </c>
      <c r="CK67" s="413">
        <f>SUMIFS('свод практик'!$BY$6:$BY$277,'свод практик'!$J$6:$J$277,'строго ИБ'!CK$1,'свод практик'!$B$6:$B$277,"ИБ")</f>
        <v>2</v>
      </c>
      <c r="CL67" s="413">
        <f>SUMIFS('свод практик'!$BY$6:$BY$277,'свод практик'!$J$6:$J$277,'строго ИБ'!CL$1,'свод практик'!$B$6:$B$277,"ИБ")</f>
        <v>19</v>
      </c>
      <c r="CM67" s="413">
        <f>SUMIFS('свод практик'!$BY$6:$BY$277,'свод практик'!$J$6:$J$277,'строго ИБ'!CM$1,'свод практик'!$B$6:$B$277,"ИБ")</f>
        <v>1</v>
      </c>
      <c r="CN67" s="413">
        <f>SUMIFS('свод практик'!$BY$6:$BY$277,'свод практик'!$J$6:$J$277,'строго ИБ'!CN$1,'свод практик'!$B$6:$B$277,"ИБ")</f>
        <v>0</v>
      </c>
      <c r="CO67" s="413">
        <f>SUMIFS('свод практик'!$BY$6:$BY$277,'свод практик'!$J$6:$J$277,'строго ИБ'!CO$1,'свод практик'!$B$6:$B$277,"ИБ")</f>
        <v>0</v>
      </c>
      <c r="CP67" s="413">
        <f>SUMIFS('свод практик'!$BY$6:$BY$277,'свод практик'!$J$6:$J$277,'строго ИБ'!CP$1,'свод практик'!$B$6:$B$277,"ИБ")</f>
        <v>0</v>
      </c>
      <c r="CQ67" s="413">
        <f>SUMIFS('свод практик'!$BY$6:$BY$277,'свод практик'!$J$6:$J$277,'строго ИБ'!CQ$1,'свод практик'!$B$6:$B$277,"ИБ")</f>
        <v>0</v>
      </c>
      <c r="CR67" s="413">
        <f>SUMIFS('свод практик'!$BY$6:$BY$277,'свод практик'!$J$6:$J$277,'строго ИБ'!CR$1,'свод практик'!$B$6:$B$277,"ИБ")</f>
        <v>40</v>
      </c>
      <c r="CS67" s="413">
        <f>SUMIFS('свод практик'!$BY$6:$BY$277,'свод практик'!$J$6:$J$277,'строго ИБ'!CS$1,'свод практик'!$B$6:$B$277,"ИБ")</f>
        <v>0</v>
      </c>
      <c r="CT67" s="413">
        <f>SUMIFS('свод практик'!$BY$6:$BY$277,'свод практик'!$J$6:$J$277,'строго ИБ'!CT$1,'свод практик'!$B$6:$B$277,"ИБ")</f>
        <v>0</v>
      </c>
      <c r="CU67" s="413">
        <f>SUMIFS('свод практик'!$BY$6:$BY$277,'свод практик'!$J$6:$J$277,'строго ИБ'!CU$1,'свод практик'!$B$6:$B$277,"ИБ")</f>
        <v>2</v>
      </c>
    </row>
    <row r="68" spans="1:99" ht="15.5" customHeight="1">
      <c r="A68" s="815"/>
      <c r="B68" s="817"/>
      <c r="C68" s="805"/>
      <c r="D68" s="439" t="s">
        <v>4949</v>
      </c>
      <c r="E68" s="439">
        <v>53</v>
      </c>
      <c r="F68" s="440" t="s">
        <v>5141</v>
      </c>
      <c r="G68" s="808"/>
      <c r="H68" s="442" t="s">
        <v>60</v>
      </c>
      <c r="I68" s="443"/>
      <c r="J68" s="444"/>
      <c r="K68" s="2"/>
      <c r="L68" s="383"/>
      <c r="M68" s="384">
        <v>0.10456748421207225</v>
      </c>
      <c r="N68" s="607">
        <f>N67/N107</f>
        <v>7.86374695863747E-2</v>
      </c>
      <c r="O68" s="607">
        <f t="shared" ref="O68:BZ68" si="23">O67/O107</f>
        <v>0.33333333333333331</v>
      </c>
      <c r="P68" s="607">
        <f t="shared" si="23"/>
        <v>0</v>
      </c>
      <c r="Q68" s="607">
        <f t="shared" si="23"/>
        <v>6.3725490196078427E-2</v>
      </c>
      <c r="R68" s="607">
        <f t="shared" si="23"/>
        <v>3.6585365853658534E-2</v>
      </c>
      <c r="S68" s="607">
        <f t="shared" si="23"/>
        <v>0</v>
      </c>
      <c r="T68" s="607">
        <f t="shared" si="23"/>
        <v>0</v>
      </c>
      <c r="U68" s="607">
        <f t="shared" si="23"/>
        <v>4.4615384615384612E-2</v>
      </c>
      <c r="V68" s="607">
        <f t="shared" si="23"/>
        <v>2.564102564102564E-2</v>
      </c>
      <c r="W68" s="607">
        <f t="shared" si="23"/>
        <v>1.1235955056179775E-2</v>
      </c>
      <c r="X68" s="607" t="e">
        <f t="shared" si="23"/>
        <v>#DIV/0!</v>
      </c>
      <c r="Y68" s="607" t="e">
        <f t="shared" si="23"/>
        <v>#DIV/0!</v>
      </c>
      <c r="Z68" s="607">
        <f t="shared" si="23"/>
        <v>2.1505376344086023E-2</v>
      </c>
      <c r="AA68" s="607">
        <f t="shared" si="23"/>
        <v>0.15005599104143338</v>
      </c>
      <c r="AB68" s="607">
        <f t="shared" si="23"/>
        <v>0.2</v>
      </c>
      <c r="AC68" s="607" t="e">
        <f t="shared" si="23"/>
        <v>#DIV/0!</v>
      </c>
      <c r="AD68" s="607" t="e">
        <f t="shared" si="23"/>
        <v>#DIV/0!</v>
      </c>
      <c r="AE68" s="607" t="e">
        <f t="shared" si="23"/>
        <v>#DIV/0!</v>
      </c>
      <c r="AF68" s="607" t="e">
        <f t="shared" si="23"/>
        <v>#DIV/0!</v>
      </c>
      <c r="AG68" s="607" t="e">
        <f t="shared" si="23"/>
        <v>#DIV/0!</v>
      </c>
      <c r="AH68" s="607" t="e">
        <f t="shared" si="23"/>
        <v>#DIV/0!</v>
      </c>
      <c r="AI68" s="607" t="e">
        <f t="shared" si="23"/>
        <v>#DIV/0!</v>
      </c>
      <c r="AJ68" s="607" t="e">
        <f t="shared" si="23"/>
        <v>#DIV/0!</v>
      </c>
      <c r="AK68" s="607">
        <f t="shared" si="23"/>
        <v>0.1111111111111111</v>
      </c>
      <c r="AL68" s="607">
        <f t="shared" si="23"/>
        <v>6.4705882352941183E-2</v>
      </c>
      <c r="AM68" s="607" t="e">
        <f t="shared" si="23"/>
        <v>#DIV/0!</v>
      </c>
      <c r="AN68" s="607" t="e">
        <f t="shared" si="23"/>
        <v>#DIV/0!</v>
      </c>
      <c r="AO68" s="607">
        <f t="shared" si="23"/>
        <v>0.11392405063291139</v>
      </c>
      <c r="AP68" s="607">
        <f t="shared" si="23"/>
        <v>0</v>
      </c>
      <c r="AQ68" s="607">
        <f t="shared" si="23"/>
        <v>0.1484593837535014</v>
      </c>
      <c r="AR68" s="607">
        <f t="shared" si="23"/>
        <v>2.8985507246376812E-2</v>
      </c>
      <c r="AS68" s="607" t="e">
        <f t="shared" si="23"/>
        <v>#DIV/0!</v>
      </c>
      <c r="AT68" s="607" t="e">
        <f t="shared" si="23"/>
        <v>#DIV/0!</v>
      </c>
      <c r="AU68" s="607">
        <f t="shared" si="23"/>
        <v>0.1</v>
      </c>
      <c r="AV68" s="607" t="e">
        <f t="shared" si="23"/>
        <v>#DIV/0!</v>
      </c>
      <c r="AW68" s="607">
        <f t="shared" si="23"/>
        <v>5.1546391752577317E-2</v>
      </c>
      <c r="AX68" s="607" t="e">
        <f t="shared" si="23"/>
        <v>#DIV/0!</v>
      </c>
      <c r="AY68" s="607">
        <f t="shared" si="23"/>
        <v>0</v>
      </c>
      <c r="AZ68" s="607" t="e">
        <f t="shared" si="23"/>
        <v>#DIV/0!</v>
      </c>
      <c r="BA68" s="607" t="e">
        <f t="shared" si="23"/>
        <v>#DIV/0!</v>
      </c>
      <c r="BB68" s="607">
        <f t="shared" si="23"/>
        <v>2.3809523809523808E-2</v>
      </c>
      <c r="BC68" s="607" t="e">
        <f t="shared" si="23"/>
        <v>#DIV/0!</v>
      </c>
      <c r="BD68" s="607" t="e">
        <f t="shared" si="23"/>
        <v>#DIV/0!</v>
      </c>
      <c r="BE68" s="607">
        <f t="shared" si="23"/>
        <v>0</v>
      </c>
      <c r="BF68" s="607">
        <f t="shared" si="23"/>
        <v>0</v>
      </c>
      <c r="BG68" s="607">
        <f t="shared" si="23"/>
        <v>0</v>
      </c>
      <c r="BH68" s="607">
        <f t="shared" si="23"/>
        <v>7.0826306913996634E-2</v>
      </c>
      <c r="BI68" s="607">
        <f t="shared" si="23"/>
        <v>0</v>
      </c>
      <c r="BJ68" s="607">
        <f t="shared" si="23"/>
        <v>3.9408866995073892E-2</v>
      </c>
      <c r="BK68" s="607" t="e">
        <f t="shared" si="23"/>
        <v>#DIV/0!</v>
      </c>
      <c r="BL68" s="607">
        <f t="shared" si="23"/>
        <v>0.10204081632653061</v>
      </c>
      <c r="BM68" s="607">
        <f t="shared" si="23"/>
        <v>0</v>
      </c>
      <c r="BN68" s="607" t="e">
        <f t="shared" si="23"/>
        <v>#DIV/0!</v>
      </c>
      <c r="BO68" s="607">
        <f t="shared" si="23"/>
        <v>0.16153846153846155</v>
      </c>
      <c r="BP68" s="607" t="e">
        <f t="shared" si="23"/>
        <v>#DIV/0!</v>
      </c>
      <c r="BQ68" s="607" t="e">
        <f t="shared" si="23"/>
        <v>#DIV/0!</v>
      </c>
      <c r="BR68" s="607">
        <f t="shared" si="23"/>
        <v>8.7378640776699032E-2</v>
      </c>
      <c r="BS68" s="607">
        <f t="shared" si="23"/>
        <v>2.1739130434782608E-2</v>
      </c>
      <c r="BT68" s="607">
        <f t="shared" si="23"/>
        <v>1.9748653500897665E-2</v>
      </c>
      <c r="BU68" s="607">
        <f t="shared" si="23"/>
        <v>0</v>
      </c>
      <c r="BV68" s="607">
        <f t="shared" si="23"/>
        <v>0.46363636363636362</v>
      </c>
      <c r="BW68" s="607">
        <f t="shared" si="23"/>
        <v>0.2325056433408578</v>
      </c>
      <c r="BX68" s="607">
        <f t="shared" si="23"/>
        <v>5.681818181818182E-3</v>
      </c>
      <c r="BY68" s="607">
        <f t="shared" si="23"/>
        <v>0</v>
      </c>
      <c r="BZ68" s="607" t="e">
        <f t="shared" si="23"/>
        <v>#DIV/0!</v>
      </c>
      <c r="CA68" s="607" t="e">
        <f t="shared" ref="CA68:CU68" si="24">CA67/CA107</f>
        <v>#DIV/0!</v>
      </c>
      <c r="CB68" s="607" t="e">
        <f t="shared" si="24"/>
        <v>#DIV/0!</v>
      </c>
      <c r="CC68" s="607">
        <f t="shared" si="24"/>
        <v>8.1632653061224497E-3</v>
      </c>
      <c r="CD68" s="607">
        <f t="shared" si="24"/>
        <v>0.16666666666666666</v>
      </c>
      <c r="CE68" s="607" t="e">
        <f t="shared" si="24"/>
        <v>#DIV/0!</v>
      </c>
      <c r="CF68" s="607">
        <f t="shared" si="24"/>
        <v>0.19557195571955718</v>
      </c>
      <c r="CG68" s="607">
        <f t="shared" si="24"/>
        <v>8.3333333333333329E-2</v>
      </c>
      <c r="CH68" s="607">
        <f t="shared" si="24"/>
        <v>0</v>
      </c>
      <c r="CI68" s="607" t="e">
        <f t="shared" si="24"/>
        <v>#DIV/0!</v>
      </c>
      <c r="CJ68" s="607" t="e">
        <f t="shared" si="24"/>
        <v>#DIV/0!</v>
      </c>
      <c r="CK68" s="607">
        <f t="shared" si="24"/>
        <v>1.834862385321101E-2</v>
      </c>
      <c r="CL68" s="607">
        <f t="shared" si="24"/>
        <v>0.12925170068027211</v>
      </c>
      <c r="CM68" s="607">
        <f t="shared" si="24"/>
        <v>2.4390243902439025E-2</v>
      </c>
      <c r="CN68" s="607" t="e">
        <f t="shared" si="24"/>
        <v>#DIV/0!</v>
      </c>
      <c r="CO68" s="607">
        <f t="shared" si="24"/>
        <v>0</v>
      </c>
      <c r="CP68" s="607">
        <f t="shared" si="24"/>
        <v>0</v>
      </c>
      <c r="CQ68" s="607" t="e">
        <f t="shared" si="24"/>
        <v>#DIV/0!</v>
      </c>
      <c r="CR68" s="607">
        <f t="shared" si="24"/>
        <v>6.2208398133748059E-2</v>
      </c>
      <c r="CS68" s="607">
        <f t="shared" si="24"/>
        <v>0</v>
      </c>
      <c r="CT68" s="607">
        <f t="shared" si="24"/>
        <v>0</v>
      </c>
      <c r="CU68" s="607">
        <f t="shared" si="24"/>
        <v>4.0241448692152921E-3</v>
      </c>
    </row>
    <row r="69" spans="1:99" ht="14" customHeight="1">
      <c r="A69" s="815"/>
      <c r="B69" s="817"/>
      <c r="C69" s="805"/>
      <c r="D69" s="439" t="s">
        <v>4949</v>
      </c>
      <c r="E69" s="439">
        <v>54</v>
      </c>
      <c r="F69" s="440" t="s">
        <v>5142</v>
      </c>
      <c r="G69" s="808" t="s">
        <v>5759</v>
      </c>
      <c r="H69" s="442" t="s">
        <v>5140</v>
      </c>
      <c r="I69" s="443"/>
      <c r="J69" s="444"/>
      <c r="K69" s="2" t="s">
        <v>278</v>
      </c>
      <c r="L69" s="385"/>
      <c r="M69" s="351">
        <v>1120</v>
      </c>
      <c r="N69" s="580">
        <f t="shared" ref="N69:N105" si="25">SUM(O69:CU69)</f>
        <v>1518</v>
      </c>
      <c r="O69" s="413">
        <f>SUMIFS('свод практик'!$BZ$6:$BZ$277,'свод практик'!$J$6:$J$277,'строго ИБ'!O$1,'свод практик'!$B$6:$B$277,"ИБ")</f>
        <v>0</v>
      </c>
      <c r="P69" s="413">
        <f>SUMIFS('свод практик'!$BZ$6:$BZ$277,'свод практик'!$J$6:$J$277,'строго ИБ'!P$1,'свод практик'!$B$6:$B$277,"ИБ")</f>
        <v>1</v>
      </c>
      <c r="Q69" s="413">
        <f>SUMIFS('свод практик'!$BZ$6:$BZ$277,'свод практик'!$J$6:$J$277,'строго ИБ'!Q$1,'свод практик'!$B$6:$B$277,"ИБ")</f>
        <v>12</v>
      </c>
      <c r="R69" s="413">
        <f>SUMIFS('свод практик'!$BZ$6:$BZ$277,'свод практик'!$J$6:$J$277,'строго ИБ'!R$1,'свод практик'!$B$6:$B$277,"ИБ")</f>
        <v>0</v>
      </c>
      <c r="S69" s="413">
        <f>SUMIFS('свод практик'!$BZ$6:$BZ$277,'свод практик'!$J$6:$J$277,'строго ИБ'!S$1,'свод практик'!$B$6:$B$277,"ИБ")</f>
        <v>1</v>
      </c>
      <c r="T69" s="413">
        <f>SUMIFS('свод практик'!$BZ$6:$BZ$277,'свод практик'!$J$6:$J$277,'строго ИБ'!T$1,'свод практик'!$B$6:$B$277,"ИБ")</f>
        <v>0</v>
      </c>
      <c r="U69" s="413">
        <f>SUMIFS('свод практик'!$BZ$6:$BZ$277,'свод практик'!$J$6:$J$277,'строго ИБ'!U$1,'свод практик'!$B$6:$B$277,"ИБ")</f>
        <v>149</v>
      </c>
      <c r="V69" s="413">
        <f>SUMIFS('свод практик'!$BZ$6:$BZ$277,'свод практик'!$J$6:$J$277,'строго ИБ'!V$1,'свод практик'!$B$6:$B$277,"ИБ")</f>
        <v>39</v>
      </c>
      <c r="W69" s="413">
        <f>SUMIFS('свод практик'!$BZ$6:$BZ$277,'свод практик'!$J$6:$J$277,'строго ИБ'!W$1,'свод практик'!$B$6:$B$277,"ИБ")</f>
        <v>1</v>
      </c>
      <c r="X69" s="413">
        <f>SUMIFS('свод практик'!$BZ$6:$BZ$277,'свод практик'!$J$6:$J$277,'строго ИБ'!X$1,'свод практик'!$B$6:$B$277,"ИБ")</f>
        <v>0</v>
      </c>
      <c r="Y69" s="413">
        <f>SUMIFS('свод практик'!$BZ$6:$BZ$277,'свод практик'!$J$6:$J$277,'строго ИБ'!Y$1,'свод практик'!$B$6:$B$277,"ИБ")</f>
        <v>0</v>
      </c>
      <c r="Z69" s="413">
        <f>SUMIFS('свод практик'!$BZ$6:$BZ$277,'свод практик'!$J$6:$J$277,'строго ИБ'!Z$1,'свод практик'!$B$6:$B$277,"ИБ")</f>
        <v>13</v>
      </c>
      <c r="AA69" s="413">
        <f>SUMIFS('свод практик'!$BZ$6:$BZ$277,'свод практик'!$J$6:$J$277,'строго ИБ'!AA$1,'свод практик'!$B$6:$B$277,"ИБ")</f>
        <v>11</v>
      </c>
      <c r="AB69" s="413">
        <f>SUMIFS('свод практик'!$BZ$6:$BZ$277,'свод практик'!$J$6:$J$277,'строго ИБ'!AB$1,'свод практик'!$B$6:$B$277,"ИБ")</f>
        <v>7</v>
      </c>
      <c r="AC69" s="413">
        <f>SUMIFS('свод практик'!$BZ$6:$BZ$277,'свод практик'!$J$6:$J$277,'строго ИБ'!AC$1,'свод практик'!$B$6:$B$277,"ИБ")</f>
        <v>0</v>
      </c>
      <c r="AD69" s="413">
        <f>SUMIFS('свод практик'!$BZ$6:$BZ$277,'свод практик'!$J$6:$J$277,'строго ИБ'!AD$1,'свод практик'!$B$6:$B$277,"ИБ")</f>
        <v>0</v>
      </c>
      <c r="AE69" s="413">
        <f>SUMIFS('свод практик'!$BZ$6:$BZ$277,'свод практик'!$J$6:$J$277,'строго ИБ'!AE$1,'свод практик'!$B$6:$B$277,"ИБ")</f>
        <v>0</v>
      </c>
      <c r="AF69" s="413">
        <f>SUMIFS('свод практик'!$BZ$6:$BZ$277,'свод практик'!$J$6:$J$277,'строго ИБ'!AF$1,'свод практик'!$B$6:$B$277,"ИБ")</f>
        <v>0</v>
      </c>
      <c r="AG69" s="413">
        <f>SUMIFS('свод практик'!$BZ$6:$BZ$277,'свод практик'!$J$6:$J$277,'строго ИБ'!AG$1,'свод практик'!$B$6:$B$277,"ИБ")</f>
        <v>0</v>
      </c>
      <c r="AH69" s="413">
        <f>SUMIFS('свод практик'!$BZ$6:$BZ$277,'свод практик'!$J$6:$J$277,'строго ИБ'!AH$1,'свод практик'!$B$6:$B$277,"ИБ")</f>
        <v>0</v>
      </c>
      <c r="AI69" s="413">
        <f>SUMIFS('свод практик'!$BZ$6:$BZ$277,'свод практик'!$J$6:$J$277,'строго ИБ'!AI$1,'свод практик'!$B$6:$B$277,"ИБ")</f>
        <v>0</v>
      </c>
      <c r="AJ69" s="413">
        <f>SUMIFS('свод практик'!$BZ$6:$BZ$277,'свод практик'!$J$6:$J$277,'строго ИБ'!AJ$1,'свод практик'!$B$6:$B$277,"ИБ")</f>
        <v>0</v>
      </c>
      <c r="AK69" s="413">
        <f>SUMIFS('свод практик'!$BZ$6:$BZ$277,'свод практик'!$J$6:$J$277,'строго ИБ'!AK$1,'свод практик'!$B$6:$B$277,"ИБ")</f>
        <v>0</v>
      </c>
      <c r="AL69" s="413">
        <f>SUMIFS('свод практик'!$BZ$6:$BZ$277,'свод практик'!$J$6:$J$277,'строго ИБ'!AL$1,'свод практик'!$B$6:$B$277,"ИБ")</f>
        <v>3</v>
      </c>
      <c r="AM69" s="413">
        <f>SUMIFS('свод практик'!$BZ$6:$BZ$277,'свод практик'!$J$6:$J$277,'строго ИБ'!AM$1,'свод практик'!$B$6:$B$277,"ИБ")</f>
        <v>0</v>
      </c>
      <c r="AN69" s="413">
        <f>SUMIFS('свод практик'!$BZ$6:$BZ$277,'свод практик'!$J$6:$J$277,'строго ИБ'!AN$1,'свод практик'!$B$6:$B$277,"ИБ")</f>
        <v>0</v>
      </c>
      <c r="AO69" s="413">
        <f>SUMIFS('свод практик'!$BZ$6:$BZ$277,'свод практик'!$J$6:$J$277,'строго ИБ'!AO$1,'свод практик'!$B$6:$B$277,"ИБ")</f>
        <v>5</v>
      </c>
      <c r="AP69" s="413">
        <f>SUMIFS('свод практик'!$BZ$6:$BZ$277,'свод практик'!$J$6:$J$277,'строго ИБ'!AP$1,'свод практик'!$B$6:$B$277,"ИБ")</f>
        <v>1</v>
      </c>
      <c r="AQ69" s="413">
        <f>SUMIFS('свод практик'!$BZ$6:$BZ$277,'свод практик'!$J$6:$J$277,'строго ИБ'!AQ$1,'свод практик'!$B$6:$B$277,"ИБ")</f>
        <v>118</v>
      </c>
      <c r="AR69" s="413">
        <f>SUMIFS('свод практик'!$BZ$6:$BZ$277,'свод практик'!$J$6:$J$277,'строго ИБ'!AR$1,'свод практик'!$B$6:$B$277,"ИБ")</f>
        <v>46</v>
      </c>
      <c r="AS69" s="413">
        <f>SUMIFS('свод практик'!$BZ$6:$BZ$277,'свод практик'!$J$6:$J$277,'строго ИБ'!AS$1,'свод практик'!$B$6:$B$277,"ИБ")</f>
        <v>0</v>
      </c>
      <c r="AT69" s="413">
        <f>SUMIFS('свод практик'!$BZ$6:$BZ$277,'свод практик'!$J$6:$J$277,'строго ИБ'!AT$1,'свод практик'!$B$6:$B$277,"ИБ")</f>
        <v>0</v>
      </c>
      <c r="AU69" s="413">
        <f>SUMIFS('свод практик'!$BZ$6:$BZ$277,'свод практик'!$J$6:$J$277,'строго ИБ'!AU$1,'свод практик'!$B$6:$B$277,"ИБ")</f>
        <v>0</v>
      </c>
      <c r="AV69" s="413">
        <f>SUMIFS('свод практик'!$BZ$6:$BZ$277,'свод практик'!$J$6:$J$277,'строго ИБ'!AV$1,'свод практик'!$B$6:$B$277,"ИБ")</f>
        <v>0</v>
      </c>
      <c r="AW69" s="413">
        <f>SUMIFS('свод практик'!$BZ$6:$BZ$277,'свод практик'!$J$6:$J$277,'строго ИБ'!AW$1,'свод практик'!$B$6:$B$277,"ИБ")</f>
        <v>38</v>
      </c>
      <c r="AX69" s="413">
        <f>SUMIFS('свод практик'!$BZ$6:$BZ$277,'свод практик'!$J$6:$J$277,'строго ИБ'!AX$1,'свод практик'!$B$6:$B$277,"ИБ")</f>
        <v>0</v>
      </c>
      <c r="AY69" s="413">
        <f>SUMIFS('свод практик'!$BZ$6:$BZ$277,'свод практик'!$J$6:$J$277,'строго ИБ'!AY$1,'свод практик'!$B$6:$B$277,"ИБ")</f>
        <v>0</v>
      </c>
      <c r="AZ69" s="413">
        <f>SUMIFS('свод практик'!$BZ$6:$BZ$277,'свод практик'!$J$6:$J$277,'строго ИБ'!AZ$1,'свод практик'!$B$6:$B$277,"ИБ")</f>
        <v>0</v>
      </c>
      <c r="BA69" s="413">
        <f>SUMIFS('свод практик'!$BZ$6:$BZ$277,'свод практик'!$J$6:$J$277,'строго ИБ'!BA$1,'свод практик'!$B$6:$B$277,"ИБ")</f>
        <v>0</v>
      </c>
      <c r="BB69" s="413">
        <f>SUMIFS('свод практик'!$BZ$6:$BZ$277,'свод практик'!$J$6:$J$277,'строго ИБ'!BB$1,'свод практик'!$B$6:$B$277,"ИБ")</f>
        <v>6</v>
      </c>
      <c r="BC69" s="413">
        <f>SUMIFS('свод практик'!$BZ$6:$BZ$277,'свод практик'!$J$6:$J$277,'строго ИБ'!BC$1,'свод практик'!$B$6:$B$277,"ИБ")</f>
        <v>0</v>
      </c>
      <c r="BD69" s="413">
        <f>SUMIFS('свод практик'!$BZ$6:$BZ$277,'свод практик'!$J$6:$J$277,'строго ИБ'!BD$1,'свод практик'!$B$6:$B$277,"ИБ")</f>
        <v>0</v>
      </c>
      <c r="BE69" s="413">
        <f>SUMIFS('свод практик'!$BZ$6:$BZ$277,'свод практик'!$J$6:$J$277,'строго ИБ'!BE$1,'свод практик'!$B$6:$B$277,"ИБ")</f>
        <v>0</v>
      </c>
      <c r="BF69" s="413">
        <f>SUMIFS('свод практик'!$BZ$6:$BZ$277,'свод практик'!$J$6:$J$277,'строго ИБ'!BF$1,'свод практик'!$B$6:$B$277,"ИБ")</f>
        <v>1</v>
      </c>
      <c r="BG69" s="413">
        <f>SUMIFS('свод практик'!$BZ$6:$BZ$277,'свод практик'!$J$6:$J$277,'строго ИБ'!BG$1,'свод практик'!$B$6:$B$277,"ИБ")</f>
        <v>4</v>
      </c>
      <c r="BH69" s="413">
        <f>SUMIFS('свод практик'!$BZ$6:$BZ$277,'свод практик'!$J$6:$J$277,'строго ИБ'!BH$1,'свод практик'!$B$6:$B$277,"ИБ")</f>
        <v>261</v>
      </c>
      <c r="BI69" s="413">
        <f>SUMIFS('свод практик'!$BZ$6:$BZ$277,'свод практик'!$J$6:$J$277,'строго ИБ'!BI$1,'свод практик'!$B$6:$B$277,"ИБ")</f>
        <v>9</v>
      </c>
      <c r="BJ69" s="413">
        <f>SUMIFS('свод практик'!$BZ$6:$BZ$277,'свод практик'!$J$6:$J$277,'строго ИБ'!BJ$1,'свод практик'!$B$6:$B$277,"ИБ")</f>
        <v>10</v>
      </c>
      <c r="BK69" s="413">
        <f>SUMIFS('свод практик'!$BZ$6:$BZ$277,'свод практик'!$J$6:$J$277,'строго ИБ'!BK$1,'свод практик'!$B$6:$B$277,"ИБ")</f>
        <v>0</v>
      </c>
      <c r="BL69" s="413">
        <f>SUMIFS('свод практик'!$BZ$6:$BZ$277,'свод практик'!$J$6:$J$277,'строго ИБ'!BL$1,'свод практик'!$B$6:$B$277,"ИБ")</f>
        <v>33</v>
      </c>
      <c r="BM69" s="413">
        <f>SUMIFS('свод практик'!$BZ$6:$BZ$277,'свод практик'!$J$6:$J$277,'строго ИБ'!BM$1,'свод практик'!$B$6:$B$277,"ИБ")</f>
        <v>0</v>
      </c>
      <c r="BN69" s="413">
        <f>SUMIFS('свод практик'!$BZ$6:$BZ$277,'свод практик'!$J$6:$J$277,'строго ИБ'!BN$1,'свод практик'!$B$6:$B$277,"ИБ")</f>
        <v>0</v>
      </c>
      <c r="BO69" s="413">
        <f>SUMIFS('свод практик'!$BZ$6:$BZ$277,'свод практик'!$J$6:$J$277,'строго ИБ'!BO$1,'свод практик'!$B$6:$B$277,"ИБ")</f>
        <v>9</v>
      </c>
      <c r="BP69" s="413">
        <f>SUMIFS('свод практик'!$BZ$6:$BZ$277,'свод практик'!$J$6:$J$277,'строго ИБ'!BP$1,'свод практик'!$B$6:$B$277,"ИБ")</f>
        <v>0</v>
      </c>
      <c r="BQ69" s="413">
        <f>SUMIFS('свод практик'!$BZ$6:$BZ$277,'свод практик'!$J$6:$J$277,'строго ИБ'!BQ$1,'свод практик'!$B$6:$B$277,"ИБ")</f>
        <v>0</v>
      </c>
      <c r="BR69" s="413">
        <f>SUMIFS('свод практик'!$BZ$6:$BZ$277,'свод практик'!$J$6:$J$277,'строго ИБ'!BR$1,'свод практик'!$B$6:$B$277,"ИБ")</f>
        <v>30</v>
      </c>
      <c r="BS69" s="413">
        <f>SUMIFS('свод практик'!$BZ$6:$BZ$277,'свод практик'!$J$6:$J$277,'строго ИБ'!BS$1,'свод практик'!$B$6:$B$277,"ИБ")</f>
        <v>18</v>
      </c>
      <c r="BT69" s="413">
        <f>SUMIFS('свод практик'!$BZ$6:$BZ$277,'свод практик'!$J$6:$J$277,'строго ИБ'!BT$1,'свод практик'!$B$6:$B$277,"ИБ")</f>
        <v>12</v>
      </c>
      <c r="BU69" s="413">
        <f>SUMIFS('свод практик'!$BZ$6:$BZ$277,'свод практик'!$J$6:$J$277,'строго ИБ'!BU$1,'свод практик'!$B$6:$B$277,"ИБ")</f>
        <v>4</v>
      </c>
      <c r="BV69" s="413">
        <f>SUMIFS('свод практик'!$BZ$6:$BZ$277,'свод практик'!$J$6:$J$277,'строго ИБ'!BV$1,'свод практик'!$B$6:$B$277,"ИБ")</f>
        <v>0</v>
      </c>
      <c r="BW69" s="413">
        <f>SUMIFS('свод практик'!$BZ$6:$BZ$277,'свод практик'!$J$6:$J$277,'строго ИБ'!BW$1,'свод практик'!$B$6:$B$277,"ИБ")</f>
        <v>39</v>
      </c>
      <c r="BX69" s="413">
        <f>SUMIFS('свод практик'!$BZ$6:$BZ$277,'свод практик'!$J$6:$J$277,'строго ИБ'!BX$1,'свод практик'!$B$6:$B$277,"ИБ")</f>
        <v>11</v>
      </c>
      <c r="BY69" s="413">
        <f>SUMIFS('свод практик'!$BZ$6:$BZ$277,'свод практик'!$J$6:$J$277,'строго ИБ'!BY$1,'свод практик'!$B$6:$B$277,"ИБ")</f>
        <v>1</v>
      </c>
      <c r="BZ69" s="413">
        <f>SUMIFS('свод практик'!$BZ$6:$BZ$277,'свод практик'!$J$6:$J$277,'строго ИБ'!BZ$1,'свод практик'!$B$6:$B$277,"ИБ")</f>
        <v>0</v>
      </c>
      <c r="CA69" s="413">
        <f>SUMIFS('свод практик'!$BZ$6:$BZ$277,'свод практик'!$J$6:$J$277,'строго ИБ'!CA$1,'свод практик'!$B$6:$B$277,"ИБ")</f>
        <v>0</v>
      </c>
      <c r="CB69" s="413">
        <f>SUMIFS('свод практик'!$BZ$6:$BZ$277,'свод практик'!$J$6:$J$277,'строго ИБ'!CB$1,'свод практик'!$B$6:$B$277,"ИБ")</f>
        <v>0</v>
      </c>
      <c r="CC69" s="413">
        <f>SUMIFS('свод практик'!$BZ$6:$BZ$277,'свод практик'!$J$6:$J$277,'строго ИБ'!CC$1,'свод практик'!$B$6:$B$277,"ИБ")</f>
        <v>33</v>
      </c>
      <c r="CD69" s="413">
        <f>SUMIFS('свод практик'!$BZ$6:$BZ$277,'свод практик'!$J$6:$J$277,'строго ИБ'!CD$1,'свод практик'!$B$6:$B$277,"ИБ")</f>
        <v>152</v>
      </c>
      <c r="CE69" s="413">
        <f>SUMIFS('свод практик'!$BZ$6:$BZ$277,'свод практик'!$J$6:$J$277,'строго ИБ'!CE$1,'свод практик'!$B$6:$B$277,"ИБ")</f>
        <v>0</v>
      </c>
      <c r="CF69" s="413">
        <f>SUMIFS('свод практик'!$BZ$6:$BZ$277,'свод практик'!$J$6:$J$277,'строго ИБ'!CF$1,'свод практик'!$B$6:$B$277,"ИБ")</f>
        <v>41</v>
      </c>
      <c r="CG69" s="413">
        <f>SUMIFS('свод практик'!$BZ$6:$BZ$277,'свод практик'!$J$6:$J$277,'строго ИБ'!CG$1,'свод практик'!$B$6:$B$277,"ИБ")</f>
        <v>4</v>
      </c>
      <c r="CH69" s="413">
        <f>SUMIFS('свод практик'!$BZ$6:$BZ$277,'свод практик'!$J$6:$J$277,'строго ИБ'!CH$1,'свод практик'!$B$6:$B$277,"ИБ")</f>
        <v>136</v>
      </c>
      <c r="CI69" s="413">
        <f>SUMIFS('свод практик'!$BZ$6:$BZ$277,'свод практик'!$J$6:$J$277,'строго ИБ'!CI$1,'свод практик'!$B$6:$B$277,"ИБ")</f>
        <v>0</v>
      </c>
      <c r="CJ69" s="413">
        <f>SUMIFS('свод практик'!$BZ$6:$BZ$277,'свод практик'!$J$6:$J$277,'строго ИБ'!CJ$1,'свод практик'!$B$6:$B$277,"ИБ")</f>
        <v>0</v>
      </c>
      <c r="CK69" s="413">
        <f>SUMIFS('свод практик'!$BZ$6:$BZ$277,'свод практик'!$J$6:$J$277,'строго ИБ'!CK$1,'свод практик'!$B$6:$B$277,"ИБ")</f>
        <v>41</v>
      </c>
      <c r="CL69" s="413">
        <f>SUMIFS('свод практик'!$BZ$6:$BZ$277,'свод практик'!$J$6:$J$277,'строго ИБ'!CL$1,'свод практик'!$B$6:$B$277,"ИБ")</f>
        <v>7</v>
      </c>
      <c r="CM69" s="413">
        <f>SUMIFS('свод практик'!$BZ$6:$BZ$277,'свод практик'!$J$6:$J$277,'строго ИБ'!CM$1,'свод практик'!$B$6:$B$277,"ИБ")</f>
        <v>7</v>
      </c>
      <c r="CN69" s="413">
        <f>SUMIFS('свод практик'!$BZ$6:$BZ$277,'свод практик'!$J$6:$J$277,'строго ИБ'!CN$1,'свод практик'!$B$6:$B$277,"ИБ")</f>
        <v>0</v>
      </c>
      <c r="CO69" s="413">
        <f>SUMIFS('свод практик'!$BZ$6:$BZ$277,'свод практик'!$J$6:$J$277,'строго ИБ'!CO$1,'свод практик'!$B$6:$B$277,"ИБ")</f>
        <v>22</v>
      </c>
      <c r="CP69" s="413">
        <f>SUMIFS('свод практик'!$BZ$6:$BZ$277,'свод практик'!$J$6:$J$277,'строго ИБ'!CP$1,'свод практик'!$B$6:$B$277,"ИБ")</f>
        <v>0</v>
      </c>
      <c r="CQ69" s="413">
        <f>SUMIFS('свод практик'!$BZ$6:$BZ$277,'свод практик'!$J$6:$J$277,'строго ИБ'!CQ$1,'свод практик'!$B$6:$B$277,"ИБ")</f>
        <v>0</v>
      </c>
      <c r="CR69" s="413">
        <f>SUMIFS('свод практик'!$BZ$6:$BZ$277,'свод практик'!$J$6:$J$277,'строго ИБ'!CR$1,'свод практик'!$B$6:$B$277,"ИБ")</f>
        <v>164</v>
      </c>
      <c r="CS69" s="413">
        <f>SUMIFS('свод практик'!$BZ$6:$BZ$277,'свод практик'!$J$6:$J$277,'строго ИБ'!CS$1,'свод практик'!$B$6:$B$277,"ИБ")</f>
        <v>3</v>
      </c>
      <c r="CT69" s="413">
        <f>SUMIFS('свод практик'!$BZ$6:$BZ$277,'свод практик'!$J$6:$J$277,'строго ИБ'!CT$1,'свод практик'!$B$6:$B$277,"ИБ")</f>
        <v>9</v>
      </c>
      <c r="CU69" s="413">
        <f>SUMIFS('свод практик'!$BZ$6:$BZ$277,'свод практик'!$J$6:$J$277,'строго ИБ'!CU$1,'свод практик'!$B$6:$B$277,"ИБ")</f>
        <v>6</v>
      </c>
    </row>
    <row r="70" spans="1:99" ht="22" customHeight="1">
      <c r="A70" s="815"/>
      <c r="B70" s="817"/>
      <c r="C70" s="805"/>
      <c r="D70" s="439" t="s">
        <v>4949</v>
      </c>
      <c r="E70" s="439">
        <v>55</v>
      </c>
      <c r="F70" s="440" t="s">
        <v>5144</v>
      </c>
      <c r="G70" s="808"/>
      <c r="H70" s="442" t="s">
        <v>60</v>
      </c>
      <c r="I70" s="443"/>
      <c r="J70" s="444"/>
      <c r="K70" s="2"/>
      <c r="L70" s="383"/>
      <c r="M70" s="384">
        <v>0.1644881774122485</v>
      </c>
      <c r="N70" s="607">
        <f>N69/N107</f>
        <v>0.14773722627737226</v>
      </c>
      <c r="O70" s="607">
        <f t="shared" ref="O70:BZ70" si="26">O69/O107</f>
        <v>0</v>
      </c>
      <c r="P70" s="607">
        <f t="shared" si="26"/>
        <v>0.16666666666666666</v>
      </c>
      <c r="Q70" s="607">
        <f t="shared" si="26"/>
        <v>5.8823529411764705E-2</v>
      </c>
      <c r="R70" s="607">
        <f t="shared" si="26"/>
        <v>0</v>
      </c>
      <c r="S70" s="607">
        <f t="shared" si="26"/>
        <v>0.2</v>
      </c>
      <c r="T70" s="607">
        <f t="shared" si="26"/>
        <v>0</v>
      </c>
      <c r="U70" s="607">
        <f t="shared" si="26"/>
        <v>0.11461538461538462</v>
      </c>
      <c r="V70" s="607">
        <f t="shared" si="26"/>
        <v>0.5</v>
      </c>
      <c r="W70" s="607">
        <f t="shared" si="26"/>
        <v>1.1235955056179775E-2</v>
      </c>
      <c r="X70" s="607" t="e">
        <f t="shared" si="26"/>
        <v>#DIV/0!</v>
      </c>
      <c r="Y70" s="607" t="e">
        <f t="shared" si="26"/>
        <v>#DIV/0!</v>
      </c>
      <c r="Z70" s="607">
        <f t="shared" si="26"/>
        <v>0.13978494623655913</v>
      </c>
      <c r="AA70" s="607">
        <f t="shared" si="26"/>
        <v>1.2318029115341545E-2</v>
      </c>
      <c r="AB70" s="607">
        <f t="shared" si="26"/>
        <v>0.1076923076923077</v>
      </c>
      <c r="AC70" s="607" t="e">
        <f t="shared" si="26"/>
        <v>#DIV/0!</v>
      </c>
      <c r="AD70" s="607" t="e">
        <f t="shared" si="26"/>
        <v>#DIV/0!</v>
      </c>
      <c r="AE70" s="607" t="e">
        <f t="shared" si="26"/>
        <v>#DIV/0!</v>
      </c>
      <c r="AF70" s="607" t="e">
        <f t="shared" si="26"/>
        <v>#DIV/0!</v>
      </c>
      <c r="AG70" s="607" t="e">
        <f t="shared" si="26"/>
        <v>#DIV/0!</v>
      </c>
      <c r="AH70" s="607" t="e">
        <f t="shared" si="26"/>
        <v>#DIV/0!</v>
      </c>
      <c r="AI70" s="607" t="e">
        <f t="shared" si="26"/>
        <v>#DIV/0!</v>
      </c>
      <c r="AJ70" s="607" t="e">
        <f t="shared" si="26"/>
        <v>#DIV/0!</v>
      </c>
      <c r="AK70" s="607">
        <f t="shared" si="26"/>
        <v>0</v>
      </c>
      <c r="AL70" s="607">
        <f t="shared" si="26"/>
        <v>1.7647058823529412E-2</v>
      </c>
      <c r="AM70" s="607" t="e">
        <f t="shared" si="26"/>
        <v>#DIV/0!</v>
      </c>
      <c r="AN70" s="607" t="e">
        <f t="shared" si="26"/>
        <v>#DIV/0!</v>
      </c>
      <c r="AO70" s="607">
        <f t="shared" si="26"/>
        <v>6.3291139240506333E-2</v>
      </c>
      <c r="AP70" s="607">
        <f t="shared" si="26"/>
        <v>9.3457943925233638E-3</v>
      </c>
      <c r="AQ70" s="607">
        <f t="shared" si="26"/>
        <v>0.33053221288515405</v>
      </c>
      <c r="AR70" s="607">
        <f t="shared" si="26"/>
        <v>0.16666666666666666</v>
      </c>
      <c r="AS70" s="607" t="e">
        <f t="shared" si="26"/>
        <v>#DIV/0!</v>
      </c>
      <c r="AT70" s="607" t="e">
        <f t="shared" si="26"/>
        <v>#DIV/0!</v>
      </c>
      <c r="AU70" s="607">
        <f t="shared" si="26"/>
        <v>0</v>
      </c>
      <c r="AV70" s="607" t="e">
        <f t="shared" si="26"/>
        <v>#DIV/0!</v>
      </c>
      <c r="AW70" s="607">
        <f t="shared" si="26"/>
        <v>0.39175257731958762</v>
      </c>
      <c r="AX70" s="607" t="e">
        <f t="shared" si="26"/>
        <v>#DIV/0!</v>
      </c>
      <c r="AY70" s="607">
        <f t="shared" si="26"/>
        <v>0</v>
      </c>
      <c r="AZ70" s="607" t="e">
        <f t="shared" si="26"/>
        <v>#DIV/0!</v>
      </c>
      <c r="BA70" s="607" t="e">
        <f t="shared" si="26"/>
        <v>#DIV/0!</v>
      </c>
      <c r="BB70" s="607">
        <f t="shared" si="26"/>
        <v>0.14285714285714285</v>
      </c>
      <c r="BC70" s="607" t="e">
        <f t="shared" si="26"/>
        <v>#DIV/0!</v>
      </c>
      <c r="BD70" s="607" t="e">
        <f t="shared" si="26"/>
        <v>#DIV/0!</v>
      </c>
      <c r="BE70" s="607">
        <f t="shared" si="26"/>
        <v>0</v>
      </c>
      <c r="BF70" s="607">
        <f t="shared" si="26"/>
        <v>2.7777777777777776E-2</v>
      </c>
      <c r="BG70" s="607">
        <f t="shared" si="26"/>
        <v>0.17391304347826086</v>
      </c>
      <c r="BH70" s="607">
        <f t="shared" si="26"/>
        <v>0.44013490725126475</v>
      </c>
      <c r="BI70" s="607">
        <f t="shared" si="26"/>
        <v>0.20454545454545456</v>
      </c>
      <c r="BJ70" s="607">
        <f t="shared" si="26"/>
        <v>4.9261083743842367E-2</v>
      </c>
      <c r="BK70" s="607" t="e">
        <f t="shared" si="26"/>
        <v>#DIV/0!</v>
      </c>
      <c r="BL70" s="607">
        <f t="shared" si="26"/>
        <v>0.22448979591836735</v>
      </c>
      <c r="BM70" s="607">
        <f t="shared" si="26"/>
        <v>0</v>
      </c>
      <c r="BN70" s="607" t="e">
        <f t="shared" si="26"/>
        <v>#DIV/0!</v>
      </c>
      <c r="BO70" s="607">
        <f t="shared" si="26"/>
        <v>6.9230769230769235E-2</v>
      </c>
      <c r="BP70" s="607" t="e">
        <f t="shared" si="26"/>
        <v>#DIV/0!</v>
      </c>
      <c r="BQ70" s="607" t="e">
        <f t="shared" si="26"/>
        <v>#DIV/0!</v>
      </c>
      <c r="BR70" s="607">
        <f t="shared" si="26"/>
        <v>0.29126213592233008</v>
      </c>
      <c r="BS70" s="607">
        <f t="shared" si="26"/>
        <v>9.7826086956521743E-2</v>
      </c>
      <c r="BT70" s="607">
        <f t="shared" si="26"/>
        <v>2.1543985637342909E-2</v>
      </c>
      <c r="BU70" s="607">
        <f t="shared" si="26"/>
        <v>0.23529411764705882</v>
      </c>
      <c r="BV70" s="607">
        <f t="shared" si="26"/>
        <v>0</v>
      </c>
      <c r="BW70" s="607">
        <f t="shared" si="26"/>
        <v>8.8036117381489837E-2</v>
      </c>
      <c r="BX70" s="607">
        <f t="shared" si="26"/>
        <v>6.25E-2</v>
      </c>
      <c r="BY70" s="607">
        <f t="shared" si="26"/>
        <v>0.02</v>
      </c>
      <c r="BZ70" s="607" t="e">
        <f t="shared" si="26"/>
        <v>#DIV/0!</v>
      </c>
      <c r="CA70" s="607" t="e">
        <f t="shared" ref="CA70:CU70" si="27">CA69/CA107</f>
        <v>#DIV/0!</v>
      </c>
      <c r="CB70" s="607" t="e">
        <f t="shared" si="27"/>
        <v>#DIV/0!</v>
      </c>
      <c r="CC70" s="607">
        <f t="shared" si="27"/>
        <v>0.13469387755102041</v>
      </c>
      <c r="CD70" s="607">
        <f t="shared" si="27"/>
        <v>0.2814814814814815</v>
      </c>
      <c r="CE70" s="607" t="e">
        <f t="shared" si="27"/>
        <v>#DIV/0!</v>
      </c>
      <c r="CF70" s="607">
        <f t="shared" si="27"/>
        <v>0.15129151291512916</v>
      </c>
      <c r="CG70" s="607">
        <f t="shared" si="27"/>
        <v>5.5555555555555552E-2</v>
      </c>
      <c r="CH70" s="607">
        <f t="shared" si="27"/>
        <v>0.26877470355731226</v>
      </c>
      <c r="CI70" s="607" t="e">
        <f t="shared" si="27"/>
        <v>#DIV/0!</v>
      </c>
      <c r="CJ70" s="607" t="e">
        <f t="shared" si="27"/>
        <v>#DIV/0!</v>
      </c>
      <c r="CK70" s="607">
        <f t="shared" si="27"/>
        <v>0.37614678899082571</v>
      </c>
      <c r="CL70" s="607">
        <f t="shared" si="27"/>
        <v>4.7619047619047616E-2</v>
      </c>
      <c r="CM70" s="607">
        <f t="shared" si="27"/>
        <v>0.17073170731707318</v>
      </c>
      <c r="CN70" s="607" t="e">
        <f t="shared" si="27"/>
        <v>#DIV/0!</v>
      </c>
      <c r="CO70" s="607">
        <f t="shared" si="27"/>
        <v>0.1164021164021164</v>
      </c>
      <c r="CP70" s="607">
        <f t="shared" si="27"/>
        <v>0</v>
      </c>
      <c r="CQ70" s="607" t="e">
        <f t="shared" si="27"/>
        <v>#DIV/0!</v>
      </c>
      <c r="CR70" s="607">
        <f t="shared" si="27"/>
        <v>0.25505443234836706</v>
      </c>
      <c r="CS70" s="607">
        <f t="shared" si="27"/>
        <v>0.3</v>
      </c>
      <c r="CT70" s="607">
        <f t="shared" si="27"/>
        <v>0.1111111111111111</v>
      </c>
      <c r="CU70" s="607">
        <f t="shared" si="27"/>
        <v>1.2072434607645875E-2</v>
      </c>
    </row>
    <row r="71" spans="1:99" ht="16" customHeight="1">
      <c r="A71" s="815"/>
      <c r="B71" s="817"/>
      <c r="C71" s="805"/>
      <c r="D71" s="439" t="s">
        <v>4949</v>
      </c>
      <c r="E71" s="439">
        <v>56</v>
      </c>
      <c r="F71" s="440" t="s">
        <v>5145</v>
      </c>
      <c r="G71" s="808" t="s">
        <v>5760</v>
      </c>
      <c r="H71" s="442" t="s">
        <v>5140</v>
      </c>
      <c r="I71" s="443"/>
      <c r="J71" s="444"/>
      <c r="K71" s="2" t="s">
        <v>278</v>
      </c>
      <c r="L71" s="385"/>
      <c r="M71" s="351">
        <v>348</v>
      </c>
      <c r="N71" s="580">
        <f t="shared" si="25"/>
        <v>561</v>
      </c>
      <c r="O71" s="413">
        <f>SUMIFS('свод практик'!$CA$6:$CA$277,'свод практик'!$J$6:$J$277,'строго ИБ'!O$1,'свод практик'!$B$6:$B$277,"ИБ")</f>
        <v>0</v>
      </c>
      <c r="P71" s="413">
        <f>SUMIFS('свод практик'!$CA$6:$CA$277,'свод практик'!$J$6:$J$277,'строго ИБ'!P$1,'свод практик'!$B$6:$B$277,"ИБ")</f>
        <v>0</v>
      </c>
      <c r="Q71" s="413">
        <f>SUMIFS('свод практик'!$CA$6:$CA$277,'свод практик'!$J$6:$J$277,'строго ИБ'!Q$1,'свод практик'!$B$6:$B$277,"ИБ")</f>
        <v>14</v>
      </c>
      <c r="R71" s="413">
        <f>SUMIFS('свод практик'!$CA$6:$CA$277,'свод практик'!$J$6:$J$277,'строго ИБ'!R$1,'свод практик'!$B$6:$B$277,"ИБ")</f>
        <v>7</v>
      </c>
      <c r="S71" s="413">
        <f>SUMIFS('свод практик'!$CA$6:$CA$277,'свод практик'!$J$6:$J$277,'строго ИБ'!S$1,'свод практик'!$B$6:$B$277,"ИБ")</f>
        <v>0</v>
      </c>
      <c r="T71" s="413">
        <f>SUMIFS('свод практик'!$CA$6:$CA$277,'свод практик'!$J$6:$J$277,'строго ИБ'!T$1,'свод практик'!$B$6:$B$277,"ИБ")</f>
        <v>0</v>
      </c>
      <c r="U71" s="413">
        <f>SUMIFS('свод практик'!$CA$6:$CA$277,'свод практик'!$J$6:$J$277,'строго ИБ'!U$1,'свод практик'!$B$6:$B$277,"ИБ")</f>
        <v>29</v>
      </c>
      <c r="V71" s="413">
        <f>SUMIFS('свод практик'!$CA$6:$CA$277,'свод практик'!$J$6:$J$277,'строго ИБ'!V$1,'свод практик'!$B$6:$B$277,"ИБ")</f>
        <v>1</v>
      </c>
      <c r="W71" s="413">
        <f>SUMIFS('свод практик'!$CA$6:$CA$277,'свод практик'!$J$6:$J$277,'строго ИБ'!W$1,'свод практик'!$B$6:$B$277,"ИБ")</f>
        <v>1</v>
      </c>
      <c r="X71" s="413">
        <f>SUMIFS('свод практик'!$CA$6:$CA$277,'свод практик'!$J$6:$J$277,'строго ИБ'!X$1,'свод практик'!$B$6:$B$277,"ИБ")</f>
        <v>0</v>
      </c>
      <c r="Y71" s="413">
        <f>SUMIFS('свод практик'!$CA$6:$CA$277,'свод практик'!$J$6:$J$277,'строго ИБ'!Y$1,'свод практик'!$B$6:$B$277,"ИБ")</f>
        <v>0</v>
      </c>
      <c r="Z71" s="413">
        <f>SUMIFS('свод практик'!$CA$6:$CA$277,'свод практик'!$J$6:$J$277,'строго ИБ'!Z$1,'свод практик'!$B$6:$B$277,"ИБ")</f>
        <v>2</v>
      </c>
      <c r="AA71" s="413">
        <f>SUMIFS('свод практик'!$CA$6:$CA$277,'свод практик'!$J$6:$J$277,'строго ИБ'!AA$1,'свод практик'!$B$6:$B$277,"ИБ")</f>
        <v>87</v>
      </c>
      <c r="AB71" s="413">
        <f>SUMIFS('свод практик'!$CA$6:$CA$277,'свод практик'!$J$6:$J$277,'строго ИБ'!AB$1,'свод практик'!$B$6:$B$277,"ИБ")</f>
        <v>3</v>
      </c>
      <c r="AC71" s="413">
        <f>SUMIFS('свод практик'!$CA$6:$CA$277,'свод практик'!$J$6:$J$277,'строго ИБ'!AC$1,'свод практик'!$B$6:$B$277,"ИБ")</f>
        <v>0</v>
      </c>
      <c r="AD71" s="413">
        <f>SUMIFS('свод практик'!$CA$6:$CA$277,'свод практик'!$J$6:$J$277,'строго ИБ'!AD$1,'свод практик'!$B$6:$B$277,"ИБ")</f>
        <v>0</v>
      </c>
      <c r="AE71" s="413">
        <f>SUMIFS('свод практик'!$CA$6:$CA$277,'свод практик'!$J$6:$J$277,'строго ИБ'!AE$1,'свод практик'!$B$6:$B$277,"ИБ")</f>
        <v>0</v>
      </c>
      <c r="AF71" s="413">
        <f>SUMIFS('свод практик'!$CA$6:$CA$277,'свод практик'!$J$6:$J$277,'строго ИБ'!AF$1,'свод практик'!$B$6:$B$277,"ИБ")</f>
        <v>0</v>
      </c>
      <c r="AG71" s="413">
        <f>SUMIFS('свод практик'!$CA$6:$CA$277,'свод практик'!$J$6:$J$277,'строго ИБ'!AG$1,'свод практик'!$B$6:$B$277,"ИБ")</f>
        <v>0</v>
      </c>
      <c r="AH71" s="413">
        <f>SUMIFS('свод практик'!$CA$6:$CA$277,'свод практик'!$J$6:$J$277,'строго ИБ'!AH$1,'свод практик'!$B$6:$B$277,"ИБ")</f>
        <v>0</v>
      </c>
      <c r="AI71" s="413">
        <f>SUMIFS('свод практик'!$CA$6:$CA$277,'свод практик'!$J$6:$J$277,'строго ИБ'!AI$1,'свод практик'!$B$6:$B$277,"ИБ")</f>
        <v>0</v>
      </c>
      <c r="AJ71" s="413">
        <f>SUMIFS('свод практик'!$CA$6:$CA$277,'свод практик'!$J$6:$J$277,'строго ИБ'!AJ$1,'свод практик'!$B$6:$B$277,"ИБ")</f>
        <v>0</v>
      </c>
      <c r="AK71" s="413">
        <f>SUMIFS('свод практик'!$CA$6:$CA$277,'свод практик'!$J$6:$J$277,'строго ИБ'!AK$1,'свод практик'!$B$6:$B$277,"ИБ")</f>
        <v>0</v>
      </c>
      <c r="AL71" s="413">
        <f>SUMIFS('свод практик'!$CA$6:$CA$277,'свод практик'!$J$6:$J$277,'строго ИБ'!AL$1,'свод практик'!$B$6:$B$277,"ИБ")</f>
        <v>11</v>
      </c>
      <c r="AM71" s="413">
        <f>SUMIFS('свод практик'!$CA$6:$CA$277,'свод практик'!$J$6:$J$277,'строго ИБ'!AM$1,'свод практик'!$B$6:$B$277,"ИБ")</f>
        <v>0</v>
      </c>
      <c r="AN71" s="413">
        <f>SUMIFS('свод практик'!$CA$6:$CA$277,'свод практик'!$J$6:$J$277,'строго ИБ'!AN$1,'свод практик'!$B$6:$B$277,"ИБ")</f>
        <v>0</v>
      </c>
      <c r="AO71" s="413">
        <f>SUMIFS('свод практик'!$CA$6:$CA$277,'свод практик'!$J$6:$J$277,'строго ИБ'!AO$1,'свод практик'!$B$6:$B$277,"ИБ")</f>
        <v>9</v>
      </c>
      <c r="AP71" s="413">
        <f>SUMIFS('свод практик'!$CA$6:$CA$277,'свод практик'!$J$6:$J$277,'строго ИБ'!AP$1,'свод практик'!$B$6:$B$277,"ИБ")</f>
        <v>0</v>
      </c>
      <c r="AQ71" s="413">
        <f>SUMIFS('свод практик'!$CA$6:$CA$277,'свод практик'!$J$6:$J$277,'строго ИБ'!AQ$1,'свод практик'!$B$6:$B$277,"ИБ")</f>
        <v>17</v>
      </c>
      <c r="AR71" s="413">
        <f>SUMIFS('свод практик'!$CA$6:$CA$277,'свод практик'!$J$6:$J$277,'строго ИБ'!AR$1,'свод практик'!$B$6:$B$277,"ИБ")</f>
        <v>25</v>
      </c>
      <c r="AS71" s="413">
        <f>SUMIFS('свод практик'!$CA$6:$CA$277,'свод практик'!$J$6:$J$277,'строго ИБ'!AS$1,'свод практик'!$B$6:$B$277,"ИБ")</f>
        <v>0</v>
      </c>
      <c r="AT71" s="413">
        <f>SUMIFS('свод практик'!$CA$6:$CA$277,'свод практик'!$J$6:$J$277,'строго ИБ'!AT$1,'свод практик'!$B$6:$B$277,"ИБ")</f>
        <v>0</v>
      </c>
      <c r="AU71" s="413">
        <f>SUMIFS('свод практик'!$CA$6:$CA$277,'свод практик'!$J$6:$J$277,'строго ИБ'!AU$1,'свод практик'!$B$6:$B$277,"ИБ")</f>
        <v>32</v>
      </c>
      <c r="AV71" s="413">
        <f>SUMIFS('свод практик'!$CA$6:$CA$277,'свод практик'!$J$6:$J$277,'строго ИБ'!AV$1,'свод практик'!$B$6:$B$277,"ИБ")</f>
        <v>0</v>
      </c>
      <c r="AW71" s="413">
        <f>SUMIFS('свод практик'!$CA$6:$CA$277,'свод практик'!$J$6:$J$277,'строго ИБ'!AW$1,'свод практик'!$B$6:$B$277,"ИБ")</f>
        <v>2</v>
      </c>
      <c r="AX71" s="413">
        <f>SUMIFS('свод практик'!$CA$6:$CA$277,'свод практик'!$J$6:$J$277,'строго ИБ'!AX$1,'свод практик'!$B$6:$B$277,"ИБ")</f>
        <v>0</v>
      </c>
      <c r="AY71" s="413">
        <f>SUMIFS('свод практик'!$CA$6:$CA$277,'свод практик'!$J$6:$J$277,'строго ИБ'!AY$1,'свод практик'!$B$6:$B$277,"ИБ")</f>
        <v>0</v>
      </c>
      <c r="AZ71" s="413">
        <f>SUMIFS('свод практик'!$CA$6:$CA$277,'свод практик'!$J$6:$J$277,'строго ИБ'!AZ$1,'свод практик'!$B$6:$B$277,"ИБ")</f>
        <v>0</v>
      </c>
      <c r="BA71" s="413">
        <f>SUMIFS('свод практик'!$CA$6:$CA$277,'свод практик'!$J$6:$J$277,'строго ИБ'!BA$1,'свод практик'!$B$6:$B$277,"ИБ")</f>
        <v>0</v>
      </c>
      <c r="BB71" s="413">
        <f>SUMIFS('свод практик'!$CA$6:$CA$277,'свод практик'!$J$6:$J$277,'строго ИБ'!BB$1,'свод практик'!$B$6:$B$277,"ИБ")</f>
        <v>7</v>
      </c>
      <c r="BC71" s="413">
        <f>SUMIFS('свод практик'!$CA$6:$CA$277,'свод практик'!$J$6:$J$277,'строго ИБ'!BC$1,'свод практик'!$B$6:$B$277,"ИБ")</f>
        <v>0</v>
      </c>
      <c r="BD71" s="413">
        <f>SUMIFS('свод практик'!$CA$6:$CA$277,'свод практик'!$J$6:$J$277,'строго ИБ'!BD$1,'свод практик'!$B$6:$B$277,"ИБ")</f>
        <v>0</v>
      </c>
      <c r="BE71" s="413">
        <f>SUMIFS('свод практик'!$CA$6:$CA$277,'свод практик'!$J$6:$J$277,'строго ИБ'!BE$1,'свод практик'!$B$6:$B$277,"ИБ")</f>
        <v>0</v>
      </c>
      <c r="BF71" s="413">
        <f>SUMIFS('свод практик'!$CA$6:$CA$277,'свод практик'!$J$6:$J$277,'строго ИБ'!BF$1,'свод практик'!$B$6:$B$277,"ИБ")</f>
        <v>4</v>
      </c>
      <c r="BG71" s="413">
        <f>SUMIFS('свод практик'!$CA$6:$CA$277,'свод практик'!$J$6:$J$277,'строго ИБ'!BG$1,'свод практик'!$B$6:$B$277,"ИБ")</f>
        <v>0</v>
      </c>
      <c r="BH71" s="413">
        <f>SUMIFS('свод практик'!$CA$6:$CA$277,'свод практик'!$J$6:$J$277,'строго ИБ'!BH$1,'свод практик'!$B$6:$B$277,"ИБ")</f>
        <v>19</v>
      </c>
      <c r="BI71" s="413">
        <f>SUMIFS('свод практик'!$CA$6:$CA$277,'свод практик'!$J$6:$J$277,'строго ИБ'!BI$1,'свод практик'!$B$6:$B$277,"ИБ")</f>
        <v>4</v>
      </c>
      <c r="BJ71" s="413">
        <f>SUMIFS('свод практик'!$CA$6:$CA$277,'свод практик'!$J$6:$J$277,'строго ИБ'!BJ$1,'свод практик'!$B$6:$B$277,"ИБ")</f>
        <v>9</v>
      </c>
      <c r="BK71" s="413">
        <f>SUMIFS('свод практик'!$CA$6:$CA$277,'свод практик'!$J$6:$J$277,'строго ИБ'!BK$1,'свод практик'!$B$6:$B$277,"ИБ")</f>
        <v>0</v>
      </c>
      <c r="BL71" s="413">
        <f>SUMIFS('свод практик'!$CA$6:$CA$277,'свод практик'!$J$6:$J$277,'строго ИБ'!BL$1,'свод практик'!$B$6:$B$277,"ИБ")</f>
        <v>1</v>
      </c>
      <c r="BM71" s="413">
        <f>SUMIFS('свод практик'!$CA$6:$CA$277,'свод практик'!$J$6:$J$277,'строго ИБ'!BM$1,'свод практик'!$B$6:$B$277,"ИБ")</f>
        <v>0</v>
      </c>
      <c r="BN71" s="413">
        <f>SUMIFS('свод практик'!$CA$6:$CA$277,'свод практик'!$J$6:$J$277,'строго ИБ'!BN$1,'свод практик'!$B$6:$B$277,"ИБ")</f>
        <v>0</v>
      </c>
      <c r="BO71" s="413">
        <f>SUMIFS('свод практик'!$CA$6:$CA$277,'свод практик'!$J$6:$J$277,'строго ИБ'!BO$1,'свод практик'!$B$6:$B$277,"ИБ")</f>
        <v>0</v>
      </c>
      <c r="BP71" s="413">
        <f>SUMIFS('свод практик'!$CA$6:$CA$277,'свод практик'!$J$6:$J$277,'строго ИБ'!BP$1,'свод практик'!$B$6:$B$277,"ИБ")</f>
        <v>0</v>
      </c>
      <c r="BQ71" s="413">
        <f>SUMIFS('свод практик'!$CA$6:$CA$277,'свод практик'!$J$6:$J$277,'строго ИБ'!BQ$1,'свод практик'!$B$6:$B$277,"ИБ")</f>
        <v>0</v>
      </c>
      <c r="BR71" s="413">
        <f>SUMIFS('свод практик'!$CA$6:$CA$277,'свод практик'!$J$6:$J$277,'строго ИБ'!BR$1,'свод практик'!$B$6:$B$277,"ИБ")</f>
        <v>17</v>
      </c>
      <c r="BS71" s="413">
        <f>SUMIFS('свод практик'!$CA$6:$CA$277,'свод практик'!$J$6:$J$277,'строго ИБ'!BS$1,'свод практик'!$B$6:$B$277,"ИБ")</f>
        <v>0</v>
      </c>
      <c r="BT71" s="413">
        <f>SUMIFS('свод практик'!$CA$6:$CA$277,'свод практик'!$J$6:$J$277,'строго ИБ'!BT$1,'свод практик'!$B$6:$B$277,"ИБ")</f>
        <v>8</v>
      </c>
      <c r="BU71" s="413">
        <f>SUMIFS('свод практик'!$CA$6:$CA$277,'свод практик'!$J$6:$J$277,'строго ИБ'!BU$1,'свод практик'!$B$6:$B$277,"ИБ")</f>
        <v>0</v>
      </c>
      <c r="BV71" s="413">
        <f>SUMIFS('свод практик'!$CA$6:$CA$277,'свод практик'!$J$6:$J$277,'строго ИБ'!BV$1,'свод практик'!$B$6:$B$277,"ИБ")</f>
        <v>5</v>
      </c>
      <c r="BW71" s="413">
        <f>SUMIFS('свод практик'!$CA$6:$CA$277,'свод практик'!$J$6:$J$277,'строго ИБ'!BW$1,'свод практик'!$B$6:$B$277,"ИБ")</f>
        <v>29</v>
      </c>
      <c r="BX71" s="413">
        <f>SUMIFS('свод практик'!$CA$6:$CA$277,'свод практик'!$J$6:$J$277,'строго ИБ'!BX$1,'свод практик'!$B$6:$B$277,"ИБ")</f>
        <v>4</v>
      </c>
      <c r="BY71" s="413">
        <f>SUMIFS('свод практик'!$CA$6:$CA$277,'свод практик'!$J$6:$J$277,'строго ИБ'!BY$1,'свод практик'!$B$6:$B$277,"ИБ")</f>
        <v>0</v>
      </c>
      <c r="BZ71" s="413">
        <f>SUMIFS('свод практик'!$CA$6:$CA$277,'свод практик'!$J$6:$J$277,'строго ИБ'!BZ$1,'свод практик'!$B$6:$B$277,"ИБ")</f>
        <v>0</v>
      </c>
      <c r="CA71" s="413">
        <f>SUMIFS('свод практик'!$CA$6:$CA$277,'свод практик'!$J$6:$J$277,'строго ИБ'!CA$1,'свод практик'!$B$6:$B$277,"ИБ")</f>
        <v>0</v>
      </c>
      <c r="CB71" s="413">
        <f>SUMIFS('свод практик'!$CA$6:$CA$277,'свод практик'!$J$6:$J$277,'строго ИБ'!CB$1,'свод практик'!$B$6:$B$277,"ИБ")</f>
        <v>0</v>
      </c>
      <c r="CC71" s="413">
        <f>SUMIFS('свод практик'!$CA$6:$CA$277,'свод практик'!$J$6:$J$277,'строго ИБ'!CC$1,'свод практик'!$B$6:$B$277,"ИБ")</f>
        <v>0</v>
      </c>
      <c r="CD71" s="413">
        <f>SUMIFS('свод практик'!$CA$6:$CA$277,'свод практик'!$J$6:$J$277,'строго ИБ'!CD$1,'свод практик'!$B$6:$B$277,"ИБ")</f>
        <v>110</v>
      </c>
      <c r="CE71" s="413">
        <f>SUMIFS('свод практик'!$CA$6:$CA$277,'свод практик'!$J$6:$J$277,'строго ИБ'!CE$1,'свод практик'!$B$6:$B$277,"ИБ")</f>
        <v>0</v>
      </c>
      <c r="CF71" s="413">
        <f>SUMIFS('свод практик'!$CA$6:$CA$277,'свод практик'!$J$6:$J$277,'строго ИБ'!CF$1,'свод практик'!$B$6:$B$277,"ИБ")</f>
        <v>45</v>
      </c>
      <c r="CG71" s="413">
        <f>SUMIFS('свод практик'!$CA$6:$CA$277,'свод практик'!$J$6:$J$277,'строго ИБ'!CG$1,'свод практик'!$B$6:$B$277,"ИБ")</f>
        <v>1</v>
      </c>
      <c r="CH71" s="413">
        <f>SUMIFS('свод практик'!$CA$6:$CA$277,'свод практик'!$J$6:$J$277,'строго ИБ'!CH$1,'свод практик'!$B$6:$B$277,"ИБ")</f>
        <v>0</v>
      </c>
      <c r="CI71" s="413">
        <f>SUMIFS('свод практик'!$CA$6:$CA$277,'свод практик'!$J$6:$J$277,'строго ИБ'!CI$1,'свод практик'!$B$6:$B$277,"ИБ")</f>
        <v>0</v>
      </c>
      <c r="CJ71" s="413">
        <f>SUMIFS('свод практик'!$CA$6:$CA$277,'свод практик'!$J$6:$J$277,'строго ИБ'!CJ$1,'свод практик'!$B$6:$B$277,"ИБ")</f>
        <v>0</v>
      </c>
      <c r="CK71" s="413">
        <f>SUMIFS('свод практик'!$CA$6:$CA$277,'свод практик'!$J$6:$J$277,'строго ИБ'!CK$1,'свод практик'!$B$6:$B$277,"ИБ")</f>
        <v>3</v>
      </c>
      <c r="CL71" s="413">
        <f>SUMIFS('свод практик'!$CA$6:$CA$277,'свод практик'!$J$6:$J$277,'строго ИБ'!CL$1,'свод практик'!$B$6:$B$277,"ИБ")</f>
        <v>6</v>
      </c>
      <c r="CM71" s="413">
        <f>SUMIFS('свод практик'!$CA$6:$CA$277,'свод практик'!$J$6:$J$277,'строго ИБ'!CM$1,'свод практик'!$B$6:$B$277,"ИБ")</f>
        <v>5</v>
      </c>
      <c r="CN71" s="413">
        <f>SUMIFS('свод практик'!$CA$6:$CA$277,'свод практик'!$J$6:$J$277,'строго ИБ'!CN$1,'свод практик'!$B$6:$B$277,"ИБ")</f>
        <v>0</v>
      </c>
      <c r="CO71" s="413">
        <f>SUMIFS('свод практик'!$CA$6:$CA$277,'свод практик'!$J$6:$J$277,'строго ИБ'!CO$1,'свод практик'!$B$6:$B$277,"ИБ")</f>
        <v>2</v>
      </c>
      <c r="CP71" s="413">
        <f>SUMIFS('свод практик'!$CA$6:$CA$277,'свод практик'!$J$6:$J$277,'строго ИБ'!CP$1,'свод практик'!$B$6:$B$277,"ИБ")</f>
        <v>0</v>
      </c>
      <c r="CQ71" s="413">
        <f>SUMIFS('свод практик'!$CA$6:$CA$277,'свод практик'!$J$6:$J$277,'строго ИБ'!CQ$1,'свод практик'!$B$6:$B$277,"ИБ")</f>
        <v>0</v>
      </c>
      <c r="CR71" s="413">
        <f>SUMIFS('свод практик'!$CA$6:$CA$277,'свод практик'!$J$6:$J$277,'строго ИБ'!CR$1,'свод практик'!$B$6:$B$277,"ИБ")</f>
        <v>22</v>
      </c>
      <c r="CS71" s="413">
        <f>SUMIFS('свод практик'!$CA$6:$CA$277,'свод практик'!$J$6:$J$277,'строго ИБ'!CS$1,'свод практик'!$B$6:$B$277,"ИБ")</f>
        <v>0</v>
      </c>
      <c r="CT71" s="413">
        <f>SUMIFS('свод практик'!$CA$6:$CA$277,'свод практик'!$J$6:$J$277,'строго ИБ'!CT$1,'свод практик'!$B$6:$B$277,"ИБ")</f>
        <v>1</v>
      </c>
      <c r="CU71" s="413">
        <f>SUMIFS('свод практик'!$CA$6:$CA$277,'свод практик'!$J$6:$J$277,'строго ИБ'!CU$1,'свод практик'!$B$6:$B$277,"ИБ")</f>
        <v>19</v>
      </c>
    </row>
    <row r="72" spans="1:99" ht="19.5" customHeight="1">
      <c r="A72" s="815"/>
      <c r="B72" s="817"/>
      <c r="C72" s="805"/>
      <c r="D72" s="439" t="s">
        <v>4949</v>
      </c>
      <c r="E72" s="439">
        <v>57</v>
      </c>
      <c r="F72" s="440" t="s">
        <v>5147</v>
      </c>
      <c r="G72" s="808"/>
      <c r="H72" s="442" t="s">
        <v>60</v>
      </c>
      <c r="I72" s="443"/>
      <c r="J72" s="444"/>
      <c r="K72" s="2"/>
      <c r="L72" s="383"/>
      <c r="M72" s="384">
        <v>5.1108826553091499E-2</v>
      </c>
      <c r="N72" s="607">
        <f>N71/N107</f>
        <v>5.4598540145985398E-2</v>
      </c>
      <c r="O72" s="607">
        <f t="shared" ref="O72:BZ72" si="28">O71/O107</f>
        <v>0</v>
      </c>
      <c r="P72" s="607">
        <f t="shared" si="28"/>
        <v>0</v>
      </c>
      <c r="Q72" s="607">
        <f t="shared" si="28"/>
        <v>6.8627450980392163E-2</v>
      </c>
      <c r="R72" s="607">
        <f t="shared" si="28"/>
        <v>8.5365853658536592E-2</v>
      </c>
      <c r="S72" s="607">
        <f t="shared" si="28"/>
        <v>0</v>
      </c>
      <c r="T72" s="607">
        <f t="shared" si="28"/>
        <v>0</v>
      </c>
      <c r="U72" s="607">
        <f t="shared" si="28"/>
        <v>2.2307692307692306E-2</v>
      </c>
      <c r="V72" s="607">
        <f t="shared" si="28"/>
        <v>1.282051282051282E-2</v>
      </c>
      <c r="W72" s="607">
        <f t="shared" si="28"/>
        <v>1.1235955056179775E-2</v>
      </c>
      <c r="X72" s="607" t="e">
        <f t="shared" si="28"/>
        <v>#DIV/0!</v>
      </c>
      <c r="Y72" s="607" t="e">
        <f t="shared" si="28"/>
        <v>#DIV/0!</v>
      </c>
      <c r="Z72" s="607">
        <f t="shared" si="28"/>
        <v>2.1505376344086023E-2</v>
      </c>
      <c r="AA72" s="607">
        <f t="shared" si="28"/>
        <v>9.7424412094064952E-2</v>
      </c>
      <c r="AB72" s="607">
        <f t="shared" si="28"/>
        <v>4.6153846153846156E-2</v>
      </c>
      <c r="AC72" s="607" t="e">
        <f t="shared" si="28"/>
        <v>#DIV/0!</v>
      </c>
      <c r="AD72" s="607" t="e">
        <f t="shared" si="28"/>
        <v>#DIV/0!</v>
      </c>
      <c r="AE72" s="607" t="e">
        <f t="shared" si="28"/>
        <v>#DIV/0!</v>
      </c>
      <c r="AF72" s="607" t="e">
        <f t="shared" si="28"/>
        <v>#DIV/0!</v>
      </c>
      <c r="AG72" s="607" t="e">
        <f t="shared" si="28"/>
        <v>#DIV/0!</v>
      </c>
      <c r="AH72" s="607" t="e">
        <f t="shared" si="28"/>
        <v>#DIV/0!</v>
      </c>
      <c r="AI72" s="607" t="e">
        <f t="shared" si="28"/>
        <v>#DIV/0!</v>
      </c>
      <c r="AJ72" s="607" t="e">
        <f t="shared" si="28"/>
        <v>#DIV/0!</v>
      </c>
      <c r="AK72" s="607">
        <f t="shared" si="28"/>
        <v>0</v>
      </c>
      <c r="AL72" s="607">
        <f t="shared" si="28"/>
        <v>6.4705882352941183E-2</v>
      </c>
      <c r="AM72" s="607" t="e">
        <f t="shared" si="28"/>
        <v>#DIV/0!</v>
      </c>
      <c r="AN72" s="607" t="e">
        <f t="shared" si="28"/>
        <v>#DIV/0!</v>
      </c>
      <c r="AO72" s="607">
        <f t="shared" si="28"/>
        <v>0.11392405063291139</v>
      </c>
      <c r="AP72" s="607">
        <f t="shared" si="28"/>
        <v>0</v>
      </c>
      <c r="AQ72" s="607">
        <f t="shared" si="28"/>
        <v>4.7619047619047616E-2</v>
      </c>
      <c r="AR72" s="607">
        <f t="shared" si="28"/>
        <v>9.0579710144927536E-2</v>
      </c>
      <c r="AS72" s="607" t="e">
        <f t="shared" si="28"/>
        <v>#DIV/0!</v>
      </c>
      <c r="AT72" s="607" t="e">
        <f t="shared" si="28"/>
        <v>#DIV/0!</v>
      </c>
      <c r="AU72" s="607">
        <f t="shared" si="28"/>
        <v>0.26666666666666666</v>
      </c>
      <c r="AV72" s="607" t="e">
        <f t="shared" si="28"/>
        <v>#DIV/0!</v>
      </c>
      <c r="AW72" s="607">
        <f t="shared" si="28"/>
        <v>2.0618556701030927E-2</v>
      </c>
      <c r="AX72" s="607" t="e">
        <f t="shared" si="28"/>
        <v>#DIV/0!</v>
      </c>
      <c r="AY72" s="607">
        <f t="shared" si="28"/>
        <v>0</v>
      </c>
      <c r="AZ72" s="607" t="e">
        <f t="shared" si="28"/>
        <v>#DIV/0!</v>
      </c>
      <c r="BA72" s="607" t="e">
        <f t="shared" si="28"/>
        <v>#DIV/0!</v>
      </c>
      <c r="BB72" s="607">
        <f t="shared" si="28"/>
        <v>0.16666666666666666</v>
      </c>
      <c r="BC72" s="607" t="e">
        <f t="shared" si="28"/>
        <v>#DIV/0!</v>
      </c>
      <c r="BD72" s="607" t="e">
        <f t="shared" si="28"/>
        <v>#DIV/0!</v>
      </c>
      <c r="BE72" s="607">
        <f t="shared" si="28"/>
        <v>0</v>
      </c>
      <c r="BF72" s="607">
        <f t="shared" si="28"/>
        <v>0.1111111111111111</v>
      </c>
      <c r="BG72" s="607">
        <f t="shared" si="28"/>
        <v>0</v>
      </c>
      <c r="BH72" s="607">
        <f t="shared" si="28"/>
        <v>3.2040472175379427E-2</v>
      </c>
      <c r="BI72" s="607">
        <f t="shared" si="28"/>
        <v>9.0909090909090912E-2</v>
      </c>
      <c r="BJ72" s="607">
        <f t="shared" si="28"/>
        <v>4.4334975369458129E-2</v>
      </c>
      <c r="BK72" s="607" t="e">
        <f t="shared" si="28"/>
        <v>#DIV/0!</v>
      </c>
      <c r="BL72" s="607">
        <f t="shared" si="28"/>
        <v>6.8027210884353739E-3</v>
      </c>
      <c r="BM72" s="607">
        <f t="shared" si="28"/>
        <v>0</v>
      </c>
      <c r="BN72" s="607" t="e">
        <f t="shared" si="28"/>
        <v>#DIV/0!</v>
      </c>
      <c r="BO72" s="607">
        <f t="shared" si="28"/>
        <v>0</v>
      </c>
      <c r="BP72" s="607" t="e">
        <f t="shared" si="28"/>
        <v>#DIV/0!</v>
      </c>
      <c r="BQ72" s="607" t="e">
        <f t="shared" si="28"/>
        <v>#DIV/0!</v>
      </c>
      <c r="BR72" s="607">
        <f t="shared" si="28"/>
        <v>0.1650485436893204</v>
      </c>
      <c r="BS72" s="607">
        <f t="shared" si="28"/>
        <v>0</v>
      </c>
      <c r="BT72" s="607">
        <f t="shared" si="28"/>
        <v>1.4362657091561939E-2</v>
      </c>
      <c r="BU72" s="607">
        <f t="shared" si="28"/>
        <v>0</v>
      </c>
      <c r="BV72" s="607">
        <f t="shared" si="28"/>
        <v>4.5454545454545456E-2</v>
      </c>
      <c r="BW72" s="607">
        <f t="shared" si="28"/>
        <v>6.5462753950338598E-2</v>
      </c>
      <c r="BX72" s="607">
        <f t="shared" si="28"/>
        <v>2.2727272727272728E-2</v>
      </c>
      <c r="BY72" s="607">
        <f t="shared" si="28"/>
        <v>0</v>
      </c>
      <c r="BZ72" s="607" t="e">
        <f t="shared" si="28"/>
        <v>#DIV/0!</v>
      </c>
      <c r="CA72" s="607" t="e">
        <f t="shared" ref="CA72:CU72" si="29">CA71/CA107</f>
        <v>#DIV/0!</v>
      </c>
      <c r="CB72" s="607" t="e">
        <f t="shared" si="29"/>
        <v>#DIV/0!</v>
      </c>
      <c r="CC72" s="607">
        <f t="shared" si="29"/>
        <v>0</v>
      </c>
      <c r="CD72" s="607">
        <f t="shared" si="29"/>
        <v>0.20370370370370369</v>
      </c>
      <c r="CE72" s="607" t="e">
        <f t="shared" si="29"/>
        <v>#DIV/0!</v>
      </c>
      <c r="CF72" s="607">
        <f t="shared" si="29"/>
        <v>0.16605166051660517</v>
      </c>
      <c r="CG72" s="607">
        <f t="shared" si="29"/>
        <v>1.3888888888888888E-2</v>
      </c>
      <c r="CH72" s="607">
        <f t="shared" si="29"/>
        <v>0</v>
      </c>
      <c r="CI72" s="607" t="e">
        <f t="shared" si="29"/>
        <v>#DIV/0!</v>
      </c>
      <c r="CJ72" s="607" t="e">
        <f t="shared" si="29"/>
        <v>#DIV/0!</v>
      </c>
      <c r="CK72" s="607">
        <f t="shared" si="29"/>
        <v>2.7522935779816515E-2</v>
      </c>
      <c r="CL72" s="607">
        <f t="shared" si="29"/>
        <v>4.0816326530612242E-2</v>
      </c>
      <c r="CM72" s="607">
        <f t="shared" si="29"/>
        <v>0.12195121951219512</v>
      </c>
      <c r="CN72" s="607" t="e">
        <f t="shared" si="29"/>
        <v>#DIV/0!</v>
      </c>
      <c r="CO72" s="607">
        <f t="shared" si="29"/>
        <v>1.0582010582010581E-2</v>
      </c>
      <c r="CP72" s="607">
        <f t="shared" si="29"/>
        <v>0</v>
      </c>
      <c r="CQ72" s="607" t="e">
        <f t="shared" si="29"/>
        <v>#DIV/0!</v>
      </c>
      <c r="CR72" s="607">
        <f t="shared" si="29"/>
        <v>3.4214618973561428E-2</v>
      </c>
      <c r="CS72" s="607">
        <f t="shared" si="29"/>
        <v>0</v>
      </c>
      <c r="CT72" s="607">
        <f t="shared" si="29"/>
        <v>1.2345679012345678E-2</v>
      </c>
      <c r="CU72" s="607">
        <f t="shared" si="29"/>
        <v>3.8229376257545272E-2</v>
      </c>
    </row>
    <row r="73" spans="1:99" ht="21" customHeight="1">
      <c r="A73" s="815"/>
      <c r="B73" s="817"/>
      <c r="C73" s="805"/>
      <c r="D73" s="439" t="s">
        <v>4949</v>
      </c>
      <c r="E73" s="439">
        <v>58</v>
      </c>
      <c r="F73" s="440" t="s">
        <v>5148</v>
      </c>
      <c r="G73" s="808" t="s">
        <v>5761</v>
      </c>
      <c r="H73" s="442" t="s">
        <v>5140</v>
      </c>
      <c r="I73" s="443"/>
      <c r="J73" s="444"/>
      <c r="K73" s="2" t="s">
        <v>278</v>
      </c>
      <c r="L73" s="385"/>
      <c r="M73" s="351">
        <v>89</v>
      </c>
      <c r="N73" s="580">
        <f t="shared" si="25"/>
        <v>143</v>
      </c>
      <c r="O73" s="413">
        <f>SUMIFS('свод практик'!$CB$6:$CB$277,'свод практик'!$J$6:$J$277,'строго ИБ'!O$1,'свод практик'!$B$6:$B$277,"ИБ")</f>
        <v>0</v>
      </c>
      <c r="P73" s="413">
        <f>SUMIFS('свод практик'!$CB$6:$CB$277,'свод практик'!$J$6:$J$277,'строго ИБ'!P$1,'свод практик'!$B$6:$B$277,"ИБ")</f>
        <v>0</v>
      </c>
      <c r="Q73" s="413">
        <f>SUMIFS('свод практик'!$CB$6:$CB$277,'свод практик'!$J$6:$J$277,'строго ИБ'!Q$1,'свод практик'!$B$6:$B$277,"ИБ")</f>
        <v>0</v>
      </c>
      <c r="R73" s="413">
        <f>SUMIFS('свод практик'!$CB$6:$CB$277,'свод практик'!$J$6:$J$277,'строго ИБ'!R$1,'свод практик'!$B$6:$B$277,"ИБ")</f>
        <v>0</v>
      </c>
      <c r="S73" s="413">
        <f>SUMIFS('свод практик'!$CB$6:$CB$277,'свод практик'!$J$6:$J$277,'строго ИБ'!S$1,'свод практик'!$B$6:$B$277,"ИБ")</f>
        <v>0</v>
      </c>
      <c r="T73" s="413">
        <f>SUMIFS('свод практик'!$CB$6:$CB$277,'свод практик'!$J$6:$J$277,'строго ИБ'!T$1,'свод практик'!$B$6:$B$277,"ИБ")</f>
        <v>0</v>
      </c>
      <c r="U73" s="413">
        <f>SUMIFS('свод практик'!$CB$6:$CB$277,'свод практик'!$J$6:$J$277,'строго ИБ'!U$1,'свод практик'!$B$6:$B$277,"ИБ")</f>
        <v>22</v>
      </c>
      <c r="V73" s="413">
        <f>SUMIFS('свод практик'!$CB$6:$CB$277,'свод практик'!$J$6:$J$277,'строго ИБ'!V$1,'свод практик'!$B$6:$B$277,"ИБ")</f>
        <v>0</v>
      </c>
      <c r="W73" s="413">
        <f>SUMIFS('свод практик'!$CB$6:$CB$277,'свод практик'!$J$6:$J$277,'строго ИБ'!W$1,'свод практик'!$B$6:$B$277,"ИБ")</f>
        <v>0</v>
      </c>
      <c r="X73" s="413">
        <f>SUMIFS('свод практик'!$CB$6:$CB$277,'свод практик'!$J$6:$J$277,'строго ИБ'!X$1,'свод практик'!$B$6:$B$277,"ИБ")</f>
        <v>0</v>
      </c>
      <c r="Y73" s="413">
        <f>SUMIFS('свод практик'!$CB$6:$CB$277,'свод практик'!$J$6:$J$277,'строго ИБ'!Y$1,'свод практик'!$B$6:$B$277,"ИБ")</f>
        <v>0</v>
      </c>
      <c r="Z73" s="413">
        <f>SUMIFS('свод практик'!$CB$6:$CB$277,'свод практик'!$J$6:$J$277,'строго ИБ'!Z$1,'свод практик'!$B$6:$B$277,"ИБ")</f>
        <v>1</v>
      </c>
      <c r="AA73" s="413">
        <f>SUMIFS('свод практик'!$CB$6:$CB$277,'свод практик'!$J$6:$J$277,'строго ИБ'!AA$1,'свод практик'!$B$6:$B$277,"ИБ")</f>
        <v>82</v>
      </c>
      <c r="AB73" s="413">
        <f>SUMIFS('свод практик'!$CB$6:$CB$277,'свод практик'!$J$6:$J$277,'строго ИБ'!AB$1,'свод практик'!$B$6:$B$277,"ИБ")</f>
        <v>0</v>
      </c>
      <c r="AC73" s="413">
        <f>SUMIFS('свод практик'!$CB$6:$CB$277,'свод практик'!$J$6:$J$277,'строго ИБ'!AC$1,'свод практик'!$B$6:$B$277,"ИБ")</f>
        <v>0</v>
      </c>
      <c r="AD73" s="413">
        <f>SUMIFS('свод практик'!$CB$6:$CB$277,'свод практик'!$J$6:$J$277,'строго ИБ'!AD$1,'свод практик'!$B$6:$B$277,"ИБ")</f>
        <v>0</v>
      </c>
      <c r="AE73" s="413">
        <f>SUMIFS('свод практик'!$CB$6:$CB$277,'свод практик'!$J$6:$J$277,'строго ИБ'!AE$1,'свод практик'!$B$6:$B$277,"ИБ")</f>
        <v>0</v>
      </c>
      <c r="AF73" s="413">
        <f>SUMIFS('свод практик'!$CB$6:$CB$277,'свод практик'!$J$6:$J$277,'строго ИБ'!AF$1,'свод практик'!$B$6:$B$277,"ИБ")</f>
        <v>0</v>
      </c>
      <c r="AG73" s="413">
        <f>SUMIFS('свод практик'!$CB$6:$CB$277,'свод практик'!$J$6:$J$277,'строго ИБ'!AG$1,'свод практик'!$B$6:$B$277,"ИБ")</f>
        <v>0</v>
      </c>
      <c r="AH73" s="413">
        <f>SUMIFS('свод практик'!$CB$6:$CB$277,'свод практик'!$J$6:$J$277,'строго ИБ'!AH$1,'свод практик'!$B$6:$B$277,"ИБ")</f>
        <v>0</v>
      </c>
      <c r="AI73" s="413">
        <f>SUMIFS('свод практик'!$CB$6:$CB$277,'свод практик'!$J$6:$J$277,'строго ИБ'!AI$1,'свод практик'!$B$6:$B$277,"ИБ")</f>
        <v>0</v>
      </c>
      <c r="AJ73" s="413">
        <f>SUMIFS('свод практик'!$CB$6:$CB$277,'свод практик'!$J$6:$J$277,'строго ИБ'!AJ$1,'свод практик'!$B$6:$B$277,"ИБ")</f>
        <v>0</v>
      </c>
      <c r="AK73" s="413">
        <f>SUMIFS('свод практик'!$CB$6:$CB$277,'свод практик'!$J$6:$J$277,'строго ИБ'!AK$1,'свод практик'!$B$6:$B$277,"ИБ")</f>
        <v>0</v>
      </c>
      <c r="AL73" s="413">
        <f>SUMIFS('свод практик'!$CB$6:$CB$277,'свод практик'!$J$6:$J$277,'строго ИБ'!AL$1,'свод практик'!$B$6:$B$277,"ИБ")</f>
        <v>2</v>
      </c>
      <c r="AM73" s="413">
        <f>SUMIFS('свод практик'!$CB$6:$CB$277,'свод практик'!$J$6:$J$277,'строго ИБ'!AM$1,'свод практик'!$B$6:$B$277,"ИБ")</f>
        <v>0</v>
      </c>
      <c r="AN73" s="413">
        <f>SUMIFS('свод практик'!$CB$6:$CB$277,'свод практик'!$J$6:$J$277,'строго ИБ'!AN$1,'свод практик'!$B$6:$B$277,"ИБ")</f>
        <v>0</v>
      </c>
      <c r="AO73" s="413">
        <f>SUMIFS('свод практик'!$CB$6:$CB$277,'свод практик'!$J$6:$J$277,'строго ИБ'!AO$1,'свод практик'!$B$6:$B$277,"ИБ")</f>
        <v>0</v>
      </c>
      <c r="AP73" s="413">
        <f>SUMIFS('свод практик'!$CB$6:$CB$277,'свод практик'!$J$6:$J$277,'строго ИБ'!AP$1,'свод практик'!$B$6:$B$277,"ИБ")</f>
        <v>0</v>
      </c>
      <c r="AQ73" s="413">
        <f>SUMIFS('свод практик'!$CB$6:$CB$277,'свод практик'!$J$6:$J$277,'строго ИБ'!AQ$1,'свод практик'!$B$6:$B$277,"ИБ")</f>
        <v>8</v>
      </c>
      <c r="AR73" s="413">
        <f>SUMIFS('свод практик'!$CB$6:$CB$277,'свод практик'!$J$6:$J$277,'строго ИБ'!AR$1,'свод практик'!$B$6:$B$277,"ИБ")</f>
        <v>2</v>
      </c>
      <c r="AS73" s="413">
        <f>SUMIFS('свод практик'!$CB$6:$CB$277,'свод практик'!$J$6:$J$277,'строго ИБ'!AS$1,'свод практик'!$B$6:$B$277,"ИБ")</f>
        <v>0</v>
      </c>
      <c r="AT73" s="413">
        <f>SUMIFS('свод практик'!$CB$6:$CB$277,'свод практик'!$J$6:$J$277,'строго ИБ'!AT$1,'свод практик'!$B$6:$B$277,"ИБ")</f>
        <v>0</v>
      </c>
      <c r="AU73" s="413">
        <f>SUMIFS('свод практик'!$CB$6:$CB$277,'свод практик'!$J$6:$J$277,'строго ИБ'!AU$1,'свод практик'!$B$6:$B$277,"ИБ")</f>
        <v>0</v>
      </c>
      <c r="AV73" s="413">
        <f>SUMIFS('свод практик'!$CB$6:$CB$277,'свод практик'!$J$6:$J$277,'строго ИБ'!AV$1,'свод практик'!$B$6:$B$277,"ИБ")</f>
        <v>0</v>
      </c>
      <c r="AW73" s="413">
        <f>SUMIFS('свод практик'!$CB$6:$CB$277,'свод практик'!$J$6:$J$277,'строго ИБ'!AW$1,'свод практик'!$B$6:$B$277,"ИБ")</f>
        <v>0</v>
      </c>
      <c r="AX73" s="413">
        <f>SUMIFS('свод практик'!$CB$6:$CB$277,'свод практик'!$J$6:$J$277,'строго ИБ'!AX$1,'свод практик'!$B$6:$B$277,"ИБ")</f>
        <v>0</v>
      </c>
      <c r="AY73" s="413">
        <f>SUMIFS('свод практик'!$CB$6:$CB$277,'свод практик'!$J$6:$J$277,'строго ИБ'!AY$1,'свод практик'!$B$6:$B$277,"ИБ")</f>
        <v>0</v>
      </c>
      <c r="AZ73" s="413">
        <f>SUMIFS('свод практик'!$CB$6:$CB$277,'свод практик'!$J$6:$J$277,'строго ИБ'!AZ$1,'свод практик'!$B$6:$B$277,"ИБ")</f>
        <v>0</v>
      </c>
      <c r="BA73" s="413">
        <f>SUMIFS('свод практик'!$CB$6:$CB$277,'свод практик'!$J$6:$J$277,'строго ИБ'!BA$1,'свод практик'!$B$6:$B$277,"ИБ")</f>
        <v>0</v>
      </c>
      <c r="BB73" s="413">
        <f>SUMIFS('свод практик'!$CB$6:$CB$277,'свод практик'!$J$6:$J$277,'строго ИБ'!BB$1,'свод практик'!$B$6:$B$277,"ИБ")</f>
        <v>0</v>
      </c>
      <c r="BC73" s="413">
        <f>SUMIFS('свод практик'!$CB$6:$CB$277,'свод практик'!$J$6:$J$277,'строго ИБ'!BC$1,'свод практик'!$B$6:$B$277,"ИБ")</f>
        <v>0</v>
      </c>
      <c r="BD73" s="413">
        <f>SUMIFS('свод практик'!$CB$6:$CB$277,'свод практик'!$J$6:$J$277,'строго ИБ'!BD$1,'свод практик'!$B$6:$B$277,"ИБ")</f>
        <v>0</v>
      </c>
      <c r="BE73" s="413">
        <f>SUMIFS('свод практик'!$CB$6:$CB$277,'свод практик'!$J$6:$J$277,'строго ИБ'!BE$1,'свод практик'!$B$6:$B$277,"ИБ")</f>
        <v>0</v>
      </c>
      <c r="BF73" s="413">
        <f>SUMIFS('свод практик'!$CB$6:$CB$277,'свод практик'!$J$6:$J$277,'строго ИБ'!BF$1,'свод практик'!$B$6:$B$277,"ИБ")</f>
        <v>0</v>
      </c>
      <c r="BG73" s="413">
        <f>SUMIFS('свод практик'!$CB$6:$CB$277,'свод практик'!$J$6:$J$277,'строго ИБ'!BG$1,'свод практик'!$B$6:$B$277,"ИБ")</f>
        <v>0</v>
      </c>
      <c r="BH73" s="413">
        <f>SUMIFS('свод практик'!$CB$6:$CB$277,'свод практик'!$J$6:$J$277,'строго ИБ'!BH$1,'свод практик'!$B$6:$B$277,"ИБ")</f>
        <v>3</v>
      </c>
      <c r="BI73" s="413">
        <f>SUMIFS('свод практик'!$CB$6:$CB$277,'свод практик'!$J$6:$J$277,'строго ИБ'!BI$1,'свод практик'!$B$6:$B$277,"ИБ")</f>
        <v>0</v>
      </c>
      <c r="BJ73" s="413">
        <f>SUMIFS('свод практик'!$CB$6:$CB$277,'свод практик'!$J$6:$J$277,'строго ИБ'!BJ$1,'свод практик'!$B$6:$B$277,"ИБ")</f>
        <v>0</v>
      </c>
      <c r="BK73" s="413">
        <f>SUMIFS('свод практик'!$CB$6:$CB$277,'свод практик'!$J$6:$J$277,'строго ИБ'!BK$1,'свод практик'!$B$6:$B$277,"ИБ")</f>
        <v>0</v>
      </c>
      <c r="BL73" s="413">
        <f>SUMIFS('свод практик'!$CB$6:$CB$277,'свод практик'!$J$6:$J$277,'строго ИБ'!BL$1,'свод практик'!$B$6:$B$277,"ИБ")</f>
        <v>0</v>
      </c>
      <c r="BM73" s="413">
        <f>SUMIFS('свод практик'!$CB$6:$CB$277,'свод практик'!$J$6:$J$277,'строго ИБ'!BM$1,'свод практик'!$B$6:$B$277,"ИБ")</f>
        <v>0</v>
      </c>
      <c r="BN73" s="413">
        <f>SUMIFS('свод практик'!$CB$6:$CB$277,'свод практик'!$J$6:$J$277,'строго ИБ'!BN$1,'свод практик'!$B$6:$B$277,"ИБ")</f>
        <v>0</v>
      </c>
      <c r="BO73" s="413">
        <f>SUMIFS('свод практик'!$CB$6:$CB$277,'свод практик'!$J$6:$J$277,'строго ИБ'!BO$1,'свод практик'!$B$6:$B$277,"ИБ")</f>
        <v>0</v>
      </c>
      <c r="BP73" s="413">
        <f>SUMIFS('свод практик'!$CB$6:$CB$277,'свод практик'!$J$6:$J$277,'строго ИБ'!BP$1,'свод практик'!$B$6:$B$277,"ИБ")</f>
        <v>0</v>
      </c>
      <c r="BQ73" s="413">
        <f>SUMIFS('свод практик'!$CB$6:$CB$277,'свод практик'!$J$6:$J$277,'строго ИБ'!BQ$1,'свод практик'!$B$6:$B$277,"ИБ")</f>
        <v>0</v>
      </c>
      <c r="BR73" s="413">
        <f>SUMIFS('свод практик'!$CB$6:$CB$277,'свод практик'!$J$6:$J$277,'строго ИБ'!BR$1,'свод практик'!$B$6:$B$277,"ИБ")</f>
        <v>0</v>
      </c>
      <c r="BS73" s="413">
        <f>SUMIFS('свод практик'!$CB$6:$CB$277,'свод практик'!$J$6:$J$277,'строго ИБ'!BS$1,'свод практик'!$B$6:$B$277,"ИБ")</f>
        <v>0</v>
      </c>
      <c r="BT73" s="413">
        <f>SUMIFS('свод практик'!$CB$6:$CB$277,'свод практик'!$J$6:$J$277,'строго ИБ'!BT$1,'свод практик'!$B$6:$B$277,"ИБ")</f>
        <v>0</v>
      </c>
      <c r="BU73" s="413">
        <f>SUMIFS('свод практик'!$CB$6:$CB$277,'свод практик'!$J$6:$J$277,'строго ИБ'!BU$1,'свод практик'!$B$6:$B$277,"ИБ")</f>
        <v>0</v>
      </c>
      <c r="BV73" s="413">
        <f>SUMIFS('свод практик'!$CB$6:$CB$277,'свод практик'!$J$6:$J$277,'строго ИБ'!BV$1,'свод практик'!$B$6:$B$277,"ИБ")</f>
        <v>1</v>
      </c>
      <c r="BW73" s="413">
        <f>SUMIFS('свод практик'!$CB$6:$CB$277,'свод практик'!$J$6:$J$277,'строго ИБ'!BW$1,'свод практик'!$B$6:$B$277,"ИБ")</f>
        <v>2</v>
      </c>
      <c r="BX73" s="413">
        <f>SUMIFS('свод практик'!$CB$6:$CB$277,'свод практик'!$J$6:$J$277,'строго ИБ'!BX$1,'свод практик'!$B$6:$B$277,"ИБ")</f>
        <v>0</v>
      </c>
      <c r="BY73" s="413">
        <f>SUMIFS('свод практик'!$CB$6:$CB$277,'свод практик'!$J$6:$J$277,'строго ИБ'!BY$1,'свод практик'!$B$6:$B$277,"ИБ")</f>
        <v>0</v>
      </c>
      <c r="BZ73" s="413">
        <f>SUMIFS('свод практик'!$CB$6:$CB$277,'свод практик'!$J$6:$J$277,'строго ИБ'!BZ$1,'свод практик'!$B$6:$B$277,"ИБ")</f>
        <v>0</v>
      </c>
      <c r="CA73" s="413">
        <f>SUMIFS('свод практик'!$CB$6:$CB$277,'свод практик'!$J$6:$J$277,'строго ИБ'!CA$1,'свод практик'!$B$6:$B$277,"ИБ")</f>
        <v>0</v>
      </c>
      <c r="CB73" s="413">
        <f>SUMIFS('свод практик'!$CB$6:$CB$277,'свод практик'!$J$6:$J$277,'строго ИБ'!CB$1,'свод практик'!$B$6:$B$277,"ИБ")</f>
        <v>0</v>
      </c>
      <c r="CC73" s="413">
        <f>SUMIFS('свод практик'!$CB$6:$CB$277,'свод практик'!$J$6:$J$277,'строго ИБ'!CC$1,'свод практик'!$B$6:$B$277,"ИБ")</f>
        <v>8</v>
      </c>
      <c r="CD73" s="413">
        <f>SUMIFS('свод практик'!$CB$6:$CB$277,'свод практик'!$J$6:$J$277,'строго ИБ'!CD$1,'свод практик'!$B$6:$B$277,"ИБ")</f>
        <v>2</v>
      </c>
      <c r="CE73" s="413">
        <f>SUMIFS('свод практик'!$CB$6:$CB$277,'свод практик'!$J$6:$J$277,'строго ИБ'!CE$1,'свод практик'!$B$6:$B$277,"ИБ")</f>
        <v>0</v>
      </c>
      <c r="CF73" s="413">
        <f>SUMIFS('свод практик'!$CB$6:$CB$277,'свод практик'!$J$6:$J$277,'строго ИБ'!CF$1,'свод практик'!$B$6:$B$277,"ИБ")</f>
        <v>0</v>
      </c>
      <c r="CG73" s="413">
        <f>SUMIFS('свод практик'!$CB$6:$CB$277,'свод практик'!$J$6:$J$277,'строго ИБ'!CG$1,'свод практик'!$B$6:$B$277,"ИБ")</f>
        <v>0</v>
      </c>
      <c r="CH73" s="413">
        <f>SUMIFS('свод практик'!$CB$6:$CB$277,'свод практик'!$J$6:$J$277,'строго ИБ'!CH$1,'свод практик'!$B$6:$B$277,"ИБ")</f>
        <v>0</v>
      </c>
      <c r="CI73" s="413">
        <f>SUMIFS('свод практик'!$CB$6:$CB$277,'свод практик'!$J$6:$J$277,'строго ИБ'!CI$1,'свод практик'!$B$6:$B$277,"ИБ")</f>
        <v>0</v>
      </c>
      <c r="CJ73" s="413">
        <f>SUMIFS('свод практик'!$CB$6:$CB$277,'свод практик'!$J$6:$J$277,'строго ИБ'!CJ$1,'свод практик'!$B$6:$B$277,"ИБ")</f>
        <v>0</v>
      </c>
      <c r="CK73" s="413">
        <f>SUMIFS('свод практик'!$CB$6:$CB$277,'свод практик'!$J$6:$J$277,'строго ИБ'!CK$1,'свод практик'!$B$6:$B$277,"ИБ")</f>
        <v>1</v>
      </c>
      <c r="CL73" s="413">
        <f>SUMIFS('свод практик'!$CB$6:$CB$277,'свод практик'!$J$6:$J$277,'строго ИБ'!CL$1,'свод практик'!$B$6:$B$277,"ИБ")</f>
        <v>2</v>
      </c>
      <c r="CM73" s="413">
        <f>SUMIFS('свод практик'!$CB$6:$CB$277,'свод практик'!$J$6:$J$277,'строго ИБ'!CM$1,'свод практик'!$B$6:$B$277,"ИБ")</f>
        <v>1</v>
      </c>
      <c r="CN73" s="413">
        <f>SUMIFS('свод практик'!$CB$6:$CB$277,'свод практик'!$J$6:$J$277,'строго ИБ'!CN$1,'свод практик'!$B$6:$B$277,"ИБ")</f>
        <v>0</v>
      </c>
      <c r="CO73" s="413">
        <f>SUMIFS('свод практик'!$CB$6:$CB$277,'свод практик'!$J$6:$J$277,'строго ИБ'!CO$1,'свод практик'!$B$6:$B$277,"ИБ")</f>
        <v>1</v>
      </c>
      <c r="CP73" s="413">
        <f>SUMIFS('свод практик'!$CB$6:$CB$277,'свод практик'!$J$6:$J$277,'строго ИБ'!CP$1,'свод практик'!$B$6:$B$277,"ИБ")</f>
        <v>0</v>
      </c>
      <c r="CQ73" s="413">
        <f>SUMIFS('свод практик'!$CB$6:$CB$277,'свод практик'!$J$6:$J$277,'строго ИБ'!CQ$1,'свод практик'!$B$6:$B$277,"ИБ")</f>
        <v>0</v>
      </c>
      <c r="CR73" s="413">
        <f>SUMIFS('свод практик'!$CB$6:$CB$277,'свод практик'!$J$6:$J$277,'строго ИБ'!CR$1,'свод практик'!$B$6:$B$277,"ИБ")</f>
        <v>1</v>
      </c>
      <c r="CS73" s="413">
        <f>SUMIFS('свод практик'!$CB$6:$CB$277,'свод практик'!$J$6:$J$277,'строго ИБ'!CS$1,'свод практик'!$B$6:$B$277,"ИБ")</f>
        <v>0</v>
      </c>
      <c r="CT73" s="413">
        <f>SUMIFS('свод практик'!$CB$6:$CB$277,'свод практик'!$J$6:$J$277,'строго ИБ'!CT$1,'свод практик'!$B$6:$B$277,"ИБ")</f>
        <v>0</v>
      </c>
      <c r="CU73" s="413">
        <f>SUMIFS('свод практик'!$CB$6:$CB$277,'свод практик'!$J$6:$J$277,'строго ИБ'!CU$1,'свод практик'!$B$6:$B$277,"ИБ")</f>
        <v>4</v>
      </c>
    </row>
    <row r="74" spans="1:99" ht="19.5" customHeight="1">
      <c r="A74" s="815"/>
      <c r="B74" s="817"/>
      <c r="C74" s="805"/>
      <c r="D74" s="439" t="s">
        <v>4949</v>
      </c>
      <c r="E74" s="439">
        <v>59</v>
      </c>
      <c r="F74" s="440" t="s">
        <v>5150</v>
      </c>
      <c r="G74" s="808"/>
      <c r="H74" s="442" t="s">
        <v>60</v>
      </c>
      <c r="I74" s="443"/>
      <c r="J74" s="444"/>
      <c r="K74" s="2"/>
      <c r="L74" s="383"/>
      <c r="M74" s="384">
        <v>1.3070935526509031E-2</v>
      </c>
      <c r="N74" s="607">
        <f>N73/N107</f>
        <v>1.3917274939172749E-2</v>
      </c>
      <c r="O74" s="607">
        <f t="shared" ref="O74:BZ74" si="30">O73/O107</f>
        <v>0</v>
      </c>
      <c r="P74" s="607">
        <f t="shared" si="30"/>
        <v>0</v>
      </c>
      <c r="Q74" s="607">
        <f t="shared" si="30"/>
        <v>0</v>
      </c>
      <c r="R74" s="607">
        <f t="shared" si="30"/>
        <v>0</v>
      </c>
      <c r="S74" s="607">
        <f t="shared" si="30"/>
        <v>0</v>
      </c>
      <c r="T74" s="607">
        <f t="shared" si="30"/>
        <v>0</v>
      </c>
      <c r="U74" s="607">
        <f t="shared" si="30"/>
        <v>1.6923076923076923E-2</v>
      </c>
      <c r="V74" s="607">
        <f t="shared" si="30"/>
        <v>0</v>
      </c>
      <c r="W74" s="607">
        <f t="shared" si="30"/>
        <v>0</v>
      </c>
      <c r="X74" s="607" t="e">
        <f t="shared" si="30"/>
        <v>#DIV/0!</v>
      </c>
      <c r="Y74" s="607" t="e">
        <f t="shared" si="30"/>
        <v>#DIV/0!</v>
      </c>
      <c r="Z74" s="607">
        <f t="shared" si="30"/>
        <v>1.0752688172043012E-2</v>
      </c>
      <c r="AA74" s="607">
        <f t="shared" si="30"/>
        <v>9.182530795072788E-2</v>
      </c>
      <c r="AB74" s="607">
        <f t="shared" si="30"/>
        <v>0</v>
      </c>
      <c r="AC74" s="607" t="e">
        <f t="shared" si="30"/>
        <v>#DIV/0!</v>
      </c>
      <c r="AD74" s="607" t="e">
        <f t="shared" si="30"/>
        <v>#DIV/0!</v>
      </c>
      <c r="AE74" s="607" t="e">
        <f t="shared" si="30"/>
        <v>#DIV/0!</v>
      </c>
      <c r="AF74" s="607" t="e">
        <f t="shared" si="30"/>
        <v>#DIV/0!</v>
      </c>
      <c r="AG74" s="607" t="e">
        <f t="shared" si="30"/>
        <v>#DIV/0!</v>
      </c>
      <c r="AH74" s="607" t="e">
        <f t="shared" si="30"/>
        <v>#DIV/0!</v>
      </c>
      <c r="AI74" s="607" t="e">
        <f t="shared" si="30"/>
        <v>#DIV/0!</v>
      </c>
      <c r="AJ74" s="607" t="e">
        <f t="shared" si="30"/>
        <v>#DIV/0!</v>
      </c>
      <c r="AK74" s="607">
        <f t="shared" si="30"/>
        <v>0</v>
      </c>
      <c r="AL74" s="607">
        <f t="shared" si="30"/>
        <v>1.1764705882352941E-2</v>
      </c>
      <c r="AM74" s="607" t="e">
        <f t="shared" si="30"/>
        <v>#DIV/0!</v>
      </c>
      <c r="AN74" s="607" t="e">
        <f t="shared" si="30"/>
        <v>#DIV/0!</v>
      </c>
      <c r="AO74" s="607">
        <f t="shared" si="30"/>
        <v>0</v>
      </c>
      <c r="AP74" s="607">
        <f t="shared" si="30"/>
        <v>0</v>
      </c>
      <c r="AQ74" s="607">
        <f t="shared" si="30"/>
        <v>2.2408963585434174E-2</v>
      </c>
      <c r="AR74" s="607">
        <f t="shared" si="30"/>
        <v>7.246376811594203E-3</v>
      </c>
      <c r="AS74" s="607" t="e">
        <f t="shared" si="30"/>
        <v>#DIV/0!</v>
      </c>
      <c r="AT74" s="607" t="e">
        <f t="shared" si="30"/>
        <v>#DIV/0!</v>
      </c>
      <c r="AU74" s="607">
        <f t="shared" si="30"/>
        <v>0</v>
      </c>
      <c r="AV74" s="607" t="e">
        <f t="shared" si="30"/>
        <v>#DIV/0!</v>
      </c>
      <c r="AW74" s="607">
        <f t="shared" si="30"/>
        <v>0</v>
      </c>
      <c r="AX74" s="607" t="e">
        <f t="shared" si="30"/>
        <v>#DIV/0!</v>
      </c>
      <c r="AY74" s="607">
        <f t="shared" si="30"/>
        <v>0</v>
      </c>
      <c r="AZ74" s="607" t="e">
        <f t="shared" si="30"/>
        <v>#DIV/0!</v>
      </c>
      <c r="BA74" s="607" t="e">
        <f t="shared" si="30"/>
        <v>#DIV/0!</v>
      </c>
      <c r="BB74" s="607">
        <f t="shared" si="30"/>
        <v>0</v>
      </c>
      <c r="BC74" s="607" t="e">
        <f t="shared" si="30"/>
        <v>#DIV/0!</v>
      </c>
      <c r="BD74" s="607" t="e">
        <f t="shared" si="30"/>
        <v>#DIV/0!</v>
      </c>
      <c r="BE74" s="607">
        <f t="shared" si="30"/>
        <v>0</v>
      </c>
      <c r="BF74" s="607">
        <f t="shared" si="30"/>
        <v>0</v>
      </c>
      <c r="BG74" s="607">
        <f t="shared" si="30"/>
        <v>0</v>
      </c>
      <c r="BH74" s="607">
        <f t="shared" si="30"/>
        <v>5.0590219224283303E-3</v>
      </c>
      <c r="BI74" s="607">
        <f t="shared" si="30"/>
        <v>0</v>
      </c>
      <c r="BJ74" s="607">
        <f t="shared" si="30"/>
        <v>0</v>
      </c>
      <c r="BK74" s="607" t="e">
        <f t="shared" si="30"/>
        <v>#DIV/0!</v>
      </c>
      <c r="BL74" s="607">
        <f t="shared" si="30"/>
        <v>0</v>
      </c>
      <c r="BM74" s="607">
        <f t="shared" si="30"/>
        <v>0</v>
      </c>
      <c r="BN74" s="607" t="e">
        <f t="shared" si="30"/>
        <v>#DIV/0!</v>
      </c>
      <c r="BO74" s="607">
        <f t="shared" si="30"/>
        <v>0</v>
      </c>
      <c r="BP74" s="607" t="e">
        <f t="shared" si="30"/>
        <v>#DIV/0!</v>
      </c>
      <c r="BQ74" s="607" t="e">
        <f t="shared" si="30"/>
        <v>#DIV/0!</v>
      </c>
      <c r="BR74" s="607">
        <f t="shared" si="30"/>
        <v>0</v>
      </c>
      <c r="BS74" s="607">
        <f t="shared" si="30"/>
        <v>0</v>
      </c>
      <c r="BT74" s="607">
        <f t="shared" si="30"/>
        <v>0</v>
      </c>
      <c r="BU74" s="607">
        <f t="shared" si="30"/>
        <v>0</v>
      </c>
      <c r="BV74" s="607">
        <f t="shared" si="30"/>
        <v>9.0909090909090905E-3</v>
      </c>
      <c r="BW74" s="607">
        <f t="shared" si="30"/>
        <v>4.5146726862302479E-3</v>
      </c>
      <c r="BX74" s="607">
        <f t="shared" si="30"/>
        <v>0</v>
      </c>
      <c r="BY74" s="607">
        <f t="shared" si="30"/>
        <v>0</v>
      </c>
      <c r="BZ74" s="607" t="e">
        <f t="shared" si="30"/>
        <v>#DIV/0!</v>
      </c>
      <c r="CA74" s="607" t="e">
        <f t="shared" ref="CA74:CU74" si="31">CA73/CA107</f>
        <v>#DIV/0!</v>
      </c>
      <c r="CB74" s="607" t="e">
        <f t="shared" si="31"/>
        <v>#DIV/0!</v>
      </c>
      <c r="CC74" s="607">
        <f t="shared" si="31"/>
        <v>3.2653061224489799E-2</v>
      </c>
      <c r="CD74" s="607">
        <f t="shared" si="31"/>
        <v>3.7037037037037038E-3</v>
      </c>
      <c r="CE74" s="607" t="e">
        <f t="shared" si="31"/>
        <v>#DIV/0!</v>
      </c>
      <c r="CF74" s="607">
        <f t="shared" si="31"/>
        <v>0</v>
      </c>
      <c r="CG74" s="607">
        <f t="shared" si="31"/>
        <v>0</v>
      </c>
      <c r="CH74" s="607">
        <f t="shared" si="31"/>
        <v>0</v>
      </c>
      <c r="CI74" s="607" t="e">
        <f t="shared" si="31"/>
        <v>#DIV/0!</v>
      </c>
      <c r="CJ74" s="607" t="e">
        <f t="shared" si="31"/>
        <v>#DIV/0!</v>
      </c>
      <c r="CK74" s="607">
        <f t="shared" si="31"/>
        <v>9.1743119266055051E-3</v>
      </c>
      <c r="CL74" s="607">
        <f t="shared" si="31"/>
        <v>1.3605442176870748E-2</v>
      </c>
      <c r="CM74" s="607">
        <f t="shared" si="31"/>
        <v>2.4390243902439025E-2</v>
      </c>
      <c r="CN74" s="607" t="e">
        <f t="shared" si="31"/>
        <v>#DIV/0!</v>
      </c>
      <c r="CO74" s="607">
        <f t="shared" si="31"/>
        <v>5.2910052910052907E-3</v>
      </c>
      <c r="CP74" s="607">
        <f t="shared" si="31"/>
        <v>0</v>
      </c>
      <c r="CQ74" s="607" t="e">
        <f t="shared" si="31"/>
        <v>#DIV/0!</v>
      </c>
      <c r="CR74" s="607">
        <f t="shared" si="31"/>
        <v>1.5552099533437014E-3</v>
      </c>
      <c r="CS74" s="607">
        <f t="shared" si="31"/>
        <v>0</v>
      </c>
      <c r="CT74" s="607">
        <f t="shared" si="31"/>
        <v>0</v>
      </c>
      <c r="CU74" s="607">
        <f t="shared" si="31"/>
        <v>8.0482897384305842E-3</v>
      </c>
    </row>
    <row r="75" spans="1:99" ht="13.5" customHeight="1">
      <c r="A75" s="815"/>
      <c r="B75" s="817"/>
      <c r="C75" s="805"/>
      <c r="D75" s="439" t="s">
        <v>4949</v>
      </c>
      <c r="E75" s="439">
        <v>60</v>
      </c>
      <c r="F75" s="440" t="s">
        <v>5151</v>
      </c>
      <c r="G75" s="808" t="s">
        <v>5762</v>
      </c>
      <c r="H75" s="442" t="s">
        <v>5140</v>
      </c>
      <c r="I75" s="443"/>
      <c r="J75" s="444"/>
      <c r="K75" s="2" t="s">
        <v>278</v>
      </c>
      <c r="L75" s="385"/>
      <c r="M75" s="351">
        <v>7</v>
      </c>
      <c r="N75" s="580">
        <f t="shared" si="25"/>
        <v>11</v>
      </c>
      <c r="O75" s="413">
        <f>SUMIFS('свод практик'!$CC$6:$CC$277,'свод практик'!$J$6:$J$277,'строго ИБ'!O$1,'свод практик'!$B$6:$B$277,"ИБ")</f>
        <v>0</v>
      </c>
      <c r="P75" s="413">
        <f>SUMIFS('свод практик'!$CC$6:$CC$277,'свод практик'!$J$6:$J$277,'строго ИБ'!P$1,'свод практик'!$B$6:$B$277,"ИБ")</f>
        <v>0</v>
      </c>
      <c r="Q75" s="413">
        <f>SUMIFS('свод практик'!$CC$6:$CC$277,'свод практик'!$J$6:$J$277,'строго ИБ'!Q$1,'свод практик'!$B$6:$B$277,"ИБ")</f>
        <v>0</v>
      </c>
      <c r="R75" s="413">
        <f>SUMIFS('свод практик'!$CC$6:$CC$277,'свод практик'!$J$6:$J$277,'строго ИБ'!R$1,'свод практик'!$B$6:$B$277,"ИБ")</f>
        <v>0</v>
      </c>
      <c r="S75" s="413">
        <f>SUMIFS('свод практик'!$CC$6:$CC$277,'свод практик'!$J$6:$J$277,'строго ИБ'!S$1,'свод практик'!$B$6:$B$277,"ИБ")</f>
        <v>0</v>
      </c>
      <c r="T75" s="413">
        <f>SUMIFS('свод практик'!$CC$6:$CC$277,'свод практик'!$J$6:$J$277,'строго ИБ'!T$1,'свод практик'!$B$6:$B$277,"ИБ")</f>
        <v>0</v>
      </c>
      <c r="U75" s="413">
        <f>SUMIFS('свод практик'!$CC$6:$CC$277,'свод практик'!$J$6:$J$277,'строго ИБ'!U$1,'свод практик'!$B$6:$B$277,"ИБ")</f>
        <v>1</v>
      </c>
      <c r="V75" s="413">
        <f>SUMIFS('свод практик'!$CC$6:$CC$277,'свод практик'!$J$6:$J$277,'строго ИБ'!V$1,'свод практик'!$B$6:$B$277,"ИБ")</f>
        <v>0</v>
      </c>
      <c r="W75" s="413">
        <f>SUMIFS('свод практик'!$CC$6:$CC$277,'свод практик'!$J$6:$J$277,'строго ИБ'!W$1,'свод практик'!$B$6:$B$277,"ИБ")</f>
        <v>0</v>
      </c>
      <c r="X75" s="413">
        <f>SUMIFS('свод практик'!$CC$6:$CC$277,'свод практик'!$J$6:$J$277,'строго ИБ'!X$1,'свод практик'!$B$6:$B$277,"ИБ")</f>
        <v>0</v>
      </c>
      <c r="Y75" s="413">
        <f>SUMIFS('свод практик'!$CC$6:$CC$277,'свод практик'!$J$6:$J$277,'строго ИБ'!Y$1,'свод практик'!$B$6:$B$277,"ИБ")</f>
        <v>0</v>
      </c>
      <c r="Z75" s="413">
        <f>SUMIFS('свод практик'!$CC$6:$CC$277,'свод практик'!$J$6:$J$277,'строго ИБ'!Z$1,'свод практик'!$B$6:$B$277,"ИБ")</f>
        <v>0</v>
      </c>
      <c r="AA75" s="413">
        <f>SUMIFS('свод практик'!$CC$6:$CC$277,'свод практик'!$J$6:$J$277,'строго ИБ'!AA$1,'свод практик'!$B$6:$B$277,"ИБ")</f>
        <v>2</v>
      </c>
      <c r="AB75" s="413">
        <f>SUMIFS('свод практик'!$CC$6:$CC$277,'свод практик'!$J$6:$J$277,'строго ИБ'!AB$1,'свод практик'!$B$6:$B$277,"ИБ")</f>
        <v>0</v>
      </c>
      <c r="AC75" s="413">
        <f>SUMIFS('свод практик'!$CC$6:$CC$277,'свод практик'!$J$6:$J$277,'строго ИБ'!AC$1,'свод практик'!$B$6:$B$277,"ИБ")</f>
        <v>0</v>
      </c>
      <c r="AD75" s="413">
        <f>SUMIFS('свод практик'!$CC$6:$CC$277,'свод практик'!$J$6:$J$277,'строго ИБ'!AD$1,'свод практик'!$B$6:$B$277,"ИБ")</f>
        <v>0</v>
      </c>
      <c r="AE75" s="413">
        <f>SUMIFS('свод практик'!$CC$6:$CC$277,'свод практик'!$J$6:$J$277,'строго ИБ'!AE$1,'свод практик'!$B$6:$B$277,"ИБ")</f>
        <v>0</v>
      </c>
      <c r="AF75" s="413">
        <f>SUMIFS('свод практик'!$CC$6:$CC$277,'свод практик'!$J$6:$J$277,'строго ИБ'!AF$1,'свод практик'!$B$6:$B$277,"ИБ")</f>
        <v>0</v>
      </c>
      <c r="AG75" s="413">
        <f>SUMIFS('свод практик'!$CC$6:$CC$277,'свод практик'!$J$6:$J$277,'строго ИБ'!AG$1,'свод практик'!$B$6:$B$277,"ИБ")</f>
        <v>0</v>
      </c>
      <c r="AH75" s="413">
        <f>SUMIFS('свод практик'!$CC$6:$CC$277,'свод практик'!$J$6:$J$277,'строго ИБ'!AH$1,'свод практик'!$B$6:$B$277,"ИБ")</f>
        <v>0</v>
      </c>
      <c r="AI75" s="413">
        <f>SUMIFS('свод практик'!$CC$6:$CC$277,'свод практик'!$J$6:$J$277,'строго ИБ'!AI$1,'свод практик'!$B$6:$B$277,"ИБ")</f>
        <v>0</v>
      </c>
      <c r="AJ75" s="413">
        <f>SUMIFS('свод практик'!$CC$6:$CC$277,'свод практик'!$J$6:$J$277,'строго ИБ'!AJ$1,'свод практик'!$B$6:$B$277,"ИБ")</f>
        <v>0</v>
      </c>
      <c r="AK75" s="413">
        <f>SUMIFS('свод практик'!$CC$6:$CC$277,'свод практик'!$J$6:$J$277,'строго ИБ'!AK$1,'свод практик'!$B$6:$B$277,"ИБ")</f>
        <v>0</v>
      </c>
      <c r="AL75" s="413">
        <f>SUMIFS('свод практик'!$CC$6:$CC$277,'свод практик'!$J$6:$J$277,'строго ИБ'!AL$1,'свод практик'!$B$6:$B$277,"ИБ")</f>
        <v>4</v>
      </c>
      <c r="AM75" s="413">
        <f>SUMIFS('свод практик'!$CC$6:$CC$277,'свод практик'!$J$6:$J$277,'строго ИБ'!AM$1,'свод практик'!$B$6:$B$277,"ИБ")</f>
        <v>0</v>
      </c>
      <c r="AN75" s="413">
        <f>SUMIFS('свод практик'!$CC$6:$CC$277,'свод практик'!$J$6:$J$277,'строго ИБ'!AN$1,'свод практик'!$B$6:$B$277,"ИБ")</f>
        <v>0</v>
      </c>
      <c r="AO75" s="413">
        <f>SUMIFS('свод практик'!$CC$6:$CC$277,'свод практик'!$J$6:$J$277,'строго ИБ'!AO$1,'свод практик'!$B$6:$B$277,"ИБ")</f>
        <v>0</v>
      </c>
      <c r="AP75" s="413">
        <f>SUMIFS('свод практик'!$CC$6:$CC$277,'свод практик'!$J$6:$J$277,'строго ИБ'!AP$1,'свод практик'!$B$6:$B$277,"ИБ")</f>
        <v>0</v>
      </c>
      <c r="AQ75" s="413">
        <f>SUMIFS('свод практик'!$CC$6:$CC$277,'свод практик'!$J$6:$J$277,'строго ИБ'!AQ$1,'свод практик'!$B$6:$B$277,"ИБ")</f>
        <v>0</v>
      </c>
      <c r="AR75" s="413">
        <f>SUMIFS('свод практик'!$CC$6:$CC$277,'свод практик'!$J$6:$J$277,'строго ИБ'!AR$1,'свод практик'!$B$6:$B$277,"ИБ")</f>
        <v>0</v>
      </c>
      <c r="AS75" s="413">
        <f>SUMIFS('свод практик'!$CC$6:$CC$277,'свод практик'!$J$6:$J$277,'строго ИБ'!AS$1,'свод практик'!$B$6:$B$277,"ИБ")</f>
        <v>0</v>
      </c>
      <c r="AT75" s="413">
        <f>SUMIFS('свод практик'!$CC$6:$CC$277,'свод практик'!$J$6:$J$277,'строго ИБ'!AT$1,'свод практик'!$B$6:$B$277,"ИБ")</f>
        <v>0</v>
      </c>
      <c r="AU75" s="413">
        <f>SUMIFS('свод практик'!$CC$6:$CC$277,'свод практик'!$J$6:$J$277,'строго ИБ'!AU$1,'свод практик'!$B$6:$B$277,"ИБ")</f>
        <v>0</v>
      </c>
      <c r="AV75" s="413">
        <f>SUMIFS('свод практик'!$CC$6:$CC$277,'свод практик'!$J$6:$J$277,'строго ИБ'!AV$1,'свод практик'!$B$6:$B$277,"ИБ")</f>
        <v>0</v>
      </c>
      <c r="AW75" s="413">
        <f>SUMIFS('свод практик'!$CC$6:$CC$277,'свод практик'!$J$6:$J$277,'строго ИБ'!AW$1,'свод практик'!$B$6:$B$277,"ИБ")</f>
        <v>0</v>
      </c>
      <c r="AX75" s="413">
        <f>SUMIFS('свод практик'!$CC$6:$CC$277,'свод практик'!$J$6:$J$277,'строго ИБ'!AX$1,'свод практик'!$B$6:$B$277,"ИБ")</f>
        <v>0</v>
      </c>
      <c r="AY75" s="413">
        <f>SUMIFS('свод практик'!$CC$6:$CC$277,'свод практик'!$J$6:$J$277,'строго ИБ'!AY$1,'свод практик'!$B$6:$B$277,"ИБ")</f>
        <v>0</v>
      </c>
      <c r="AZ75" s="413">
        <f>SUMIFS('свод практик'!$CC$6:$CC$277,'свод практик'!$J$6:$J$277,'строго ИБ'!AZ$1,'свод практик'!$B$6:$B$277,"ИБ")</f>
        <v>0</v>
      </c>
      <c r="BA75" s="413">
        <f>SUMIFS('свод практик'!$CC$6:$CC$277,'свод практик'!$J$6:$J$277,'строго ИБ'!BA$1,'свод практик'!$B$6:$B$277,"ИБ")</f>
        <v>0</v>
      </c>
      <c r="BB75" s="413">
        <f>SUMIFS('свод практик'!$CC$6:$CC$277,'свод практик'!$J$6:$J$277,'строго ИБ'!BB$1,'свод практик'!$B$6:$B$277,"ИБ")</f>
        <v>0</v>
      </c>
      <c r="BC75" s="413">
        <f>SUMIFS('свод практик'!$CC$6:$CC$277,'свод практик'!$J$6:$J$277,'строго ИБ'!BC$1,'свод практик'!$B$6:$B$277,"ИБ")</f>
        <v>0</v>
      </c>
      <c r="BD75" s="413">
        <f>SUMIFS('свод практик'!$CC$6:$CC$277,'свод практик'!$J$6:$J$277,'строго ИБ'!BD$1,'свод практик'!$B$6:$B$277,"ИБ")</f>
        <v>0</v>
      </c>
      <c r="BE75" s="413">
        <f>SUMIFS('свод практик'!$CC$6:$CC$277,'свод практик'!$J$6:$J$277,'строго ИБ'!BE$1,'свод практик'!$B$6:$B$277,"ИБ")</f>
        <v>0</v>
      </c>
      <c r="BF75" s="413">
        <f>SUMIFS('свод практик'!$CC$6:$CC$277,'свод практик'!$J$6:$J$277,'строго ИБ'!BF$1,'свод практик'!$B$6:$B$277,"ИБ")</f>
        <v>0</v>
      </c>
      <c r="BG75" s="413">
        <f>SUMIFS('свод практик'!$CC$6:$CC$277,'свод практик'!$J$6:$J$277,'строго ИБ'!BG$1,'свод практик'!$B$6:$B$277,"ИБ")</f>
        <v>0</v>
      </c>
      <c r="BH75" s="413">
        <f>SUMIFS('свод практик'!$CC$6:$CC$277,'свод практик'!$J$6:$J$277,'строго ИБ'!BH$1,'свод практик'!$B$6:$B$277,"ИБ")</f>
        <v>0</v>
      </c>
      <c r="BI75" s="413">
        <f>SUMIFS('свод практик'!$CC$6:$CC$277,'свод практик'!$J$6:$J$277,'строго ИБ'!BI$1,'свод практик'!$B$6:$B$277,"ИБ")</f>
        <v>0</v>
      </c>
      <c r="BJ75" s="413">
        <f>SUMIFS('свод практик'!$CC$6:$CC$277,'свод практик'!$J$6:$J$277,'строго ИБ'!BJ$1,'свод практик'!$B$6:$B$277,"ИБ")</f>
        <v>0</v>
      </c>
      <c r="BK75" s="413">
        <f>SUMIFS('свод практик'!$CC$6:$CC$277,'свод практик'!$J$6:$J$277,'строго ИБ'!BK$1,'свод практик'!$B$6:$B$277,"ИБ")</f>
        <v>0</v>
      </c>
      <c r="BL75" s="413">
        <f>SUMIFS('свод практик'!$CC$6:$CC$277,'свод практик'!$J$6:$J$277,'строго ИБ'!BL$1,'свод практик'!$B$6:$B$277,"ИБ")</f>
        <v>0</v>
      </c>
      <c r="BM75" s="413">
        <f>SUMIFS('свод практик'!$CC$6:$CC$277,'свод практик'!$J$6:$J$277,'строго ИБ'!BM$1,'свод практик'!$B$6:$B$277,"ИБ")</f>
        <v>0</v>
      </c>
      <c r="BN75" s="413">
        <f>SUMIFS('свод практик'!$CC$6:$CC$277,'свод практик'!$J$6:$J$277,'строго ИБ'!BN$1,'свод практик'!$B$6:$B$277,"ИБ")</f>
        <v>0</v>
      </c>
      <c r="BO75" s="413">
        <f>SUMIFS('свод практик'!$CC$6:$CC$277,'свод практик'!$J$6:$J$277,'строго ИБ'!BO$1,'свод практик'!$B$6:$B$277,"ИБ")</f>
        <v>0</v>
      </c>
      <c r="BP75" s="413">
        <f>SUMIFS('свод практик'!$CC$6:$CC$277,'свод практик'!$J$6:$J$277,'строго ИБ'!BP$1,'свод практик'!$B$6:$B$277,"ИБ")</f>
        <v>0</v>
      </c>
      <c r="BQ75" s="413">
        <f>SUMIFS('свод практик'!$CC$6:$CC$277,'свод практик'!$J$6:$J$277,'строго ИБ'!BQ$1,'свод практик'!$B$6:$B$277,"ИБ")</f>
        <v>0</v>
      </c>
      <c r="BR75" s="413">
        <f>SUMIFS('свод практик'!$CC$6:$CC$277,'свод практик'!$J$6:$J$277,'строго ИБ'!BR$1,'свод практик'!$B$6:$B$277,"ИБ")</f>
        <v>0</v>
      </c>
      <c r="BS75" s="413">
        <f>SUMIFS('свод практик'!$CC$6:$CC$277,'свод практик'!$J$6:$J$277,'строго ИБ'!BS$1,'свод практик'!$B$6:$B$277,"ИБ")</f>
        <v>0</v>
      </c>
      <c r="BT75" s="413">
        <f>SUMIFS('свод практик'!$CC$6:$CC$277,'свод практик'!$J$6:$J$277,'строго ИБ'!BT$1,'свод практик'!$B$6:$B$277,"ИБ")</f>
        <v>0</v>
      </c>
      <c r="BU75" s="413">
        <f>SUMIFS('свод практик'!$CC$6:$CC$277,'свод практик'!$J$6:$J$277,'строго ИБ'!BU$1,'свод практик'!$B$6:$B$277,"ИБ")</f>
        <v>0</v>
      </c>
      <c r="BV75" s="413">
        <f>SUMIFS('свод практик'!$CC$6:$CC$277,'свод практик'!$J$6:$J$277,'строго ИБ'!BV$1,'свод практик'!$B$6:$B$277,"ИБ")</f>
        <v>0</v>
      </c>
      <c r="BW75" s="413">
        <f>SUMIFS('свод практик'!$CC$6:$CC$277,'свод практик'!$J$6:$J$277,'строго ИБ'!BW$1,'свод практик'!$B$6:$B$277,"ИБ")</f>
        <v>0</v>
      </c>
      <c r="BX75" s="413">
        <f>SUMIFS('свод практик'!$CC$6:$CC$277,'свод практик'!$J$6:$J$277,'строго ИБ'!BX$1,'свод практик'!$B$6:$B$277,"ИБ")</f>
        <v>1</v>
      </c>
      <c r="BY75" s="413">
        <f>SUMIFS('свод практик'!$CC$6:$CC$277,'свод практик'!$J$6:$J$277,'строго ИБ'!BY$1,'свод практик'!$B$6:$B$277,"ИБ")</f>
        <v>0</v>
      </c>
      <c r="BZ75" s="413">
        <f>SUMIFS('свод практик'!$CC$6:$CC$277,'свод практик'!$J$6:$J$277,'строго ИБ'!BZ$1,'свод практик'!$B$6:$B$277,"ИБ")</f>
        <v>0</v>
      </c>
      <c r="CA75" s="413">
        <f>SUMIFS('свод практик'!$CC$6:$CC$277,'свод практик'!$J$6:$J$277,'строго ИБ'!CA$1,'свод практик'!$B$6:$B$277,"ИБ")</f>
        <v>0</v>
      </c>
      <c r="CB75" s="413">
        <f>SUMIFS('свод практик'!$CC$6:$CC$277,'свод практик'!$J$6:$J$277,'строго ИБ'!CB$1,'свод практик'!$B$6:$B$277,"ИБ")</f>
        <v>0</v>
      </c>
      <c r="CC75" s="413">
        <f>SUMIFS('свод практик'!$CC$6:$CC$277,'свод практик'!$J$6:$J$277,'строго ИБ'!CC$1,'свод практик'!$B$6:$B$277,"ИБ")</f>
        <v>3</v>
      </c>
      <c r="CD75" s="413">
        <f>SUMIFS('свод практик'!$CC$6:$CC$277,'свод практик'!$J$6:$J$277,'строго ИБ'!CD$1,'свод практик'!$B$6:$B$277,"ИБ")</f>
        <v>0</v>
      </c>
      <c r="CE75" s="413">
        <f>SUMIFS('свод практик'!$CC$6:$CC$277,'свод практик'!$J$6:$J$277,'строго ИБ'!CE$1,'свод практик'!$B$6:$B$277,"ИБ")</f>
        <v>0</v>
      </c>
      <c r="CF75" s="413">
        <f>SUMIFS('свод практик'!$CC$6:$CC$277,'свод практик'!$J$6:$J$277,'строго ИБ'!CF$1,'свод практик'!$B$6:$B$277,"ИБ")</f>
        <v>0</v>
      </c>
      <c r="CG75" s="413">
        <f>SUMIFS('свод практик'!$CC$6:$CC$277,'свод практик'!$J$6:$J$277,'строго ИБ'!CG$1,'свод практик'!$B$6:$B$277,"ИБ")</f>
        <v>0</v>
      </c>
      <c r="CH75" s="413">
        <f>SUMIFS('свод практик'!$CC$6:$CC$277,'свод практик'!$J$6:$J$277,'строго ИБ'!CH$1,'свод практик'!$B$6:$B$277,"ИБ")</f>
        <v>0</v>
      </c>
      <c r="CI75" s="413">
        <f>SUMIFS('свод практик'!$CC$6:$CC$277,'свод практик'!$J$6:$J$277,'строго ИБ'!CI$1,'свод практик'!$B$6:$B$277,"ИБ")</f>
        <v>0</v>
      </c>
      <c r="CJ75" s="413">
        <f>SUMIFS('свод практик'!$CC$6:$CC$277,'свод практик'!$J$6:$J$277,'строго ИБ'!CJ$1,'свод практик'!$B$6:$B$277,"ИБ")</f>
        <v>0</v>
      </c>
      <c r="CK75" s="413">
        <f>SUMIFS('свод практик'!$CC$6:$CC$277,'свод практик'!$J$6:$J$277,'строго ИБ'!CK$1,'свод практик'!$B$6:$B$277,"ИБ")</f>
        <v>0</v>
      </c>
      <c r="CL75" s="413">
        <f>SUMIFS('свод практик'!$CC$6:$CC$277,'свод практик'!$J$6:$J$277,'строго ИБ'!CL$1,'свод практик'!$B$6:$B$277,"ИБ")</f>
        <v>0</v>
      </c>
      <c r="CM75" s="413">
        <f>SUMIFS('свод практик'!$CC$6:$CC$277,'свод практик'!$J$6:$J$277,'строго ИБ'!CM$1,'свод практик'!$B$6:$B$277,"ИБ")</f>
        <v>0</v>
      </c>
      <c r="CN75" s="413">
        <f>SUMIFS('свод практик'!$CC$6:$CC$277,'свод практик'!$J$6:$J$277,'строго ИБ'!CN$1,'свод практик'!$B$6:$B$277,"ИБ")</f>
        <v>0</v>
      </c>
      <c r="CO75" s="413">
        <f>SUMIFS('свод практик'!$CC$6:$CC$277,'свод практик'!$J$6:$J$277,'строго ИБ'!CO$1,'свод практик'!$B$6:$B$277,"ИБ")</f>
        <v>0</v>
      </c>
      <c r="CP75" s="413">
        <f>SUMIFS('свод практик'!$CC$6:$CC$277,'свод практик'!$J$6:$J$277,'строго ИБ'!CP$1,'свод практик'!$B$6:$B$277,"ИБ")</f>
        <v>0</v>
      </c>
      <c r="CQ75" s="413">
        <f>SUMIFS('свод практик'!$CC$6:$CC$277,'свод практик'!$J$6:$J$277,'строго ИБ'!CQ$1,'свод практик'!$B$6:$B$277,"ИБ")</f>
        <v>0</v>
      </c>
      <c r="CR75" s="413">
        <f>SUMIFS('свод практик'!$CC$6:$CC$277,'свод практик'!$J$6:$J$277,'строго ИБ'!CR$1,'свод практик'!$B$6:$B$277,"ИБ")</f>
        <v>0</v>
      </c>
      <c r="CS75" s="413">
        <f>SUMIFS('свод практик'!$CC$6:$CC$277,'свод практик'!$J$6:$J$277,'строго ИБ'!CS$1,'свод практик'!$B$6:$B$277,"ИБ")</f>
        <v>0</v>
      </c>
      <c r="CT75" s="413">
        <f>SUMIFS('свод практик'!$CC$6:$CC$277,'свод практик'!$J$6:$J$277,'строго ИБ'!CT$1,'свод практик'!$B$6:$B$277,"ИБ")</f>
        <v>0</v>
      </c>
      <c r="CU75" s="413">
        <f>SUMIFS('свод практик'!$CC$6:$CC$277,'свод практик'!$J$6:$J$277,'строго ИБ'!CU$1,'свод практик'!$B$6:$B$277,"ИБ")</f>
        <v>0</v>
      </c>
    </row>
    <row r="76" spans="1:99" ht="17" customHeight="1">
      <c r="A76" s="815"/>
      <c r="B76" s="817"/>
      <c r="C76" s="805"/>
      <c r="D76" s="439" t="s">
        <v>4949</v>
      </c>
      <c r="E76" s="439">
        <v>61</v>
      </c>
      <c r="F76" s="440" t="s">
        <v>5153</v>
      </c>
      <c r="G76" s="808"/>
      <c r="H76" s="442" t="s">
        <v>60</v>
      </c>
      <c r="I76" s="443"/>
      <c r="J76" s="444"/>
      <c r="K76" s="2"/>
      <c r="L76" s="383"/>
      <c r="M76" s="384">
        <v>1.0280511088265531E-3</v>
      </c>
      <c r="N76" s="607">
        <f>N75/N107</f>
        <v>1.0705596107055961E-3</v>
      </c>
      <c r="O76" s="607">
        <f t="shared" ref="O76:BZ76" si="32">O75/O107</f>
        <v>0</v>
      </c>
      <c r="P76" s="607">
        <f t="shared" si="32"/>
        <v>0</v>
      </c>
      <c r="Q76" s="607">
        <f t="shared" si="32"/>
        <v>0</v>
      </c>
      <c r="R76" s="607">
        <f t="shared" si="32"/>
        <v>0</v>
      </c>
      <c r="S76" s="607">
        <f t="shared" si="32"/>
        <v>0</v>
      </c>
      <c r="T76" s="607">
        <f t="shared" si="32"/>
        <v>0</v>
      </c>
      <c r="U76" s="607">
        <f t="shared" si="32"/>
        <v>7.6923076923076923E-4</v>
      </c>
      <c r="V76" s="607">
        <f t="shared" si="32"/>
        <v>0</v>
      </c>
      <c r="W76" s="607">
        <f t="shared" si="32"/>
        <v>0</v>
      </c>
      <c r="X76" s="607" t="e">
        <f t="shared" si="32"/>
        <v>#DIV/0!</v>
      </c>
      <c r="Y76" s="607" t="e">
        <f t="shared" si="32"/>
        <v>#DIV/0!</v>
      </c>
      <c r="Z76" s="607">
        <f t="shared" si="32"/>
        <v>0</v>
      </c>
      <c r="AA76" s="607">
        <f t="shared" si="32"/>
        <v>2.2396416573348264E-3</v>
      </c>
      <c r="AB76" s="607">
        <f t="shared" si="32"/>
        <v>0</v>
      </c>
      <c r="AC76" s="607" t="e">
        <f t="shared" si="32"/>
        <v>#DIV/0!</v>
      </c>
      <c r="AD76" s="607" t="e">
        <f t="shared" si="32"/>
        <v>#DIV/0!</v>
      </c>
      <c r="AE76" s="607" t="e">
        <f t="shared" si="32"/>
        <v>#DIV/0!</v>
      </c>
      <c r="AF76" s="607" t="e">
        <f t="shared" si="32"/>
        <v>#DIV/0!</v>
      </c>
      <c r="AG76" s="607" t="e">
        <f t="shared" si="32"/>
        <v>#DIV/0!</v>
      </c>
      <c r="AH76" s="607" t="e">
        <f t="shared" si="32"/>
        <v>#DIV/0!</v>
      </c>
      <c r="AI76" s="607" t="e">
        <f t="shared" si="32"/>
        <v>#DIV/0!</v>
      </c>
      <c r="AJ76" s="607" t="e">
        <f t="shared" si="32"/>
        <v>#DIV/0!</v>
      </c>
      <c r="AK76" s="607">
        <f t="shared" si="32"/>
        <v>0</v>
      </c>
      <c r="AL76" s="607">
        <f t="shared" si="32"/>
        <v>2.3529411764705882E-2</v>
      </c>
      <c r="AM76" s="607" t="e">
        <f t="shared" si="32"/>
        <v>#DIV/0!</v>
      </c>
      <c r="AN76" s="607" t="e">
        <f t="shared" si="32"/>
        <v>#DIV/0!</v>
      </c>
      <c r="AO76" s="607">
        <f t="shared" si="32"/>
        <v>0</v>
      </c>
      <c r="AP76" s="607">
        <f t="shared" si="32"/>
        <v>0</v>
      </c>
      <c r="AQ76" s="607">
        <f t="shared" si="32"/>
        <v>0</v>
      </c>
      <c r="AR76" s="607">
        <f t="shared" si="32"/>
        <v>0</v>
      </c>
      <c r="AS76" s="607" t="e">
        <f t="shared" si="32"/>
        <v>#DIV/0!</v>
      </c>
      <c r="AT76" s="607" t="e">
        <f t="shared" si="32"/>
        <v>#DIV/0!</v>
      </c>
      <c r="AU76" s="607">
        <f t="shared" si="32"/>
        <v>0</v>
      </c>
      <c r="AV76" s="607" t="e">
        <f t="shared" si="32"/>
        <v>#DIV/0!</v>
      </c>
      <c r="AW76" s="607">
        <f t="shared" si="32"/>
        <v>0</v>
      </c>
      <c r="AX76" s="607" t="e">
        <f t="shared" si="32"/>
        <v>#DIV/0!</v>
      </c>
      <c r="AY76" s="607">
        <f t="shared" si="32"/>
        <v>0</v>
      </c>
      <c r="AZ76" s="607" t="e">
        <f t="shared" si="32"/>
        <v>#DIV/0!</v>
      </c>
      <c r="BA76" s="607" t="e">
        <f t="shared" si="32"/>
        <v>#DIV/0!</v>
      </c>
      <c r="BB76" s="607">
        <f t="shared" si="32"/>
        <v>0</v>
      </c>
      <c r="BC76" s="607" t="e">
        <f t="shared" si="32"/>
        <v>#DIV/0!</v>
      </c>
      <c r="BD76" s="607" t="e">
        <f t="shared" si="32"/>
        <v>#DIV/0!</v>
      </c>
      <c r="BE76" s="607">
        <f t="shared" si="32"/>
        <v>0</v>
      </c>
      <c r="BF76" s="607">
        <f t="shared" si="32"/>
        <v>0</v>
      </c>
      <c r="BG76" s="607">
        <f t="shared" si="32"/>
        <v>0</v>
      </c>
      <c r="BH76" s="607">
        <f t="shared" si="32"/>
        <v>0</v>
      </c>
      <c r="BI76" s="607">
        <f t="shared" si="32"/>
        <v>0</v>
      </c>
      <c r="BJ76" s="607">
        <f t="shared" si="32"/>
        <v>0</v>
      </c>
      <c r="BK76" s="607" t="e">
        <f t="shared" si="32"/>
        <v>#DIV/0!</v>
      </c>
      <c r="BL76" s="607">
        <f t="shared" si="32"/>
        <v>0</v>
      </c>
      <c r="BM76" s="607">
        <f t="shared" si="32"/>
        <v>0</v>
      </c>
      <c r="BN76" s="607" t="e">
        <f t="shared" si="32"/>
        <v>#DIV/0!</v>
      </c>
      <c r="BO76" s="607">
        <f t="shared" si="32"/>
        <v>0</v>
      </c>
      <c r="BP76" s="607" t="e">
        <f t="shared" si="32"/>
        <v>#DIV/0!</v>
      </c>
      <c r="BQ76" s="607" t="e">
        <f t="shared" si="32"/>
        <v>#DIV/0!</v>
      </c>
      <c r="BR76" s="607">
        <f t="shared" si="32"/>
        <v>0</v>
      </c>
      <c r="BS76" s="607">
        <f t="shared" si="32"/>
        <v>0</v>
      </c>
      <c r="BT76" s="607">
        <f t="shared" si="32"/>
        <v>0</v>
      </c>
      <c r="BU76" s="607">
        <f t="shared" si="32"/>
        <v>0</v>
      </c>
      <c r="BV76" s="607">
        <f t="shared" si="32"/>
        <v>0</v>
      </c>
      <c r="BW76" s="607">
        <f t="shared" si="32"/>
        <v>0</v>
      </c>
      <c r="BX76" s="607">
        <f t="shared" si="32"/>
        <v>5.681818181818182E-3</v>
      </c>
      <c r="BY76" s="607">
        <f t="shared" si="32"/>
        <v>0</v>
      </c>
      <c r="BZ76" s="607" t="e">
        <f t="shared" si="32"/>
        <v>#DIV/0!</v>
      </c>
      <c r="CA76" s="607" t="e">
        <f t="shared" ref="CA76:CU76" si="33">CA75/CA107</f>
        <v>#DIV/0!</v>
      </c>
      <c r="CB76" s="607" t="e">
        <f t="shared" si="33"/>
        <v>#DIV/0!</v>
      </c>
      <c r="CC76" s="607">
        <f t="shared" si="33"/>
        <v>1.2244897959183673E-2</v>
      </c>
      <c r="CD76" s="607">
        <f t="shared" si="33"/>
        <v>0</v>
      </c>
      <c r="CE76" s="607" t="e">
        <f t="shared" si="33"/>
        <v>#DIV/0!</v>
      </c>
      <c r="CF76" s="607">
        <f t="shared" si="33"/>
        <v>0</v>
      </c>
      <c r="CG76" s="607">
        <f t="shared" si="33"/>
        <v>0</v>
      </c>
      <c r="CH76" s="607">
        <f t="shared" si="33"/>
        <v>0</v>
      </c>
      <c r="CI76" s="607" t="e">
        <f t="shared" si="33"/>
        <v>#DIV/0!</v>
      </c>
      <c r="CJ76" s="607" t="e">
        <f t="shared" si="33"/>
        <v>#DIV/0!</v>
      </c>
      <c r="CK76" s="607">
        <f t="shared" si="33"/>
        <v>0</v>
      </c>
      <c r="CL76" s="607">
        <f t="shared" si="33"/>
        <v>0</v>
      </c>
      <c r="CM76" s="607">
        <f t="shared" si="33"/>
        <v>0</v>
      </c>
      <c r="CN76" s="607" t="e">
        <f t="shared" si="33"/>
        <v>#DIV/0!</v>
      </c>
      <c r="CO76" s="607">
        <f t="shared" si="33"/>
        <v>0</v>
      </c>
      <c r="CP76" s="607">
        <f t="shared" si="33"/>
        <v>0</v>
      </c>
      <c r="CQ76" s="607" t="e">
        <f t="shared" si="33"/>
        <v>#DIV/0!</v>
      </c>
      <c r="CR76" s="607">
        <f t="shared" si="33"/>
        <v>0</v>
      </c>
      <c r="CS76" s="607">
        <f t="shared" si="33"/>
        <v>0</v>
      </c>
      <c r="CT76" s="607">
        <f t="shared" si="33"/>
        <v>0</v>
      </c>
      <c r="CU76" s="607">
        <f t="shared" si="33"/>
        <v>0</v>
      </c>
    </row>
    <row r="77" spans="1:99" ht="16" customHeight="1">
      <c r="A77" s="815"/>
      <c r="B77" s="817"/>
      <c r="C77" s="805"/>
      <c r="D77" s="439" t="s">
        <v>4949</v>
      </c>
      <c r="E77" s="439">
        <v>62</v>
      </c>
      <c r="F77" s="440" t="s">
        <v>5154</v>
      </c>
      <c r="G77" s="808" t="s">
        <v>5763</v>
      </c>
      <c r="H77" s="442" t="s">
        <v>5140</v>
      </c>
      <c r="I77" s="443"/>
      <c r="J77" s="444"/>
      <c r="K77" s="2" t="s">
        <v>278</v>
      </c>
      <c r="L77" s="385"/>
      <c r="M77" s="351">
        <v>166</v>
      </c>
      <c r="N77" s="580">
        <f t="shared" si="25"/>
        <v>419</v>
      </c>
      <c r="O77" s="413">
        <f>SUMIFS('свод практик'!$CD$6:$CD$277,'свод практик'!$J$6:$J$277,'строго ИБ'!O$1,'свод практик'!$B$6:$B$277,"ИБ")</f>
        <v>2</v>
      </c>
      <c r="P77" s="413">
        <f>SUMIFS('свод практик'!$CD$6:$CD$277,'свод практик'!$J$6:$J$277,'строго ИБ'!P$1,'свод практик'!$B$6:$B$277,"ИБ")</f>
        <v>1</v>
      </c>
      <c r="Q77" s="413">
        <f>SUMIFS('свод практик'!$CD$6:$CD$277,'свод практик'!$J$6:$J$277,'строго ИБ'!Q$1,'свод практик'!$B$6:$B$277,"ИБ")</f>
        <v>7</v>
      </c>
      <c r="R77" s="413">
        <f>SUMIFS('свод практик'!$CD$6:$CD$277,'свод практик'!$J$6:$J$277,'строго ИБ'!R$1,'свод практик'!$B$6:$B$277,"ИБ")</f>
        <v>0</v>
      </c>
      <c r="S77" s="413">
        <f>SUMIFS('свод практик'!$CD$6:$CD$277,'свод практик'!$J$6:$J$277,'строго ИБ'!S$1,'свод практик'!$B$6:$B$277,"ИБ")</f>
        <v>0</v>
      </c>
      <c r="T77" s="413">
        <f>SUMIFS('свод практик'!$CD$6:$CD$277,'свод практик'!$J$6:$J$277,'строго ИБ'!T$1,'свод практик'!$B$6:$B$277,"ИБ")</f>
        <v>0</v>
      </c>
      <c r="U77" s="413">
        <f>SUMIFS('свод практик'!$CD$6:$CD$277,'свод практик'!$J$6:$J$277,'строго ИБ'!U$1,'свод практик'!$B$6:$B$277,"ИБ")</f>
        <v>21</v>
      </c>
      <c r="V77" s="413">
        <f>SUMIFS('свод практик'!$CD$6:$CD$277,'свод практик'!$J$6:$J$277,'строго ИБ'!V$1,'свод практик'!$B$6:$B$277,"ИБ")</f>
        <v>1</v>
      </c>
      <c r="W77" s="413">
        <f>SUMIFS('свод практик'!$CD$6:$CD$277,'свод практик'!$J$6:$J$277,'строго ИБ'!W$1,'свод практик'!$B$6:$B$277,"ИБ")</f>
        <v>34</v>
      </c>
      <c r="X77" s="413">
        <f>SUMIFS('свод практик'!$CD$6:$CD$277,'свод практик'!$J$6:$J$277,'строго ИБ'!X$1,'свод практик'!$B$6:$B$277,"ИБ")</f>
        <v>0</v>
      </c>
      <c r="Y77" s="413">
        <f>SUMIFS('свод практик'!$CD$6:$CD$277,'свод практик'!$J$6:$J$277,'строго ИБ'!Y$1,'свод практик'!$B$6:$B$277,"ИБ")</f>
        <v>0</v>
      </c>
      <c r="Z77" s="413">
        <f>SUMIFS('свод практик'!$CD$6:$CD$277,'свод практик'!$J$6:$J$277,'строго ИБ'!Z$1,'свод практик'!$B$6:$B$277,"ИБ")</f>
        <v>2</v>
      </c>
      <c r="AA77" s="413">
        <f>SUMIFS('свод практик'!$CD$6:$CD$277,'свод практик'!$J$6:$J$277,'строго ИБ'!AA$1,'свод практик'!$B$6:$B$277,"ИБ")</f>
        <v>54</v>
      </c>
      <c r="AB77" s="413">
        <f>SUMIFS('свод практик'!$CD$6:$CD$277,'свод практик'!$J$6:$J$277,'строго ИБ'!AB$1,'свод практик'!$B$6:$B$277,"ИБ")</f>
        <v>8</v>
      </c>
      <c r="AC77" s="413">
        <f>SUMIFS('свод практик'!$CD$6:$CD$277,'свод практик'!$J$6:$J$277,'строго ИБ'!AC$1,'свод практик'!$B$6:$B$277,"ИБ")</f>
        <v>0</v>
      </c>
      <c r="AD77" s="413">
        <f>SUMIFS('свод практик'!$CD$6:$CD$277,'свод практик'!$J$6:$J$277,'строго ИБ'!AD$1,'свод практик'!$B$6:$B$277,"ИБ")</f>
        <v>0</v>
      </c>
      <c r="AE77" s="413">
        <f>SUMIFS('свод практик'!$CD$6:$CD$277,'свод практик'!$J$6:$J$277,'строго ИБ'!AE$1,'свод практик'!$B$6:$B$277,"ИБ")</f>
        <v>0</v>
      </c>
      <c r="AF77" s="413">
        <f>SUMIFS('свод практик'!$CD$6:$CD$277,'свод практик'!$J$6:$J$277,'строго ИБ'!AF$1,'свод практик'!$B$6:$B$277,"ИБ")</f>
        <v>0</v>
      </c>
      <c r="AG77" s="413">
        <f>SUMIFS('свод практик'!$CD$6:$CD$277,'свод практик'!$J$6:$J$277,'строго ИБ'!AG$1,'свод практик'!$B$6:$B$277,"ИБ")</f>
        <v>0</v>
      </c>
      <c r="AH77" s="413">
        <f>SUMIFS('свод практик'!$CD$6:$CD$277,'свод практик'!$J$6:$J$277,'строго ИБ'!AH$1,'свод практик'!$B$6:$B$277,"ИБ")</f>
        <v>0</v>
      </c>
      <c r="AI77" s="413">
        <f>SUMIFS('свод практик'!$CD$6:$CD$277,'свод практик'!$J$6:$J$277,'строго ИБ'!AI$1,'свод практик'!$B$6:$B$277,"ИБ")</f>
        <v>0</v>
      </c>
      <c r="AJ77" s="413">
        <f>SUMIFS('свод практик'!$CD$6:$CD$277,'свод практик'!$J$6:$J$277,'строго ИБ'!AJ$1,'свод практик'!$B$6:$B$277,"ИБ")</f>
        <v>0</v>
      </c>
      <c r="AK77" s="413">
        <f>SUMIFS('свод практик'!$CD$6:$CD$277,'свод практик'!$J$6:$J$277,'строго ИБ'!AK$1,'свод практик'!$B$6:$B$277,"ИБ")</f>
        <v>0</v>
      </c>
      <c r="AL77" s="413">
        <f>SUMIFS('свод практик'!$CD$6:$CD$277,'свод практик'!$J$6:$J$277,'строго ИБ'!AL$1,'свод практик'!$B$6:$B$277,"ИБ")</f>
        <v>0</v>
      </c>
      <c r="AM77" s="413">
        <f>SUMIFS('свод практик'!$CD$6:$CD$277,'свод практик'!$J$6:$J$277,'строго ИБ'!AM$1,'свод практик'!$B$6:$B$277,"ИБ")</f>
        <v>0</v>
      </c>
      <c r="AN77" s="413">
        <f>SUMIFS('свод практик'!$CD$6:$CD$277,'свод практик'!$J$6:$J$277,'строго ИБ'!AN$1,'свод практик'!$B$6:$B$277,"ИБ")</f>
        <v>0</v>
      </c>
      <c r="AO77" s="413">
        <f>SUMIFS('свод практик'!$CD$6:$CD$277,'свод практик'!$J$6:$J$277,'строго ИБ'!AO$1,'свод практик'!$B$6:$B$277,"ИБ")</f>
        <v>0</v>
      </c>
      <c r="AP77" s="413">
        <f>SUMIFS('свод практик'!$CD$6:$CD$277,'свод практик'!$J$6:$J$277,'строго ИБ'!AP$1,'свод практик'!$B$6:$B$277,"ИБ")</f>
        <v>0</v>
      </c>
      <c r="AQ77" s="413">
        <f>SUMIFS('свод практик'!$CD$6:$CD$277,'свод практик'!$J$6:$J$277,'строго ИБ'!AQ$1,'свод практик'!$B$6:$B$277,"ИБ")</f>
        <v>14</v>
      </c>
      <c r="AR77" s="413">
        <f>SUMIFS('свод практик'!$CD$6:$CD$277,'свод практик'!$J$6:$J$277,'строго ИБ'!AR$1,'свод практик'!$B$6:$B$277,"ИБ")</f>
        <v>11</v>
      </c>
      <c r="AS77" s="413">
        <f>SUMIFS('свод практик'!$CD$6:$CD$277,'свод практик'!$J$6:$J$277,'строго ИБ'!AS$1,'свод практик'!$B$6:$B$277,"ИБ")</f>
        <v>0</v>
      </c>
      <c r="AT77" s="413">
        <f>SUMIFS('свод практик'!$CD$6:$CD$277,'свод практик'!$J$6:$J$277,'строго ИБ'!AT$1,'свод практик'!$B$6:$B$277,"ИБ")</f>
        <v>0</v>
      </c>
      <c r="AU77" s="413">
        <f>SUMIFS('свод практик'!$CD$6:$CD$277,'свод практик'!$J$6:$J$277,'строго ИБ'!AU$1,'свод практик'!$B$6:$B$277,"ИБ")</f>
        <v>0</v>
      </c>
      <c r="AV77" s="413">
        <f>SUMIFS('свод практик'!$CD$6:$CD$277,'свод практик'!$J$6:$J$277,'строго ИБ'!AV$1,'свод практик'!$B$6:$B$277,"ИБ")</f>
        <v>0</v>
      </c>
      <c r="AW77" s="413">
        <f>SUMIFS('свод практик'!$CD$6:$CD$277,'свод практик'!$J$6:$J$277,'строго ИБ'!AW$1,'свод практик'!$B$6:$B$277,"ИБ")</f>
        <v>0</v>
      </c>
      <c r="AX77" s="413">
        <f>SUMIFS('свод практик'!$CD$6:$CD$277,'свод практик'!$J$6:$J$277,'строго ИБ'!AX$1,'свод практик'!$B$6:$B$277,"ИБ")</f>
        <v>0</v>
      </c>
      <c r="AY77" s="413">
        <f>SUMIFS('свод практик'!$CD$6:$CD$277,'свод практик'!$J$6:$J$277,'строго ИБ'!AY$1,'свод практик'!$B$6:$B$277,"ИБ")</f>
        <v>1</v>
      </c>
      <c r="AZ77" s="413">
        <f>SUMIFS('свод практик'!$CD$6:$CD$277,'свод практик'!$J$6:$J$277,'строго ИБ'!AZ$1,'свод практик'!$B$6:$B$277,"ИБ")</f>
        <v>0</v>
      </c>
      <c r="BA77" s="413">
        <f>SUMIFS('свод практик'!$CD$6:$CD$277,'свод практик'!$J$6:$J$277,'строго ИБ'!BA$1,'свод практик'!$B$6:$B$277,"ИБ")</f>
        <v>0</v>
      </c>
      <c r="BB77" s="413">
        <f>SUMIFS('свод практик'!$CD$6:$CD$277,'свод практик'!$J$6:$J$277,'строго ИБ'!BB$1,'свод практик'!$B$6:$B$277,"ИБ")</f>
        <v>15</v>
      </c>
      <c r="BC77" s="413">
        <f>SUMIFS('свод практик'!$CD$6:$CD$277,'свод практик'!$J$6:$J$277,'строго ИБ'!BC$1,'свод практик'!$B$6:$B$277,"ИБ")</f>
        <v>0</v>
      </c>
      <c r="BD77" s="413">
        <f>SUMIFS('свод практик'!$CD$6:$CD$277,'свод практик'!$J$6:$J$277,'строго ИБ'!BD$1,'свод практик'!$B$6:$B$277,"ИБ")</f>
        <v>0</v>
      </c>
      <c r="BE77" s="413">
        <f>SUMIFS('свод практик'!$CD$6:$CD$277,'свод практик'!$J$6:$J$277,'строго ИБ'!BE$1,'свод практик'!$B$6:$B$277,"ИБ")</f>
        <v>0</v>
      </c>
      <c r="BF77" s="413">
        <f>SUMIFS('свод практик'!$CD$6:$CD$277,'свод практик'!$J$6:$J$277,'строго ИБ'!BF$1,'свод практик'!$B$6:$B$277,"ИБ")</f>
        <v>0</v>
      </c>
      <c r="BG77" s="413">
        <f>SUMIFS('свод практик'!$CD$6:$CD$277,'свод практик'!$J$6:$J$277,'строго ИБ'!BG$1,'свод практик'!$B$6:$B$277,"ИБ")</f>
        <v>3</v>
      </c>
      <c r="BH77" s="413">
        <f>SUMIFS('свод практик'!$CD$6:$CD$277,'свод практик'!$J$6:$J$277,'строго ИБ'!BH$1,'свод практик'!$B$6:$B$277,"ИБ")</f>
        <v>73</v>
      </c>
      <c r="BI77" s="413">
        <f>SUMIFS('свод практик'!$CD$6:$CD$277,'свод практик'!$J$6:$J$277,'строго ИБ'!BI$1,'свод практик'!$B$6:$B$277,"ИБ")</f>
        <v>0</v>
      </c>
      <c r="BJ77" s="413">
        <f>SUMIFS('свод практик'!$CD$6:$CD$277,'свод практик'!$J$6:$J$277,'строго ИБ'!BJ$1,'свод практик'!$B$6:$B$277,"ИБ")</f>
        <v>15</v>
      </c>
      <c r="BK77" s="413">
        <f>SUMIFS('свод практик'!$CD$6:$CD$277,'свод практик'!$J$6:$J$277,'строго ИБ'!BK$1,'свод практик'!$B$6:$B$277,"ИБ")</f>
        <v>0</v>
      </c>
      <c r="BL77" s="413">
        <f>SUMIFS('свод практик'!$CD$6:$CD$277,'свод практик'!$J$6:$J$277,'строго ИБ'!BL$1,'свод практик'!$B$6:$B$277,"ИБ")</f>
        <v>8</v>
      </c>
      <c r="BM77" s="413">
        <f>SUMIFS('свод практик'!$CD$6:$CD$277,'свод практик'!$J$6:$J$277,'строго ИБ'!BM$1,'свод практик'!$B$6:$B$277,"ИБ")</f>
        <v>0</v>
      </c>
      <c r="BN77" s="413">
        <f>SUMIFS('свод практик'!$CD$6:$CD$277,'свод практик'!$J$6:$J$277,'строго ИБ'!BN$1,'свод практик'!$B$6:$B$277,"ИБ")</f>
        <v>0</v>
      </c>
      <c r="BO77" s="413">
        <f>SUMIFS('свод практик'!$CD$6:$CD$277,'свод практик'!$J$6:$J$277,'строго ИБ'!BO$1,'свод практик'!$B$6:$B$277,"ИБ")</f>
        <v>26</v>
      </c>
      <c r="BP77" s="413">
        <f>SUMIFS('свод практик'!$CD$6:$CD$277,'свод практик'!$J$6:$J$277,'строго ИБ'!BP$1,'свод практик'!$B$6:$B$277,"ИБ")</f>
        <v>0</v>
      </c>
      <c r="BQ77" s="413">
        <f>SUMIFS('свод практик'!$CD$6:$CD$277,'свод практик'!$J$6:$J$277,'строго ИБ'!BQ$1,'свод практик'!$B$6:$B$277,"ИБ")</f>
        <v>0</v>
      </c>
      <c r="BR77" s="413">
        <f>SUMIFS('свод практик'!$CD$6:$CD$277,'свод практик'!$J$6:$J$277,'строго ИБ'!BR$1,'свод практик'!$B$6:$B$277,"ИБ")</f>
        <v>4</v>
      </c>
      <c r="BS77" s="413">
        <f>SUMIFS('свод практик'!$CD$6:$CD$277,'свод практик'!$J$6:$J$277,'строго ИБ'!BS$1,'свод практик'!$B$6:$B$277,"ИБ")</f>
        <v>20</v>
      </c>
      <c r="BT77" s="413">
        <f>SUMIFS('свод практик'!$CD$6:$CD$277,'свод практик'!$J$6:$J$277,'строго ИБ'!BT$1,'свод практик'!$B$6:$B$277,"ИБ")</f>
        <v>13</v>
      </c>
      <c r="BU77" s="413">
        <f>SUMIFS('свод практик'!$CD$6:$CD$277,'свод практик'!$J$6:$J$277,'строго ИБ'!BU$1,'свод практик'!$B$6:$B$277,"ИБ")</f>
        <v>0</v>
      </c>
      <c r="BV77" s="413">
        <f>SUMIFS('свод практик'!$CD$6:$CD$277,'свод практик'!$J$6:$J$277,'строго ИБ'!BV$1,'свод практик'!$B$6:$B$277,"ИБ")</f>
        <v>0</v>
      </c>
      <c r="BW77" s="413">
        <f>SUMIFS('свод практик'!$CD$6:$CD$277,'свод практик'!$J$6:$J$277,'строго ИБ'!BW$1,'свод практик'!$B$6:$B$277,"ИБ")</f>
        <v>10</v>
      </c>
      <c r="BX77" s="413">
        <f>SUMIFS('свод практик'!$CD$6:$CD$277,'свод практик'!$J$6:$J$277,'строго ИБ'!BX$1,'свод практик'!$B$6:$B$277,"ИБ")</f>
        <v>6</v>
      </c>
      <c r="BY77" s="413">
        <f>SUMIFS('свод практик'!$CD$6:$CD$277,'свод практик'!$J$6:$J$277,'строго ИБ'!BY$1,'свод практик'!$B$6:$B$277,"ИБ")</f>
        <v>0</v>
      </c>
      <c r="BZ77" s="413">
        <f>SUMIFS('свод практик'!$CD$6:$CD$277,'свод практик'!$J$6:$J$277,'строго ИБ'!BZ$1,'свод практик'!$B$6:$B$277,"ИБ")</f>
        <v>0</v>
      </c>
      <c r="CA77" s="413">
        <f>SUMIFS('свод практик'!$CD$6:$CD$277,'свод практик'!$J$6:$J$277,'строго ИБ'!CA$1,'свод практик'!$B$6:$B$277,"ИБ")</f>
        <v>0</v>
      </c>
      <c r="CB77" s="413">
        <f>SUMIFS('свод практик'!$CD$6:$CD$277,'свод практик'!$J$6:$J$277,'строго ИБ'!CB$1,'свод практик'!$B$6:$B$277,"ИБ")</f>
        <v>0</v>
      </c>
      <c r="CC77" s="413">
        <f>SUMIFS('свод практик'!$CD$6:$CD$277,'свод практик'!$J$6:$J$277,'строго ИБ'!CC$1,'свод практик'!$B$6:$B$277,"ИБ")</f>
        <v>0</v>
      </c>
      <c r="CD77" s="413">
        <f>SUMIFS('свод практик'!$CD$6:$CD$277,'свод практик'!$J$6:$J$277,'строго ИБ'!CD$1,'свод практик'!$B$6:$B$277,"ИБ")</f>
        <v>27</v>
      </c>
      <c r="CE77" s="413">
        <f>SUMIFS('свод практик'!$CD$6:$CD$277,'свод практик'!$J$6:$J$277,'строго ИБ'!CE$1,'свод практик'!$B$6:$B$277,"ИБ")</f>
        <v>0</v>
      </c>
      <c r="CF77" s="413">
        <f>SUMIFS('свод практик'!$CD$6:$CD$277,'свод практик'!$J$6:$J$277,'строго ИБ'!CF$1,'свод практик'!$B$6:$B$277,"ИБ")</f>
        <v>0</v>
      </c>
      <c r="CG77" s="413">
        <f>SUMIFS('свод практик'!$CD$6:$CD$277,'свод практик'!$J$6:$J$277,'строго ИБ'!CG$1,'свод практик'!$B$6:$B$277,"ИБ")</f>
        <v>10</v>
      </c>
      <c r="CH77" s="413">
        <f>SUMIFS('свод практик'!$CD$6:$CD$277,'свод практик'!$J$6:$J$277,'строго ИБ'!CH$1,'свод практик'!$B$6:$B$277,"ИБ")</f>
        <v>0</v>
      </c>
      <c r="CI77" s="413">
        <f>SUMIFS('свод практик'!$CD$6:$CD$277,'свод практик'!$J$6:$J$277,'строго ИБ'!CI$1,'свод практик'!$B$6:$B$277,"ИБ")</f>
        <v>0</v>
      </c>
      <c r="CJ77" s="413">
        <f>SUMIFS('свод практик'!$CD$6:$CD$277,'свод практик'!$J$6:$J$277,'строго ИБ'!CJ$1,'свод практик'!$B$6:$B$277,"ИБ")</f>
        <v>0</v>
      </c>
      <c r="CK77" s="413">
        <f>SUMIFS('свод практик'!$CD$6:$CD$277,'свод практик'!$J$6:$J$277,'строго ИБ'!CK$1,'свод практик'!$B$6:$B$277,"ИБ")</f>
        <v>5</v>
      </c>
      <c r="CL77" s="413">
        <f>SUMIFS('свод практик'!$CD$6:$CD$277,'свод практик'!$J$6:$J$277,'строго ИБ'!CL$1,'свод практик'!$B$6:$B$277,"ИБ")</f>
        <v>13</v>
      </c>
      <c r="CM77" s="413">
        <f>SUMIFS('свод практик'!$CD$6:$CD$277,'свод практик'!$J$6:$J$277,'строго ИБ'!CM$1,'свод практик'!$B$6:$B$277,"ИБ")</f>
        <v>4</v>
      </c>
      <c r="CN77" s="413">
        <f>SUMIFS('свод практик'!$CD$6:$CD$277,'свод практик'!$J$6:$J$277,'строго ИБ'!CN$1,'свод практик'!$B$6:$B$277,"ИБ")</f>
        <v>0</v>
      </c>
      <c r="CO77" s="413">
        <f>SUMIFS('свод практик'!$CD$6:$CD$277,'свод практик'!$J$6:$J$277,'строго ИБ'!CO$1,'свод практик'!$B$6:$B$277,"ИБ")</f>
        <v>4</v>
      </c>
      <c r="CP77" s="413">
        <f>SUMIFS('свод практик'!$CD$6:$CD$277,'свод практик'!$J$6:$J$277,'строго ИБ'!CP$1,'свод практик'!$B$6:$B$277,"ИБ")</f>
        <v>0</v>
      </c>
      <c r="CQ77" s="413">
        <f>SUMIFS('свод практик'!$CD$6:$CD$277,'свод практик'!$J$6:$J$277,'строго ИБ'!CQ$1,'свод практик'!$B$6:$B$277,"ИБ")</f>
        <v>0</v>
      </c>
      <c r="CR77" s="413">
        <f>SUMIFS('свод практик'!$CD$6:$CD$277,'свод практик'!$J$6:$J$277,'строго ИБ'!CR$1,'свод практик'!$B$6:$B$277,"ИБ")</f>
        <v>0</v>
      </c>
      <c r="CS77" s="413">
        <f>SUMIFS('свод практик'!$CD$6:$CD$277,'свод практик'!$J$6:$J$277,'строго ИБ'!CS$1,'свод практик'!$B$6:$B$277,"ИБ")</f>
        <v>0</v>
      </c>
      <c r="CT77" s="413">
        <f>SUMIFS('свод практик'!$CD$6:$CD$277,'свод практик'!$J$6:$J$277,'строго ИБ'!CT$1,'свод практик'!$B$6:$B$277,"ИБ")</f>
        <v>3</v>
      </c>
      <c r="CU77" s="413">
        <f>SUMIFS('свод практик'!$CD$6:$CD$277,'свод практик'!$J$6:$J$277,'строго ИБ'!CU$1,'свод практик'!$B$6:$B$277,"ИБ")</f>
        <v>4</v>
      </c>
    </row>
    <row r="78" spans="1:99" ht="21" customHeight="1">
      <c r="A78" s="815"/>
      <c r="B78" s="817"/>
      <c r="C78" s="805"/>
      <c r="D78" s="439" t="s">
        <v>4949</v>
      </c>
      <c r="E78" s="439">
        <v>63</v>
      </c>
      <c r="F78" s="440" t="s">
        <v>5156</v>
      </c>
      <c r="G78" s="808"/>
      <c r="H78" s="442" t="s">
        <v>60</v>
      </c>
      <c r="I78" s="443"/>
      <c r="J78" s="444"/>
      <c r="K78" s="2"/>
      <c r="L78" s="383"/>
      <c r="M78" s="384">
        <v>2.4379497723601116E-2</v>
      </c>
      <c r="N78" s="607">
        <f>N77/N107</f>
        <v>4.0778588807785891E-2</v>
      </c>
      <c r="O78" s="607">
        <f t="shared" ref="O78:BZ78" si="34">O77/O107</f>
        <v>0.33333333333333331</v>
      </c>
      <c r="P78" s="607">
        <f t="shared" si="34"/>
        <v>0.16666666666666666</v>
      </c>
      <c r="Q78" s="607">
        <f t="shared" si="34"/>
        <v>3.4313725490196081E-2</v>
      </c>
      <c r="R78" s="607">
        <f t="shared" si="34"/>
        <v>0</v>
      </c>
      <c r="S78" s="607">
        <f t="shared" si="34"/>
        <v>0</v>
      </c>
      <c r="T78" s="607">
        <f t="shared" si="34"/>
        <v>0</v>
      </c>
      <c r="U78" s="607">
        <f t="shared" si="34"/>
        <v>1.6153846153846154E-2</v>
      </c>
      <c r="V78" s="607">
        <f t="shared" si="34"/>
        <v>1.282051282051282E-2</v>
      </c>
      <c r="W78" s="607">
        <f t="shared" si="34"/>
        <v>0.38202247191011235</v>
      </c>
      <c r="X78" s="607" t="e">
        <f t="shared" si="34"/>
        <v>#DIV/0!</v>
      </c>
      <c r="Y78" s="607" t="e">
        <f t="shared" si="34"/>
        <v>#DIV/0!</v>
      </c>
      <c r="Z78" s="607">
        <f t="shared" si="34"/>
        <v>2.1505376344086023E-2</v>
      </c>
      <c r="AA78" s="607">
        <f t="shared" si="34"/>
        <v>6.0470324748040316E-2</v>
      </c>
      <c r="AB78" s="607">
        <f t="shared" si="34"/>
        <v>0.12307692307692308</v>
      </c>
      <c r="AC78" s="607" t="e">
        <f t="shared" si="34"/>
        <v>#DIV/0!</v>
      </c>
      <c r="AD78" s="607" t="e">
        <f t="shared" si="34"/>
        <v>#DIV/0!</v>
      </c>
      <c r="AE78" s="607" t="e">
        <f t="shared" si="34"/>
        <v>#DIV/0!</v>
      </c>
      <c r="AF78" s="607" t="e">
        <f t="shared" si="34"/>
        <v>#DIV/0!</v>
      </c>
      <c r="AG78" s="607" t="e">
        <f t="shared" si="34"/>
        <v>#DIV/0!</v>
      </c>
      <c r="AH78" s="607" t="e">
        <f t="shared" si="34"/>
        <v>#DIV/0!</v>
      </c>
      <c r="AI78" s="607" t="e">
        <f t="shared" si="34"/>
        <v>#DIV/0!</v>
      </c>
      <c r="AJ78" s="607" t="e">
        <f t="shared" si="34"/>
        <v>#DIV/0!</v>
      </c>
      <c r="AK78" s="607">
        <f t="shared" si="34"/>
        <v>0</v>
      </c>
      <c r="AL78" s="607">
        <f t="shared" si="34"/>
        <v>0</v>
      </c>
      <c r="AM78" s="607" t="e">
        <f t="shared" si="34"/>
        <v>#DIV/0!</v>
      </c>
      <c r="AN78" s="607" t="e">
        <f t="shared" si="34"/>
        <v>#DIV/0!</v>
      </c>
      <c r="AO78" s="607">
        <f t="shared" si="34"/>
        <v>0</v>
      </c>
      <c r="AP78" s="607">
        <f t="shared" si="34"/>
        <v>0</v>
      </c>
      <c r="AQ78" s="607">
        <f t="shared" si="34"/>
        <v>3.9215686274509803E-2</v>
      </c>
      <c r="AR78" s="607">
        <f t="shared" si="34"/>
        <v>3.9855072463768113E-2</v>
      </c>
      <c r="AS78" s="607" t="e">
        <f t="shared" si="34"/>
        <v>#DIV/0!</v>
      </c>
      <c r="AT78" s="607" t="e">
        <f t="shared" si="34"/>
        <v>#DIV/0!</v>
      </c>
      <c r="AU78" s="607">
        <f t="shared" si="34"/>
        <v>0</v>
      </c>
      <c r="AV78" s="607" t="e">
        <f t="shared" si="34"/>
        <v>#DIV/0!</v>
      </c>
      <c r="AW78" s="607">
        <f t="shared" si="34"/>
        <v>0</v>
      </c>
      <c r="AX78" s="607" t="e">
        <f t="shared" si="34"/>
        <v>#DIV/0!</v>
      </c>
      <c r="AY78" s="607">
        <f t="shared" si="34"/>
        <v>0.125</v>
      </c>
      <c r="AZ78" s="607" t="e">
        <f t="shared" si="34"/>
        <v>#DIV/0!</v>
      </c>
      <c r="BA78" s="607" t="e">
        <f t="shared" si="34"/>
        <v>#DIV/0!</v>
      </c>
      <c r="BB78" s="607">
        <f t="shared" si="34"/>
        <v>0.35714285714285715</v>
      </c>
      <c r="BC78" s="607" t="e">
        <f t="shared" si="34"/>
        <v>#DIV/0!</v>
      </c>
      <c r="BD78" s="607" t="e">
        <f t="shared" si="34"/>
        <v>#DIV/0!</v>
      </c>
      <c r="BE78" s="607">
        <f t="shared" si="34"/>
        <v>0</v>
      </c>
      <c r="BF78" s="607">
        <f t="shared" si="34"/>
        <v>0</v>
      </c>
      <c r="BG78" s="607">
        <f t="shared" si="34"/>
        <v>0.13043478260869565</v>
      </c>
      <c r="BH78" s="607">
        <f t="shared" si="34"/>
        <v>0.12310286677908938</v>
      </c>
      <c r="BI78" s="607">
        <f t="shared" si="34"/>
        <v>0</v>
      </c>
      <c r="BJ78" s="607">
        <f t="shared" si="34"/>
        <v>7.3891625615763554E-2</v>
      </c>
      <c r="BK78" s="607" t="e">
        <f t="shared" si="34"/>
        <v>#DIV/0!</v>
      </c>
      <c r="BL78" s="607">
        <f t="shared" si="34"/>
        <v>5.4421768707482991E-2</v>
      </c>
      <c r="BM78" s="607">
        <f t="shared" si="34"/>
        <v>0</v>
      </c>
      <c r="BN78" s="607" t="e">
        <f t="shared" si="34"/>
        <v>#DIV/0!</v>
      </c>
      <c r="BO78" s="607">
        <f t="shared" si="34"/>
        <v>0.2</v>
      </c>
      <c r="BP78" s="607" t="e">
        <f t="shared" si="34"/>
        <v>#DIV/0!</v>
      </c>
      <c r="BQ78" s="607" t="e">
        <f t="shared" si="34"/>
        <v>#DIV/0!</v>
      </c>
      <c r="BR78" s="607">
        <f t="shared" si="34"/>
        <v>3.8834951456310676E-2</v>
      </c>
      <c r="BS78" s="607">
        <f t="shared" si="34"/>
        <v>0.10869565217391304</v>
      </c>
      <c r="BT78" s="607">
        <f t="shared" si="34"/>
        <v>2.333931777378815E-2</v>
      </c>
      <c r="BU78" s="607">
        <f t="shared" si="34"/>
        <v>0</v>
      </c>
      <c r="BV78" s="607">
        <f t="shared" si="34"/>
        <v>0</v>
      </c>
      <c r="BW78" s="607">
        <f t="shared" si="34"/>
        <v>2.2573363431151242E-2</v>
      </c>
      <c r="BX78" s="607">
        <f t="shared" si="34"/>
        <v>3.4090909090909088E-2</v>
      </c>
      <c r="BY78" s="607">
        <f t="shared" si="34"/>
        <v>0</v>
      </c>
      <c r="BZ78" s="607" t="e">
        <f t="shared" si="34"/>
        <v>#DIV/0!</v>
      </c>
      <c r="CA78" s="607" t="e">
        <f t="shared" ref="CA78:CU78" si="35">CA77/CA107</f>
        <v>#DIV/0!</v>
      </c>
      <c r="CB78" s="607" t="e">
        <f t="shared" si="35"/>
        <v>#DIV/0!</v>
      </c>
      <c r="CC78" s="607">
        <f t="shared" si="35"/>
        <v>0</v>
      </c>
      <c r="CD78" s="607">
        <f t="shared" si="35"/>
        <v>0.05</v>
      </c>
      <c r="CE78" s="607" t="e">
        <f t="shared" si="35"/>
        <v>#DIV/0!</v>
      </c>
      <c r="CF78" s="607">
        <f t="shared" si="35"/>
        <v>0</v>
      </c>
      <c r="CG78" s="607">
        <f t="shared" si="35"/>
        <v>0.1388888888888889</v>
      </c>
      <c r="CH78" s="607">
        <f t="shared" si="35"/>
        <v>0</v>
      </c>
      <c r="CI78" s="607" t="e">
        <f t="shared" si="35"/>
        <v>#DIV/0!</v>
      </c>
      <c r="CJ78" s="607" t="e">
        <f t="shared" si="35"/>
        <v>#DIV/0!</v>
      </c>
      <c r="CK78" s="607">
        <f t="shared" si="35"/>
        <v>4.5871559633027525E-2</v>
      </c>
      <c r="CL78" s="607">
        <f t="shared" si="35"/>
        <v>8.8435374149659865E-2</v>
      </c>
      <c r="CM78" s="607">
        <f t="shared" si="35"/>
        <v>9.7560975609756101E-2</v>
      </c>
      <c r="CN78" s="607" t="e">
        <f t="shared" si="35"/>
        <v>#DIV/0!</v>
      </c>
      <c r="CO78" s="607">
        <f t="shared" si="35"/>
        <v>2.1164021164021163E-2</v>
      </c>
      <c r="CP78" s="607">
        <f t="shared" si="35"/>
        <v>0</v>
      </c>
      <c r="CQ78" s="607" t="e">
        <f t="shared" si="35"/>
        <v>#DIV/0!</v>
      </c>
      <c r="CR78" s="607">
        <f t="shared" si="35"/>
        <v>0</v>
      </c>
      <c r="CS78" s="607">
        <f t="shared" si="35"/>
        <v>0</v>
      </c>
      <c r="CT78" s="607">
        <f t="shared" si="35"/>
        <v>3.7037037037037035E-2</v>
      </c>
      <c r="CU78" s="607">
        <f t="shared" si="35"/>
        <v>8.0482897384305842E-3</v>
      </c>
    </row>
    <row r="79" spans="1:99" ht="16.5" customHeight="1">
      <c r="A79" s="815"/>
      <c r="B79" s="817"/>
      <c r="C79" s="805"/>
      <c r="D79" s="439" t="s">
        <v>4949</v>
      </c>
      <c r="E79" s="439">
        <v>64</v>
      </c>
      <c r="F79" s="440" t="s">
        <v>5157</v>
      </c>
      <c r="G79" s="808" t="s">
        <v>5764</v>
      </c>
      <c r="H79" s="442" t="s">
        <v>5140</v>
      </c>
      <c r="I79" s="443"/>
      <c r="J79" s="444"/>
      <c r="K79" s="2" t="s">
        <v>278</v>
      </c>
      <c r="L79" s="385"/>
      <c r="M79" s="351">
        <v>391</v>
      </c>
      <c r="N79" s="580">
        <f t="shared" si="25"/>
        <v>775</v>
      </c>
      <c r="O79" s="413">
        <f>SUMIFS('свод практик'!$CE$6:$CE$277,'свод практик'!$J$6:$J$277,'строго ИБ'!O$1,'свод практик'!$B$6:$B$277,"ИБ")</f>
        <v>0</v>
      </c>
      <c r="P79" s="413">
        <f>SUMIFS('свод практик'!$CE$6:$CE$277,'свод практик'!$J$6:$J$277,'строго ИБ'!P$1,'свод практик'!$B$6:$B$277,"ИБ")</f>
        <v>0</v>
      </c>
      <c r="Q79" s="413">
        <f>SUMIFS('свод практик'!$CE$6:$CE$277,'свод практик'!$J$6:$J$277,'строго ИБ'!Q$1,'свод практик'!$B$6:$B$277,"ИБ")</f>
        <v>0</v>
      </c>
      <c r="R79" s="413">
        <f>SUMIFS('свод практик'!$CE$6:$CE$277,'свод практик'!$J$6:$J$277,'строго ИБ'!R$1,'свод практик'!$B$6:$B$277,"ИБ")</f>
        <v>0</v>
      </c>
      <c r="S79" s="413">
        <f>SUMIFS('свод практик'!$CE$6:$CE$277,'свод практик'!$J$6:$J$277,'строго ИБ'!S$1,'свод практик'!$B$6:$B$277,"ИБ")</f>
        <v>3</v>
      </c>
      <c r="T79" s="413">
        <f>SUMIFS('свод практик'!$CE$6:$CE$277,'свод практик'!$J$6:$J$277,'строго ИБ'!T$1,'свод практик'!$B$6:$B$277,"ИБ")</f>
        <v>0</v>
      </c>
      <c r="U79" s="413">
        <f>SUMIFS('свод практик'!$CE$6:$CE$277,'свод практик'!$J$6:$J$277,'строго ИБ'!U$1,'свод практик'!$B$6:$B$277,"ИБ")</f>
        <v>212</v>
      </c>
      <c r="V79" s="413">
        <f>SUMIFS('свод практик'!$CE$6:$CE$277,'свод практик'!$J$6:$J$277,'строго ИБ'!V$1,'свод практик'!$B$6:$B$277,"ИБ")</f>
        <v>0</v>
      </c>
      <c r="W79" s="413">
        <f>SUMIFS('свод практик'!$CE$6:$CE$277,'свод практик'!$J$6:$J$277,'строго ИБ'!W$1,'свод практик'!$B$6:$B$277,"ИБ")</f>
        <v>0</v>
      </c>
      <c r="X79" s="413">
        <f>SUMIFS('свод практик'!$CE$6:$CE$277,'свод практик'!$J$6:$J$277,'строго ИБ'!X$1,'свод практик'!$B$6:$B$277,"ИБ")</f>
        <v>0</v>
      </c>
      <c r="Y79" s="413">
        <f>SUMIFS('свод практик'!$CE$6:$CE$277,'свод практик'!$J$6:$J$277,'строго ИБ'!Y$1,'свод практик'!$B$6:$B$277,"ИБ")</f>
        <v>0</v>
      </c>
      <c r="Z79" s="413">
        <f>SUMIFS('свод практик'!$CE$6:$CE$277,'свод практик'!$J$6:$J$277,'строго ИБ'!Z$1,'свод практик'!$B$6:$B$277,"ИБ")</f>
        <v>6</v>
      </c>
      <c r="AA79" s="413">
        <f>SUMIFS('свод практик'!$CE$6:$CE$277,'свод практик'!$J$6:$J$277,'строго ИБ'!AA$1,'свод практик'!$B$6:$B$277,"ИБ")</f>
        <v>0</v>
      </c>
      <c r="AB79" s="413">
        <f>SUMIFS('свод практик'!$CE$6:$CE$277,'свод практик'!$J$6:$J$277,'строго ИБ'!AB$1,'свод практик'!$B$6:$B$277,"ИБ")</f>
        <v>0</v>
      </c>
      <c r="AC79" s="413">
        <f>SUMIFS('свод практик'!$CE$6:$CE$277,'свод практик'!$J$6:$J$277,'строго ИБ'!AC$1,'свод практик'!$B$6:$B$277,"ИБ")</f>
        <v>0</v>
      </c>
      <c r="AD79" s="413">
        <f>SUMIFS('свод практик'!$CE$6:$CE$277,'свод практик'!$J$6:$J$277,'строго ИБ'!AD$1,'свод практик'!$B$6:$B$277,"ИБ")</f>
        <v>0</v>
      </c>
      <c r="AE79" s="413">
        <f>SUMIFS('свод практик'!$CE$6:$CE$277,'свод практик'!$J$6:$J$277,'строго ИБ'!AE$1,'свод практик'!$B$6:$B$277,"ИБ")</f>
        <v>0</v>
      </c>
      <c r="AF79" s="413">
        <f>SUMIFS('свод практик'!$CE$6:$CE$277,'свод практик'!$J$6:$J$277,'строго ИБ'!AF$1,'свод практик'!$B$6:$B$277,"ИБ")</f>
        <v>0</v>
      </c>
      <c r="AG79" s="413">
        <f>SUMIFS('свод практик'!$CE$6:$CE$277,'свод практик'!$J$6:$J$277,'строго ИБ'!AG$1,'свод практик'!$B$6:$B$277,"ИБ")</f>
        <v>0</v>
      </c>
      <c r="AH79" s="413">
        <f>SUMIFS('свод практик'!$CE$6:$CE$277,'свод практик'!$J$6:$J$277,'строго ИБ'!AH$1,'свод практик'!$B$6:$B$277,"ИБ")</f>
        <v>0</v>
      </c>
      <c r="AI79" s="413">
        <f>SUMIFS('свод практик'!$CE$6:$CE$277,'свод практик'!$J$6:$J$277,'строго ИБ'!AI$1,'свод практик'!$B$6:$B$277,"ИБ")</f>
        <v>0</v>
      </c>
      <c r="AJ79" s="413">
        <f>SUMIFS('свод практик'!$CE$6:$CE$277,'свод практик'!$J$6:$J$277,'строго ИБ'!AJ$1,'свод практик'!$B$6:$B$277,"ИБ")</f>
        <v>0</v>
      </c>
      <c r="AK79" s="413">
        <f>SUMIFS('свод практик'!$CE$6:$CE$277,'свод практик'!$J$6:$J$277,'строго ИБ'!AK$1,'свод практик'!$B$6:$B$277,"ИБ")</f>
        <v>0</v>
      </c>
      <c r="AL79" s="413">
        <f>SUMIFS('свод практик'!$CE$6:$CE$277,'свод практик'!$J$6:$J$277,'строго ИБ'!AL$1,'свод практик'!$B$6:$B$277,"ИБ")</f>
        <v>0</v>
      </c>
      <c r="AM79" s="413">
        <f>SUMIFS('свод практик'!$CE$6:$CE$277,'свод практик'!$J$6:$J$277,'строго ИБ'!AM$1,'свод практик'!$B$6:$B$277,"ИБ")</f>
        <v>0</v>
      </c>
      <c r="AN79" s="413">
        <f>SUMIFS('свод практик'!$CE$6:$CE$277,'свод практик'!$J$6:$J$277,'строго ИБ'!AN$1,'свод практик'!$B$6:$B$277,"ИБ")</f>
        <v>0</v>
      </c>
      <c r="AO79" s="413">
        <f>SUMIFS('свод практик'!$CE$6:$CE$277,'свод практик'!$J$6:$J$277,'строго ИБ'!AO$1,'свод практик'!$B$6:$B$277,"ИБ")</f>
        <v>7</v>
      </c>
      <c r="AP79" s="413">
        <f>SUMIFS('свод практик'!$CE$6:$CE$277,'свод практик'!$J$6:$J$277,'строго ИБ'!AP$1,'свод практик'!$B$6:$B$277,"ИБ")</f>
        <v>4</v>
      </c>
      <c r="AQ79" s="413">
        <f>SUMIFS('свод практик'!$CE$6:$CE$277,'свод практик'!$J$6:$J$277,'строго ИБ'!AQ$1,'свод практик'!$B$6:$B$277,"ИБ")</f>
        <v>10</v>
      </c>
      <c r="AR79" s="413">
        <f>SUMIFS('свод практик'!$CE$6:$CE$277,'свод практик'!$J$6:$J$277,'строго ИБ'!AR$1,'свод практик'!$B$6:$B$277,"ИБ")</f>
        <v>28</v>
      </c>
      <c r="AS79" s="413">
        <f>SUMIFS('свод практик'!$CE$6:$CE$277,'свод практик'!$J$6:$J$277,'строго ИБ'!AS$1,'свод практик'!$B$6:$B$277,"ИБ")</f>
        <v>0</v>
      </c>
      <c r="AT79" s="413">
        <f>SUMIFS('свод практик'!$CE$6:$CE$277,'свод практик'!$J$6:$J$277,'строго ИБ'!AT$1,'свод практик'!$B$6:$B$277,"ИБ")</f>
        <v>0</v>
      </c>
      <c r="AU79" s="413">
        <f>SUMIFS('свод практик'!$CE$6:$CE$277,'свод практик'!$J$6:$J$277,'строго ИБ'!AU$1,'свод практик'!$B$6:$B$277,"ИБ")</f>
        <v>0</v>
      </c>
      <c r="AV79" s="413">
        <f>SUMIFS('свод практик'!$CE$6:$CE$277,'свод практик'!$J$6:$J$277,'строго ИБ'!AV$1,'свод практик'!$B$6:$B$277,"ИБ")</f>
        <v>0</v>
      </c>
      <c r="AW79" s="413">
        <f>SUMIFS('свод практик'!$CE$6:$CE$277,'свод практик'!$J$6:$J$277,'строго ИБ'!AW$1,'свод практик'!$B$6:$B$277,"ИБ")</f>
        <v>13</v>
      </c>
      <c r="AX79" s="413">
        <f>SUMIFS('свод практик'!$CE$6:$CE$277,'свод практик'!$J$6:$J$277,'строго ИБ'!AX$1,'свод практик'!$B$6:$B$277,"ИБ")</f>
        <v>0</v>
      </c>
      <c r="AY79" s="413">
        <f>SUMIFS('свод практик'!$CE$6:$CE$277,'свод практик'!$J$6:$J$277,'строго ИБ'!AY$1,'свод практик'!$B$6:$B$277,"ИБ")</f>
        <v>4</v>
      </c>
      <c r="AZ79" s="413">
        <f>SUMIFS('свод практик'!$CE$6:$CE$277,'свод практик'!$J$6:$J$277,'строго ИБ'!AZ$1,'свод практик'!$B$6:$B$277,"ИБ")</f>
        <v>0</v>
      </c>
      <c r="BA79" s="413">
        <f>SUMIFS('свод практик'!$CE$6:$CE$277,'свод практик'!$J$6:$J$277,'строго ИБ'!BA$1,'свод практик'!$B$6:$B$277,"ИБ")</f>
        <v>0</v>
      </c>
      <c r="BB79" s="413">
        <f>SUMIFS('свод практик'!$CE$6:$CE$277,'свод практик'!$J$6:$J$277,'строго ИБ'!BB$1,'свод практик'!$B$6:$B$277,"ИБ")</f>
        <v>0</v>
      </c>
      <c r="BC79" s="413">
        <f>SUMIFS('свод практик'!$CE$6:$CE$277,'свод практик'!$J$6:$J$277,'строго ИБ'!BC$1,'свод практик'!$B$6:$B$277,"ИБ")</f>
        <v>0</v>
      </c>
      <c r="BD79" s="413">
        <f>SUMIFS('свод практик'!$CE$6:$CE$277,'свод практик'!$J$6:$J$277,'строго ИБ'!BD$1,'свод практик'!$B$6:$B$277,"ИБ")</f>
        <v>0</v>
      </c>
      <c r="BE79" s="413">
        <f>SUMIFS('свод практик'!$CE$6:$CE$277,'свод практик'!$J$6:$J$277,'строго ИБ'!BE$1,'свод практик'!$B$6:$B$277,"ИБ")</f>
        <v>0</v>
      </c>
      <c r="BF79" s="413">
        <f>SUMIFS('свод практик'!$CE$6:$CE$277,'свод практик'!$J$6:$J$277,'строго ИБ'!BF$1,'свод практик'!$B$6:$B$277,"ИБ")</f>
        <v>12</v>
      </c>
      <c r="BG79" s="413">
        <f>SUMIFS('свод практик'!$CE$6:$CE$277,'свод практик'!$J$6:$J$277,'строго ИБ'!BG$1,'свод практик'!$B$6:$B$277,"ИБ")</f>
        <v>0</v>
      </c>
      <c r="BH79" s="413">
        <f>SUMIFS('свод практик'!$CE$6:$CE$277,'свод практик'!$J$6:$J$277,'строго ИБ'!BH$1,'свод практик'!$B$6:$B$277,"ИБ")</f>
        <v>0</v>
      </c>
      <c r="BI79" s="413">
        <f>SUMIFS('свод практик'!$CE$6:$CE$277,'свод практик'!$J$6:$J$277,'строго ИБ'!BI$1,'свод практик'!$B$6:$B$277,"ИБ")</f>
        <v>0</v>
      </c>
      <c r="BJ79" s="413">
        <f>SUMIFS('свод практик'!$CE$6:$CE$277,'свод практик'!$J$6:$J$277,'строго ИБ'!BJ$1,'свод практик'!$B$6:$B$277,"ИБ")</f>
        <v>7</v>
      </c>
      <c r="BK79" s="413">
        <f>SUMIFS('свод практик'!$CE$6:$CE$277,'свод практик'!$J$6:$J$277,'строго ИБ'!BK$1,'свод практик'!$B$6:$B$277,"ИБ")</f>
        <v>0</v>
      </c>
      <c r="BL79" s="413">
        <f>SUMIFS('свод практик'!$CE$6:$CE$277,'свод практик'!$J$6:$J$277,'строго ИБ'!BL$1,'свод практик'!$B$6:$B$277,"ИБ")</f>
        <v>0</v>
      </c>
      <c r="BM79" s="413">
        <f>SUMIFS('свод практик'!$CE$6:$CE$277,'свод практик'!$J$6:$J$277,'строго ИБ'!BM$1,'свод практик'!$B$6:$B$277,"ИБ")</f>
        <v>1</v>
      </c>
      <c r="BN79" s="413">
        <f>SUMIFS('свод практик'!$CE$6:$CE$277,'свод практик'!$J$6:$J$277,'строго ИБ'!BN$1,'свод практик'!$B$6:$B$277,"ИБ")</f>
        <v>0</v>
      </c>
      <c r="BO79" s="413">
        <f>SUMIFS('свод практик'!$CE$6:$CE$277,'свод практик'!$J$6:$J$277,'строго ИБ'!BO$1,'свод практик'!$B$6:$B$277,"ИБ")</f>
        <v>5</v>
      </c>
      <c r="BP79" s="413">
        <f>SUMIFS('свод практик'!$CE$6:$CE$277,'свод практик'!$J$6:$J$277,'строго ИБ'!BP$1,'свод практик'!$B$6:$B$277,"ИБ")</f>
        <v>0</v>
      </c>
      <c r="BQ79" s="413">
        <f>SUMIFS('свод практик'!$CE$6:$CE$277,'свод практик'!$J$6:$J$277,'строго ИБ'!BQ$1,'свод практик'!$B$6:$B$277,"ИБ")</f>
        <v>0</v>
      </c>
      <c r="BR79" s="413">
        <f>SUMIFS('свод практик'!$CE$6:$CE$277,'свод практик'!$J$6:$J$277,'строго ИБ'!BR$1,'свод практик'!$B$6:$B$277,"ИБ")</f>
        <v>0</v>
      </c>
      <c r="BS79" s="413">
        <f>SUMIFS('свод практик'!$CE$6:$CE$277,'свод практик'!$J$6:$J$277,'строго ИБ'!BS$1,'свод практик'!$B$6:$B$277,"ИБ")</f>
        <v>0</v>
      </c>
      <c r="BT79" s="413">
        <f>SUMIFS('свод практик'!$CE$6:$CE$277,'свод практик'!$J$6:$J$277,'строго ИБ'!BT$1,'свод практик'!$B$6:$B$277,"ИБ")</f>
        <v>0</v>
      </c>
      <c r="BU79" s="413">
        <f>SUMIFS('свод практик'!$CE$6:$CE$277,'свод практик'!$J$6:$J$277,'строго ИБ'!BU$1,'свод практик'!$B$6:$B$277,"ИБ")</f>
        <v>0</v>
      </c>
      <c r="BV79" s="413">
        <f>SUMIFS('свод практик'!$CE$6:$CE$277,'свод практик'!$J$6:$J$277,'строго ИБ'!BV$1,'свод практик'!$B$6:$B$277,"ИБ")</f>
        <v>0</v>
      </c>
      <c r="BW79" s="413">
        <f>SUMIFS('свод практик'!$CE$6:$CE$277,'свод практик'!$J$6:$J$277,'строго ИБ'!BW$1,'свод практик'!$B$6:$B$277,"ИБ")</f>
        <v>12</v>
      </c>
      <c r="BX79" s="413">
        <f>SUMIFS('свод практик'!$CE$6:$CE$277,'свод практик'!$J$6:$J$277,'строго ИБ'!BX$1,'свод практик'!$B$6:$B$277,"ИБ")</f>
        <v>33</v>
      </c>
      <c r="BY79" s="413">
        <f>SUMIFS('свод практик'!$CE$6:$CE$277,'свод практик'!$J$6:$J$277,'строго ИБ'!BY$1,'свод практик'!$B$6:$B$277,"ИБ")</f>
        <v>13</v>
      </c>
      <c r="BZ79" s="413">
        <f>SUMIFS('свод практик'!$CE$6:$CE$277,'свод практик'!$J$6:$J$277,'строго ИБ'!BZ$1,'свод практик'!$B$6:$B$277,"ИБ")</f>
        <v>0</v>
      </c>
      <c r="CA79" s="413">
        <f>SUMIFS('свод практик'!$CE$6:$CE$277,'свод практик'!$J$6:$J$277,'строго ИБ'!CA$1,'свод практик'!$B$6:$B$277,"ИБ")</f>
        <v>0</v>
      </c>
      <c r="CB79" s="413">
        <f>SUMIFS('свод практик'!$CE$6:$CE$277,'свод практик'!$J$6:$J$277,'строго ИБ'!CB$1,'свод практик'!$B$6:$B$277,"ИБ")</f>
        <v>0</v>
      </c>
      <c r="CC79" s="413">
        <f>SUMIFS('свод практик'!$CE$6:$CE$277,'свод практик'!$J$6:$J$277,'строго ИБ'!CC$1,'свод практик'!$B$6:$B$277,"ИБ")</f>
        <v>0</v>
      </c>
      <c r="CD79" s="413">
        <f>SUMIFS('свод практик'!$CE$6:$CE$277,'свод практик'!$J$6:$J$277,'строго ИБ'!CD$1,'свод практик'!$B$6:$B$277,"ИБ")</f>
        <v>0</v>
      </c>
      <c r="CE79" s="413">
        <f>SUMIFS('свод практик'!$CE$6:$CE$277,'свод практик'!$J$6:$J$277,'строго ИБ'!CE$1,'свод практик'!$B$6:$B$277,"ИБ")</f>
        <v>0</v>
      </c>
      <c r="CF79" s="413">
        <f>SUMIFS('свод практик'!$CE$6:$CE$277,'свод практик'!$J$6:$J$277,'строго ИБ'!CF$1,'свод практик'!$B$6:$B$277,"ИБ")</f>
        <v>0</v>
      </c>
      <c r="CG79" s="413">
        <f>SUMIFS('свод практик'!$CE$6:$CE$277,'свод практик'!$J$6:$J$277,'строго ИБ'!CG$1,'свод практик'!$B$6:$B$277,"ИБ")</f>
        <v>0</v>
      </c>
      <c r="CH79" s="413">
        <f>SUMIFS('свод практик'!$CE$6:$CE$277,'свод практик'!$J$6:$J$277,'строго ИБ'!CH$1,'свод практик'!$B$6:$B$277,"ИБ")</f>
        <v>177</v>
      </c>
      <c r="CI79" s="413">
        <f>SUMIFS('свод практик'!$CE$6:$CE$277,'свод практик'!$J$6:$J$277,'строго ИБ'!CI$1,'свод практик'!$B$6:$B$277,"ИБ")</f>
        <v>0</v>
      </c>
      <c r="CJ79" s="413">
        <f>SUMIFS('свод практик'!$CE$6:$CE$277,'свод практик'!$J$6:$J$277,'строго ИБ'!CJ$1,'свод практик'!$B$6:$B$277,"ИБ")</f>
        <v>0</v>
      </c>
      <c r="CK79" s="413">
        <f>SUMIFS('свод практик'!$CE$6:$CE$277,'свод практик'!$J$6:$J$277,'строго ИБ'!CK$1,'свод практик'!$B$6:$B$277,"ИБ")</f>
        <v>6</v>
      </c>
      <c r="CL79" s="413">
        <f>SUMIFS('свод практик'!$CE$6:$CE$277,'свод практик'!$J$6:$J$277,'строго ИБ'!CL$1,'свод практик'!$B$6:$B$277,"ИБ")</f>
        <v>13</v>
      </c>
      <c r="CM79" s="413">
        <f>SUMIFS('свод практик'!$CE$6:$CE$277,'свод практик'!$J$6:$J$277,'строго ИБ'!CM$1,'свод практик'!$B$6:$B$277,"ИБ")</f>
        <v>0</v>
      </c>
      <c r="CN79" s="413">
        <f>SUMIFS('свод практик'!$CE$6:$CE$277,'свод практик'!$J$6:$J$277,'строго ИБ'!CN$1,'свод практик'!$B$6:$B$277,"ИБ")</f>
        <v>0</v>
      </c>
      <c r="CO79" s="413">
        <f>SUMIFS('свод практик'!$CE$6:$CE$277,'свод практик'!$J$6:$J$277,'строго ИБ'!CO$1,'свод практик'!$B$6:$B$277,"ИБ")</f>
        <v>15</v>
      </c>
      <c r="CP79" s="413">
        <f>SUMIFS('свод практик'!$CE$6:$CE$277,'свод практик'!$J$6:$J$277,'строго ИБ'!CP$1,'свод практик'!$B$6:$B$277,"ИБ")</f>
        <v>0</v>
      </c>
      <c r="CQ79" s="413">
        <f>SUMIFS('свод практик'!$CE$6:$CE$277,'свод практик'!$J$6:$J$277,'строго ИБ'!CQ$1,'свод практик'!$B$6:$B$277,"ИБ")</f>
        <v>0</v>
      </c>
      <c r="CR79" s="413">
        <f>SUMIFS('свод практик'!$CE$6:$CE$277,'свод практик'!$J$6:$J$277,'строго ИБ'!CR$1,'свод практик'!$B$6:$B$277,"ИБ")</f>
        <v>27</v>
      </c>
      <c r="CS79" s="413">
        <f>SUMIFS('свод практик'!$CE$6:$CE$277,'свод практик'!$J$6:$J$277,'строго ИБ'!CS$1,'свод практик'!$B$6:$B$277,"ИБ")</f>
        <v>0</v>
      </c>
      <c r="CT79" s="413">
        <f>SUMIFS('свод практик'!$CE$6:$CE$277,'свод практик'!$J$6:$J$277,'строго ИБ'!CT$1,'свод практик'!$B$6:$B$277,"ИБ")</f>
        <v>3</v>
      </c>
      <c r="CU79" s="413">
        <f>SUMIFS('свод практик'!$CE$6:$CE$277,'свод практик'!$J$6:$J$277,'строго ИБ'!CU$1,'свод практик'!$B$6:$B$277,"ИБ")</f>
        <v>164</v>
      </c>
    </row>
    <row r="80" spans="1:99" ht="22" customHeight="1">
      <c r="A80" s="815"/>
      <c r="B80" s="817"/>
      <c r="C80" s="805"/>
      <c r="D80" s="439" t="s">
        <v>4949</v>
      </c>
      <c r="E80" s="439">
        <v>65</v>
      </c>
      <c r="F80" s="440" t="s">
        <v>5159</v>
      </c>
      <c r="G80" s="808"/>
      <c r="H80" s="442" t="s">
        <v>60</v>
      </c>
      <c r="I80" s="443"/>
      <c r="J80" s="444"/>
      <c r="K80" s="2"/>
      <c r="L80" s="383"/>
      <c r="M80" s="384">
        <v>5.7423997650168895E-2</v>
      </c>
      <c r="N80" s="607">
        <f>N79/N107</f>
        <v>7.5425790754257913E-2</v>
      </c>
      <c r="O80" s="607">
        <f t="shared" ref="O80:BZ80" si="36">O79/O107</f>
        <v>0</v>
      </c>
      <c r="P80" s="607">
        <f t="shared" si="36"/>
        <v>0</v>
      </c>
      <c r="Q80" s="607">
        <f t="shared" si="36"/>
        <v>0</v>
      </c>
      <c r="R80" s="607">
        <f t="shared" si="36"/>
        <v>0</v>
      </c>
      <c r="S80" s="607">
        <f t="shared" si="36"/>
        <v>0.6</v>
      </c>
      <c r="T80" s="607">
        <f t="shared" si="36"/>
        <v>0</v>
      </c>
      <c r="U80" s="607">
        <f t="shared" si="36"/>
        <v>0.16307692307692306</v>
      </c>
      <c r="V80" s="607">
        <f t="shared" si="36"/>
        <v>0</v>
      </c>
      <c r="W80" s="607">
        <f t="shared" si="36"/>
        <v>0</v>
      </c>
      <c r="X80" s="607" t="e">
        <f t="shared" si="36"/>
        <v>#DIV/0!</v>
      </c>
      <c r="Y80" s="607" t="e">
        <f t="shared" si="36"/>
        <v>#DIV/0!</v>
      </c>
      <c r="Z80" s="607">
        <f t="shared" si="36"/>
        <v>6.4516129032258063E-2</v>
      </c>
      <c r="AA80" s="607">
        <f t="shared" si="36"/>
        <v>0</v>
      </c>
      <c r="AB80" s="607">
        <f t="shared" si="36"/>
        <v>0</v>
      </c>
      <c r="AC80" s="607" t="e">
        <f t="shared" si="36"/>
        <v>#DIV/0!</v>
      </c>
      <c r="AD80" s="607" t="e">
        <f t="shared" si="36"/>
        <v>#DIV/0!</v>
      </c>
      <c r="AE80" s="607" t="e">
        <f t="shared" si="36"/>
        <v>#DIV/0!</v>
      </c>
      <c r="AF80" s="607" t="e">
        <f t="shared" si="36"/>
        <v>#DIV/0!</v>
      </c>
      <c r="AG80" s="607" t="e">
        <f t="shared" si="36"/>
        <v>#DIV/0!</v>
      </c>
      <c r="AH80" s="607" t="e">
        <f t="shared" si="36"/>
        <v>#DIV/0!</v>
      </c>
      <c r="AI80" s="607" t="e">
        <f t="shared" si="36"/>
        <v>#DIV/0!</v>
      </c>
      <c r="AJ80" s="607" t="e">
        <f t="shared" si="36"/>
        <v>#DIV/0!</v>
      </c>
      <c r="AK80" s="607">
        <f t="shared" si="36"/>
        <v>0</v>
      </c>
      <c r="AL80" s="607">
        <f t="shared" si="36"/>
        <v>0</v>
      </c>
      <c r="AM80" s="607" t="e">
        <f t="shared" si="36"/>
        <v>#DIV/0!</v>
      </c>
      <c r="AN80" s="607" t="e">
        <f t="shared" si="36"/>
        <v>#DIV/0!</v>
      </c>
      <c r="AO80" s="607">
        <f t="shared" si="36"/>
        <v>8.8607594936708861E-2</v>
      </c>
      <c r="AP80" s="607">
        <f t="shared" si="36"/>
        <v>3.7383177570093455E-2</v>
      </c>
      <c r="AQ80" s="607">
        <f t="shared" si="36"/>
        <v>2.8011204481792718E-2</v>
      </c>
      <c r="AR80" s="607">
        <f t="shared" si="36"/>
        <v>0.10144927536231885</v>
      </c>
      <c r="AS80" s="607" t="e">
        <f t="shared" si="36"/>
        <v>#DIV/0!</v>
      </c>
      <c r="AT80" s="607" t="e">
        <f t="shared" si="36"/>
        <v>#DIV/0!</v>
      </c>
      <c r="AU80" s="607">
        <f t="shared" si="36"/>
        <v>0</v>
      </c>
      <c r="AV80" s="607" t="e">
        <f t="shared" si="36"/>
        <v>#DIV/0!</v>
      </c>
      <c r="AW80" s="607">
        <f t="shared" si="36"/>
        <v>0.13402061855670103</v>
      </c>
      <c r="AX80" s="607" t="e">
        <f t="shared" si="36"/>
        <v>#DIV/0!</v>
      </c>
      <c r="AY80" s="607">
        <f t="shared" si="36"/>
        <v>0.5</v>
      </c>
      <c r="AZ80" s="607" t="e">
        <f t="shared" si="36"/>
        <v>#DIV/0!</v>
      </c>
      <c r="BA80" s="607" t="e">
        <f t="shared" si="36"/>
        <v>#DIV/0!</v>
      </c>
      <c r="BB80" s="607">
        <f t="shared" si="36"/>
        <v>0</v>
      </c>
      <c r="BC80" s="607" t="e">
        <f t="shared" si="36"/>
        <v>#DIV/0!</v>
      </c>
      <c r="BD80" s="607" t="e">
        <f t="shared" si="36"/>
        <v>#DIV/0!</v>
      </c>
      <c r="BE80" s="607">
        <f t="shared" si="36"/>
        <v>0</v>
      </c>
      <c r="BF80" s="607">
        <f t="shared" si="36"/>
        <v>0.33333333333333331</v>
      </c>
      <c r="BG80" s="607">
        <f t="shared" si="36"/>
        <v>0</v>
      </c>
      <c r="BH80" s="607">
        <f t="shared" si="36"/>
        <v>0</v>
      </c>
      <c r="BI80" s="607">
        <f t="shared" si="36"/>
        <v>0</v>
      </c>
      <c r="BJ80" s="607">
        <f t="shared" si="36"/>
        <v>3.4482758620689655E-2</v>
      </c>
      <c r="BK80" s="607" t="e">
        <f t="shared" si="36"/>
        <v>#DIV/0!</v>
      </c>
      <c r="BL80" s="607">
        <f t="shared" si="36"/>
        <v>0</v>
      </c>
      <c r="BM80" s="607">
        <f t="shared" si="36"/>
        <v>0.16666666666666666</v>
      </c>
      <c r="BN80" s="607" t="e">
        <f t="shared" si="36"/>
        <v>#DIV/0!</v>
      </c>
      <c r="BO80" s="607">
        <f t="shared" si="36"/>
        <v>3.8461538461538464E-2</v>
      </c>
      <c r="BP80" s="607" t="e">
        <f t="shared" si="36"/>
        <v>#DIV/0!</v>
      </c>
      <c r="BQ80" s="607" t="e">
        <f t="shared" si="36"/>
        <v>#DIV/0!</v>
      </c>
      <c r="BR80" s="607">
        <f t="shared" si="36"/>
        <v>0</v>
      </c>
      <c r="BS80" s="607">
        <f t="shared" si="36"/>
        <v>0</v>
      </c>
      <c r="BT80" s="607">
        <f t="shared" si="36"/>
        <v>0</v>
      </c>
      <c r="BU80" s="607">
        <f t="shared" si="36"/>
        <v>0</v>
      </c>
      <c r="BV80" s="607">
        <f t="shared" si="36"/>
        <v>0</v>
      </c>
      <c r="BW80" s="607">
        <f t="shared" si="36"/>
        <v>2.7088036117381489E-2</v>
      </c>
      <c r="BX80" s="607">
        <f t="shared" si="36"/>
        <v>0.1875</v>
      </c>
      <c r="BY80" s="607">
        <f t="shared" si="36"/>
        <v>0.26</v>
      </c>
      <c r="BZ80" s="607" t="e">
        <f t="shared" si="36"/>
        <v>#DIV/0!</v>
      </c>
      <c r="CA80" s="607" t="e">
        <f t="shared" ref="CA80:CU80" si="37">CA79/CA107</f>
        <v>#DIV/0!</v>
      </c>
      <c r="CB80" s="607" t="e">
        <f t="shared" si="37"/>
        <v>#DIV/0!</v>
      </c>
      <c r="CC80" s="607">
        <f t="shared" si="37"/>
        <v>0</v>
      </c>
      <c r="CD80" s="607">
        <f t="shared" si="37"/>
        <v>0</v>
      </c>
      <c r="CE80" s="607" t="e">
        <f t="shared" si="37"/>
        <v>#DIV/0!</v>
      </c>
      <c r="CF80" s="607">
        <f t="shared" si="37"/>
        <v>0</v>
      </c>
      <c r="CG80" s="607">
        <f t="shared" si="37"/>
        <v>0</v>
      </c>
      <c r="CH80" s="607">
        <f t="shared" si="37"/>
        <v>0.34980237154150196</v>
      </c>
      <c r="CI80" s="607" t="e">
        <f t="shared" si="37"/>
        <v>#DIV/0!</v>
      </c>
      <c r="CJ80" s="607" t="e">
        <f t="shared" si="37"/>
        <v>#DIV/0!</v>
      </c>
      <c r="CK80" s="607">
        <f t="shared" si="37"/>
        <v>5.5045871559633031E-2</v>
      </c>
      <c r="CL80" s="607">
        <f t="shared" si="37"/>
        <v>8.8435374149659865E-2</v>
      </c>
      <c r="CM80" s="607">
        <f t="shared" si="37"/>
        <v>0</v>
      </c>
      <c r="CN80" s="607" t="e">
        <f t="shared" si="37"/>
        <v>#DIV/0!</v>
      </c>
      <c r="CO80" s="607">
        <f t="shared" si="37"/>
        <v>7.9365079365079361E-2</v>
      </c>
      <c r="CP80" s="607">
        <f t="shared" si="37"/>
        <v>0</v>
      </c>
      <c r="CQ80" s="607" t="e">
        <f t="shared" si="37"/>
        <v>#DIV/0!</v>
      </c>
      <c r="CR80" s="607">
        <f t="shared" si="37"/>
        <v>4.1990668740279936E-2</v>
      </c>
      <c r="CS80" s="607">
        <f t="shared" si="37"/>
        <v>0</v>
      </c>
      <c r="CT80" s="607">
        <f t="shared" si="37"/>
        <v>3.7037037037037035E-2</v>
      </c>
      <c r="CU80" s="607">
        <f t="shared" si="37"/>
        <v>0.32997987927565392</v>
      </c>
    </row>
    <row r="81" spans="1:99" ht="21" customHeight="1">
      <c r="A81" s="815"/>
      <c r="B81" s="817"/>
      <c r="C81" s="805"/>
      <c r="D81" s="439"/>
      <c r="E81" s="439"/>
      <c r="F81" s="482" t="s">
        <v>5241</v>
      </c>
      <c r="G81" s="812" t="s">
        <v>5765</v>
      </c>
      <c r="H81" s="442" t="s">
        <v>5140</v>
      </c>
      <c r="I81" s="443"/>
      <c r="J81" s="444"/>
      <c r="K81" s="2"/>
      <c r="L81" s="383"/>
      <c r="M81" s="351">
        <v>592</v>
      </c>
      <c r="N81" s="580">
        <f t="shared" si="25"/>
        <v>687</v>
      </c>
      <c r="O81" s="413">
        <f>SUMIFS('свод практик'!$CF$6:$CF$277,'свод практик'!$J$6:$J$277,'строго ИБ'!O$1,'свод практик'!$B$6:$B$277,"ИБ")</f>
        <v>0</v>
      </c>
      <c r="P81" s="413">
        <f>SUMIFS('свод практик'!$CF$6:$CF$277,'свод практик'!$J$6:$J$277,'строго ИБ'!P$1,'свод практик'!$B$6:$B$277,"ИБ")</f>
        <v>0</v>
      </c>
      <c r="Q81" s="413">
        <f>SUMIFS('свод практик'!$CF$6:$CF$277,'свод практик'!$J$6:$J$277,'строго ИБ'!Q$1,'свод практик'!$B$6:$B$277,"ИБ")</f>
        <v>45</v>
      </c>
      <c r="R81" s="413">
        <f>SUMIFS('свод практик'!$CF$6:$CF$277,'свод практик'!$J$6:$J$277,'строго ИБ'!R$1,'свод практик'!$B$6:$B$277,"ИБ")</f>
        <v>19</v>
      </c>
      <c r="S81" s="413">
        <f>SUMIFS('свод практик'!$CF$6:$CF$277,'свод практик'!$J$6:$J$277,'строго ИБ'!S$1,'свод практик'!$B$6:$B$277,"ИБ")</f>
        <v>0</v>
      </c>
      <c r="T81" s="413">
        <f>SUMIFS('свод практик'!$CF$6:$CF$277,'свод практик'!$J$6:$J$277,'строго ИБ'!T$1,'свод практик'!$B$6:$B$277,"ИБ")</f>
        <v>0</v>
      </c>
      <c r="U81" s="413">
        <f>SUMIFS('свод практик'!$CF$6:$CF$277,'свод практик'!$J$6:$J$277,'строго ИБ'!U$1,'свод практик'!$B$6:$B$277,"ИБ")</f>
        <v>83</v>
      </c>
      <c r="V81" s="413">
        <f>SUMIFS('свод практик'!$CF$6:$CF$277,'свод практик'!$J$6:$J$277,'строго ИБ'!V$1,'свод практик'!$B$6:$B$277,"ИБ")</f>
        <v>1</v>
      </c>
      <c r="W81" s="413">
        <f>SUMIFS('свод практик'!$CF$6:$CF$277,'свод практик'!$J$6:$J$277,'строго ИБ'!W$1,'свод практик'!$B$6:$B$277,"ИБ")</f>
        <v>2</v>
      </c>
      <c r="X81" s="413">
        <f>SUMIFS('свод практик'!$CF$6:$CF$277,'свод практик'!$J$6:$J$277,'строго ИБ'!X$1,'свод практик'!$B$6:$B$277,"ИБ")</f>
        <v>0</v>
      </c>
      <c r="Y81" s="413">
        <f>SUMIFS('свод практик'!$CF$6:$CF$277,'свод практик'!$J$6:$J$277,'строго ИБ'!Y$1,'свод практик'!$B$6:$B$277,"ИБ")</f>
        <v>0</v>
      </c>
      <c r="Z81" s="413">
        <f>SUMIFS('свод практик'!$CF$6:$CF$277,'свод практик'!$J$6:$J$277,'строго ИБ'!Z$1,'свод практик'!$B$6:$B$277,"ИБ")</f>
        <v>14</v>
      </c>
      <c r="AA81" s="413">
        <f>SUMIFS('свод практик'!$CF$6:$CF$277,'свод практик'!$J$6:$J$277,'строго ИБ'!AA$1,'свод практик'!$B$6:$B$277,"ИБ")</f>
        <v>68</v>
      </c>
      <c r="AB81" s="413">
        <f>SUMIFS('свод практик'!$CF$6:$CF$277,'свод практик'!$J$6:$J$277,'строго ИБ'!AB$1,'свод практик'!$B$6:$B$277,"ИБ")</f>
        <v>0</v>
      </c>
      <c r="AC81" s="413">
        <f>SUMIFS('свод практик'!$CF$6:$CF$277,'свод практик'!$J$6:$J$277,'строго ИБ'!AC$1,'свод практик'!$B$6:$B$277,"ИБ")</f>
        <v>0</v>
      </c>
      <c r="AD81" s="413">
        <f>SUMIFS('свод практик'!$CF$6:$CF$277,'свод практик'!$J$6:$J$277,'строго ИБ'!AD$1,'свод практик'!$B$6:$B$277,"ИБ")</f>
        <v>0</v>
      </c>
      <c r="AE81" s="413">
        <f>SUMIFS('свод практик'!$CF$6:$CF$277,'свод практик'!$J$6:$J$277,'строго ИБ'!AE$1,'свод практик'!$B$6:$B$277,"ИБ")</f>
        <v>0</v>
      </c>
      <c r="AF81" s="413">
        <f>SUMIFS('свод практик'!$CF$6:$CF$277,'свод практик'!$J$6:$J$277,'строго ИБ'!AF$1,'свод практик'!$B$6:$B$277,"ИБ")</f>
        <v>0</v>
      </c>
      <c r="AG81" s="413">
        <f>SUMIFS('свод практик'!$CF$6:$CF$277,'свод практик'!$J$6:$J$277,'строго ИБ'!AG$1,'свод практик'!$B$6:$B$277,"ИБ")</f>
        <v>0</v>
      </c>
      <c r="AH81" s="413">
        <f>SUMIFS('свод практик'!$CF$6:$CF$277,'свод практик'!$J$6:$J$277,'строго ИБ'!AH$1,'свод практик'!$B$6:$B$277,"ИБ")</f>
        <v>0</v>
      </c>
      <c r="AI81" s="413">
        <f>SUMIFS('свод практик'!$CF$6:$CF$277,'свод практик'!$J$6:$J$277,'строго ИБ'!AI$1,'свод практик'!$B$6:$B$277,"ИБ")</f>
        <v>0</v>
      </c>
      <c r="AJ81" s="413">
        <f>SUMIFS('свод практик'!$CF$6:$CF$277,'свод практик'!$J$6:$J$277,'строго ИБ'!AJ$1,'свод практик'!$B$6:$B$277,"ИБ")</f>
        <v>0</v>
      </c>
      <c r="AK81" s="413">
        <f>SUMIFS('свод практик'!$CF$6:$CF$277,'свод практик'!$J$6:$J$277,'строго ИБ'!AK$1,'свод практик'!$B$6:$B$277,"ИБ")</f>
        <v>0</v>
      </c>
      <c r="AL81" s="413">
        <f>SUMIFS('свод практик'!$CF$6:$CF$277,'свод практик'!$J$6:$J$277,'строго ИБ'!AL$1,'свод практик'!$B$6:$B$277,"ИБ")</f>
        <v>21</v>
      </c>
      <c r="AM81" s="413">
        <f>SUMIFS('свод практик'!$CF$6:$CF$277,'свод практик'!$J$6:$J$277,'строго ИБ'!AM$1,'свод практик'!$B$6:$B$277,"ИБ")</f>
        <v>0</v>
      </c>
      <c r="AN81" s="413">
        <f>SUMIFS('свод практик'!$CF$6:$CF$277,'свод практик'!$J$6:$J$277,'строго ИБ'!AN$1,'свод практик'!$B$6:$B$277,"ИБ")</f>
        <v>0</v>
      </c>
      <c r="AO81" s="413">
        <f>SUMIFS('свод практик'!$CF$6:$CF$277,'свод практик'!$J$6:$J$277,'строго ИБ'!AO$1,'свод практик'!$B$6:$B$277,"ИБ")</f>
        <v>9</v>
      </c>
      <c r="AP81" s="413">
        <f>SUMIFS('свод практик'!$CF$6:$CF$277,'свод практик'!$J$6:$J$277,'строго ИБ'!AP$1,'свод практик'!$B$6:$B$277,"ИБ")</f>
        <v>1</v>
      </c>
      <c r="AQ81" s="413">
        <f>SUMIFS('свод практик'!$CF$6:$CF$277,'свод практик'!$J$6:$J$277,'строго ИБ'!AQ$1,'свод практик'!$B$6:$B$277,"ИБ")</f>
        <v>26</v>
      </c>
      <c r="AR81" s="413">
        <f>SUMIFS('свод практик'!$CF$6:$CF$277,'свод практик'!$J$6:$J$277,'строго ИБ'!AR$1,'свод практик'!$B$6:$B$277,"ИБ")</f>
        <v>22</v>
      </c>
      <c r="AS81" s="413">
        <f>SUMIFS('свод практик'!$CF$6:$CF$277,'свод практик'!$J$6:$J$277,'строго ИБ'!AS$1,'свод практик'!$B$6:$B$277,"ИБ")</f>
        <v>0</v>
      </c>
      <c r="AT81" s="413">
        <f>SUMIFS('свод практик'!$CF$6:$CF$277,'свод практик'!$J$6:$J$277,'строго ИБ'!AT$1,'свод практик'!$B$6:$B$277,"ИБ")</f>
        <v>0</v>
      </c>
      <c r="AU81" s="413">
        <f>SUMIFS('свод практик'!$CF$6:$CF$277,'свод практик'!$J$6:$J$277,'строго ИБ'!AU$1,'свод практик'!$B$6:$B$277,"ИБ")</f>
        <v>15</v>
      </c>
      <c r="AV81" s="413">
        <f>SUMIFS('свод практик'!$CF$6:$CF$277,'свод практик'!$J$6:$J$277,'строго ИБ'!AV$1,'свод практик'!$B$6:$B$277,"ИБ")</f>
        <v>0</v>
      </c>
      <c r="AW81" s="413">
        <f>SUMIFS('свод практик'!$CF$6:$CF$277,'свод практик'!$J$6:$J$277,'строго ИБ'!AW$1,'свод практик'!$B$6:$B$277,"ИБ")</f>
        <v>21</v>
      </c>
      <c r="AX81" s="413">
        <f>SUMIFS('свод практик'!$CF$6:$CF$277,'свод практик'!$J$6:$J$277,'строго ИБ'!AX$1,'свод практик'!$B$6:$B$277,"ИБ")</f>
        <v>0</v>
      </c>
      <c r="AY81" s="413">
        <f>SUMIFS('свод практик'!$CF$6:$CF$277,'свод практик'!$J$6:$J$277,'строго ИБ'!AY$1,'свод практик'!$B$6:$B$277,"ИБ")</f>
        <v>0</v>
      </c>
      <c r="AZ81" s="413">
        <f>SUMIFS('свод практик'!$CF$6:$CF$277,'свод практик'!$J$6:$J$277,'строго ИБ'!AZ$1,'свод практик'!$B$6:$B$277,"ИБ")</f>
        <v>0</v>
      </c>
      <c r="BA81" s="413">
        <f>SUMIFS('свод практик'!$CF$6:$CF$277,'свод практик'!$J$6:$J$277,'строго ИБ'!BA$1,'свод практик'!$B$6:$B$277,"ИБ")</f>
        <v>0</v>
      </c>
      <c r="BB81" s="413">
        <f>SUMIFS('свод практик'!$CF$6:$CF$277,'свод практик'!$J$6:$J$277,'строго ИБ'!BB$1,'свод практик'!$B$6:$B$277,"ИБ")</f>
        <v>0</v>
      </c>
      <c r="BC81" s="413">
        <f>SUMIFS('свод практик'!$CF$6:$CF$277,'свод практик'!$J$6:$J$277,'строго ИБ'!BC$1,'свод практик'!$B$6:$B$277,"ИБ")</f>
        <v>0</v>
      </c>
      <c r="BD81" s="413">
        <f>SUMIFS('свод практик'!$CF$6:$CF$277,'свод практик'!$J$6:$J$277,'строго ИБ'!BD$1,'свод практик'!$B$6:$B$277,"ИБ")</f>
        <v>0</v>
      </c>
      <c r="BE81" s="413">
        <f>SUMIFS('свод практик'!$CF$6:$CF$277,'свод практик'!$J$6:$J$277,'строго ИБ'!BE$1,'свод практик'!$B$6:$B$277,"ИБ")</f>
        <v>0</v>
      </c>
      <c r="BF81" s="413">
        <f>SUMIFS('свод практик'!$CF$6:$CF$277,'свод практик'!$J$6:$J$277,'строго ИБ'!BF$1,'свод практик'!$B$6:$B$277,"ИБ")</f>
        <v>4</v>
      </c>
      <c r="BG81" s="413">
        <f>SUMIFS('свод практик'!$CF$6:$CF$277,'свод практик'!$J$6:$J$277,'строго ИБ'!BG$1,'свод практик'!$B$6:$B$277,"ИБ")</f>
        <v>1</v>
      </c>
      <c r="BH81" s="413">
        <f>SUMIFS('свод практик'!$CF$6:$CF$277,'свод практик'!$J$6:$J$277,'строго ИБ'!BH$1,'свод практик'!$B$6:$B$277,"ИБ")</f>
        <v>13</v>
      </c>
      <c r="BI81" s="413">
        <f>SUMIFS('свод практик'!$CF$6:$CF$277,'свод практик'!$J$6:$J$277,'строго ИБ'!BI$1,'свод практик'!$B$6:$B$277,"ИБ")</f>
        <v>6</v>
      </c>
      <c r="BJ81" s="413">
        <f>SUMIFS('свод практик'!$CF$6:$CF$277,'свод практик'!$J$6:$J$277,'строго ИБ'!BJ$1,'свод практик'!$B$6:$B$277,"ИБ")</f>
        <v>19</v>
      </c>
      <c r="BK81" s="413">
        <f>SUMIFS('свод практик'!$CF$6:$CF$277,'свод практик'!$J$6:$J$277,'строго ИБ'!BK$1,'свод практик'!$B$6:$B$277,"ИБ")</f>
        <v>0</v>
      </c>
      <c r="BL81" s="413">
        <f>SUMIFS('свод практик'!$CF$6:$CF$277,'свод практик'!$J$6:$J$277,'строго ИБ'!BL$1,'свод практик'!$B$6:$B$277,"ИБ")</f>
        <v>18</v>
      </c>
      <c r="BM81" s="413">
        <f>SUMIFS('свод практик'!$CF$6:$CF$277,'свод практик'!$J$6:$J$277,'строго ИБ'!BM$1,'свод практик'!$B$6:$B$277,"ИБ")</f>
        <v>1</v>
      </c>
      <c r="BN81" s="413">
        <f>SUMIFS('свод практик'!$CF$6:$CF$277,'свод практик'!$J$6:$J$277,'строго ИБ'!BN$1,'свод практик'!$B$6:$B$277,"ИБ")</f>
        <v>0</v>
      </c>
      <c r="BO81" s="413">
        <f>SUMIFS('свод практик'!$CF$6:$CF$277,'свод практик'!$J$6:$J$277,'строго ИБ'!BO$1,'свод практик'!$B$6:$B$277,"ИБ")</f>
        <v>14</v>
      </c>
      <c r="BP81" s="413">
        <f>SUMIFS('свод практик'!$CF$6:$CF$277,'свод практик'!$J$6:$J$277,'строго ИБ'!BP$1,'свод практик'!$B$6:$B$277,"ИБ")</f>
        <v>0</v>
      </c>
      <c r="BQ81" s="413">
        <f>SUMIFS('свод практик'!$CF$6:$CF$277,'свод практик'!$J$6:$J$277,'строго ИБ'!BQ$1,'свод практик'!$B$6:$B$277,"ИБ")</f>
        <v>0</v>
      </c>
      <c r="BR81" s="413">
        <f>SUMIFS('свод практик'!$CF$6:$CF$277,'свод практик'!$J$6:$J$277,'строго ИБ'!BR$1,'свод практик'!$B$6:$B$277,"ИБ")</f>
        <v>0</v>
      </c>
      <c r="BS81" s="413">
        <f>SUMIFS('свод практик'!$CF$6:$CF$277,'свод практик'!$J$6:$J$277,'строго ИБ'!BS$1,'свод практик'!$B$6:$B$277,"ИБ")</f>
        <v>7</v>
      </c>
      <c r="BT81" s="413">
        <f>SUMIFS('свод практик'!$CF$6:$CF$277,'свод практик'!$J$6:$J$277,'строго ИБ'!BT$1,'свод практик'!$B$6:$B$277,"ИБ")</f>
        <v>7</v>
      </c>
      <c r="BU81" s="413">
        <f>SUMIFS('свод практик'!$CF$6:$CF$277,'свод практик'!$J$6:$J$277,'строго ИБ'!BU$1,'свод практик'!$B$6:$B$277,"ИБ")</f>
        <v>0</v>
      </c>
      <c r="BV81" s="413">
        <f>SUMIFS('свод практик'!$CF$6:$CF$277,'свод практик'!$J$6:$J$277,'строго ИБ'!BV$1,'свод практик'!$B$6:$B$277,"ИБ")</f>
        <v>7</v>
      </c>
      <c r="BW81" s="413">
        <f>SUMIFS('свод практик'!$CF$6:$CF$277,'свод практик'!$J$6:$J$277,'строго ИБ'!BW$1,'свод практик'!$B$6:$B$277,"ИБ")</f>
        <v>44</v>
      </c>
      <c r="BX81" s="413">
        <f>SUMIFS('свод практик'!$CF$6:$CF$277,'свод практик'!$J$6:$J$277,'строго ИБ'!BX$1,'свод практик'!$B$6:$B$277,"ИБ")</f>
        <v>6</v>
      </c>
      <c r="BY81" s="413">
        <f>SUMIFS('свод практик'!$CF$6:$CF$277,'свод практик'!$J$6:$J$277,'строго ИБ'!BY$1,'свод практик'!$B$6:$B$277,"ИБ")</f>
        <v>8</v>
      </c>
      <c r="BZ81" s="413">
        <f>SUMIFS('свод практик'!$CF$6:$CF$277,'свод практик'!$J$6:$J$277,'строго ИБ'!BZ$1,'свод практик'!$B$6:$B$277,"ИБ")</f>
        <v>0</v>
      </c>
      <c r="CA81" s="413">
        <f>SUMIFS('свод практик'!$CF$6:$CF$277,'свод практик'!$J$6:$J$277,'строго ИБ'!CA$1,'свод практик'!$B$6:$B$277,"ИБ")</f>
        <v>0</v>
      </c>
      <c r="CB81" s="413">
        <f>SUMIFS('свод практик'!$CF$6:$CF$277,'свод практик'!$J$6:$J$277,'строго ИБ'!CB$1,'свод практик'!$B$6:$B$277,"ИБ")</f>
        <v>0</v>
      </c>
      <c r="CC81" s="413">
        <f>SUMIFS('свод практик'!$CF$6:$CF$277,'свод практик'!$J$6:$J$277,'строго ИБ'!CC$1,'свод практик'!$B$6:$B$277,"ИБ")</f>
        <v>48</v>
      </c>
      <c r="CD81" s="413">
        <f>SUMIFS('свод практик'!$CF$6:$CF$277,'свод практик'!$J$6:$J$277,'строго ИБ'!CD$1,'свод практик'!$B$6:$B$277,"ИБ")</f>
        <v>11</v>
      </c>
      <c r="CE81" s="413">
        <f>SUMIFS('свод практик'!$CF$6:$CF$277,'свод практик'!$J$6:$J$277,'строго ИБ'!CE$1,'свод практик'!$B$6:$B$277,"ИБ")</f>
        <v>0</v>
      </c>
      <c r="CF81" s="413">
        <f>SUMIFS('свод практик'!$CF$6:$CF$277,'свод практик'!$J$6:$J$277,'строго ИБ'!CF$1,'свод практик'!$B$6:$B$277,"ИБ")</f>
        <v>4</v>
      </c>
      <c r="CG81" s="413">
        <f>SUMIFS('свод практик'!$CF$6:$CF$277,'свод практик'!$J$6:$J$277,'строго ИБ'!CG$1,'свод практик'!$B$6:$B$277,"ИБ")</f>
        <v>3</v>
      </c>
      <c r="CH81" s="413">
        <f>SUMIFS('свод практик'!$CF$6:$CF$277,'свод практик'!$J$6:$J$277,'строго ИБ'!CH$1,'свод практик'!$B$6:$B$277,"ИБ")</f>
        <v>20</v>
      </c>
      <c r="CI81" s="413">
        <f>SUMIFS('свод практик'!$CF$6:$CF$277,'свод практик'!$J$6:$J$277,'строго ИБ'!CI$1,'свод практик'!$B$6:$B$277,"ИБ")</f>
        <v>0</v>
      </c>
      <c r="CJ81" s="413">
        <f>SUMIFS('свод практик'!$CF$6:$CF$277,'свод практик'!$J$6:$J$277,'строго ИБ'!CJ$1,'свод практик'!$B$6:$B$277,"ИБ")</f>
        <v>0</v>
      </c>
      <c r="CK81" s="413">
        <f>SUMIFS('свод практик'!$CF$6:$CF$277,'свод практик'!$J$6:$J$277,'строго ИБ'!CK$1,'свод практик'!$B$6:$B$277,"ИБ")</f>
        <v>7</v>
      </c>
      <c r="CL81" s="413">
        <f>SUMIFS('свод практик'!$CF$6:$CF$277,'свод практик'!$J$6:$J$277,'строго ИБ'!CL$1,'свод практик'!$B$6:$B$277,"ИБ")</f>
        <v>42</v>
      </c>
      <c r="CM81" s="413">
        <f>SUMIFS('свод практик'!$CF$6:$CF$277,'свод практик'!$J$6:$J$277,'строго ИБ'!CM$1,'свод практик'!$B$6:$B$277,"ИБ")</f>
        <v>3</v>
      </c>
      <c r="CN81" s="413">
        <f>SUMIFS('свод практик'!$CF$6:$CF$277,'свод практик'!$J$6:$J$277,'строго ИБ'!CN$1,'свод практик'!$B$6:$B$277,"ИБ")</f>
        <v>0</v>
      </c>
      <c r="CO81" s="413">
        <f>SUMIFS('свод практик'!$CF$6:$CF$277,'свод практик'!$J$6:$J$277,'строго ИБ'!CO$1,'свод практик'!$B$6:$B$277,"ИБ")</f>
        <v>7</v>
      </c>
      <c r="CP81" s="413">
        <f>SUMIFS('свод практик'!$CF$6:$CF$277,'свод практик'!$J$6:$J$277,'строго ИБ'!CP$1,'свод практик'!$B$6:$B$277,"ИБ")</f>
        <v>1</v>
      </c>
      <c r="CQ81" s="413">
        <f>SUMIFS('свод практик'!$CF$6:$CF$277,'свод практик'!$J$6:$J$277,'строго ИБ'!CQ$1,'свод практик'!$B$6:$B$277,"ИБ")</f>
        <v>0</v>
      </c>
      <c r="CR81" s="413">
        <f>SUMIFS('свод практик'!$CF$6:$CF$277,'свод практик'!$J$6:$J$277,'строго ИБ'!CR$1,'свод практик'!$B$6:$B$277,"ИБ")</f>
        <v>13</v>
      </c>
      <c r="CS81" s="413">
        <f>SUMIFS('свод практик'!$CF$6:$CF$277,'свод практик'!$J$6:$J$277,'строго ИБ'!CS$1,'свод практик'!$B$6:$B$277,"ИБ")</f>
        <v>1</v>
      </c>
      <c r="CT81" s="413">
        <f>SUMIFS('свод практик'!$CF$6:$CF$277,'свод практик'!$J$6:$J$277,'строго ИБ'!CT$1,'свод практик'!$B$6:$B$277,"ИБ")</f>
        <v>12</v>
      </c>
      <c r="CU81" s="413">
        <f>SUMIFS('свод практик'!$CF$6:$CF$277,'свод практик'!$J$6:$J$277,'строго ИБ'!CU$1,'свод практик'!$B$6:$B$277,"ИБ")</f>
        <v>13</v>
      </c>
    </row>
    <row r="82" spans="1:99" ht="19.5" customHeight="1">
      <c r="A82" s="815"/>
      <c r="B82" s="817"/>
      <c r="C82" s="805"/>
      <c r="D82" s="439"/>
      <c r="E82" s="439"/>
      <c r="F82" s="482" t="s">
        <v>5241</v>
      </c>
      <c r="G82" s="813"/>
      <c r="H82" s="442" t="s">
        <v>60</v>
      </c>
      <c r="I82" s="443"/>
      <c r="J82" s="444"/>
      <c r="K82" s="2"/>
      <c r="L82" s="383"/>
      <c r="M82" s="384">
        <v>8.6943750917902782E-2</v>
      </c>
      <c r="N82" s="607">
        <f>N81/N107</f>
        <v>6.6861313868613145E-2</v>
      </c>
      <c r="O82" s="607">
        <f t="shared" ref="O82:BZ82" si="38">O81/O107</f>
        <v>0</v>
      </c>
      <c r="P82" s="607">
        <f t="shared" si="38"/>
        <v>0</v>
      </c>
      <c r="Q82" s="607">
        <f t="shared" si="38"/>
        <v>0.22058823529411764</v>
      </c>
      <c r="R82" s="607">
        <f t="shared" si="38"/>
        <v>0.23170731707317074</v>
      </c>
      <c r="S82" s="607">
        <f t="shared" si="38"/>
        <v>0</v>
      </c>
      <c r="T82" s="607">
        <f t="shared" si="38"/>
        <v>0</v>
      </c>
      <c r="U82" s="607">
        <f t="shared" si="38"/>
        <v>6.3846153846153844E-2</v>
      </c>
      <c r="V82" s="607">
        <f t="shared" si="38"/>
        <v>1.282051282051282E-2</v>
      </c>
      <c r="W82" s="607">
        <f t="shared" si="38"/>
        <v>2.247191011235955E-2</v>
      </c>
      <c r="X82" s="607" t="e">
        <f t="shared" si="38"/>
        <v>#DIV/0!</v>
      </c>
      <c r="Y82" s="607" t="e">
        <f t="shared" si="38"/>
        <v>#DIV/0!</v>
      </c>
      <c r="Z82" s="607">
        <f t="shared" si="38"/>
        <v>0.15053763440860216</v>
      </c>
      <c r="AA82" s="607">
        <f t="shared" si="38"/>
        <v>7.6147816349384098E-2</v>
      </c>
      <c r="AB82" s="607">
        <f t="shared" si="38"/>
        <v>0</v>
      </c>
      <c r="AC82" s="607" t="e">
        <f t="shared" si="38"/>
        <v>#DIV/0!</v>
      </c>
      <c r="AD82" s="607" t="e">
        <f t="shared" si="38"/>
        <v>#DIV/0!</v>
      </c>
      <c r="AE82" s="607" t="e">
        <f t="shared" si="38"/>
        <v>#DIV/0!</v>
      </c>
      <c r="AF82" s="607" t="e">
        <f t="shared" si="38"/>
        <v>#DIV/0!</v>
      </c>
      <c r="AG82" s="607" t="e">
        <f t="shared" si="38"/>
        <v>#DIV/0!</v>
      </c>
      <c r="AH82" s="607" t="e">
        <f t="shared" si="38"/>
        <v>#DIV/0!</v>
      </c>
      <c r="AI82" s="607" t="e">
        <f t="shared" si="38"/>
        <v>#DIV/0!</v>
      </c>
      <c r="AJ82" s="607" t="e">
        <f t="shared" si="38"/>
        <v>#DIV/0!</v>
      </c>
      <c r="AK82" s="607">
        <f t="shared" si="38"/>
        <v>0</v>
      </c>
      <c r="AL82" s="607">
        <f t="shared" si="38"/>
        <v>0.12352941176470589</v>
      </c>
      <c r="AM82" s="607" t="e">
        <f t="shared" si="38"/>
        <v>#DIV/0!</v>
      </c>
      <c r="AN82" s="607" t="e">
        <f t="shared" si="38"/>
        <v>#DIV/0!</v>
      </c>
      <c r="AO82" s="607">
        <f t="shared" si="38"/>
        <v>0.11392405063291139</v>
      </c>
      <c r="AP82" s="607">
        <f t="shared" si="38"/>
        <v>9.3457943925233638E-3</v>
      </c>
      <c r="AQ82" s="607">
        <f t="shared" si="38"/>
        <v>7.2829131652661069E-2</v>
      </c>
      <c r="AR82" s="607">
        <f t="shared" si="38"/>
        <v>7.9710144927536225E-2</v>
      </c>
      <c r="AS82" s="607" t="e">
        <f t="shared" si="38"/>
        <v>#DIV/0!</v>
      </c>
      <c r="AT82" s="607" t="e">
        <f t="shared" si="38"/>
        <v>#DIV/0!</v>
      </c>
      <c r="AU82" s="607">
        <f t="shared" si="38"/>
        <v>0.125</v>
      </c>
      <c r="AV82" s="607" t="e">
        <f t="shared" si="38"/>
        <v>#DIV/0!</v>
      </c>
      <c r="AW82" s="607">
        <f t="shared" si="38"/>
        <v>0.21649484536082475</v>
      </c>
      <c r="AX82" s="607" t="e">
        <f t="shared" si="38"/>
        <v>#DIV/0!</v>
      </c>
      <c r="AY82" s="607">
        <f t="shared" si="38"/>
        <v>0</v>
      </c>
      <c r="AZ82" s="607" t="e">
        <f t="shared" si="38"/>
        <v>#DIV/0!</v>
      </c>
      <c r="BA82" s="607" t="e">
        <f t="shared" si="38"/>
        <v>#DIV/0!</v>
      </c>
      <c r="BB82" s="607">
        <f t="shared" si="38"/>
        <v>0</v>
      </c>
      <c r="BC82" s="607" t="e">
        <f t="shared" si="38"/>
        <v>#DIV/0!</v>
      </c>
      <c r="BD82" s="607" t="e">
        <f t="shared" si="38"/>
        <v>#DIV/0!</v>
      </c>
      <c r="BE82" s="607">
        <f t="shared" si="38"/>
        <v>0</v>
      </c>
      <c r="BF82" s="607">
        <f t="shared" si="38"/>
        <v>0.1111111111111111</v>
      </c>
      <c r="BG82" s="607">
        <f t="shared" si="38"/>
        <v>4.3478260869565216E-2</v>
      </c>
      <c r="BH82" s="607">
        <f t="shared" si="38"/>
        <v>2.1922428330522766E-2</v>
      </c>
      <c r="BI82" s="607">
        <f t="shared" si="38"/>
        <v>0.13636363636363635</v>
      </c>
      <c r="BJ82" s="607">
        <f t="shared" si="38"/>
        <v>9.3596059113300489E-2</v>
      </c>
      <c r="BK82" s="607" t="e">
        <f t="shared" si="38"/>
        <v>#DIV/0!</v>
      </c>
      <c r="BL82" s="607">
        <f t="shared" si="38"/>
        <v>0.12244897959183673</v>
      </c>
      <c r="BM82" s="607">
        <f t="shared" si="38"/>
        <v>0.16666666666666666</v>
      </c>
      <c r="BN82" s="607" t="e">
        <f t="shared" si="38"/>
        <v>#DIV/0!</v>
      </c>
      <c r="BO82" s="607">
        <f t="shared" si="38"/>
        <v>0.1076923076923077</v>
      </c>
      <c r="BP82" s="607" t="e">
        <f t="shared" si="38"/>
        <v>#DIV/0!</v>
      </c>
      <c r="BQ82" s="607" t="e">
        <f t="shared" si="38"/>
        <v>#DIV/0!</v>
      </c>
      <c r="BR82" s="607">
        <f t="shared" si="38"/>
        <v>0</v>
      </c>
      <c r="BS82" s="607">
        <f t="shared" si="38"/>
        <v>3.8043478260869568E-2</v>
      </c>
      <c r="BT82" s="607">
        <f t="shared" si="38"/>
        <v>1.2567324955116697E-2</v>
      </c>
      <c r="BU82" s="607">
        <f t="shared" si="38"/>
        <v>0</v>
      </c>
      <c r="BV82" s="607">
        <f t="shared" si="38"/>
        <v>6.363636363636363E-2</v>
      </c>
      <c r="BW82" s="607">
        <f t="shared" si="38"/>
        <v>9.9322799097065456E-2</v>
      </c>
      <c r="BX82" s="607">
        <f t="shared" si="38"/>
        <v>3.4090909090909088E-2</v>
      </c>
      <c r="BY82" s="607">
        <f t="shared" si="38"/>
        <v>0.16</v>
      </c>
      <c r="BZ82" s="607" t="e">
        <f t="shared" si="38"/>
        <v>#DIV/0!</v>
      </c>
      <c r="CA82" s="607" t="e">
        <f t="shared" ref="CA82:CU82" si="39">CA81/CA107</f>
        <v>#DIV/0!</v>
      </c>
      <c r="CB82" s="607" t="e">
        <f t="shared" si="39"/>
        <v>#DIV/0!</v>
      </c>
      <c r="CC82" s="607">
        <f t="shared" si="39"/>
        <v>0.19591836734693877</v>
      </c>
      <c r="CD82" s="607">
        <f t="shared" si="39"/>
        <v>2.0370370370370372E-2</v>
      </c>
      <c r="CE82" s="607" t="e">
        <f t="shared" si="39"/>
        <v>#DIV/0!</v>
      </c>
      <c r="CF82" s="607">
        <f t="shared" si="39"/>
        <v>1.4760147601476014E-2</v>
      </c>
      <c r="CG82" s="607">
        <f t="shared" si="39"/>
        <v>4.1666666666666664E-2</v>
      </c>
      <c r="CH82" s="607">
        <f t="shared" si="39"/>
        <v>3.9525691699604744E-2</v>
      </c>
      <c r="CI82" s="607" t="e">
        <f t="shared" si="39"/>
        <v>#DIV/0!</v>
      </c>
      <c r="CJ82" s="607" t="e">
        <f t="shared" si="39"/>
        <v>#DIV/0!</v>
      </c>
      <c r="CK82" s="607">
        <f t="shared" si="39"/>
        <v>6.4220183486238536E-2</v>
      </c>
      <c r="CL82" s="607">
        <f t="shared" si="39"/>
        <v>0.2857142857142857</v>
      </c>
      <c r="CM82" s="607">
        <f t="shared" si="39"/>
        <v>7.3170731707317069E-2</v>
      </c>
      <c r="CN82" s="607" t="e">
        <f t="shared" si="39"/>
        <v>#DIV/0!</v>
      </c>
      <c r="CO82" s="607">
        <f t="shared" si="39"/>
        <v>3.7037037037037035E-2</v>
      </c>
      <c r="CP82" s="607">
        <f t="shared" si="39"/>
        <v>1</v>
      </c>
      <c r="CQ82" s="607" t="e">
        <f t="shared" si="39"/>
        <v>#DIV/0!</v>
      </c>
      <c r="CR82" s="607">
        <f t="shared" si="39"/>
        <v>2.0217729393468119E-2</v>
      </c>
      <c r="CS82" s="607">
        <f t="shared" si="39"/>
        <v>0.1</v>
      </c>
      <c r="CT82" s="607">
        <f t="shared" si="39"/>
        <v>0.14814814814814814</v>
      </c>
      <c r="CU82" s="607">
        <f t="shared" si="39"/>
        <v>2.6156941649899398E-2</v>
      </c>
    </row>
    <row r="83" spans="1:99" ht="20.5" customHeight="1">
      <c r="A83" s="815"/>
      <c r="B83" s="817"/>
      <c r="C83" s="805"/>
      <c r="D83" s="439" t="s">
        <v>4949</v>
      </c>
      <c r="E83" s="439">
        <v>66</v>
      </c>
      <c r="F83" s="440" t="s">
        <v>5162</v>
      </c>
      <c r="G83" s="808" t="s">
        <v>5766</v>
      </c>
      <c r="H83" s="442" t="s">
        <v>5140</v>
      </c>
      <c r="I83" s="443"/>
      <c r="J83" s="444"/>
      <c r="K83" s="2" t="s">
        <v>278</v>
      </c>
      <c r="L83" s="385"/>
      <c r="M83" s="351">
        <v>522</v>
      </c>
      <c r="N83" s="580">
        <f t="shared" si="25"/>
        <v>745</v>
      </c>
      <c r="O83" s="413">
        <f>SUMIFS('свод практик'!$CG$6:$CG$277,'свод практик'!$J$6:$J$277,'строго ИБ'!O$1,'свод практик'!$B$6:$B$277,"ИБ")</f>
        <v>0</v>
      </c>
      <c r="P83" s="413">
        <f>SUMIFS('свод практик'!$CG$6:$CG$277,'свод практик'!$J$6:$J$277,'строго ИБ'!P$1,'свод практик'!$B$6:$B$277,"ИБ")</f>
        <v>2</v>
      </c>
      <c r="Q83" s="413">
        <f>SUMIFS('свод практик'!$CG$6:$CG$277,'свод практик'!$J$6:$J$277,'строго ИБ'!Q$1,'свод практик'!$B$6:$B$277,"ИБ")</f>
        <v>33</v>
      </c>
      <c r="R83" s="413">
        <f>SUMIFS('свод практик'!$CG$6:$CG$277,'свод практик'!$J$6:$J$277,'строго ИБ'!R$1,'свод практик'!$B$6:$B$277,"ИБ")</f>
        <v>12</v>
      </c>
      <c r="S83" s="413">
        <f>SUMIFS('свод практик'!$CG$6:$CG$277,'свод практик'!$J$6:$J$277,'строго ИБ'!S$1,'свод практик'!$B$6:$B$277,"ИБ")</f>
        <v>0</v>
      </c>
      <c r="T83" s="413">
        <f>SUMIFS('свод практик'!$CG$6:$CG$277,'свод практик'!$J$6:$J$277,'строго ИБ'!T$1,'свод практик'!$B$6:$B$277,"ИБ")</f>
        <v>2</v>
      </c>
      <c r="U83" s="413">
        <f>SUMIFS('свод практик'!$CG$6:$CG$277,'свод практик'!$J$6:$J$277,'строго ИБ'!U$1,'свод практик'!$B$6:$B$277,"ИБ")</f>
        <v>22</v>
      </c>
      <c r="V83" s="413">
        <f>SUMIFS('свод практик'!$CG$6:$CG$277,'свод практик'!$J$6:$J$277,'строго ИБ'!V$1,'свод практик'!$B$6:$B$277,"ИБ")</f>
        <v>0</v>
      </c>
      <c r="W83" s="413">
        <f>SUMIFS('свод практик'!$CG$6:$CG$277,'свод практик'!$J$6:$J$277,'строго ИБ'!W$1,'свод практик'!$B$6:$B$277,"ИБ")</f>
        <v>14</v>
      </c>
      <c r="X83" s="413">
        <f>SUMIFS('свод практик'!$CG$6:$CG$277,'свод практик'!$J$6:$J$277,'строго ИБ'!X$1,'свод практик'!$B$6:$B$277,"ИБ")</f>
        <v>0</v>
      </c>
      <c r="Y83" s="413">
        <f>SUMIFS('свод практик'!$CG$6:$CG$277,'свод практик'!$J$6:$J$277,'строго ИБ'!Y$1,'свод практик'!$B$6:$B$277,"ИБ")</f>
        <v>0</v>
      </c>
      <c r="Z83" s="413">
        <f>SUMIFS('свод практик'!$CG$6:$CG$277,'свод практик'!$J$6:$J$277,'строго ИБ'!Z$1,'свод практик'!$B$6:$B$277,"ИБ")</f>
        <v>12</v>
      </c>
      <c r="AA83" s="413">
        <f>SUMIFS('свод практик'!$CG$6:$CG$277,'свод практик'!$J$6:$J$277,'строго ИБ'!AA$1,'свод практик'!$B$6:$B$277,"ИБ")</f>
        <v>79</v>
      </c>
      <c r="AB83" s="413">
        <f>SUMIFS('свод практик'!$CG$6:$CG$277,'свод практик'!$J$6:$J$277,'строго ИБ'!AB$1,'свод практик'!$B$6:$B$277,"ИБ")</f>
        <v>5</v>
      </c>
      <c r="AC83" s="413">
        <f>SUMIFS('свод практик'!$CG$6:$CG$277,'свод практик'!$J$6:$J$277,'строго ИБ'!AC$1,'свод практик'!$B$6:$B$277,"ИБ")</f>
        <v>0</v>
      </c>
      <c r="AD83" s="413">
        <f>SUMIFS('свод практик'!$CG$6:$CG$277,'свод практик'!$J$6:$J$277,'строго ИБ'!AD$1,'свод практик'!$B$6:$B$277,"ИБ")</f>
        <v>0</v>
      </c>
      <c r="AE83" s="413">
        <f>SUMIFS('свод практик'!$CG$6:$CG$277,'свод практик'!$J$6:$J$277,'строго ИБ'!AE$1,'свод практик'!$B$6:$B$277,"ИБ")</f>
        <v>0</v>
      </c>
      <c r="AF83" s="413">
        <f>SUMIFS('свод практик'!$CG$6:$CG$277,'свод практик'!$J$6:$J$277,'строго ИБ'!AF$1,'свод практик'!$B$6:$B$277,"ИБ")</f>
        <v>0</v>
      </c>
      <c r="AG83" s="413">
        <f>SUMIFS('свод практик'!$CG$6:$CG$277,'свод практик'!$J$6:$J$277,'строго ИБ'!AG$1,'свод практик'!$B$6:$B$277,"ИБ")</f>
        <v>0</v>
      </c>
      <c r="AH83" s="413">
        <f>SUMIFS('свод практик'!$CG$6:$CG$277,'свод практик'!$J$6:$J$277,'строго ИБ'!AH$1,'свод практик'!$B$6:$B$277,"ИБ")</f>
        <v>0</v>
      </c>
      <c r="AI83" s="413">
        <f>SUMIFS('свод практик'!$CG$6:$CG$277,'свод практик'!$J$6:$J$277,'строго ИБ'!AI$1,'свод практик'!$B$6:$B$277,"ИБ")</f>
        <v>0</v>
      </c>
      <c r="AJ83" s="413">
        <f>SUMIFS('свод практик'!$CG$6:$CG$277,'свод практик'!$J$6:$J$277,'строго ИБ'!AJ$1,'свод практик'!$B$6:$B$277,"ИБ")</f>
        <v>0</v>
      </c>
      <c r="AK83" s="413">
        <f>SUMIFS('свод практик'!$CG$6:$CG$277,'свод практик'!$J$6:$J$277,'строго ИБ'!AK$1,'свод практик'!$B$6:$B$277,"ИБ")</f>
        <v>0</v>
      </c>
      <c r="AL83" s="413">
        <f>SUMIFS('свод практик'!$CG$6:$CG$277,'свод практик'!$J$6:$J$277,'строго ИБ'!AL$1,'свод практик'!$B$6:$B$277,"ИБ")</f>
        <v>27</v>
      </c>
      <c r="AM83" s="413">
        <f>SUMIFS('свод практик'!$CG$6:$CG$277,'свод практик'!$J$6:$J$277,'строго ИБ'!AM$1,'свод практик'!$B$6:$B$277,"ИБ")</f>
        <v>0</v>
      </c>
      <c r="AN83" s="413">
        <f>SUMIFS('свод практик'!$CG$6:$CG$277,'свод практик'!$J$6:$J$277,'строго ИБ'!AN$1,'свод практик'!$B$6:$B$277,"ИБ")</f>
        <v>0</v>
      </c>
      <c r="AO83" s="413">
        <f>SUMIFS('свод практик'!$CG$6:$CG$277,'свод практик'!$J$6:$J$277,'строго ИБ'!AO$1,'свод практик'!$B$6:$B$277,"ИБ")</f>
        <v>17</v>
      </c>
      <c r="AP83" s="413">
        <f>SUMIFS('свод практик'!$CG$6:$CG$277,'свод практик'!$J$6:$J$277,'строго ИБ'!AP$1,'свод практик'!$B$6:$B$277,"ИБ")</f>
        <v>31</v>
      </c>
      <c r="AQ83" s="413">
        <f>SUMIFS('свод практик'!$CG$6:$CG$277,'свод практик'!$J$6:$J$277,'строго ИБ'!AQ$1,'свод практик'!$B$6:$B$277,"ИБ")</f>
        <v>22</v>
      </c>
      <c r="AR83" s="413">
        <f>SUMIFS('свод практик'!$CG$6:$CG$277,'свод практик'!$J$6:$J$277,'строго ИБ'!AR$1,'свод практик'!$B$6:$B$277,"ИБ")</f>
        <v>33</v>
      </c>
      <c r="AS83" s="413">
        <f>SUMIFS('свод практик'!$CG$6:$CG$277,'свод практик'!$J$6:$J$277,'строго ИБ'!AS$1,'свод практик'!$B$6:$B$277,"ИБ")</f>
        <v>0</v>
      </c>
      <c r="AT83" s="413">
        <f>SUMIFS('свод практик'!$CG$6:$CG$277,'свод практик'!$J$6:$J$277,'строго ИБ'!AT$1,'свод практик'!$B$6:$B$277,"ИБ")</f>
        <v>0</v>
      </c>
      <c r="AU83" s="413">
        <f>SUMIFS('свод практик'!$CG$6:$CG$277,'свод практик'!$J$6:$J$277,'строго ИБ'!AU$1,'свод практик'!$B$6:$B$277,"ИБ")</f>
        <v>13</v>
      </c>
      <c r="AV83" s="413">
        <f>SUMIFS('свод практик'!$CG$6:$CG$277,'свод практик'!$J$6:$J$277,'строго ИБ'!AV$1,'свод практик'!$B$6:$B$277,"ИБ")</f>
        <v>0</v>
      </c>
      <c r="AW83" s="413">
        <f>SUMIFS('свод практик'!$CG$6:$CG$277,'свод практик'!$J$6:$J$277,'строго ИБ'!AW$1,'свод практик'!$B$6:$B$277,"ИБ")</f>
        <v>5</v>
      </c>
      <c r="AX83" s="413">
        <f>SUMIFS('свод практик'!$CG$6:$CG$277,'свод практик'!$J$6:$J$277,'строго ИБ'!AX$1,'свод практик'!$B$6:$B$277,"ИБ")</f>
        <v>0</v>
      </c>
      <c r="AY83" s="413">
        <f>SUMIFS('свод практик'!$CG$6:$CG$277,'свод практик'!$J$6:$J$277,'строго ИБ'!AY$1,'свод практик'!$B$6:$B$277,"ИБ")</f>
        <v>0</v>
      </c>
      <c r="AZ83" s="413">
        <f>SUMIFS('свод практик'!$CG$6:$CG$277,'свод практик'!$J$6:$J$277,'строго ИБ'!AZ$1,'свод практик'!$B$6:$B$277,"ИБ")</f>
        <v>0</v>
      </c>
      <c r="BA83" s="413">
        <f>SUMIFS('свод практик'!$CG$6:$CG$277,'свод практик'!$J$6:$J$277,'строго ИБ'!BA$1,'свод практик'!$B$6:$B$277,"ИБ")</f>
        <v>0</v>
      </c>
      <c r="BB83" s="413">
        <f>SUMIFS('свод практик'!$CG$6:$CG$277,'свод практик'!$J$6:$J$277,'строго ИБ'!BB$1,'свод практик'!$B$6:$B$277,"ИБ")</f>
        <v>1</v>
      </c>
      <c r="BC83" s="413">
        <f>SUMIFS('свод практик'!$CG$6:$CG$277,'свод практик'!$J$6:$J$277,'строго ИБ'!BC$1,'свод практик'!$B$6:$B$277,"ИБ")</f>
        <v>0</v>
      </c>
      <c r="BD83" s="413">
        <f>SUMIFS('свод практик'!$CG$6:$CG$277,'свод практик'!$J$6:$J$277,'строго ИБ'!BD$1,'свод практик'!$B$6:$B$277,"ИБ")</f>
        <v>0</v>
      </c>
      <c r="BE83" s="413">
        <f>SUMIFS('свод практик'!$CG$6:$CG$277,'свод практик'!$J$6:$J$277,'строго ИБ'!BE$1,'свод практик'!$B$6:$B$277,"ИБ")</f>
        <v>0</v>
      </c>
      <c r="BF83" s="413">
        <f>SUMIFS('свод практик'!$CG$6:$CG$277,'свод практик'!$J$6:$J$277,'строго ИБ'!BF$1,'свод практик'!$B$6:$B$277,"ИБ")</f>
        <v>5</v>
      </c>
      <c r="BG83" s="413">
        <f>SUMIFS('свод практик'!$CG$6:$CG$277,'свод практик'!$J$6:$J$277,'строго ИБ'!BG$1,'свод практик'!$B$6:$B$277,"ИБ")</f>
        <v>1</v>
      </c>
      <c r="BH83" s="413">
        <f>SUMIFS('свод практик'!$CG$6:$CG$277,'свод практик'!$J$6:$J$277,'строго ИБ'!BH$1,'свод практик'!$B$6:$B$277,"ИБ")</f>
        <v>17</v>
      </c>
      <c r="BI83" s="413">
        <f>SUMIFS('свод практик'!$CG$6:$CG$277,'свод практик'!$J$6:$J$277,'строго ИБ'!BI$1,'свод практик'!$B$6:$B$277,"ИБ")</f>
        <v>7</v>
      </c>
      <c r="BJ83" s="413">
        <f>SUMIFS('свод практик'!$CG$6:$CG$277,'свод практик'!$J$6:$J$277,'строго ИБ'!BJ$1,'свод практик'!$B$6:$B$277,"ИБ")</f>
        <v>13</v>
      </c>
      <c r="BK83" s="413">
        <f>SUMIFS('свод практик'!$CG$6:$CG$277,'свод практик'!$J$6:$J$277,'строго ИБ'!BK$1,'свод практик'!$B$6:$B$277,"ИБ")</f>
        <v>0</v>
      </c>
      <c r="BL83" s="413">
        <f>SUMIFS('свод практик'!$CG$6:$CG$277,'свод практик'!$J$6:$J$277,'строго ИБ'!BL$1,'свод практик'!$B$6:$B$277,"ИБ")</f>
        <v>9</v>
      </c>
      <c r="BM83" s="413">
        <f>SUMIFS('свод практик'!$CG$6:$CG$277,'свод практик'!$J$6:$J$277,'строго ИБ'!BM$1,'свод практик'!$B$6:$B$277,"ИБ")</f>
        <v>0</v>
      </c>
      <c r="BN83" s="413">
        <f>SUMIFS('свод практик'!$CG$6:$CG$277,'свод практик'!$J$6:$J$277,'строго ИБ'!BN$1,'свод практик'!$B$6:$B$277,"ИБ")</f>
        <v>0</v>
      </c>
      <c r="BO83" s="413">
        <f>SUMIFS('свод практик'!$CG$6:$CG$277,'свод практик'!$J$6:$J$277,'строго ИБ'!BO$1,'свод практик'!$B$6:$B$277,"ИБ")</f>
        <v>10</v>
      </c>
      <c r="BP83" s="413">
        <f>SUMIFS('свод практик'!$CG$6:$CG$277,'свод практик'!$J$6:$J$277,'строго ИБ'!BP$1,'свод практик'!$B$6:$B$277,"ИБ")</f>
        <v>0</v>
      </c>
      <c r="BQ83" s="413">
        <f>SUMIFS('свод практик'!$CG$6:$CG$277,'свод практик'!$J$6:$J$277,'строго ИБ'!BQ$1,'свод практик'!$B$6:$B$277,"ИБ")</f>
        <v>0</v>
      </c>
      <c r="BR83" s="413">
        <f>SUMIFS('свод практик'!$CG$6:$CG$277,'свод практик'!$J$6:$J$277,'строго ИБ'!BR$1,'свод практик'!$B$6:$B$277,"ИБ")</f>
        <v>5</v>
      </c>
      <c r="BS83" s="413">
        <f>SUMIFS('свод практик'!$CG$6:$CG$277,'свод практик'!$J$6:$J$277,'строго ИБ'!BS$1,'свод практик'!$B$6:$B$277,"ИБ")</f>
        <v>20</v>
      </c>
      <c r="BT83" s="413">
        <f>SUMIFS('свод практик'!$CG$6:$CG$277,'свод практик'!$J$6:$J$277,'строго ИБ'!BT$1,'свод практик'!$B$6:$B$277,"ИБ")</f>
        <v>37</v>
      </c>
      <c r="BU83" s="413">
        <f>SUMIFS('свод практик'!$CG$6:$CG$277,'свод практик'!$J$6:$J$277,'строго ИБ'!BU$1,'свод практик'!$B$6:$B$277,"ИБ")</f>
        <v>4</v>
      </c>
      <c r="BV83" s="413">
        <f>SUMIFS('свод практик'!$CG$6:$CG$277,'свод практик'!$J$6:$J$277,'строго ИБ'!BV$1,'свод практик'!$B$6:$B$277,"ИБ")</f>
        <v>9</v>
      </c>
      <c r="BW83" s="413">
        <f>SUMIFS('свод практик'!$CG$6:$CG$277,'свод практик'!$J$6:$J$277,'строго ИБ'!BW$1,'свод практик'!$B$6:$B$277,"ИБ")</f>
        <v>39</v>
      </c>
      <c r="BX83" s="413">
        <f>SUMIFS('свод практик'!$CG$6:$CG$277,'свод практик'!$J$6:$J$277,'строго ИБ'!BX$1,'свод практик'!$B$6:$B$277,"ИБ")</f>
        <v>61</v>
      </c>
      <c r="BY83" s="413">
        <f>SUMIFS('свод практик'!$CG$6:$CG$277,'свод практик'!$J$6:$J$277,'строго ИБ'!BY$1,'свод практик'!$B$6:$B$277,"ИБ")</f>
        <v>14</v>
      </c>
      <c r="BZ83" s="413">
        <f>SUMIFS('свод практик'!$CG$6:$CG$277,'свод практик'!$J$6:$J$277,'строго ИБ'!BZ$1,'свод практик'!$B$6:$B$277,"ИБ")</f>
        <v>0</v>
      </c>
      <c r="CA83" s="413">
        <f>SUMIFS('свод практик'!$CG$6:$CG$277,'свод практик'!$J$6:$J$277,'строго ИБ'!CA$1,'свод практик'!$B$6:$B$277,"ИБ")</f>
        <v>0</v>
      </c>
      <c r="CB83" s="413">
        <f>SUMIFS('свод практик'!$CG$6:$CG$277,'свод практик'!$J$6:$J$277,'строго ИБ'!CB$1,'свод практик'!$B$6:$B$277,"ИБ")</f>
        <v>0</v>
      </c>
      <c r="CC83" s="413">
        <f>SUMIFS('свод практик'!$CG$6:$CG$277,'свод практик'!$J$6:$J$277,'строго ИБ'!CC$1,'свод практик'!$B$6:$B$277,"ИБ")</f>
        <v>40</v>
      </c>
      <c r="CD83" s="413">
        <f>SUMIFS('свод практик'!$CG$6:$CG$277,'свод практик'!$J$6:$J$277,'строго ИБ'!CD$1,'свод практик'!$B$6:$B$277,"ИБ")</f>
        <v>6</v>
      </c>
      <c r="CE83" s="413">
        <f>SUMIFS('свод практик'!$CG$6:$CG$277,'свод практик'!$J$6:$J$277,'строго ИБ'!CE$1,'свод практик'!$B$6:$B$277,"ИБ")</f>
        <v>0</v>
      </c>
      <c r="CF83" s="413">
        <f>SUMIFS('свод практик'!$CG$6:$CG$277,'свод практик'!$J$6:$J$277,'строго ИБ'!CF$1,'свод практик'!$B$6:$B$277,"ИБ")</f>
        <v>15</v>
      </c>
      <c r="CG83" s="413">
        <f>SUMIFS('свод практик'!$CG$6:$CG$277,'свод практик'!$J$6:$J$277,'строго ИБ'!CG$1,'свод практик'!$B$6:$B$277,"ИБ")</f>
        <v>8</v>
      </c>
      <c r="CH83" s="413">
        <f>SUMIFS('свод практик'!$CG$6:$CG$277,'свод практик'!$J$6:$J$277,'строго ИБ'!CH$1,'свод практик'!$B$6:$B$277,"ИБ")</f>
        <v>10</v>
      </c>
      <c r="CI83" s="413">
        <f>SUMIFS('свод практик'!$CG$6:$CG$277,'свод практик'!$J$6:$J$277,'строго ИБ'!CI$1,'свод практик'!$B$6:$B$277,"ИБ")</f>
        <v>0</v>
      </c>
      <c r="CJ83" s="413">
        <f>SUMIFS('свод практик'!$CG$6:$CG$277,'свод практик'!$J$6:$J$277,'строго ИБ'!CJ$1,'свод практик'!$B$6:$B$277,"ИБ")</f>
        <v>0</v>
      </c>
      <c r="CK83" s="413">
        <f>SUMIFS('свод практик'!$CG$6:$CG$277,'свод практик'!$J$6:$J$277,'строго ИБ'!CK$1,'свод практик'!$B$6:$B$277,"ИБ")</f>
        <v>10</v>
      </c>
      <c r="CL83" s="413">
        <f>SUMIFS('свод практик'!$CG$6:$CG$277,'свод практик'!$J$6:$J$277,'строго ИБ'!CL$1,'свод практик'!$B$6:$B$277,"ИБ")</f>
        <v>8</v>
      </c>
      <c r="CM83" s="413">
        <f>SUMIFS('свод практик'!$CG$6:$CG$277,'свод практик'!$J$6:$J$277,'строго ИБ'!CM$1,'свод практик'!$B$6:$B$277,"ИБ")</f>
        <v>6</v>
      </c>
      <c r="CN83" s="413">
        <f>SUMIFS('свод практик'!$CG$6:$CG$277,'свод практик'!$J$6:$J$277,'строго ИБ'!CN$1,'свод практик'!$B$6:$B$277,"ИБ")</f>
        <v>0</v>
      </c>
      <c r="CO83" s="413">
        <f>SUMIFS('свод практик'!$CG$6:$CG$277,'свод практик'!$J$6:$J$277,'строго ИБ'!CO$1,'свод практик'!$B$6:$B$277,"ИБ")</f>
        <v>17</v>
      </c>
      <c r="CP83" s="413">
        <f>SUMIFS('свод практик'!$CG$6:$CG$277,'свод практик'!$J$6:$J$277,'строго ИБ'!CP$1,'свод практик'!$B$6:$B$277,"ИБ")</f>
        <v>0</v>
      </c>
      <c r="CQ83" s="413">
        <f>SUMIFS('свод практик'!$CG$6:$CG$277,'свод практик'!$J$6:$J$277,'строго ИБ'!CQ$1,'свод практик'!$B$6:$B$277,"ИБ")</f>
        <v>0</v>
      </c>
      <c r="CR83" s="413">
        <f>SUMIFS('свод практик'!$CG$6:$CG$277,'свод практик'!$J$6:$J$277,'строго ИБ'!CR$1,'свод практик'!$B$6:$B$277,"ИБ")</f>
        <v>0</v>
      </c>
      <c r="CS83" s="413">
        <f>SUMIFS('свод практик'!$CG$6:$CG$277,'свод практик'!$J$6:$J$277,'строго ИБ'!CS$1,'свод практик'!$B$6:$B$277,"ИБ")</f>
        <v>1</v>
      </c>
      <c r="CT83" s="413">
        <f>SUMIFS('свод практик'!$CG$6:$CG$277,'свод практик'!$J$6:$J$277,'строго ИБ'!CT$1,'свод практик'!$B$6:$B$277,"ИБ")</f>
        <v>8</v>
      </c>
      <c r="CU83" s="413">
        <f>SUMIFS('свод практик'!$CG$6:$CG$277,'свод практик'!$J$6:$J$277,'строго ИБ'!CU$1,'свод практик'!$B$6:$B$277,"ИБ")</f>
        <v>35</v>
      </c>
    </row>
    <row r="84" spans="1:99" ht="23" customHeight="1">
      <c r="A84" s="815"/>
      <c r="B84" s="817"/>
      <c r="C84" s="805"/>
      <c r="D84" s="439" t="s">
        <v>4949</v>
      </c>
      <c r="E84" s="439">
        <v>67</v>
      </c>
      <c r="F84" s="440" t="s">
        <v>5164</v>
      </c>
      <c r="G84" s="808"/>
      <c r="H84" s="442" t="s">
        <v>60</v>
      </c>
      <c r="I84" s="443"/>
      <c r="J84" s="444"/>
      <c r="K84" s="2"/>
      <c r="L84" s="383"/>
      <c r="M84" s="384">
        <v>7.6663239829637242E-2</v>
      </c>
      <c r="N84" s="607">
        <f>N83/N107</f>
        <v>7.250608272506083E-2</v>
      </c>
      <c r="O84" s="607">
        <f t="shared" ref="O84:BZ84" si="40">O83/O107</f>
        <v>0</v>
      </c>
      <c r="P84" s="607">
        <f t="shared" si="40"/>
        <v>0.33333333333333331</v>
      </c>
      <c r="Q84" s="607">
        <f t="shared" si="40"/>
        <v>0.16176470588235295</v>
      </c>
      <c r="R84" s="607">
        <f t="shared" si="40"/>
        <v>0.14634146341463414</v>
      </c>
      <c r="S84" s="607">
        <f t="shared" si="40"/>
        <v>0</v>
      </c>
      <c r="T84" s="607">
        <f t="shared" si="40"/>
        <v>0.16666666666666666</v>
      </c>
      <c r="U84" s="607">
        <f t="shared" si="40"/>
        <v>1.6923076923076923E-2</v>
      </c>
      <c r="V84" s="607">
        <f t="shared" si="40"/>
        <v>0</v>
      </c>
      <c r="W84" s="607">
        <f t="shared" si="40"/>
        <v>0.15730337078651685</v>
      </c>
      <c r="X84" s="607" t="e">
        <f t="shared" si="40"/>
        <v>#DIV/0!</v>
      </c>
      <c r="Y84" s="607" t="e">
        <f t="shared" si="40"/>
        <v>#DIV/0!</v>
      </c>
      <c r="Z84" s="607">
        <f t="shared" si="40"/>
        <v>0.12903225806451613</v>
      </c>
      <c r="AA84" s="607">
        <f t="shared" si="40"/>
        <v>8.8465845464725648E-2</v>
      </c>
      <c r="AB84" s="607">
        <f t="shared" si="40"/>
        <v>7.6923076923076927E-2</v>
      </c>
      <c r="AC84" s="607" t="e">
        <f t="shared" si="40"/>
        <v>#DIV/0!</v>
      </c>
      <c r="AD84" s="607" t="e">
        <f t="shared" si="40"/>
        <v>#DIV/0!</v>
      </c>
      <c r="AE84" s="607" t="e">
        <f t="shared" si="40"/>
        <v>#DIV/0!</v>
      </c>
      <c r="AF84" s="607" t="e">
        <f t="shared" si="40"/>
        <v>#DIV/0!</v>
      </c>
      <c r="AG84" s="607" t="e">
        <f t="shared" si="40"/>
        <v>#DIV/0!</v>
      </c>
      <c r="AH84" s="607" t="e">
        <f t="shared" si="40"/>
        <v>#DIV/0!</v>
      </c>
      <c r="AI84" s="607" t="e">
        <f t="shared" si="40"/>
        <v>#DIV/0!</v>
      </c>
      <c r="AJ84" s="607" t="e">
        <f t="shared" si="40"/>
        <v>#DIV/0!</v>
      </c>
      <c r="AK84" s="607">
        <f t="shared" si="40"/>
        <v>0</v>
      </c>
      <c r="AL84" s="607">
        <f t="shared" si="40"/>
        <v>0.1588235294117647</v>
      </c>
      <c r="AM84" s="607" t="e">
        <f t="shared" si="40"/>
        <v>#DIV/0!</v>
      </c>
      <c r="AN84" s="607" t="e">
        <f t="shared" si="40"/>
        <v>#DIV/0!</v>
      </c>
      <c r="AO84" s="607">
        <f t="shared" si="40"/>
        <v>0.21518987341772153</v>
      </c>
      <c r="AP84" s="607">
        <f t="shared" si="40"/>
        <v>0.28971962616822428</v>
      </c>
      <c r="AQ84" s="607">
        <f t="shared" si="40"/>
        <v>6.1624649859943981E-2</v>
      </c>
      <c r="AR84" s="607">
        <f t="shared" si="40"/>
        <v>0.11956521739130435</v>
      </c>
      <c r="AS84" s="607" t="e">
        <f t="shared" si="40"/>
        <v>#DIV/0!</v>
      </c>
      <c r="AT84" s="607" t="e">
        <f t="shared" si="40"/>
        <v>#DIV/0!</v>
      </c>
      <c r="AU84" s="607">
        <f t="shared" si="40"/>
        <v>0.10833333333333334</v>
      </c>
      <c r="AV84" s="607" t="e">
        <f t="shared" si="40"/>
        <v>#DIV/0!</v>
      </c>
      <c r="AW84" s="607">
        <f t="shared" si="40"/>
        <v>5.1546391752577317E-2</v>
      </c>
      <c r="AX84" s="607" t="e">
        <f t="shared" si="40"/>
        <v>#DIV/0!</v>
      </c>
      <c r="AY84" s="607">
        <f t="shared" si="40"/>
        <v>0</v>
      </c>
      <c r="AZ84" s="607" t="e">
        <f t="shared" si="40"/>
        <v>#DIV/0!</v>
      </c>
      <c r="BA84" s="607" t="e">
        <f t="shared" si="40"/>
        <v>#DIV/0!</v>
      </c>
      <c r="BB84" s="607">
        <f t="shared" si="40"/>
        <v>2.3809523809523808E-2</v>
      </c>
      <c r="BC84" s="607" t="e">
        <f t="shared" si="40"/>
        <v>#DIV/0!</v>
      </c>
      <c r="BD84" s="607" t="e">
        <f t="shared" si="40"/>
        <v>#DIV/0!</v>
      </c>
      <c r="BE84" s="607">
        <f t="shared" si="40"/>
        <v>0</v>
      </c>
      <c r="BF84" s="607">
        <f t="shared" si="40"/>
        <v>0.1388888888888889</v>
      </c>
      <c r="BG84" s="607">
        <f t="shared" si="40"/>
        <v>4.3478260869565216E-2</v>
      </c>
      <c r="BH84" s="607">
        <f t="shared" si="40"/>
        <v>2.866779089376054E-2</v>
      </c>
      <c r="BI84" s="607">
        <f t="shared" si="40"/>
        <v>0.15909090909090909</v>
      </c>
      <c r="BJ84" s="607">
        <f t="shared" si="40"/>
        <v>6.4039408866995079E-2</v>
      </c>
      <c r="BK84" s="607" t="e">
        <f t="shared" si="40"/>
        <v>#DIV/0!</v>
      </c>
      <c r="BL84" s="607">
        <f t="shared" si="40"/>
        <v>6.1224489795918366E-2</v>
      </c>
      <c r="BM84" s="607">
        <f t="shared" si="40"/>
        <v>0</v>
      </c>
      <c r="BN84" s="607" t="e">
        <f t="shared" si="40"/>
        <v>#DIV/0!</v>
      </c>
      <c r="BO84" s="607">
        <f t="shared" si="40"/>
        <v>7.6923076923076927E-2</v>
      </c>
      <c r="BP84" s="607" t="e">
        <f t="shared" si="40"/>
        <v>#DIV/0!</v>
      </c>
      <c r="BQ84" s="607" t="e">
        <f t="shared" si="40"/>
        <v>#DIV/0!</v>
      </c>
      <c r="BR84" s="607">
        <f t="shared" si="40"/>
        <v>4.8543689320388349E-2</v>
      </c>
      <c r="BS84" s="607">
        <f t="shared" si="40"/>
        <v>0.10869565217391304</v>
      </c>
      <c r="BT84" s="607">
        <f t="shared" si="40"/>
        <v>6.6427289048473961E-2</v>
      </c>
      <c r="BU84" s="607">
        <f t="shared" si="40"/>
        <v>0.23529411764705882</v>
      </c>
      <c r="BV84" s="607">
        <f t="shared" si="40"/>
        <v>8.1818181818181818E-2</v>
      </c>
      <c r="BW84" s="607">
        <f t="shared" si="40"/>
        <v>8.8036117381489837E-2</v>
      </c>
      <c r="BX84" s="607">
        <f t="shared" si="40"/>
        <v>0.34659090909090912</v>
      </c>
      <c r="BY84" s="607">
        <f t="shared" si="40"/>
        <v>0.28000000000000003</v>
      </c>
      <c r="BZ84" s="607" t="e">
        <f t="shared" si="40"/>
        <v>#DIV/0!</v>
      </c>
      <c r="CA84" s="607" t="e">
        <f t="shared" ref="CA84:CU84" si="41">CA83/CA107</f>
        <v>#DIV/0!</v>
      </c>
      <c r="CB84" s="607" t="e">
        <f t="shared" si="41"/>
        <v>#DIV/0!</v>
      </c>
      <c r="CC84" s="607">
        <f t="shared" si="41"/>
        <v>0.16326530612244897</v>
      </c>
      <c r="CD84" s="607">
        <f t="shared" si="41"/>
        <v>1.1111111111111112E-2</v>
      </c>
      <c r="CE84" s="607" t="e">
        <f t="shared" si="41"/>
        <v>#DIV/0!</v>
      </c>
      <c r="CF84" s="607">
        <f t="shared" si="41"/>
        <v>5.5350553505535055E-2</v>
      </c>
      <c r="CG84" s="607">
        <f t="shared" si="41"/>
        <v>0.1111111111111111</v>
      </c>
      <c r="CH84" s="607">
        <f t="shared" si="41"/>
        <v>1.9762845849802372E-2</v>
      </c>
      <c r="CI84" s="607" t="e">
        <f t="shared" si="41"/>
        <v>#DIV/0!</v>
      </c>
      <c r="CJ84" s="607" t="e">
        <f t="shared" si="41"/>
        <v>#DIV/0!</v>
      </c>
      <c r="CK84" s="607">
        <f t="shared" si="41"/>
        <v>9.1743119266055051E-2</v>
      </c>
      <c r="CL84" s="607">
        <f t="shared" si="41"/>
        <v>5.4421768707482991E-2</v>
      </c>
      <c r="CM84" s="607">
        <f t="shared" si="41"/>
        <v>0.14634146341463414</v>
      </c>
      <c r="CN84" s="607" t="e">
        <f t="shared" si="41"/>
        <v>#DIV/0!</v>
      </c>
      <c r="CO84" s="607">
        <f t="shared" si="41"/>
        <v>8.9947089947089942E-2</v>
      </c>
      <c r="CP84" s="607">
        <f t="shared" si="41"/>
        <v>0</v>
      </c>
      <c r="CQ84" s="607" t="e">
        <f t="shared" si="41"/>
        <v>#DIV/0!</v>
      </c>
      <c r="CR84" s="607">
        <f t="shared" si="41"/>
        <v>0</v>
      </c>
      <c r="CS84" s="607">
        <f t="shared" si="41"/>
        <v>0.1</v>
      </c>
      <c r="CT84" s="607">
        <f t="shared" si="41"/>
        <v>9.8765432098765427E-2</v>
      </c>
      <c r="CU84" s="607">
        <f t="shared" si="41"/>
        <v>7.0422535211267609E-2</v>
      </c>
    </row>
    <row r="85" spans="1:99" ht="19.5" customHeight="1">
      <c r="A85" s="815"/>
      <c r="B85" s="817"/>
      <c r="C85" s="805"/>
      <c r="D85" s="439"/>
      <c r="E85" s="439"/>
      <c r="F85" s="482" t="s">
        <v>5241</v>
      </c>
      <c r="G85" s="812" t="s">
        <v>5767</v>
      </c>
      <c r="H85" s="442" t="s">
        <v>5140</v>
      </c>
      <c r="I85" s="443"/>
      <c r="J85" s="444"/>
      <c r="K85" s="2"/>
      <c r="L85" s="383"/>
      <c r="M85" s="351">
        <v>426</v>
      </c>
      <c r="N85" s="580">
        <f t="shared" si="25"/>
        <v>976</v>
      </c>
      <c r="O85" s="413">
        <f>SUMIFS('свод практик'!$CH$6:$CH$277,'свод практик'!$J$6:$J$277,'строго ИБ'!O$1,'свод практик'!$B$6:$B$277,"ИБ")</f>
        <v>0</v>
      </c>
      <c r="P85" s="413">
        <f>SUMIFS('свод практик'!$CH$6:$CH$277,'свод практик'!$J$6:$J$277,'строго ИБ'!P$1,'свод практик'!$B$6:$B$277,"ИБ")</f>
        <v>0</v>
      </c>
      <c r="Q85" s="413">
        <f>SUMIFS('свод практик'!$CH$6:$CH$277,'свод практик'!$J$6:$J$277,'строго ИБ'!Q$1,'свод практик'!$B$6:$B$277,"ИБ")</f>
        <v>0</v>
      </c>
      <c r="R85" s="413">
        <f>SUMIFS('свод практик'!$CH$6:$CH$277,'свод практик'!$J$6:$J$277,'строго ИБ'!R$1,'свод практик'!$B$6:$B$277,"ИБ")</f>
        <v>0</v>
      </c>
      <c r="S85" s="413">
        <f>SUMIFS('свод практик'!$CH$6:$CH$277,'свод практик'!$J$6:$J$277,'строго ИБ'!S$1,'свод практик'!$B$6:$B$277,"ИБ")</f>
        <v>0</v>
      </c>
      <c r="T85" s="413">
        <f>SUMIFS('свод практик'!$CH$6:$CH$277,'свод практик'!$J$6:$J$277,'строго ИБ'!T$1,'свод практик'!$B$6:$B$277,"ИБ")</f>
        <v>0</v>
      </c>
      <c r="U85" s="413">
        <f>SUMIFS('свод практик'!$CH$6:$CH$277,'свод практик'!$J$6:$J$277,'строго ИБ'!U$1,'свод практик'!$B$6:$B$277,"ИБ")</f>
        <v>400</v>
      </c>
      <c r="V85" s="413">
        <f>SUMIFS('свод практик'!$CH$6:$CH$277,'свод практик'!$J$6:$J$277,'строго ИБ'!V$1,'свод практик'!$B$6:$B$277,"ИБ")</f>
        <v>2</v>
      </c>
      <c r="W85" s="413">
        <f>SUMIFS('свод практик'!$CH$6:$CH$277,'свод практик'!$J$6:$J$277,'строго ИБ'!W$1,'свод практик'!$B$6:$B$277,"ИБ")</f>
        <v>2</v>
      </c>
      <c r="X85" s="413">
        <f>SUMIFS('свод практик'!$CH$6:$CH$277,'свод практик'!$J$6:$J$277,'строго ИБ'!X$1,'свод практик'!$B$6:$B$277,"ИБ")</f>
        <v>0</v>
      </c>
      <c r="Y85" s="413">
        <f>SUMIFS('свод практик'!$CH$6:$CH$277,'свод практик'!$J$6:$J$277,'строго ИБ'!Y$1,'свод практик'!$B$6:$B$277,"ИБ")</f>
        <v>0</v>
      </c>
      <c r="Z85" s="413">
        <f>SUMIFS('свод практик'!$CH$6:$CH$277,'свод практик'!$J$6:$J$277,'строго ИБ'!Z$1,'свод практик'!$B$6:$B$277,"ИБ")</f>
        <v>3</v>
      </c>
      <c r="AA85" s="413">
        <f>SUMIFS('свод практик'!$CH$6:$CH$277,'свод практик'!$J$6:$J$277,'строго ИБ'!AA$1,'свод практик'!$B$6:$B$277,"ИБ")</f>
        <v>0</v>
      </c>
      <c r="AB85" s="413">
        <f>SUMIFS('свод практик'!$CH$6:$CH$277,'свод практик'!$J$6:$J$277,'строго ИБ'!AB$1,'свод практик'!$B$6:$B$277,"ИБ")</f>
        <v>0</v>
      </c>
      <c r="AC85" s="413">
        <f>SUMIFS('свод практик'!$CH$6:$CH$277,'свод практик'!$J$6:$J$277,'строго ИБ'!AC$1,'свод практик'!$B$6:$B$277,"ИБ")</f>
        <v>0</v>
      </c>
      <c r="AD85" s="413">
        <f>SUMIFS('свод практик'!$CH$6:$CH$277,'свод практик'!$J$6:$J$277,'строго ИБ'!AD$1,'свод практик'!$B$6:$B$277,"ИБ")</f>
        <v>0</v>
      </c>
      <c r="AE85" s="413">
        <f>SUMIFS('свод практик'!$CH$6:$CH$277,'свод практик'!$J$6:$J$277,'строго ИБ'!AE$1,'свод практик'!$B$6:$B$277,"ИБ")</f>
        <v>0</v>
      </c>
      <c r="AF85" s="413">
        <f>SUMIFS('свод практик'!$CH$6:$CH$277,'свод практик'!$J$6:$J$277,'строго ИБ'!AF$1,'свод практик'!$B$6:$B$277,"ИБ")</f>
        <v>0</v>
      </c>
      <c r="AG85" s="413">
        <f>SUMIFS('свод практик'!$CH$6:$CH$277,'свод практик'!$J$6:$J$277,'строго ИБ'!AG$1,'свод практик'!$B$6:$B$277,"ИБ")</f>
        <v>0</v>
      </c>
      <c r="AH85" s="413">
        <f>SUMIFS('свод практик'!$CH$6:$CH$277,'свод практик'!$J$6:$J$277,'строго ИБ'!AH$1,'свод практик'!$B$6:$B$277,"ИБ")</f>
        <v>0</v>
      </c>
      <c r="AI85" s="413">
        <f>SUMIFS('свод практик'!$CH$6:$CH$277,'свод практик'!$J$6:$J$277,'строго ИБ'!AI$1,'свод практик'!$B$6:$B$277,"ИБ")</f>
        <v>0</v>
      </c>
      <c r="AJ85" s="413">
        <f>SUMIFS('свод практик'!$CH$6:$CH$277,'свод практик'!$J$6:$J$277,'строго ИБ'!AJ$1,'свод практик'!$B$6:$B$277,"ИБ")</f>
        <v>0</v>
      </c>
      <c r="AK85" s="413">
        <f>SUMIFS('свод практик'!$CH$6:$CH$277,'свод практик'!$J$6:$J$277,'строго ИБ'!AK$1,'свод практик'!$B$6:$B$277,"ИБ")</f>
        <v>0</v>
      </c>
      <c r="AL85" s="413">
        <f>SUMIFS('свод практик'!$CH$6:$CH$277,'свод практик'!$J$6:$J$277,'строго ИБ'!AL$1,'свод практик'!$B$6:$B$277,"ИБ")</f>
        <v>0</v>
      </c>
      <c r="AM85" s="413">
        <f>SUMIFS('свод практик'!$CH$6:$CH$277,'свод практик'!$J$6:$J$277,'строго ИБ'!AM$1,'свод практик'!$B$6:$B$277,"ИБ")</f>
        <v>0</v>
      </c>
      <c r="AN85" s="413">
        <f>SUMIFS('свод практик'!$CH$6:$CH$277,'свод практик'!$J$6:$J$277,'строго ИБ'!AN$1,'свод практик'!$B$6:$B$277,"ИБ")</f>
        <v>0</v>
      </c>
      <c r="AO85" s="413">
        <f>SUMIFS('свод практик'!$CH$6:$CH$277,'свод практик'!$J$6:$J$277,'строго ИБ'!AO$1,'свод практик'!$B$6:$B$277,"ИБ")</f>
        <v>0</v>
      </c>
      <c r="AP85" s="413">
        <f>SUMIFS('свод практик'!$CH$6:$CH$277,'свод практик'!$J$6:$J$277,'строго ИБ'!AP$1,'свод практик'!$B$6:$B$277,"ИБ")</f>
        <v>0</v>
      </c>
      <c r="AQ85" s="413">
        <f>SUMIFS('свод практик'!$CH$6:$CH$277,'свод практик'!$J$6:$J$277,'строго ИБ'!AQ$1,'свод практик'!$B$6:$B$277,"ИБ")</f>
        <v>0</v>
      </c>
      <c r="AR85" s="413">
        <f>SUMIFS('свод практик'!$CH$6:$CH$277,'свод практик'!$J$6:$J$277,'строго ИБ'!AR$1,'свод практик'!$B$6:$B$277,"ИБ")</f>
        <v>0</v>
      </c>
      <c r="AS85" s="413">
        <f>SUMIFS('свод практик'!$CH$6:$CH$277,'свод практик'!$J$6:$J$277,'строго ИБ'!AS$1,'свод практик'!$B$6:$B$277,"ИБ")</f>
        <v>0</v>
      </c>
      <c r="AT85" s="413">
        <f>SUMIFS('свод практик'!$CH$6:$CH$277,'свод практик'!$J$6:$J$277,'строго ИБ'!AT$1,'свод практик'!$B$6:$B$277,"ИБ")</f>
        <v>0</v>
      </c>
      <c r="AU85" s="413">
        <f>SUMIFS('свод практик'!$CH$6:$CH$277,'свод практик'!$J$6:$J$277,'строго ИБ'!AU$1,'свод практик'!$B$6:$B$277,"ИБ")</f>
        <v>0</v>
      </c>
      <c r="AV85" s="413">
        <f>SUMIFS('свод практик'!$CH$6:$CH$277,'свод практик'!$J$6:$J$277,'строго ИБ'!AV$1,'свод практик'!$B$6:$B$277,"ИБ")</f>
        <v>0</v>
      </c>
      <c r="AW85" s="413">
        <f>SUMIFS('свод практик'!$CH$6:$CH$277,'свод практик'!$J$6:$J$277,'строго ИБ'!AW$1,'свод практик'!$B$6:$B$277,"ИБ")</f>
        <v>0</v>
      </c>
      <c r="AX85" s="413">
        <f>SUMIFS('свод практик'!$CH$6:$CH$277,'свод практик'!$J$6:$J$277,'строго ИБ'!AX$1,'свод практик'!$B$6:$B$277,"ИБ")</f>
        <v>0</v>
      </c>
      <c r="AY85" s="413">
        <f>SUMIFS('свод практик'!$CH$6:$CH$277,'свод практик'!$J$6:$J$277,'строго ИБ'!AY$1,'свод практик'!$B$6:$B$277,"ИБ")</f>
        <v>0</v>
      </c>
      <c r="AZ85" s="413">
        <f>SUMIFS('свод практик'!$CH$6:$CH$277,'свод практик'!$J$6:$J$277,'строго ИБ'!AZ$1,'свод практик'!$B$6:$B$277,"ИБ")</f>
        <v>0</v>
      </c>
      <c r="BA85" s="413">
        <f>SUMIFS('свод практик'!$CH$6:$CH$277,'свод практик'!$J$6:$J$277,'строго ИБ'!BA$1,'свод практик'!$B$6:$B$277,"ИБ")</f>
        <v>0</v>
      </c>
      <c r="BB85" s="413">
        <f>SUMIFS('свод практик'!$CH$6:$CH$277,'свод практик'!$J$6:$J$277,'строго ИБ'!BB$1,'свод практик'!$B$6:$B$277,"ИБ")</f>
        <v>0</v>
      </c>
      <c r="BC85" s="413">
        <f>SUMIFS('свод практик'!$CH$6:$CH$277,'свод практик'!$J$6:$J$277,'строго ИБ'!BC$1,'свод практик'!$B$6:$B$277,"ИБ")</f>
        <v>0</v>
      </c>
      <c r="BD85" s="413">
        <f>SUMIFS('свод практик'!$CH$6:$CH$277,'свод практик'!$J$6:$J$277,'строго ИБ'!BD$1,'свод практик'!$B$6:$B$277,"ИБ")</f>
        <v>0</v>
      </c>
      <c r="BE85" s="413">
        <f>SUMIFS('свод практик'!$CH$6:$CH$277,'свод практик'!$J$6:$J$277,'строго ИБ'!BE$1,'свод практик'!$B$6:$B$277,"ИБ")</f>
        <v>0</v>
      </c>
      <c r="BF85" s="413">
        <f>SUMIFS('свод практик'!$CH$6:$CH$277,'свод практик'!$J$6:$J$277,'строго ИБ'!BF$1,'свод практик'!$B$6:$B$277,"ИБ")</f>
        <v>0</v>
      </c>
      <c r="BG85" s="413">
        <f>SUMIFS('свод практик'!$CH$6:$CH$277,'свод практик'!$J$6:$J$277,'строго ИБ'!BG$1,'свод практик'!$B$6:$B$277,"ИБ")</f>
        <v>2</v>
      </c>
      <c r="BH85" s="413">
        <f>SUMIFS('свод практик'!$CH$6:$CH$277,'свод практик'!$J$6:$J$277,'строго ИБ'!BH$1,'свод практик'!$B$6:$B$277,"ИБ")</f>
        <v>0</v>
      </c>
      <c r="BI85" s="413">
        <f>SUMIFS('свод практик'!$CH$6:$CH$277,'свод практик'!$J$6:$J$277,'строго ИБ'!BI$1,'свод практик'!$B$6:$B$277,"ИБ")</f>
        <v>0</v>
      </c>
      <c r="BJ85" s="413">
        <f>SUMIFS('свод практик'!$CH$6:$CH$277,'свод практик'!$J$6:$J$277,'строго ИБ'!BJ$1,'свод практик'!$B$6:$B$277,"ИБ")</f>
        <v>1</v>
      </c>
      <c r="BK85" s="413">
        <f>SUMIFS('свод практик'!$CH$6:$CH$277,'свод практик'!$J$6:$J$277,'строго ИБ'!BK$1,'свод практик'!$B$6:$B$277,"ИБ")</f>
        <v>0</v>
      </c>
      <c r="BL85" s="413">
        <f>SUMIFS('свод практик'!$CH$6:$CH$277,'свод практик'!$J$6:$J$277,'строго ИБ'!BL$1,'свод практик'!$B$6:$B$277,"ИБ")</f>
        <v>1</v>
      </c>
      <c r="BM85" s="413">
        <f>SUMIFS('свод практик'!$CH$6:$CH$277,'свод практик'!$J$6:$J$277,'строго ИБ'!BM$1,'свод практик'!$B$6:$B$277,"ИБ")</f>
        <v>0</v>
      </c>
      <c r="BN85" s="413">
        <f>SUMIFS('свод практик'!$CH$6:$CH$277,'свод практик'!$J$6:$J$277,'строго ИБ'!BN$1,'свод практик'!$B$6:$B$277,"ИБ")</f>
        <v>0</v>
      </c>
      <c r="BO85" s="413">
        <f>SUMIFS('свод практик'!$CH$6:$CH$277,'свод практик'!$J$6:$J$277,'строго ИБ'!BO$1,'свод практик'!$B$6:$B$277,"ИБ")</f>
        <v>4</v>
      </c>
      <c r="BP85" s="413">
        <f>SUMIFS('свод практик'!$CH$6:$CH$277,'свод практик'!$J$6:$J$277,'строго ИБ'!BP$1,'свод практик'!$B$6:$B$277,"ИБ")</f>
        <v>0</v>
      </c>
      <c r="BQ85" s="413">
        <f>SUMIFS('свод практик'!$CH$6:$CH$277,'свод практик'!$J$6:$J$277,'строго ИБ'!BQ$1,'свод практик'!$B$6:$B$277,"ИБ")</f>
        <v>0</v>
      </c>
      <c r="BR85" s="413">
        <f>SUMIFS('свод практик'!$CH$6:$CH$277,'свод практик'!$J$6:$J$277,'строго ИБ'!BR$1,'свод практик'!$B$6:$B$277,"ИБ")</f>
        <v>21</v>
      </c>
      <c r="BS85" s="413">
        <f>SUMIFS('свод практик'!$CH$6:$CH$277,'свод практик'!$J$6:$J$277,'строго ИБ'!BS$1,'свод практик'!$B$6:$B$277,"ИБ")</f>
        <v>14</v>
      </c>
      <c r="BT85" s="413">
        <f>SUMIFS('свод практик'!$CH$6:$CH$277,'свод практик'!$J$6:$J$277,'строго ИБ'!BT$1,'свод практик'!$B$6:$B$277,"ИБ")</f>
        <v>204</v>
      </c>
      <c r="BU85" s="413">
        <f>SUMIFS('свод практик'!$CH$6:$CH$277,'свод практик'!$J$6:$J$277,'строго ИБ'!BU$1,'свод практик'!$B$6:$B$277,"ИБ")</f>
        <v>0</v>
      </c>
      <c r="BV85" s="413">
        <f>SUMIFS('свод практик'!$CH$6:$CH$277,'свод практик'!$J$6:$J$277,'строго ИБ'!BV$1,'свод практик'!$B$6:$B$277,"ИБ")</f>
        <v>0</v>
      </c>
      <c r="BW85" s="413">
        <f>SUMIFS('свод практик'!$CH$6:$CH$277,'свод практик'!$J$6:$J$277,'строго ИБ'!BW$1,'свод практик'!$B$6:$B$277,"ИБ")</f>
        <v>86</v>
      </c>
      <c r="BX85" s="413">
        <f>SUMIFS('свод практик'!$CH$6:$CH$277,'свод практик'!$J$6:$J$277,'строго ИБ'!BX$1,'свод практик'!$B$6:$B$277,"ИБ")</f>
        <v>0</v>
      </c>
      <c r="BY85" s="413">
        <f>SUMIFS('свод практик'!$CH$6:$CH$277,'свод практик'!$J$6:$J$277,'строго ИБ'!BY$1,'свод практик'!$B$6:$B$277,"ИБ")</f>
        <v>0</v>
      </c>
      <c r="BZ85" s="413">
        <f>SUMIFS('свод практик'!$CH$6:$CH$277,'свод практик'!$J$6:$J$277,'строго ИБ'!BZ$1,'свод практик'!$B$6:$B$277,"ИБ")</f>
        <v>0</v>
      </c>
      <c r="CA85" s="413">
        <f>SUMIFS('свод практик'!$CH$6:$CH$277,'свод практик'!$J$6:$J$277,'строго ИБ'!CA$1,'свод практик'!$B$6:$B$277,"ИБ")</f>
        <v>0</v>
      </c>
      <c r="CB85" s="413">
        <f>SUMIFS('свод практик'!$CH$6:$CH$277,'свод практик'!$J$6:$J$277,'строго ИБ'!CB$1,'свод практик'!$B$6:$B$277,"ИБ")</f>
        <v>0</v>
      </c>
      <c r="CC85" s="413">
        <f>SUMIFS('свод практик'!$CH$6:$CH$277,'свод практик'!$J$6:$J$277,'строго ИБ'!CC$1,'свод практик'!$B$6:$B$277,"ИБ")</f>
        <v>0</v>
      </c>
      <c r="CD85" s="413">
        <f>SUMIFS('свод практик'!$CH$6:$CH$277,'свод практик'!$J$6:$J$277,'строго ИБ'!CD$1,'свод практик'!$B$6:$B$277,"ИБ")</f>
        <v>37</v>
      </c>
      <c r="CE85" s="413">
        <f>SUMIFS('свод практик'!$CH$6:$CH$277,'свод практик'!$J$6:$J$277,'строго ИБ'!CE$1,'свод практик'!$B$6:$B$277,"ИБ")</f>
        <v>0</v>
      </c>
      <c r="CF85" s="413">
        <f>SUMIFS('свод практик'!$CH$6:$CH$277,'свод практик'!$J$6:$J$277,'строго ИБ'!CF$1,'свод практик'!$B$6:$B$277,"ИБ")</f>
        <v>37</v>
      </c>
      <c r="CG85" s="413">
        <f>SUMIFS('свод практик'!$CH$6:$CH$277,'свод практик'!$J$6:$J$277,'строго ИБ'!CG$1,'свод практик'!$B$6:$B$277,"ИБ")</f>
        <v>0</v>
      </c>
      <c r="CH85" s="413">
        <f>SUMIFS('свод практик'!$CH$6:$CH$277,'свод практик'!$J$6:$J$277,'строго ИБ'!CH$1,'свод практик'!$B$6:$B$277,"ИБ")</f>
        <v>7</v>
      </c>
      <c r="CI85" s="413">
        <f>SUMIFS('свод практик'!$CH$6:$CH$277,'свод практик'!$J$6:$J$277,'строго ИБ'!CI$1,'свод практик'!$B$6:$B$277,"ИБ")</f>
        <v>0</v>
      </c>
      <c r="CJ85" s="413">
        <f>SUMIFS('свод практик'!$CH$6:$CH$277,'свод практик'!$J$6:$J$277,'строго ИБ'!CJ$1,'свод практик'!$B$6:$B$277,"ИБ")</f>
        <v>0</v>
      </c>
      <c r="CK85" s="413">
        <f>SUMIFS('свод практик'!$CH$6:$CH$277,'свод практик'!$J$6:$J$277,'строго ИБ'!CK$1,'свод практик'!$B$6:$B$277,"ИБ")</f>
        <v>6</v>
      </c>
      <c r="CL85" s="413">
        <f>SUMIFS('свод практик'!$CH$6:$CH$277,'свод практик'!$J$6:$J$277,'строго ИБ'!CL$1,'свод практик'!$B$6:$B$277,"ИБ")</f>
        <v>4</v>
      </c>
      <c r="CM85" s="413">
        <f>SUMIFS('свод практик'!$CH$6:$CH$277,'свод практик'!$J$6:$J$277,'строго ИБ'!CM$1,'свод практик'!$B$6:$B$277,"ИБ")</f>
        <v>0</v>
      </c>
      <c r="CN85" s="413">
        <f>SUMIFS('свод практик'!$CH$6:$CH$277,'свод практик'!$J$6:$J$277,'строго ИБ'!CN$1,'свод практик'!$B$6:$B$277,"ИБ")</f>
        <v>0</v>
      </c>
      <c r="CO85" s="413">
        <f>SUMIFS('свод практик'!$CH$6:$CH$277,'свод практик'!$J$6:$J$277,'строго ИБ'!CO$1,'свод практик'!$B$6:$B$277,"ИБ")</f>
        <v>28</v>
      </c>
      <c r="CP85" s="413">
        <f>SUMIFS('свод практик'!$CH$6:$CH$277,'свод практик'!$J$6:$J$277,'строго ИБ'!CP$1,'свод практик'!$B$6:$B$277,"ИБ")</f>
        <v>0</v>
      </c>
      <c r="CQ85" s="413">
        <f>SUMIFS('свод практик'!$CH$6:$CH$277,'свод практик'!$J$6:$J$277,'строго ИБ'!CQ$1,'свод практик'!$B$6:$B$277,"ИБ")</f>
        <v>0</v>
      </c>
      <c r="CR85" s="413">
        <f>SUMIFS('свод практик'!$CH$6:$CH$277,'свод практик'!$J$6:$J$277,'строго ИБ'!CR$1,'свод практик'!$B$6:$B$277,"ИБ")</f>
        <v>0</v>
      </c>
      <c r="CS85" s="413">
        <f>SUMIFS('свод практик'!$CH$6:$CH$277,'свод практик'!$J$6:$J$277,'строго ИБ'!CS$1,'свод практик'!$B$6:$B$277,"ИБ")</f>
        <v>0</v>
      </c>
      <c r="CT85" s="413">
        <f>SUMIFS('свод практик'!$CH$6:$CH$277,'свод практик'!$J$6:$J$277,'строго ИБ'!CT$1,'свод практик'!$B$6:$B$277,"ИБ")</f>
        <v>1</v>
      </c>
      <c r="CU85" s="413">
        <f>SUMIFS('свод практик'!$CH$6:$CH$277,'свод практик'!$J$6:$J$277,'строго ИБ'!CU$1,'свод практик'!$B$6:$B$277,"ИБ")</f>
        <v>116</v>
      </c>
    </row>
    <row r="86" spans="1:99" ht="23" customHeight="1">
      <c r="A86" s="815"/>
      <c r="B86" s="817"/>
      <c r="C86" s="805"/>
      <c r="D86" s="439"/>
      <c r="E86" s="439"/>
      <c r="F86" s="482" t="s">
        <v>5241</v>
      </c>
      <c r="G86" s="813"/>
      <c r="H86" s="442" t="s">
        <v>60</v>
      </c>
      <c r="I86" s="443"/>
      <c r="J86" s="444"/>
      <c r="K86" s="2"/>
      <c r="L86" s="383"/>
      <c r="M86" s="384">
        <v>6.2564253194301658E-2</v>
      </c>
      <c r="N86" s="607">
        <f>N85/N107</f>
        <v>9.4987834549878344E-2</v>
      </c>
      <c r="O86" s="607">
        <f t="shared" ref="O86:BZ86" si="42">O85/O107</f>
        <v>0</v>
      </c>
      <c r="P86" s="607">
        <f t="shared" si="42"/>
        <v>0</v>
      </c>
      <c r="Q86" s="607">
        <f t="shared" si="42"/>
        <v>0</v>
      </c>
      <c r="R86" s="607">
        <f t="shared" si="42"/>
        <v>0</v>
      </c>
      <c r="S86" s="607">
        <f t="shared" si="42"/>
        <v>0</v>
      </c>
      <c r="T86" s="607">
        <f t="shared" si="42"/>
        <v>0</v>
      </c>
      <c r="U86" s="607">
        <f t="shared" si="42"/>
        <v>0.30769230769230771</v>
      </c>
      <c r="V86" s="607">
        <f t="shared" si="42"/>
        <v>2.564102564102564E-2</v>
      </c>
      <c r="W86" s="607">
        <f t="shared" si="42"/>
        <v>2.247191011235955E-2</v>
      </c>
      <c r="X86" s="607" t="e">
        <f t="shared" si="42"/>
        <v>#DIV/0!</v>
      </c>
      <c r="Y86" s="607" t="e">
        <f t="shared" si="42"/>
        <v>#DIV/0!</v>
      </c>
      <c r="Z86" s="607">
        <f t="shared" si="42"/>
        <v>3.2258064516129031E-2</v>
      </c>
      <c r="AA86" s="607">
        <f t="shared" si="42"/>
        <v>0</v>
      </c>
      <c r="AB86" s="607">
        <f t="shared" si="42"/>
        <v>0</v>
      </c>
      <c r="AC86" s="607" t="e">
        <f t="shared" si="42"/>
        <v>#DIV/0!</v>
      </c>
      <c r="AD86" s="607" t="e">
        <f t="shared" si="42"/>
        <v>#DIV/0!</v>
      </c>
      <c r="AE86" s="607" t="e">
        <f t="shared" si="42"/>
        <v>#DIV/0!</v>
      </c>
      <c r="AF86" s="607" t="e">
        <f t="shared" si="42"/>
        <v>#DIV/0!</v>
      </c>
      <c r="AG86" s="607" t="e">
        <f t="shared" si="42"/>
        <v>#DIV/0!</v>
      </c>
      <c r="AH86" s="607" t="e">
        <f t="shared" si="42"/>
        <v>#DIV/0!</v>
      </c>
      <c r="AI86" s="607" t="e">
        <f t="shared" si="42"/>
        <v>#DIV/0!</v>
      </c>
      <c r="AJ86" s="607" t="e">
        <f t="shared" si="42"/>
        <v>#DIV/0!</v>
      </c>
      <c r="AK86" s="607">
        <f t="shared" si="42"/>
        <v>0</v>
      </c>
      <c r="AL86" s="607">
        <f t="shared" si="42"/>
        <v>0</v>
      </c>
      <c r="AM86" s="607" t="e">
        <f t="shared" si="42"/>
        <v>#DIV/0!</v>
      </c>
      <c r="AN86" s="607" t="e">
        <f t="shared" si="42"/>
        <v>#DIV/0!</v>
      </c>
      <c r="AO86" s="607">
        <f t="shared" si="42"/>
        <v>0</v>
      </c>
      <c r="AP86" s="607">
        <f t="shared" si="42"/>
        <v>0</v>
      </c>
      <c r="AQ86" s="607">
        <f t="shared" si="42"/>
        <v>0</v>
      </c>
      <c r="AR86" s="607">
        <f t="shared" si="42"/>
        <v>0</v>
      </c>
      <c r="AS86" s="607" t="e">
        <f t="shared" si="42"/>
        <v>#DIV/0!</v>
      </c>
      <c r="AT86" s="607" t="e">
        <f t="shared" si="42"/>
        <v>#DIV/0!</v>
      </c>
      <c r="AU86" s="607">
        <f t="shared" si="42"/>
        <v>0</v>
      </c>
      <c r="AV86" s="607" t="e">
        <f t="shared" si="42"/>
        <v>#DIV/0!</v>
      </c>
      <c r="AW86" s="607">
        <f t="shared" si="42"/>
        <v>0</v>
      </c>
      <c r="AX86" s="607" t="e">
        <f t="shared" si="42"/>
        <v>#DIV/0!</v>
      </c>
      <c r="AY86" s="607">
        <f t="shared" si="42"/>
        <v>0</v>
      </c>
      <c r="AZ86" s="607" t="e">
        <f t="shared" si="42"/>
        <v>#DIV/0!</v>
      </c>
      <c r="BA86" s="607" t="e">
        <f t="shared" si="42"/>
        <v>#DIV/0!</v>
      </c>
      <c r="BB86" s="607">
        <f t="shared" si="42"/>
        <v>0</v>
      </c>
      <c r="BC86" s="607" t="e">
        <f t="shared" si="42"/>
        <v>#DIV/0!</v>
      </c>
      <c r="BD86" s="607" t="e">
        <f t="shared" si="42"/>
        <v>#DIV/0!</v>
      </c>
      <c r="BE86" s="607">
        <f t="shared" si="42"/>
        <v>0</v>
      </c>
      <c r="BF86" s="607">
        <f t="shared" si="42"/>
        <v>0</v>
      </c>
      <c r="BG86" s="607">
        <f t="shared" si="42"/>
        <v>8.6956521739130432E-2</v>
      </c>
      <c r="BH86" s="607">
        <f t="shared" si="42"/>
        <v>0</v>
      </c>
      <c r="BI86" s="607">
        <f t="shared" si="42"/>
        <v>0</v>
      </c>
      <c r="BJ86" s="607">
        <f t="shared" si="42"/>
        <v>4.9261083743842365E-3</v>
      </c>
      <c r="BK86" s="607" t="e">
        <f t="shared" si="42"/>
        <v>#DIV/0!</v>
      </c>
      <c r="BL86" s="607">
        <f t="shared" si="42"/>
        <v>6.8027210884353739E-3</v>
      </c>
      <c r="BM86" s="607">
        <f t="shared" si="42"/>
        <v>0</v>
      </c>
      <c r="BN86" s="607" t="e">
        <f t="shared" si="42"/>
        <v>#DIV/0!</v>
      </c>
      <c r="BO86" s="607">
        <f t="shared" si="42"/>
        <v>3.0769230769230771E-2</v>
      </c>
      <c r="BP86" s="607" t="e">
        <f t="shared" si="42"/>
        <v>#DIV/0!</v>
      </c>
      <c r="BQ86" s="607" t="e">
        <f t="shared" si="42"/>
        <v>#DIV/0!</v>
      </c>
      <c r="BR86" s="607">
        <f t="shared" si="42"/>
        <v>0.20388349514563106</v>
      </c>
      <c r="BS86" s="607">
        <f t="shared" si="42"/>
        <v>7.6086956521739135E-2</v>
      </c>
      <c r="BT86" s="607">
        <f t="shared" si="42"/>
        <v>0.36624775583482944</v>
      </c>
      <c r="BU86" s="607">
        <f t="shared" si="42"/>
        <v>0</v>
      </c>
      <c r="BV86" s="607">
        <f t="shared" si="42"/>
        <v>0</v>
      </c>
      <c r="BW86" s="607">
        <f t="shared" si="42"/>
        <v>0.19413092550790068</v>
      </c>
      <c r="BX86" s="607">
        <f t="shared" si="42"/>
        <v>0</v>
      </c>
      <c r="BY86" s="607">
        <f t="shared" si="42"/>
        <v>0</v>
      </c>
      <c r="BZ86" s="607" t="e">
        <f t="shared" si="42"/>
        <v>#DIV/0!</v>
      </c>
      <c r="CA86" s="607" t="e">
        <f t="shared" ref="CA86:CU86" si="43">CA85/CA107</f>
        <v>#DIV/0!</v>
      </c>
      <c r="CB86" s="607" t="e">
        <f t="shared" si="43"/>
        <v>#DIV/0!</v>
      </c>
      <c r="CC86" s="607">
        <f t="shared" si="43"/>
        <v>0</v>
      </c>
      <c r="CD86" s="607">
        <f t="shared" si="43"/>
        <v>6.851851851851852E-2</v>
      </c>
      <c r="CE86" s="607" t="e">
        <f t="shared" si="43"/>
        <v>#DIV/0!</v>
      </c>
      <c r="CF86" s="607">
        <f t="shared" si="43"/>
        <v>0.13653136531365315</v>
      </c>
      <c r="CG86" s="607">
        <f t="shared" si="43"/>
        <v>0</v>
      </c>
      <c r="CH86" s="607">
        <f t="shared" si="43"/>
        <v>1.383399209486166E-2</v>
      </c>
      <c r="CI86" s="607" t="e">
        <f t="shared" si="43"/>
        <v>#DIV/0!</v>
      </c>
      <c r="CJ86" s="607" t="e">
        <f t="shared" si="43"/>
        <v>#DIV/0!</v>
      </c>
      <c r="CK86" s="607">
        <f t="shared" si="43"/>
        <v>5.5045871559633031E-2</v>
      </c>
      <c r="CL86" s="607">
        <f t="shared" si="43"/>
        <v>2.7210884353741496E-2</v>
      </c>
      <c r="CM86" s="607">
        <f t="shared" si="43"/>
        <v>0</v>
      </c>
      <c r="CN86" s="607" t="e">
        <f t="shared" si="43"/>
        <v>#DIV/0!</v>
      </c>
      <c r="CO86" s="607">
        <f t="shared" si="43"/>
        <v>0.14814814814814814</v>
      </c>
      <c r="CP86" s="607">
        <f t="shared" si="43"/>
        <v>0</v>
      </c>
      <c r="CQ86" s="607" t="e">
        <f t="shared" si="43"/>
        <v>#DIV/0!</v>
      </c>
      <c r="CR86" s="607">
        <f t="shared" si="43"/>
        <v>0</v>
      </c>
      <c r="CS86" s="607">
        <f t="shared" si="43"/>
        <v>0</v>
      </c>
      <c r="CT86" s="607">
        <f t="shared" si="43"/>
        <v>1.2345679012345678E-2</v>
      </c>
      <c r="CU86" s="607">
        <f t="shared" si="43"/>
        <v>0.23340040241448692</v>
      </c>
    </row>
    <row r="87" spans="1:99" ht="23" customHeight="1">
      <c r="A87" s="815"/>
      <c r="B87" s="817"/>
      <c r="C87" s="805"/>
      <c r="D87" s="439" t="s">
        <v>4949</v>
      </c>
      <c r="E87" s="439">
        <v>68</v>
      </c>
      <c r="F87" s="440" t="s">
        <v>5168</v>
      </c>
      <c r="G87" s="808" t="s">
        <v>5768</v>
      </c>
      <c r="H87" s="442" t="s">
        <v>5140</v>
      </c>
      <c r="I87" s="443"/>
      <c r="J87" s="444"/>
      <c r="K87" s="2" t="s">
        <v>278</v>
      </c>
      <c r="L87" s="385"/>
      <c r="M87" s="351">
        <v>634</v>
      </c>
      <c r="N87" s="580">
        <f t="shared" si="25"/>
        <v>970</v>
      </c>
      <c r="O87" s="413">
        <f>SUMIFS('свод практик'!$CI$6:$CI$277,'свод практик'!$J$6:$J$277,'строго ИБ'!O$1,'свод практик'!$B$6:$B$277,"ИБ")</f>
        <v>1</v>
      </c>
      <c r="P87" s="413">
        <f>SUMIFS('свод практик'!$CI$6:$CI$277,'свод практик'!$J$6:$J$277,'строго ИБ'!P$1,'свод практик'!$B$6:$B$277,"ИБ")</f>
        <v>1</v>
      </c>
      <c r="Q87" s="413">
        <f>SUMIFS('свод практик'!$CI$6:$CI$277,'свод практик'!$J$6:$J$277,'строго ИБ'!Q$1,'свод практик'!$B$6:$B$277,"ИБ")</f>
        <v>57</v>
      </c>
      <c r="R87" s="413">
        <f>SUMIFS('свод практик'!$CI$6:$CI$277,'свод практик'!$J$6:$J$277,'строго ИБ'!R$1,'свод практик'!$B$6:$B$277,"ИБ")</f>
        <v>4</v>
      </c>
      <c r="S87" s="413">
        <f>SUMIFS('свод практик'!$CI$6:$CI$277,'свод практик'!$J$6:$J$277,'строго ИБ'!S$1,'свод практик'!$B$6:$B$277,"ИБ")</f>
        <v>0</v>
      </c>
      <c r="T87" s="413">
        <f>SUMIFS('свод практик'!$CI$6:$CI$277,'свод практик'!$J$6:$J$277,'строго ИБ'!T$1,'свод практик'!$B$6:$B$277,"ИБ")</f>
        <v>10</v>
      </c>
      <c r="U87" s="413">
        <f>SUMIFS('свод практик'!$CI$6:$CI$277,'свод практик'!$J$6:$J$277,'строго ИБ'!U$1,'свод практик'!$B$6:$B$277,"ИБ")</f>
        <v>50</v>
      </c>
      <c r="V87" s="413">
        <f>SUMIFS('свод практик'!$CI$6:$CI$277,'свод практик'!$J$6:$J$277,'строго ИБ'!V$1,'свод практик'!$B$6:$B$277,"ИБ")</f>
        <v>17</v>
      </c>
      <c r="W87" s="413">
        <f>SUMIFS('свод практик'!$CI$6:$CI$277,'свод практик'!$J$6:$J$277,'строго ИБ'!W$1,'свод практик'!$B$6:$B$277,"ИБ")</f>
        <v>13</v>
      </c>
      <c r="X87" s="413">
        <f>SUMIFS('свод практик'!$CI$6:$CI$277,'свод практик'!$J$6:$J$277,'строго ИБ'!X$1,'свод практик'!$B$6:$B$277,"ИБ")</f>
        <v>0</v>
      </c>
      <c r="Y87" s="413">
        <f>SUMIFS('свод практик'!$CI$6:$CI$277,'свод практик'!$J$6:$J$277,'строго ИБ'!Y$1,'свод практик'!$B$6:$B$277,"ИБ")</f>
        <v>0</v>
      </c>
      <c r="Z87" s="413">
        <f>SUMIFS('свод практик'!$CI$6:$CI$277,'свод практик'!$J$6:$J$277,'строго ИБ'!Z$1,'свод практик'!$B$6:$B$277,"ИБ")</f>
        <v>3</v>
      </c>
      <c r="AA87" s="413">
        <f>SUMIFS('свод практик'!$CI$6:$CI$277,'свод практик'!$J$6:$J$277,'строго ИБ'!AA$1,'свод практик'!$B$6:$B$277,"ИБ")</f>
        <v>187</v>
      </c>
      <c r="AB87" s="413">
        <f>SUMIFS('свод практик'!$CI$6:$CI$277,'свод практик'!$J$6:$J$277,'строго ИБ'!AB$1,'свод практик'!$B$6:$B$277,"ИБ")</f>
        <v>0</v>
      </c>
      <c r="AC87" s="413">
        <f>SUMIFS('свод практик'!$CI$6:$CI$277,'свод практик'!$J$6:$J$277,'строго ИБ'!AC$1,'свод практик'!$B$6:$B$277,"ИБ")</f>
        <v>0</v>
      </c>
      <c r="AD87" s="413">
        <f>SUMIFS('свод практик'!$CI$6:$CI$277,'свод практик'!$J$6:$J$277,'строго ИБ'!AD$1,'свод практик'!$B$6:$B$277,"ИБ")</f>
        <v>0</v>
      </c>
      <c r="AE87" s="413">
        <f>SUMIFS('свод практик'!$CI$6:$CI$277,'свод практик'!$J$6:$J$277,'строго ИБ'!AE$1,'свод практик'!$B$6:$B$277,"ИБ")</f>
        <v>0</v>
      </c>
      <c r="AF87" s="413">
        <f>SUMIFS('свод практик'!$CI$6:$CI$277,'свод практик'!$J$6:$J$277,'строго ИБ'!AF$1,'свод практик'!$B$6:$B$277,"ИБ")</f>
        <v>0</v>
      </c>
      <c r="AG87" s="413">
        <f>SUMIFS('свод практик'!$CI$6:$CI$277,'свод практик'!$J$6:$J$277,'строго ИБ'!AG$1,'свод практик'!$B$6:$B$277,"ИБ")</f>
        <v>0</v>
      </c>
      <c r="AH87" s="413">
        <f>SUMIFS('свод практик'!$CI$6:$CI$277,'свод практик'!$J$6:$J$277,'строго ИБ'!AH$1,'свод практик'!$B$6:$B$277,"ИБ")</f>
        <v>0</v>
      </c>
      <c r="AI87" s="413">
        <f>SUMIFS('свод практик'!$CI$6:$CI$277,'свод практик'!$J$6:$J$277,'строго ИБ'!AI$1,'свод практик'!$B$6:$B$277,"ИБ")</f>
        <v>0</v>
      </c>
      <c r="AJ87" s="413">
        <f>SUMIFS('свод практик'!$CI$6:$CI$277,'свод практик'!$J$6:$J$277,'строго ИБ'!AJ$1,'свод практик'!$B$6:$B$277,"ИБ")</f>
        <v>0</v>
      </c>
      <c r="AK87" s="413">
        <f>SUMIFS('свод практик'!$CI$6:$CI$277,'свод практик'!$J$6:$J$277,'строго ИБ'!AK$1,'свод практик'!$B$6:$B$277,"ИБ")</f>
        <v>3</v>
      </c>
      <c r="AL87" s="413">
        <f>SUMIFS('свод практик'!$CI$6:$CI$277,'свод практик'!$J$6:$J$277,'строго ИБ'!AL$1,'свод практик'!$B$6:$B$277,"ИБ")</f>
        <v>18</v>
      </c>
      <c r="AM87" s="413">
        <f>SUMIFS('свод практик'!$CI$6:$CI$277,'свод практик'!$J$6:$J$277,'строго ИБ'!AM$1,'свод практик'!$B$6:$B$277,"ИБ")</f>
        <v>0</v>
      </c>
      <c r="AN87" s="413">
        <f>SUMIFS('свод практик'!$CI$6:$CI$277,'свод практик'!$J$6:$J$277,'строго ИБ'!AN$1,'свод практик'!$B$6:$B$277,"ИБ")</f>
        <v>0</v>
      </c>
      <c r="AO87" s="413">
        <f>SUMIFS('свод практик'!$CI$6:$CI$277,'свод практик'!$J$6:$J$277,'строго ИБ'!AO$1,'свод практик'!$B$6:$B$277,"ИБ")</f>
        <v>7</v>
      </c>
      <c r="AP87" s="413">
        <f>SUMIFS('свод практик'!$CI$6:$CI$277,'свод практик'!$J$6:$J$277,'строго ИБ'!AP$1,'свод практик'!$B$6:$B$277,"ИБ")</f>
        <v>17</v>
      </c>
      <c r="AQ87" s="413">
        <f>SUMIFS('свод практик'!$CI$6:$CI$277,'свод практик'!$J$6:$J$277,'строго ИБ'!AQ$1,'свод практик'!$B$6:$B$277,"ИБ")</f>
        <v>0</v>
      </c>
      <c r="AR87" s="413">
        <f>SUMIFS('свод практик'!$CI$6:$CI$277,'свод практик'!$J$6:$J$277,'строго ИБ'!AR$1,'свод практик'!$B$6:$B$277,"ИБ")</f>
        <v>23</v>
      </c>
      <c r="AS87" s="413">
        <f>SUMIFS('свод практик'!$CI$6:$CI$277,'свод практик'!$J$6:$J$277,'строго ИБ'!AS$1,'свод практик'!$B$6:$B$277,"ИБ")</f>
        <v>0</v>
      </c>
      <c r="AT87" s="413">
        <f>SUMIFS('свод практик'!$CI$6:$CI$277,'свод практик'!$J$6:$J$277,'строго ИБ'!AT$1,'свод практик'!$B$6:$B$277,"ИБ")</f>
        <v>0</v>
      </c>
      <c r="AU87" s="413">
        <f>SUMIFS('свод практик'!$CI$6:$CI$277,'свод практик'!$J$6:$J$277,'строго ИБ'!AU$1,'свод практик'!$B$6:$B$277,"ИБ")</f>
        <v>13</v>
      </c>
      <c r="AV87" s="413">
        <f>SUMIFS('свод практик'!$CI$6:$CI$277,'свод практик'!$J$6:$J$277,'строго ИБ'!AV$1,'свод практик'!$B$6:$B$277,"ИБ")</f>
        <v>0</v>
      </c>
      <c r="AW87" s="413">
        <f>SUMIFS('свод практик'!$CI$6:$CI$277,'свод практик'!$J$6:$J$277,'строго ИБ'!AW$1,'свод практик'!$B$6:$B$277,"ИБ")</f>
        <v>6</v>
      </c>
      <c r="AX87" s="413">
        <f>SUMIFS('свод практик'!$CI$6:$CI$277,'свод практик'!$J$6:$J$277,'строго ИБ'!AX$1,'свод практик'!$B$6:$B$277,"ИБ")</f>
        <v>0</v>
      </c>
      <c r="AY87" s="413">
        <f>SUMIFS('свод практик'!$CI$6:$CI$277,'свод практик'!$J$6:$J$277,'строго ИБ'!AY$1,'свод практик'!$B$6:$B$277,"ИБ")</f>
        <v>0</v>
      </c>
      <c r="AZ87" s="413">
        <f>SUMIFS('свод практик'!$CI$6:$CI$277,'свод практик'!$J$6:$J$277,'строго ИБ'!AZ$1,'свод практик'!$B$6:$B$277,"ИБ")</f>
        <v>0</v>
      </c>
      <c r="BA87" s="413">
        <f>SUMIFS('свод практик'!$CI$6:$CI$277,'свод практик'!$J$6:$J$277,'строго ИБ'!BA$1,'свод практик'!$B$6:$B$277,"ИБ")</f>
        <v>0</v>
      </c>
      <c r="BB87" s="413">
        <f>SUMIFS('свод практик'!$CI$6:$CI$277,'свод практик'!$J$6:$J$277,'строго ИБ'!BB$1,'свод практик'!$B$6:$B$277,"ИБ")</f>
        <v>0</v>
      </c>
      <c r="BC87" s="413">
        <f>SUMIFS('свод практик'!$CI$6:$CI$277,'свод практик'!$J$6:$J$277,'строго ИБ'!BC$1,'свод практик'!$B$6:$B$277,"ИБ")</f>
        <v>0</v>
      </c>
      <c r="BD87" s="413">
        <f>SUMIFS('свод практик'!$CI$6:$CI$277,'свод практик'!$J$6:$J$277,'строго ИБ'!BD$1,'свод практик'!$B$6:$B$277,"ИБ")</f>
        <v>0</v>
      </c>
      <c r="BE87" s="413">
        <f>SUMIFS('свод практик'!$CI$6:$CI$277,'свод практик'!$J$6:$J$277,'строго ИБ'!BE$1,'свод практик'!$B$6:$B$277,"ИБ")</f>
        <v>2</v>
      </c>
      <c r="BF87" s="413">
        <f>SUMIFS('свод практик'!$CI$6:$CI$277,'свод практик'!$J$6:$J$277,'строго ИБ'!BF$1,'свод практик'!$B$6:$B$277,"ИБ")</f>
        <v>4</v>
      </c>
      <c r="BG87" s="413">
        <f>SUMIFS('свод практик'!$CI$6:$CI$277,'свод практик'!$J$6:$J$277,'строго ИБ'!BG$1,'свод практик'!$B$6:$B$277,"ИБ")</f>
        <v>7</v>
      </c>
      <c r="BH87" s="413">
        <f>SUMIFS('свод практик'!$CI$6:$CI$277,'свод практик'!$J$6:$J$277,'строго ИБ'!BH$1,'свод практик'!$B$6:$B$277,"ИБ")</f>
        <v>53</v>
      </c>
      <c r="BI87" s="413">
        <f>SUMIFS('свод практик'!$CI$6:$CI$277,'свод практик'!$J$6:$J$277,'строго ИБ'!BI$1,'свод практик'!$B$6:$B$277,"ИБ")</f>
        <v>4</v>
      </c>
      <c r="BJ87" s="413">
        <f>SUMIFS('свод практик'!$CI$6:$CI$277,'свод практик'!$J$6:$J$277,'строго ИБ'!BJ$1,'свод практик'!$B$6:$B$277,"ИБ")</f>
        <v>11</v>
      </c>
      <c r="BK87" s="413">
        <f>SUMIFS('свод практик'!$CI$6:$CI$277,'свод практик'!$J$6:$J$277,'строго ИБ'!BK$1,'свод практик'!$B$6:$B$277,"ИБ")</f>
        <v>0</v>
      </c>
      <c r="BL87" s="413">
        <f>SUMIFS('свод практик'!$CI$6:$CI$277,'свод практик'!$J$6:$J$277,'строго ИБ'!BL$1,'свод практик'!$B$6:$B$277,"ИБ")</f>
        <v>18</v>
      </c>
      <c r="BM87" s="413">
        <f>SUMIFS('свод практик'!$CI$6:$CI$277,'свод практик'!$J$6:$J$277,'строго ИБ'!BM$1,'свод практик'!$B$6:$B$277,"ИБ")</f>
        <v>0</v>
      </c>
      <c r="BN87" s="413">
        <f>SUMIFS('свод практик'!$CI$6:$CI$277,'свод практик'!$J$6:$J$277,'строго ИБ'!BN$1,'свод практик'!$B$6:$B$277,"ИБ")</f>
        <v>0</v>
      </c>
      <c r="BO87" s="413">
        <f>SUMIFS('свод практик'!$CI$6:$CI$277,'свод практик'!$J$6:$J$277,'строго ИБ'!BO$1,'свод практик'!$B$6:$B$277,"ИБ")</f>
        <v>26</v>
      </c>
      <c r="BP87" s="413">
        <f>SUMIFS('свод практик'!$CI$6:$CI$277,'свод практик'!$J$6:$J$277,'строго ИБ'!BP$1,'свод практик'!$B$6:$B$277,"ИБ")</f>
        <v>0</v>
      </c>
      <c r="BQ87" s="413">
        <f>SUMIFS('свод практик'!$CI$6:$CI$277,'свод практик'!$J$6:$J$277,'строго ИБ'!BQ$1,'свод практик'!$B$6:$B$277,"ИБ")</f>
        <v>0</v>
      </c>
      <c r="BR87" s="413">
        <f>SUMIFS('свод практик'!$CI$6:$CI$277,'свод практик'!$J$6:$J$277,'строго ИБ'!BR$1,'свод практик'!$B$6:$B$277,"ИБ")</f>
        <v>16</v>
      </c>
      <c r="BS87" s="413">
        <f>SUMIFS('свод практик'!$CI$6:$CI$277,'свод практик'!$J$6:$J$277,'строго ИБ'!BS$1,'свод практик'!$B$6:$B$277,"ИБ")</f>
        <v>31</v>
      </c>
      <c r="BT87" s="413">
        <f>SUMIFS('свод практик'!$CI$6:$CI$277,'свод практик'!$J$6:$J$277,'строго ИБ'!BT$1,'свод практик'!$B$6:$B$277,"ИБ")</f>
        <v>145</v>
      </c>
      <c r="BU87" s="413">
        <f>SUMIFS('свод практик'!$CI$6:$CI$277,'свод практик'!$J$6:$J$277,'строго ИБ'!BU$1,'свод практик'!$B$6:$B$277,"ИБ")</f>
        <v>0</v>
      </c>
      <c r="BV87" s="413">
        <f>SUMIFS('свод практик'!$CI$6:$CI$277,'свод практик'!$J$6:$J$277,'строго ИБ'!BV$1,'свод практик'!$B$6:$B$277,"ИБ")</f>
        <v>13</v>
      </c>
      <c r="BW87" s="413">
        <f>SUMIFS('свод практик'!$CI$6:$CI$277,'свод практик'!$J$6:$J$277,'строго ИБ'!BW$1,'свод практик'!$B$6:$B$277,"ИБ")</f>
        <v>9</v>
      </c>
      <c r="BX87" s="413">
        <f>SUMIFS('свод практик'!$CI$6:$CI$277,'свод практик'!$J$6:$J$277,'строго ИБ'!BX$1,'свод практик'!$B$6:$B$277,"ИБ")</f>
        <v>11</v>
      </c>
      <c r="BY87" s="413">
        <f>SUMIFS('свод практик'!$CI$6:$CI$277,'свод практик'!$J$6:$J$277,'строго ИБ'!BY$1,'свод практик'!$B$6:$B$277,"ИБ")</f>
        <v>6</v>
      </c>
      <c r="BZ87" s="413">
        <f>SUMIFS('свод практик'!$CI$6:$CI$277,'свод практик'!$J$6:$J$277,'строго ИБ'!BZ$1,'свод практик'!$B$6:$B$277,"ИБ")</f>
        <v>0</v>
      </c>
      <c r="CA87" s="413">
        <f>SUMIFS('свод практик'!$CI$6:$CI$277,'свод практик'!$J$6:$J$277,'строго ИБ'!CA$1,'свод практик'!$B$6:$B$277,"ИБ")</f>
        <v>0</v>
      </c>
      <c r="CB87" s="413">
        <f>SUMIFS('свод практик'!$CI$6:$CI$277,'свод практик'!$J$6:$J$277,'строго ИБ'!CB$1,'свод практик'!$B$6:$B$277,"ИБ")</f>
        <v>0</v>
      </c>
      <c r="CC87" s="413">
        <f>SUMIFS('свод практик'!$CI$6:$CI$277,'свод практик'!$J$6:$J$277,'строго ИБ'!CC$1,'свод практик'!$B$6:$B$277,"ИБ")</f>
        <v>0</v>
      </c>
      <c r="CD87" s="413">
        <f>SUMIFS('свод практик'!$CI$6:$CI$277,'свод практик'!$J$6:$J$277,'строго ИБ'!CD$1,'свод практик'!$B$6:$B$277,"ИБ")</f>
        <v>22</v>
      </c>
      <c r="CE87" s="413">
        <f>SUMIFS('свод практик'!$CI$6:$CI$277,'свод практик'!$J$6:$J$277,'строго ИБ'!CE$1,'свод практик'!$B$6:$B$277,"ИБ")</f>
        <v>0</v>
      </c>
      <c r="CF87" s="413">
        <f>SUMIFS('свод практик'!$CI$6:$CI$277,'свод практик'!$J$6:$J$277,'строго ИБ'!CF$1,'свод практик'!$B$6:$B$277,"ИБ")</f>
        <v>38</v>
      </c>
      <c r="CG87" s="413">
        <f>SUMIFS('свод практик'!$CI$6:$CI$277,'свод практик'!$J$6:$J$277,'строго ИБ'!CG$1,'свод практик'!$B$6:$B$277,"ИБ")</f>
        <v>16</v>
      </c>
      <c r="CH87" s="413">
        <f>SUMIFS('свод практик'!$CI$6:$CI$277,'свод практик'!$J$6:$J$277,'строго ИБ'!CH$1,'свод практик'!$B$6:$B$277,"ИБ")</f>
        <v>11</v>
      </c>
      <c r="CI87" s="413">
        <f>SUMIFS('свод практик'!$CI$6:$CI$277,'свод практик'!$J$6:$J$277,'строго ИБ'!CI$1,'свод практик'!$B$6:$B$277,"ИБ")</f>
        <v>0</v>
      </c>
      <c r="CJ87" s="413">
        <f>SUMIFS('свод практик'!$CI$6:$CI$277,'свод практик'!$J$6:$J$277,'строго ИБ'!CJ$1,'свод практик'!$B$6:$B$277,"ИБ")</f>
        <v>0</v>
      </c>
      <c r="CK87" s="413">
        <f>SUMIFS('свод практик'!$CI$6:$CI$277,'свод практик'!$J$6:$J$277,'строго ИБ'!CK$1,'свод практик'!$B$6:$B$277,"ИБ")</f>
        <v>13</v>
      </c>
      <c r="CL87" s="413">
        <f>SUMIFS('свод практик'!$CI$6:$CI$277,'свод практик'!$J$6:$J$277,'строго ИБ'!CL$1,'свод практик'!$B$6:$B$277,"ИБ")</f>
        <v>2</v>
      </c>
      <c r="CM87" s="413">
        <f>SUMIFS('свод практик'!$CI$6:$CI$277,'свод практик'!$J$6:$J$277,'строго ИБ'!CM$1,'свод практик'!$B$6:$B$277,"ИБ")</f>
        <v>2</v>
      </c>
      <c r="CN87" s="413">
        <f>SUMIFS('свод практик'!$CI$6:$CI$277,'свод практик'!$J$6:$J$277,'строго ИБ'!CN$1,'свод практик'!$B$6:$B$277,"ИБ")</f>
        <v>0</v>
      </c>
      <c r="CO87" s="413">
        <f>SUMIFS('свод практик'!$CI$6:$CI$277,'свод практик'!$J$6:$J$277,'строго ИБ'!CO$1,'свод практик'!$B$6:$B$277,"ИБ")</f>
        <v>20</v>
      </c>
      <c r="CP87" s="413">
        <f>SUMIFS('свод практик'!$CI$6:$CI$277,'свод практик'!$J$6:$J$277,'строго ИБ'!CP$1,'свод практик'!$B$6:$B$277,"ИБ")</f>
        <v>0</v>
      </c>
      <c r="CQ87" s="413">
        <f>SUMIFS('свод практик'!$CI$6:$CI$277,'свод практик'!$J$6:$J$277,'строго ИБ'!CQ$1,'свод практик'!$B$6:$B$277,"ИБ")</f>
        <v>0</v>
      </c>
      <c r="CR87" s="413">
        <f>SUMIFS('свод практик'!$CI$6:$CI$277,'свод практик'!$J$6:$J$277,'строго ИБ'!CR$1,'свод практик'!$B$6:$B$277,"ИБ")</f>
        <v>41</v>
      </c>
      <c r="CS87" s="413">
        <f>SUMIFS('свод практик'!$CI$6:$CI$277,'свод практик'!$J$6:$J$277,'строго ИБ'!CS$1,'свод практик'!$B$6:$B$277,"ИБ")</f>
        <v>2</v>
      </c>
      <c r="CT87" s="413">
        <f>SUMIFS('свод практик'!$CI$6:$CI$277,'свод практик'!$J$6:$J$277,'строго ИБ'!CT$1,'свод практик'!$B$6:$B$277,"ИБ")</f>
        <v>5</v>
      </c>
      <c r="CU87" s="413">
        <f>SUMIFS('свод практик'!$CI$6:$CI$277,'свод практик'!$J$6:$J$277,'строго ИБ'!CU$1,'свод практик'!$B$6:$B$277,"ИБ")</f>
        <v>12</v>
      </c>
    </row>
    <row r="88" spans="1:99" ht="16" customHeight="1">
      <c r="A88" s="815"/>
      <c r="B88" s="817"/>
      <c r="C88" s="805"/>
      <c r="D88" s="439" t="s">
        <v>4949</v>
      </c>
      <c r="E88" s="439">
        <v>69</v>
      </c>
      <c r="F88" s="440" t="s">
        <v>5170</v>
      </c>
      <c r="G88" s="808"/>
      <c r="H88" s="442" t="s">
        <v>60</v>
      </c>
      <c r="I88" s="443"/>
      <c r="J88" s="444"/>
      <c r="K88" s="2"/>
      <c r="L88" s="383"/>
      <c r="M88" s="384">
        <v>9.3112057570862092E-2</v>
      </c>
      <c r="N88" s="607">
        <f>N87/N107</f>
        <v>9.4403892944038933E-2</v>
      </c>
      <c r="O88" s="607">
        <f t="shared" ref="O88:BZ88" si="44">O87/O107</f>
        <v>0.16666666666666666</v>
      </c>
      <c r="P88" s="607">
        <f t="shared" si="44"/>
        <v>0.16666666666666666</v>
      </c>
      <c r="Q88" s="607">
        <f t="shared" si="44"/>
        <v>0.27941176470588236</v>
      </c>
      <c r="R88" s="607">
        <f t="shared" si="44"/>
        <v>4.878048780487805E-2</v>
      </c>
      <c r="S88" s="607">
        <f t="shared" si="44"/>
        <v>0</v>
      </c>
      <c r="T88" s="607">
        <f t="shared" si="44"/>
        <v>0.83333333333333337</v>
      </c>
      <c r="U88" s="607">
        <f t="shared" si="44"/>
        <v>3.8461538461538464E-2</v>
      </c>
      <c r="V88" s="607">
        <f t="shared" si="44"/>
        <v>0.21794871794871795</v>
      </c>
      <c r="W88" s="607">
        <f t="shared" si="44"/>
        <v>0.14606741573033707</v>
      </c>
      <c r="X88" s="607" t="e">
        <f t="shared" si="44"/>
        <v>#DIV/0!</v>
      </c>
      <c r="Y88" s="607" t="e">
        <f t="shared" si="44"/>
        <v>#DIV/0!</v>
      </c>
      <c r="Z88" s="607">
        <f t="shared" si="44"/>
        <v>3.2258064516129031E-2</v>
      </c>
      <c r="AA88" s="607">
        <f t="shared" si="44"/>
        <v>0.20940649496080627</v>
      </c>
      <c r="AB88" s="607">
        <f t="shared" si="44"/>
        <v>0</v>
      </c>
      <c r="AC88" s="607" t="e">
        <f t="shared" si="44"/>
        <v>#DIV/0!</v>
      </c>
      <c r="AD88" s="607" t="e">
        <f t="shared" si="44"/>
        <v>#DIV/0!</v>
      </c>
      <c r="AE88" s="607" t="e">
        <f t="shared" si="44"/>
        <v>#DIV/0!</v>
      </c>
      <c r="AF88" s="607" t="e">
        <f t="shared" si="44"/>
        <v>#DIV/0!</v>
      </c>
      <c r="AG88" s="607" t="e">
        <f t="shared" si="44"/>
        <v>#DIV/0!</v>
      </c>
      <c r="AH88" s="607" t="e">
        <f t="shared" si="44"/>
        <v>#DIV/0!</v>
      </c>
      <c r="AI88" s="607" t="e">
        <f t="shared" si="44"/>
        <v>#DIV/0!</v>
      </c>
      <c r="AJ88" s="607" t="e">
        <f t="shared" si="44"/>
        <v>#DIV/0!</v>
      </c>
      <c r="AK88" s="607">
        <f t="shared" si="44"/>
        <v>0.33333333333333331</v>
      </c>
      <c r="AL88" s="607">
        <f t="shared" si="44"/>
        <v>0.10588235294117647</v>
      </c>
      <c r="AM88" s="607" t="e">
        <f t="shared" si="44"/>
        <v>#DIV/0!</v>
      </c>
      <c r="AN88" s="607" t="e">
        <f t="shared" si="44"/>
        <v>#DIV/0!</v>
      </c>
      <c r="AO88" s="607">
        <f t="shared" si="44"/>
        <v>8.8607594936708861E-2</v>
      </c>
      <c r="AP88" s="607">
        <f t="shared" si="44"/>
        <v>0.15887850467289719</v>
      </c>
      <c r="AQ88" s="607">
        <f t="shared" si="44"/>
        <v>0</v>
      </c>
      <c r="AR88" s="607">
        <f t="shared" si="44"/>
        <v>8.3333333333333329E-2</v>
      </c>
      <c r="AS88" s="607" t="e">
        <f t="shared" si="44"/>
        <v>#DIV/0!</v>
      </c>
      <c r="AT88" s="607" t="e">
        <f t="shared" si="44"/>
        <v>#DIV/0!</v>
      </c>
      <c r="AU88" s="607">
        <f t="shared" si="44"/>
        <v>0.10833333333333334</v>
      </c>
      <c r="AV88" s="607" t="e">
        <f t="shared" si="44"/>
        <v>#DIV/0!</v>
      </c>
      <c r="AW88" s="607">
        <f t="shared" si="44"/>
        <v>6.1855670103092786E-2</v>
      </c>
      <c r="AX88" s="607" t="e">
        <f t="shared" si="44"/>
        <v>#DIV/0!</v>
      </c>
      <c r="AY88" s="607">
        <f t="shared" si="44"/>
        <v>0</v>
      </c>
      <c r="AZ88" s="607" t="e">
        <f t="shared" si="44"/>
        <v>#DIV/0!</v>
      </c>
      <c r="BA88" s="607" t="e">
        <f t="shared" si="44"/>
        <v>#DIV/0!</v>
      </c>
      <c r="BB88" s="607">
        <f t="shared" si="44"/>
        <v>0</v>
      </c>
      <c r="BC88" s="607" t="e">
        <f t="shared" si="44"/>
        <v>#DIV/0!</v>
      </c>
      <c r="BD88" s="607" t="e">
        <f t="shared" si="44"/>
        <v>#DIV/0!</v>
      </c>
      <c r="BE88" s="607">
        <f t="shared" si="44"/>
        <v>0.66666666666666663</v>
      </c>
      <c r="BF88" s="607">
        <f t="shared" si="44"/>
        <v>0.1111111111111111</v>
      </c>
      <c r="BG88" s="607">
        <f t="shared" si="44"/>
        <v>0.30434782608695654</v>
      </c>
      <c r="BH88" s="607">
        <f t="shared" si="44"/>
        <v>8.9376053962900506E-2</v>
      </c>
      <c r="BI88" s="607">
        <f t="shared" si="44"/>
        <v>9.0909090909090912E-2</v>
      </c>
      <c r="BJ88" s="607">
        <f t="shared" si="44"/>
        <v>5.4187192118226604E-2</v>
      </c>
      <c r="BK88" s="607" t="e">
        <f t="shared" si="44"/>
        <v>#DIV/0!</v>
      </c>
      <c r="BL88" s="607">
        <f t="shared" si="44"/>
        <v>0.12244897959183673</v>
      </c>
      <c r="BM88" s="607">
        <f t="shared" si="44"/>
        <v>0</v>
      </c>
      <c r="BN88" s="607" t="e">
        <f t="shared" si="44"/>
        <v>#DIV/0!</v>
      </c>
      <c r="BO88" s="607">
        <f t="shared" si="44"/>
        <v>0.2</v>
      </c>
      <c r="BP88" s="607" t="e">
        <f t="shared" si="44"/>
        <v>#DIV/0!</v>
      </c>
      <c r="BQ88" s="607" t="e">
        <f t="shared" si="44"/>
        <v>#DIV/0!</v>
      </c>
      <c r="BR88" s="607">
        <f t="shared" si="44"/>
        <v>0.1553398058252427</v>
      </c>
      <c r="BS88" s="607">
        <f t="shared" si="44"/>
        <v>0.16847826086956522</v>
      </c>
      <c r="BT88" s="607">
        <f t="shared" si="44"/>
        <v>0.26032315978456017</v>
      </c>
      <c r="BU88" s="607">
        <f t="shared" si="44"/>
        <v>0</v>
      </c>
      <c r="BV88" s="607">
        <f t="shared" si="44"/>
        <v>0.11818181818181818</v>
      </c>
      <c r="BW88" s="607">
        <f t="shared" si="44"/>
        <v>2.0316027088036117E-2</v>
      </c>
      <c r="BX88" s="607">
        <f t="shared" si="44"/>
        <v>6.25E-2</v>
      </c>
      <c r="BY88" s="607">
        <f t="shared" si="44"/>
        <v>0.12</v>
      </c>
      <c r="BZ88" s="607" t="e">
        <f t="shared" si="44"/>
        <v>#DIV/0!</v>
      </c>
      <c r="CA88" s="607" t="e">
        <f t="shared" ref="CA88:CU88" si="45">CA87/CA107</f>
        <v>#DIV/0!</v>
      </c>
      <c r="CB88" s="607" t="e">
        <f t="shared" si="45"/>
        <v>#DIV/0!</v>
      </c>
      <c r="CC88" s="607">
        <f t="shared" si="45"/>
        <v>0</v>
      </c>
      <c r="CD88" s="607">
        <f t="shared" si="45"/>
        <v>4.0740740740740744E-2</v>
      </c>
      <c r="CE88" s="607" t="e">
        <f t="shared" si="45"/>
        <v>#DIV/0!</v>
      </c>
      <c r="CF88" s="607">
        <f t="shared" si="45"/>
        <v>0.14022140221402213</v>
      </c>
      <c r="CG88" s="607">
        <f t="shared" si="45"/>
        <v>0.22222222222222221</v>
      </c>
      <c r="CH88" s="607">
        <f t="shared" si="45"/>
        <v>2.1739130434782608E-2</v>
      </c>
      <c r="CI88" s="607" t="e">
        <f t="shared" si="45"/>
        <v>#DIV/0!</v>
      </c>
      <c r="CJ88" s="607" t="e">
        <f t="shared" si="45"/>
        <v>#DIV/0!</v>
      </c>
      <c r="CK88" s="607">
        <f t="shared" si="45"/>
        <v>0.11926605504587157</v>
      </c>
      <c r="CL88" s="607">
        <f t="shared" si="45"/>
        <v>1.3605442176870748E-2</v>
      </c>
      <c r="CM88" s="607">
        <f t="shared" si="45"/>
        <v>4.878048780487805E-2</v>
      </c>
      <c r="CN88" s="607" t="e">
        <f t="shared" si="45"/>
        <v>#DIV/0!</v>
      </c>
      <c r="CO88" s="607">
        <f t="shared" si="45"/>
        <v>0.10582010582010581</v>
      </c>
      <c r="CP88" s="607">
        <f t="shared" si="45"/>
        <v>0</v>
      </c>
      <c r="CQ88" s="607" t="e">
        <f t="shared" si="45"/>
        <v>#DIV/0!</v>
      </c>
      <c r="CR88" s="607">
        <f t="shared" si="45"/>
        <v>6.3763608087091764E-2</v>
      </c>
      <c r="CS88" s="607">
        <f t="shared" si="45"/>
        <v>0.2</v>
      </c>
      <c r="CT88" s="607">
        <f t="shared" si="45"/>
        <v>6.1728395061728392E-2</v>
      </c>
      <c r="CU88" s="607">
        <f t="shared" si="45"/>
        <v>2.4144869215291749E-2</v>
      </c>
    </row>
    <row r="89" spans="1:99" ht="16" customHeight="1">
      <c r="A89" s="815"/>
      <c r="B89" s="817"/>
      <c r="C89" s="805"/>
      <c r="D89" s="439" t="s">
        <v>4949</v>
      </c>
      <c r="E89" s="439">
        <v>70</v>
      </c>
      <c r="F89" s="440" t="s">
        <v>5171</v>
      </c>
      <c r="G89" s="808" t="s">
        <v>5769</v>
      </c>
      <c r="H89" s="442" t="s">
        <v>5140</v>
      </c>
      <c r="I89" s="443"/>
      <c r="J89" s="444"/>
      <c r="K89" s="2" t="s">
        <v>278</v>
      </c>
      <c r="L89" s="385"/>
      <c r="M89" s="351">
        <v>758</v>
      </c>
      <c r="N89" s="580">
        <f t="shared" si="25"/>
        <v>1207</v>
      </c>
      <c r="O89" s="413">
        <f>SUMIFS('свод практик'!$CJ$6:$CJ$277,'свод практик'!$J$6:$J$277,'строго ИБ'!O$1,'свод практик'!$B$6:$B$277,"ИБ")</f>
        <v>1</v>
      </c>
      <c r="P89" s="413">
        <f>SUMIFS('свод практик'!$CJ$6:$CJ$277,'свод практик'!$J$6:$J$277,'строго ИБ'!P$1,'свод практик'!$B$6:$B$277,"ИБ")</f>
        <v>1</v>
      </c>
      <c r="Q89" s="413">
        <f>SUMIFS('свод практик'!$CJ$6:$CJ$277,'свод практик'!$J$6:$J$277,'строго ИБ'!Q$1,'свод практик'!$B$6:$B$277,"ИБ")</f>
        <v>9</v>
      </c>
      <c r="R89" s="413">
        <f>SUMIFS('свод практик'!$CJ$6:$CJ$277,'свод практик'!$J$6:$J$277,'строго ИБ'!R$1,'свод практик'!$B$6:$B$277,"ИБ")</f>
        <v>34</v>
      </c>
      <c r="S89" s="413">
        <f>SUMIFS('свод практик'!$CJ$6:$CJ$277,'свод практик'!$J$6:$J$277,'строго ИБ'!S$1,'свод практик'!$B$6:$B$277,"ИБ")</f>
        <v>1</v>
      </c>
      <c r="T89" s="413">
        <f>SUMIFS('свод практик'!$CJ$6:$CJ$277,'свод практик'!$J$6:$J$277,'строго ИБ'!T$1,'свод практик'!$B$6:$B$277,"ИБ")</f>
        <v>0</v>
      </c>
      <c r="U89" s="413">
        <f>SUMIFS('свод практик'!$CJ$6:$CJ$277,'свод практик'!$J$6:$J$277,'строго ИБ'!U$1,'свод практик'!$B$6:$B$277,"ИБ")</f>
        <v>65</v>
      </c>
      <c r="V89" s="413">
        <f>SUMIFS('свод практик'!$CJ$6:$CJ$277,'свод практик'!$J$6:$J$277,'строго ИБ'!V$1,'свод практик'!$B$6:$B$277,"ИБ")</f>
        <v>5</v>
      </c>
      <c r="W89" s="413">
        <f>SUMIFS('свод практик'!$CJ$6:$CJ$277,'свод практик'!$J$6:$J$277,'строго ИБ'!W$1,'свод практик'!$B$6:$B$277,"ИБ")</f>
        <v>16</v>
      </c>
      <c r="X89" s="413">
        <f>SUMIFS('свод практик'!$CJ$6:$CJ$277,'свод практик'!$J$6:$J$277,'строго ИБ'!X$1,'свод практик'!$B$6:$B$277,"ИБ")</f>
        <v>0</v>
      </c>
      <c r="Y89" s="413">
        <f>SUMIFS('свод практик'!$CJ$6:$CJ$277,'свод практик'!$J$6:$J$277,'строго ИБ'!Y$1,'свод практик'!$B$6:$B$277,"ИБ")</f>
        <v>0</v>
      </c>
      <c r="Z89" s="413">
        <f>SUMIFS('свод практик'!$CJ$6:$CJ$277,'свод практик'!$J$6:$J$277,'строго ИБ'!Z$1,'свод практик'!$B$6:$B$277,"ИБ")</f>
        <v>29</v>
      </c>
      <c r="AA89" s="413">
        <f>SUMIFS('свод практик'!$CJ$6:$CJ$277,'свод практик'!$J$6:$J$277,'строго ИБ'!AA$1,'свод практик'!$B$6:$B$277,"ИБ")</f>
        <v>167</v>
      </c>
      <c r="AB89" s="413">
        <f>SUMIFS('свод практик'!$CJ$6:$CJ$277,'свод практик'!$J$6:$J$277,'строго ИБ'!AB$1,'свод практик'!$B$6:$B$277,"ИБ")</f>
        <v>18</v>
      </c>
      <c r="AC89" s="413">
        <f>SUMIFS('свод практик'!$CJ$6:$CJ$277,'свод практик'!$J$6:$J$277,'строго ИБ'!AC$1,'свод практик'!$B$6:$B$277,"ИБ")</f>
        <v>0</v>
      </c>
      <c r="AD89" s="413">
        <f>SUMIFS('свод практик'!$CJ$6:$CJ$277,'свод практик'!$J$6:$J$277,'строго ИБ'!AD$1,'свод практик'!$B$6:$B$277,"ИБ")</f>
        <v>0</v>
      </c>
      <c r="AE89" s="413">
        <f>SUMIFS('свод практик'!$CJ$6:$CJ$277,'свод практик'!$J$6:$J$277,'строго ИБ'!AE$1,'свод практик'!$B$6:$B$277,"ИБ")</f>
        <v>0</v>
      </c>
      <c r="AF89" s="413">
        <f>SUMIFS('свод практик'!$CJ$6:$CJ$277,'свод практик'!$J$6:$J$277,'строго ИБ'!AF$1,'свод практик'!$B$6:$B$277,"ИБ")</f>
        <v>0</v>
      </c>
      <c r="AG89" s="413">
        <f>SUMIFS('свод практик'!$CJ$6:$CJ$277,'свод практик'!$J$6:$J$277,'строго ИБ'!AG$1,'свод практик'!$B$6:$B$277,"ИБ")</f>
        <v>0</v>
      </c>
      <c r="AH89" s="413">
        <f>SUMIFS('свод практик'!$CJ$6:$CJ$277,'свод практик'!$J$6:$J$277,'строго ИБ'!AH$1,'свод практик'!$B$6:$B$277,"ИБ")</f>
        <v>0</v>
      </c>
      <c r="AI89" s="413">
        <f>SUMIFS('свод практик'!$CJ$6:$CJ$277,'свод практик'!$J$6:$J$277,'строго ИБ'!AI$1,'свод практик'!$B$6:$B$277,"ИБ")</f>
        <v>0</v>
      </c>
      <c r="AJ89" s="413">
        <f>SUMIFS('свод практик'!$CJ$6:$CJ$277,'свод практик'!$J$6:$J$277,'строго ИБ'!AJ$1,'свод практик'!$B$6:$B$277,"ИБ")</f>
        <v>0</v>
      </c>
      <c r="AK89" s="413">
        <f>SUMIFS('свод практик'!$CJ$6:$CJ$277,'свод практик'!$J$6:$J$277,'строго ИБ'!AK$1,'свод практик'!$B$6:$B$277,"ИБ")</f>
        <v>3</v>
      </c>
      <c r="AL89" s="413">
        <f>SUMIFS('свод практик'!$CJ$6:$CJ$277,'свод практик'!$J$6:$J$277,'строго ИБ'!AL$1,'свод практик'!$B$6:$B$277,"ИБ")</f>
        <v>32</v>
      </c>
      <c r="AM89" s="413">
        <f>SUMIFS('свод практик'!$CJ$6:$CJ$277,'свод практик'!$J$6:$J$277,'строго ИБ'!AM$1,'свод практик'!$B$6:$B$277,"ИБ")</f>
        <v>0</v>
      </c>
      <c r="AN89" s="413">
        <f>SUMIFS('свод практик'!$CJ$6:$CJ$277,'свод практик'!$J$6:$J$277,'строго ИБ'!AN$1,'свод практик'!$B$6:$B$277,"ИБ")</f>
        <v>0</v>
      </c>
      <c r="AO89" s="413">
        <f>SUMIFS('свод практик'!$CJ$6:$CJ$277,'свод практик'!$J$6:$J$277,'строго ИБ'!AO$1,'свод практик'!$B$6:$B$277,"ИБ")</f>
        <v>12</v>
      </c>
      <c r="AP89" s="413">
        <f>SUMIFS('свод практик'!$CJ$6:$CJ$277,'свод практик'!$J$6:$J$277,'строго ИБ'!AP$1,'свод практик'!$B$6:$B$277,"ИБ")</f>
        <v>18</v>
      </c>
      <c r="AQ89" s="413">
        <f>SUMIFS('свод практик'!$CJ$6:$CJ$277,'свод практик'!$J$6:$J$277,'строго ИБ'!AQ$1,'свод практик'!$B$6:$B$277,"ИБ")</f>
        <v>65</v>
      </c>
      <c r="AR89" s="413">
        <f>SUMIFS('свод практик'!$CJ$6:$CJ$277,'свод практик'!$J$6:$J$277,'строго ИБ'!AR$1,'свод практик'!$B$6:$B$277,"ИБ")</f>
        <v>20</v>
      </c>
      <c r="AS89" s="413">
        <f>SUMIFS('свод практик'!$CJ$6:$CJ$277,'свод практик'!$J$6:$J$277,'строго ИБ'!AS$1,'свод практик'!$B$6:$B$277,"ИБ")</f>
        <v>0</v>
      </c>
      <c r="AT89" s="413">
        <f>SUMIFS('свод практик'!$CJ$6:$CJ$277,'свод практик'!$J$6:$J$277,'строго ИБ'!AT$1,'свод практик'!$B$6:$B$277,"ИБ")</f>
        <v>0</v>
      </c>
      <c r="AU89" s="413">
        <f>SUMIFS('свод практик'!$CJ$6:$CJ$277,'свод практик'!$J$6:$J$277,'строго ИБ'!AU$1,'свод практик'!$B$6:$B$277,"ИБ")</f>
        <v>18</v>
      </c>
      <c r="AV89" s="413">
        <f>SUMIFS('свод практик'!$CJ$6:$CJ$277,'свод практик'!$J$6:$J$277,'строго ИБ'!AV$1,'свод практик'!$B$6:$B$277,"ИБ")</f>
        <v>0</v>
      </c>
      <c r="AW89" s="413">
        <f>SUMIFS('свод практик'!$CJ$6:$CJ$277,'свод практик'!$J$6:$J$277,'строго ИБ'!AW$1,'свод практик'!$B$6:$B$277,"ИБ")</f>
        <v>6</v>
      </c>
      <c r="AX89" s="413">
        <f>SUMIFS('свод практик'!$CJ$6:$CJ$277,'свод практик'!$J$6:$J$277,'строго ИБ'!AX$1,'свод практик'!$B$6:$B$277,"ИБ")</f>
        <v>0</v>
      </c>
      <c r="AY89" s="413">
        <f>SUMIFS('свод практик'!$CJ$6:$CJ$277,'свод практик'!$J$6:$J$277,'строго ИБ'!AY$1,'свод практик'!$B$6:$B$277,"ИБ")</f>
        <v>2</v>
      </c>
      <c r="AZ89" s="413">
        <f>SUMIFS('свод практик'!$CJ$6:$CJ$277,'свод практик'!$J$6:$J$277,'строго ИБ'!AZ$1,'свод практик'!$B$6:$B$277,"ИБ")</f>
        <v>0</v>
      </c>
      <c r="BA89" s="413">
        <f>SUMIFS('свод практик'!$CJ$6:$CJ$277,'свод практик'!$J$6:$J$277,'строго ИБ'!BA$1,'свод практик'!$B$6:$B$277,"ИБ")</f>
        <v>0</v>
      </c>
      <c r="BB89" s="413">
        <f>SUMIFS('свод практик'!$CJ$6:$CJ$277,'свод практик'!$J$6:$J$277,'строго ИБ'!BB$1,'свод практик'!$B$6:$B$277,"ИБ")</f>
        <v>7</v>
      </c>
      <c r="BC89" s="413">
        <f>SUMIFS('свод практик'!$CJ$6:$CJ$277,'свод практик'!$J$6:$J$277,'строго ИБ'!BC$1,'свод практик'!$B$6:$B$277,"ИБ")</f>
        <v>0</v>
      </c>
      <c r="BD89" s="413">
        <f>SUMIFS('свод практик'!$CJ$6:$CJ$277,'свод практик'!$J$6:$J$277,'строго ИБ'!BD$1,'свод практик'!$B$6:$B$277,"ИБ")</f>
        <v>0</v>
      </c>
      <c r="BE89" s="413">
        <f>SUMIFS('свод практик'!$CJ$6:$CJ$277,'свод практик'!$J$6:$J$277,'строго ИБ'!BE$1,'свод практик'!$B$6:$B$277,"ИБ")</f>
        <v>1</v>
      </c>
      <c r="BF89" s="413">
        <f>SUMIFS('свод практик'!$CJ$6:$CJ$277,'свод практик'!$J$6:$J$277,'строго ИБ'!BF$1,'свод практик'!$B$6:$B$277,"ИБ")</f>
        <v>5</v>
      </c>
      <c r="BG89" s="413">
        <f>SUMIFS('свод практик'!$CJ$6:$CJ$277,'свод практик'!$J$6:$J$277,'строго ИБ'!BG$1,'свод практик'!$B$6:$B$277,"ИБ")</f>
        <v>5</v>
      </c>
      <c r="BH89" s="413">
        <f>SUMIFS('свод практик'!$CJ$6:$CJ$277,'свод практик'!$J$6:$J$277,'строго ИБ'!BH$1,'свод практик'!$B$6:$B$277,"ИБ")</f>
        <v>35</v>
      </c>
      <c r="BI89" s="413">
        <f>SUMIFS('свод практик'!$CJ$6:$CJ$277,'свод практик'!$J$6:$J$277,'строго ИБ'!BI$1,'свод практик'!$B$6:$B$277,"ИБ")</f>
        <v>10</v>
      </c>
      <c r="BJ89" s="413">
        <f>SUMIFS('свод практик'!$CJ$6:$CJ$277,'свод практик'!$J$6:$J$277,'строго ИБ'!BJ$1,'свод практик'!$B$6:$B$277,"ИБ")</f>
        <v>37</v>
      </c>
      <c r="BK89" s="413">
        <f>SUMIFS('свод практик'!$CJ$6:$CJ$277,'свод практик'!$J$6:$J$277,'строго ИБ'!BK$1,'свод практик'!$B$6:$B$277,"ИБ")</f>
        <v>0</v>
      </c>
      <c r="BL89" s="413">
        <f>SUMIFS('свод практик'!$CJ$6:$CJ$277,'свод практик'!$J$6:$J$277,'строго ИБ'!BL$1,'свод практик'!$B$6:$B$277,"ИБ")</f>
        <v>10</v>
      </c>
      <c r="BM89" s="413">
        <f>SUMIFS('свод практик'!$CJ$6:$CJ$277,'свод практик'!$J$6:$J$277,'строго ИБ'!BM$1,'свод практик'!$B$6:$B$277,"ИБ")</f>
        <v>4</v>
      </c>
      <c r="BN89" s="413">
        <f>SUMIFS('свод практик'!$CJ$6:$CJ$277,'свод практик'!$J$6:$J$277,'строго ИБ'!BN$1,'свод практик'!$B$6:$B$277,"ИБ")</f>
        <v>0</v>
      </c>
      <c r="BO89" s="413">
        <f>SUMIFS('свод практик'!$CJ$6:$CJ$277,'свод практик'!$J$6:$J$277,'строго ИБ'!BO$1,'свод практик'!$B$6:$B$277,"ИБ")</f>
        <v>9</v>
      </c>
      <c r="BP89" s="413">
        <f>SUMIFS('свод практик'!$CJ$6:$CJ$277,'свод практик'!$J$6:$J$277,'строго ИБ'!BP$1,'свод практик'!$B$6:$B$277,"ИБ")</f>
        <v>0</v>
      </c>
      <c r="BQ89" s="413">
        <f>SUMIFS('свод практик'!$CJ$6:$CJ$277,'свод практик'!$J$6:$J$277,'строго ИБ'!BQ$1,'свод практик'!$B$6:$B$277,"ИБ")</f>
        <v>0</v>
      </c>
      <c r="BR89" s="413">
        <f>SUMIFS('свод практик'!$CJ$6:$CJ$277,'свод практик'!$J$6:$J$277,'строго ИБ'!BR$1,'свод практик'!$B$6:$B$277,"ИБ")</f>
        <v>0</v>
      </c>
      <c r="BS89" s="413">
        <f>SUMIFS('свод практик'!$CJ$6:$CJ$277,'свод практик'!$J$6:$J$277,'строго ИБ'!BS$1,'свод практик'!$B$6:$B$277,"ИБ")</f>
        <v>34</v>
      </c>
      <c r="BT89" s="413">
        <f>SUMIFS('свод практик'!$CJ$6:$CJ$277,'свод практик'!$J$6:$J$277,'строго ИБ'!BT$1,'свод практик'!$B$6:$B$277,"ИБ")</f>
        <v>92</v>
      </c>
      <c r="BU89" s="413">
        <f>SUMIFS('свод практик'!$CJ$6:$CJ$277,'свод практик'!$J$6:$J$277,'строго ИБ'!BU$1,'свод практик'!$B$6:$B$277,"ИБ")</f>
        <v>3</v>
      </c>
      <c r="BV89" s="413">
        <f>SUMIFS('свод практик'!$CJ$6:$CJ$277,'свод практик'!$J$6:$J$277,'строго ИБ'!BV$1,'свод практик'!$B$6:$B$277,"ИБ")</f>
        <v>21</v>
      </c>
      <c r="BW89" s="413">
        <f>SUMIFS('свод практик'!$CJ$6:$CJ$277,'свод практик'!$J$6:$J$277,'строго ИБ'!BW$1,'свод практик'!$B$6:$B$277,"ИБ")</f>
        <v>37</v>
      </c>
      <c r="BX89" s="413">
        <f>SUMIFS('свод практик'!$CJ$6:$CJ$277,'свод практик'!$J$6:$J$277,'строго ИБ'!BX$1,'свод практик'!$B$6:$B$277,"ИБ")</f>
        <v>41</v>
      </c>
      <c r="BY89" s="413">
        <f>SUMIFS('свод практик'!$CJ$6:$CJ$277,'свод практик'!$J$6:$J$277,'строго ИБ'!BY$1,'свод практик'!$B$6:$B$277,"ИБ")</f>
        <v>4</v>
      </c>
      <c r="BZ89" s="413">
        <f>SUMIFS('свод практик'!$CJ$6:$CJ$277,'свод практик'!$J$6:$J$277,'строго ИБ'!BZ$1,'свод практик'!$B$6:$B$277,"ИБ")</f>
        <v>0</v>
      </c>
      <c r="CA89" s="413">
        <f>SUMIFS('свод практик'!$CJ$6:$CJ$277,'свод практик'!$J$6:$J$277,'строго ИБ'!CA$1,'свод практик'!$B$6:$B$277,"ИБ")</f>
        <v>0</v>
      </c>
      <c r="CB89" s="413">
        <f>SUMIFS('свод практик'!$CJ$6:$CJ$277,'свод практик'!$J$6:$J$277,'строго ИБ'!CB$1,'свод практик'!$B$6:$B$277,"ИБ")</f>
        <v>0</v>
      </c>
      <c r="CC89" s="413">
        <f>SUMIFS('свод практик'!$CJ$6:$CJ$277,'свод практик'!$J$6:$J$277,'строго ИБ'!CC$1,'свод практик'!$B$6:$B$277,"ИБ")</f>
        <v>103</v>
      </c>
      <c r="CD89" s="413">
        <f>SUMIFS('свод практик'!$CJ$6:$CJ$277,'свод практик'!$J$6:$J$277,'строго ИБ'!CD$1,'свод практик'!$B$6:$B$277,"ИБ")</f>
        <v>0</v>
      </c>
      <c r="CE89" s="413">
        <f>SUMIFS('свод практик'!$CJ$6:$CJ$277,'свод практик'!$J$6:$J$277,'строго ИБ'!CE$1,'свод практик'!$B$6:$B$277,"ИБ")</f>
        <v>0</v>
      </c>
      <c r="CF89" s="413">
        <f>SUMIFS('свод практик'!$CJ$6:$CJ$277,'свод практик'!$J$6:$J$277,'строго ИБ'!CF$1,'свод практик'!$B$6:$B$277,"ИБ")</f>
        <v>0</v>
      </c>
      <c r="CG89" s="413">
        <f>SUMIFS('свод практик'!$CJ$6:$CJ$277,'свод практик'!$J$6:$J$277,'строго ИБ'!CG$1,'свод практик'!$B$6:$B$277,"ИБ")</f>
        <v>18</v>
      </c>
      <c r="CH89" s="413">
        <f>SUMIFS('свод практик'!$CJ$6:$CJ$277,'свод практик'!$J$6:$J$277,'строго ИБ'!CH$1,'свод практик'!$B$6:$B$277,"ИБ")</f>
        <v>22</v>
      </c>
      <c r="CI89" s="413">
        <f>SUMIFS('свод практик'!$CJ$6:$CJ$277,'свод практик'!$J$6:$J$277,'строго ИБ'!CI$1,'свод практик'!$B$6:$B$277,"ИБ")</f>
        <v>0</v>
      </c>
      <c r="CJ89" s="413">
        <f>SUMIFS('свод практик'!$CJ$6:$CJ$277,'свод практик'!$J$6:$J$277,'строго ИБ'!CJ$1,'свод практик'!$B$6:$B$277,"ИБ")</f>
        <v>0</v>
      </c>
      <c r="CK89" s="413">
        <f>SUMIFS('свод практик'!$CJ$6:$CJ$277,'свод практик'!$J$6:$J$277,'строго ИБ'!CK$1,'свод практик'!$B$6:$B$277,"ИБ")</f>
        <v>9</v>
      </c>
      <c r="CL89" s="413">
        <f>SUMIFS('свод практик'!$CJ$6:$CJ$277,'свод практик'!$J$6:$J$277,'строго ИБ'!CL$1,'свод практик'!$B$6:$B$277,"ИБ")</f>
        <v>19</v>
      </c>
      <c r="CM89" s="413">
        <f>SUMIFS('свод практик'!$CJ$6:$CJ$277,'свод практик'!$J$6:$J$277,'строго ИБ'!CM$1,'свод практик'!$B$6:$B$277,"ИБ")</f>
        <v>10</v>
      </c>
      <c r="CN89" s="413">
        <f>SUMIFS('свод практик'!$CJ$6:$CJ$277,'свод практик'!$J$6:$J$277,'строго ИБ'!CN$1,'свод практик'!$B$6:$B$277,"ИБ")</f>
        <v>0</v>
      </c>
      <c r="CO89" s="413">
        <f>SUMIFS('свод практик'!$CJ$6:$CJ$277,'свод практик'!$J$6:$J$277,'строго ИБ'!CO$1,'свод практик'!$B$6:$B$277,"ИБ")</f>
        <v>41</v>
      </c>
      <c r="CP89" s="413">
        <f>SUMIFS('свод практик'!$CJ$6:$CJ$277,'свод практик'!$J$6:$J$277,'строго ИБ'!CP$1,'свод практик'!$B$6:$B$277,"ИБ")</f>
        <v>0</v>
      </c>
      <c r="CQ89" s="413">
        <f>SUMIFS('свод практик'!$CJ$6:$CJ$277,'свод практик'!$J$6:$J$277,'строго ИБ'!CQ$1,'свод практик'!$B$6:$B$277,"ИБ")</f>
        <v>0</v>
      </c>
      <c r="CR89" s="413">
        <f>SUMIFS('свод практик'!$CJ$6:$CJ$277,'свод практик'!$J$6:$J$277,'строго ИБ'!CR$1,'свод практик'!$B$6:$B$277,"ИБ")</f>
        <v>44</v>
      </c>
      <c r="CS89" s="413">
        <f>SUMIFS('свод практик'!$CJ$6:$CJ$277,'свод практик'!$J$6:$J$277,'строго ИБ'!CS$1,'свод практик'!$B$6:$B$277,"ИБ")</f>
        <v>3</v>
      </c>
      <c r="CT89" s="413">
        <f>SUMIFS('свод практик'!$CJ$6:$CJ$277,'свод практик'!$J$6:$J$277,'строго ИБ'!CT$1,'свод практик'!$B$6:$B$277,"ИБ")</f>
        <v>11</v>
      </c>
      <c r="CU89" s="413">
        <f>SUMIFS('свод практик'!$CJ$6:$CJ$277,'свод практик'!$J$6:$J$277,'строго ИБ'!CU$1,'свод практик'!$B$6:$B$277,"ИБ")</f>
        <v>50</v>
      </c>
    </row>
    <row r="90" spans="1:99" ht="23" customHeight="1">
      <c r="A90" s="815"/>
      <c r="B90" s="817"/>
      <c r="C90" s="805"/>
      <c r="D90" s="439" t="s">
        <v>4949</v>
      </c>
      <c r="E90" s="439">
        <v>71</v>
      </c>
      <c r="F90" s="440" t="s">
        <v>5173</v>
      </c>
      <c r="G90" s="808"/>
      <c r="H90" s="442" t="s">
        <v>60</v>
      </c>
      <c r="I90" s="443"/>
      <c r="J90" s="444"/>
      <c r="K90" s="2"/>
      <c r="L90" s="383"/>
      <c r="M90" s="384">
        <v>0.11132324864150389</v>
      </c>
      <c r="N90" s="607">
        <f>N89/N107</f>
        <v>0.11746958637469586</v>
      </c>
      <c r="O90" s="607">
        <f t="shared" ref="O90:BZ90" si="46">O89/O107</f>
        <v>0.16666666666666666</v>
      </c>
      <c r="P90" s="607">
        <f t="shared" si="46"/>
        <v>0.16666666666666666</v>
      </c>
      <c r="Q90" s="607">
        <f t="shared" si="46"/>
        <v>4.4117647058823532E-2</v>
      </c>
      <c r="R90" s="607">
        <f t="shared" si="46"/>
        <v>0.41463414634146339</v>
      </c>
      <c r="S90" s="607">
        <f t="shared" si="46"/>
        <v>0.2</v>
      </c>
      <c r="T90" s="607">
        <f t="shared" si="46"/>
        <v>0</v>
      </c>
      <c r="U90" s="607">
        <f t="shared" si="46"/>
        <v>0.05</v>
      </c>
      <c r="V90" s="607">
        <f t="shared" si="46"/>
        <v>6.4102564102564097E-2</v>
      </c>
      <c r="W90" s="607">
        <f t="shared" si="46"/>
        <v>0.1797752808988764</v>
      </c>
      <c r="X90" s="607" t="e">
        <f t="shared" si="46"/>
        <v>#DIV/0!</v>
      </c>
      <c r="Y90" s="607" t="e">
        <f t="shared" si="46"/>
        <v>#DIV/0!</v>
      </c>
      <c r="Z90" s="607">
        <f t="shared" si="46"/>
        <v>0.31182795698924731</v>
      </c>
      <c r="AA90" s="607">
        <f t="shared" si="46"/>
        <v>0.18701007838745801</v>
      </c>
      <c r="AB90" s="607">
        <f t="shared" si="46"/>
        <v>0.27692307692307694</v>
      </c>
      <c r="AC90" s="607" t="e">
        <f t="shared" si="46"/>
        <v>#DIV/0!</v>
      </c>
      <c r="AD90" s="607" t="e">
        <f t="shared" si="46"/>
        <v>#DIV/0!</v>
      </c>
      <c r="AE90" s="607" t="e">
        <f t="shared" si="46"/>
        <v>#DIV/0!</v>
      </c>
      <c r="AF90" s="607" t="e">
        <f t="shared" si="46"/>
        <v>#DIV/0!</v>
      </c>
      <c r="AG90" s="607" t="e">
        <f t="shared" si="46"/>
        <v>#DIV/0!</v>
      </c>
      <c r="AH90" s="607" t="e">
        <f t="shared" si="46"/>
        <v>#DIV/0!</v>
      </c>
      <c r="AI90" s="607" t="e">
        <f t="shared" si="46"/>
        <v>#DIV/0!</v>
      </c>
      <c r="AJ90" s="607" t="e">
        <f t="shared" si="46"/>
        <v>#DIV/0!</v>
      </c>
      <c r="AK90" s="607">
        <f t="shared" si="46"/>
        <v>0.33333333333333331</v>
      </c>
      <c r="AL90" s="607">
        <f t="shared" si="46"/>
        <v>0.18823529411764706</v>
      </c>
      <c r="AM90" s="607" t="e">
        <f t="shared" si="46"/>
        <v>#DIV/0!</v>
      </c>
      <c r="AN90" s="607" t="e">
        <f t="shared" si="46"/>
        <v>#DIV/0!</v>
      </c>
      <c r="AO90" s="607">
        <f t="shared" si="46"/>
        <v>0.15189873417721519</v>
      </c>
      <c r="AP90" s="607">
        <f t="shared" si="46"/>
        <v>0.16822429906542055</v>
      </c>
      <c r="AQ90" s="607">
        <f t="shared" si="46"/>
        <v>0.18207282913165265</v>
      </c>
      <c r="AR90" s="607">
        <f t="shared" si="46"/>
        <v>7.2463768115942032E-2</v>
      </c>
      <c r="AS90" s="607" t="e">
        <f t="shared" si="46"/>
        <v>#DIV/0!</v>
      </c>
      <c r="AT90" s="607" t="e">
        <f t="shared" si="46"/>
        <v>#DIV/0!</v>
      </c>
      <c r="AU90" s="607">
        <f t="shared" si="46"/>
        <v>0.15</v>
      </c>
      <c r="AV90" s="607" t="e">
        <f t="shared" si="46"/>
        <v>#DIV/0!</v>
      </c>
      <c r="AW90" s="607">
        <f t="shared" si="46"/>
        <v>6.1855670103092786E-2</v>
      </c>
      <c r="AX90" s="607" t="e">
        <f t="shared" si="46"/>
        <v>#DIV/0!</v>
      </c>
      <c r="AY90" s="607">
        <f t="shared" si="46"/>
        <v>0.25</v>
      </c>
      <c r="AZ90" s="607" t="e">
        <f t="shared" si="46"/>
        <v>#DIV/0!</v>
      </c>
      <c r="BA90" s="607" t="e">
        <f t="shared" si="46"/>
        <v>#DIV/0!</v>
      </c>
      <c r="BB90" s="607">
        <f t="shared" si="46"/>
        <v>0.16666666666666666</v>
      </c>
      <c r="BC90" s="607" t="e">
        <f t="shared" si="46"/>
        <v>#DIV/0!</v>
      </c>
      <c r="BD90" s="607" t="e">
        <f t="shared" si="46"/>
        <v>#DIV/0!</v>
      </c>
      <c r="BE90" s="607">
        <f t="shared" si="46"/>
        <v>0.33333333333333331</v>
      </c>
      <c r="BF90" s="607">
        <f t="shared" si="46"/>
        <v>0.1388888888888889</v>
      </c>
      <c r="BG90" s="607">
        <f t="shared" si="46"/>
        <v>0.21739130434782608</v>
      </c>
      <c r="BH90" s="607">
        <f t="shared" si="46"/>
        <v>5.9021922428330521E-2</v>
      </c>
      <c r="BI90" s="607">
        <f t="shared" si="46"/>
        <v>0.22727272727272727</v>
      </c>
      <c r="BJ90" s="607">
        <f t="shared" si="46"/>
        <v>0.18226600985221675</v>
      </c>
      <c r="BK90" s="607" t="e">
        <f t="shared" si="46"/>
        <v>#DIV/0!</v>
      </c>
      <c r="BL90" s="607">
        <f t="shared" si="46"/>
        <v>6.8027210884353748E-2</v>
      </c>
      <c r="BM90" s="607">
        <f t="shared" si="46"/>
        <v>0.66666666666666663</v>
      </c>
      <c r="BN90" s="607" t="e">
        <f t="shared" si="46"/>
        <v>#DIV/0!</v>
      </c>
      <c r="BO90" s="607">
        <f t="shared" si="46"/>
        <v>6.9230769230769235E-2</v>
      </c>
      <c r="BP90" s="607" t="e">
        <f t="shared" si="46"/>
        <v>#DIV/0!</v>
      </c>
      <c r="BQ90" s="607" t="e">
        <f t="shared" si="46"/>
        <v>#DIV/0!</v>
      </c>
      <c r="BR90" s="607">
        <f t="shared" si="46"/>
        <v>0</v>
      </c>
      <c r="BS90" s="607">
        <f t="shared" si="46"/>
        <v>0.18478260869565216</v>
      </c>
      <c r="BT90" s="607">
        <f t="shared" si="46"/>
        <v>0.16517055655296231</v>
      </c>
      <c r="BU90" s="607">
        <f t="shared" si="46"/>
        <v>0.17647058823529413</v>
      </c>
      <c r="BV90" s="607">
        <f t="shared" si="46"/>
        <v>0.19090909090909092</v>
      </c>
      <c r="BW90" s="607">
        <f t="shared" si="46"/>
        <v>8.35214446952596E-2</v>
      </c>
      <c r="BX90" s="607">
        <f t="shared" si="46"/>
        <v>0.23295454545454544</v>
      </c>
      <c r="BY90" s="607">
        <f t="shared" si="46"/>
        <v>0.08</v>
      </c>
      <c r="BZ90" s="607" t="e">
        <f t="shared" si="46"/>
        <v>#DIV/0!</v>
      </c>
      <c r="CA90" s="607" t="e">
        <f t="shared" ref="CA90:CU90" si="47">CA89/CA107</f>
        <v>#DIV/0!</v>
      </c>
      <c r="CB90" s="607" t="e">
        <f t="shared" si="47"/>
        <v>#DIV/0!</v>
      </c>
      <c r="CC90" s="607">
        <f t="shared" si="47"/>
        <v>0.42040816326530611</v>
      </c>
      <c r="CD90" s="607">
        <f t="shared" si="47"/>
        <v>0</v>
      </c>
      <c r="CE90" s="607" t="e">
        <f t="shared" si="47"/>
        <v>#DIV/0!</v>
      </c>
      <c r="CF90" s="607">
        <f t="shared" si="47"/>
        <v>0</v>
      </c>
      <c r="CG90" s="607">
        <f t="shared" si="47"/>
        <v>0.25</v>
      </c>
      <c r="CH90" s="607">
        <f t="shared" si="47"/>
        <v>4.3478260869565216E-2</v>
      </c>
      <c r="CI90" s="607" t="e">
        <f t="shared" si="47"/>
        <v>#DIV/0!</v>
      </c>
      <c r="CJ90" s="607" t="e">
        <f t="shared" si="47"/>
        <v>#DIV/0!</v>
      </c>
      <c r="CK90" s="607">
        <f t="shared" si="47"/>
        <v>8.2568807339449546E-2</v>
      </c>
      <c r="CL90" s="607">
        <f t="shared" si="47"/>
        <v>0.12925170068027211</v>
      </c>
      <c r="CM90" s="607">
        <f t="shared" si="47"/>
        <v>0.24390243902439024</v>
      </c>
      <c r="CN90" s="607" t="e">
        <f t="shared" si="47"/>
        <v>#DIV/0!</v>
      </c>
      <c r="CO90" s="607">
        <f t="shared" si="47"/>
        <v>0.21693121693121692</v>
      </c>
      <c r="CP90" s="607">
        <f t="shared" si="47"/>
        <v>0</v>
      </c>
      <c r="CQ90" s="607" t="e">
        <f t="shared" si="47"/>
        <v>#DIV/0!</v>
      </c>
      <c r="CR90" s="607">
        <f t="shared" si="47"/>
        <v>6.8429237947122856E-2</v>
      </c>
      <c r="CS90" s="607">
        <f t="shared" si="47"/>
        <v>0.3</v>
      </c>
      <c r="CT90" s="607">
        <f t="shared" si="47"/>
        <v>0.13580246913580246</v>
      </c>
      <c r="CU90" s="607">
        <f t="shared" si="47"/>
        <v>0.1006036217303823</v>
      </c>
    </row>
    <row r="91" spans="1:99" ht="21" customHeight="1">
      <c r="A91" s="815"/>
      <c r="B91" s="817"/>
      <c r="C91" s="805"/>
      <c r="D91" s="439" t="s">
        <v>4949</v>
      </c>
      <c r="E91" s="439">
        <v>72</v>
      </c>
      <c r="F91" s="440" t="s">
        <v>5174</v>
      </c>
      <c r="G91" s="808" t="s">
        <v>5770</v>
      </c>
      <c r="H91" s="442" t="s">
        <v>5140</v>
      </c>
      <c r="I91" s="443"/>
      <c r="J91" s="444"/>
      <c r="K91" s="2" t="s">
        <v>278</v>
      </c>
      <c r="L91" s="385"/>
      <c r="M91" s="351">
        <v>392</v>
      </c>
      <c r="N91" s="580">
        <f t="shared" si="25"/>
        <v>554</v>
      </c>
      <c r="O91" s="413">
        <f>SUMIFS('свод практик'!$CK$6:$CK$277,'свод практик'!$J$6:$J$277,'строго ИБ'!O$1,'свод практик'!$B$6:$B$277,"ИБ")</f>
        <v>0</v>
      </c>
      <c r="P91" s="413">
        <f>SUMIFS('свод практик'!$CK$6:$CK$277,'свод практик'!$J$6:$J$277,'строго ИБ'!P$1,'свод практик'!$B$6:$B$277,"ИБ")</f>
        <v>0</v>
      </c>
      <c r="Q91" s="413">
        <f>SUMIFS('свод практик'!$CK$6:$CK$277,'свод практик'!$J$6:$J$277,'строго ИБ'!Q$1,'свод практик'!$B$6:$B$277,"ИБ")</f>
        <v>14</v>
      </c>
      <c r="R91" s="413">
        <f>SUMIFS('свод практик'!$CK$6:$CK$277,'свод практик'!$J$6:$J$277,'строго ИБ'!R$1,'свод практик'!$B$6:$B$277,"ИБ")</f>
        <v>3</v>
      </c>
      <c r="S91" s="413">
        <f>SUMIFS('свод практик'!$CK$6:$CK$277,'свод практик'!$J$6:$J$277,'строго ИБ'!S$1,'свод практик'!$B$6:$B$277,"ИБ")</f>
        <v>0</v>
      </c>
      <c r="T91" s="413">
        <f>SUMIFS('свод практик'!$CK$6:$CK$277,'свод практик'!$J$6:$J$277,'строго ИБ'!T$1,'свод практик'!$B$6:$B$277,"ИБ")</f>
        <v>0</v>
      </c>
      <c r="U91" s="413">
        <f>SUMIFS('свод практик'!$CK$6:$CK$277,'свод практик'!$J$6:$J$277,'строго ИБ'!U$1,'свод практик'!$B$6:$B$277,"ИБ")</f>
        <v>77</v>
      </c>
      <c r="V91" s="413">
        <f>SUMIFS('свод практик'!$CK$6:$CK$277,'свод практик'!$J$6:$J$277,'строго ИБ'!V$1,'свод практик'!$B$6:$B$277,"ИБ")</f>
        <v>0</v>
      </c>
      <c r="W91" s="413">
        <f>SUMIFS('свод практик'!$CK$6:$CK$277,'свод практик'!$J$6:$J$277,'строго ИБ'!W$1,'свод практик'!$B$6:$B$277,"ИБ")</f>
        <v>5</v>
      </c>
      <c r="X91" s="413">
        <f>SUMIFS('свод практик'!$CK$6:$CK$277,'свод практик'!$J$6:$J$277,'строго ИБ'!X$1,'свод практик'!$B$6:$B$277,"ИБ")</f>
        <v>0</v>
      </c>
      <c r="Y91" s="413">
        <f>SUMIFS('свод практик'!$CK$6:$CK$277,'свод практик'!$J$6:$J$277,'строго ИБ'!Y$1,'свод практик'!$B$6:$B$277,"ИБ")</f>
        <v>0</v>
      </c>
      <c r="Z91" s="413">
        <f>SUMIFS('свод практик'!$CK$6:$CK$277,'свод практик'!$J$6:$J$277,'строго ИБ'!Z$1,'свод практик'!$B$6:$B$277,"ИБ")</f>
        <v>5</v>
      </c>
      <c r="AA91" s="413">
        <f>SUMIFS('свод практик'!$CK$6:$CK$277,'свод практик'!$J$6:$J$277,'строго ИБ'!AA$1,'свод практик'!$B$6:$B$277,"ИБ")</f>
        <v>0</v>
      </c>
      <c r="AB91" s="413">
        <f>SUMIFS('свод практик'!$CK$6:$CK$277,'свод практик'!$J$6:$J$277,'строго ИБ'!AB$1,'свод практик'!$B$6:$B$277,"ИБ")</f>
        <v>3</v>
      </c>
      <c r="AC91" s="413">
        <f>SUMIFS('свод практик'!$CK$6:$CK$277,'свод практик'!$J$6:$J$277,'строго ИБ'!AC$1,'свод практик'!$B$6:$B$277,"ИБ")</f>
        <v>0</v>
      </c>
      <c r="AD91" s="413">
        <f>SUMIFS('свод практик'!$CK$6:$CK$277,'свод практик'!$J$6:$J$277,'строго ИБ'!AD$1,'свод практик'!$B$6:$B$277,"ИБ")</f>
        <v>0</v>
      </c>
      <c r="AE91" s="413">
        <f>SUMIFS('свод практик'!$CK$6:$CK$277,'свод практик'!$J$6:$J$277,'строго ИБ'!AE$1,'свод практик'!$B$6:$B$277,"ИБ")</f>
        <v>0</v>
      </c>
      <c r="AF91" s="413">
        <f>SUMIFS('свод практик'!$CK$6:$CK$277,'свод практик'!$J$6:$J$277,'строго ИБ'!AF$1,'свод практик'!$B$6:$B$277,"ИБ")</f>
        <v>0</v>
      </c>
      <c r="AG91" s="413">
        <f>SUMIFS('свод практик'!$CK$6:$CK$277,'свод практик'!$J$6:$J$277,'строго ИБ'!AG$1,'свод практик'!$B$6:$B$277,"ИБ")</f>
        <v>0</v>
      </c>
      <c r="AH91" s="413">
        <f>SUMIFS('свод практик'!$CK$6:$CK$277,'свод практик'!$J$6:$J$277,'строго ИБ'!AH$1,'свод практик'!$B$6:$B$277,"ИБ")</f>
        <v>0</v>
      </c>
      <c r="AI91" s="413">
        <f>SUMIFS('свод практик'!$CK$6:$CK$277,'свод практик'!$J$6:$J$277,'строго ИБ'!AI$1,'свод практик'!$B$6:$B$277,"ИБ")</f>
        <v>0</v>
      </c>
      <c r="AJ91" s="413">
        <f>SUMIFS('свод практик'!$CK$6:$CK$277,'свод практик'!$J$6:$J$277,'строго ИБ'!AJ$1,'свод практик'!$B$6:$B$277,"ИБ")</f>
        <v>0</v>
      </c>
      <c r="AK91" s="413">
        <f>SUMIFS('свод практик'!$CK$6:$CK$277,'свод практик'!$J$6:$J$277,'строго ИБ'!AK$1,'свод практик'!$B$6:$B$277,"ИБ")</f>
        <v>2</v>
      </c>
      <c r="AL91" s="413">
        <f>SUMIFS('свод практик'!$CK$6:$CK$277,'свод практик'!$J$6:$J$277,'строго ИБ'!AL$1,'свод практик'!$B$6:$B$277,"ИБ")</f>
        <v>17</v>
      </c>
      <c r="AM91" s="413">
        <f>SUMIFS('свод практик'!$CK$6:$CK$277,'свод практик'!$J$6:$J$277,'строго ИБ'!AM$1,'свод практик'!$B$6:$B$277,"ИБ")</f>
        <v>0</v>
      </c>
      <c r="AN91" s="413">
        <f>SUMIFS('свод практик'!$CK$6:$CK$277,'свод практик'!$J$6:$J$277,'строго ИБ'!AN$1,'свод практик'!$B$6:$B$277,"ИБ")</f>
        <v>0</v>
      </c>
      <c r="AO91" s="413">
        <f>SUMIFS('свод практик'!$CK$6:$CK$277,'свод практик'!$J$6:$J$277,'строго ИБ'!AO$1,'свод практик'!$B$6:$B$277,"ИБ")</f>
        <v>3</v>
      </c>
      <c r="AP91" s="413">
        <f>SUMIFS('свод практик'!$CK$6:$CK$277,'свод практик'!$J$6:$J$277,'строго ИБ'!AP$1,'свод практик'!$B$6:$B$277,"ИБ")</f>
        <v>27</v>
      </c>
      <c r="AQ91" s="413">
        <f>SUMIFS('свод практик'!$CK$6:$CK$277,'свод практик'!$J$6:$J$277,'строго ИБ'!AQ$1,'свод практик'!$B$6:$B$277,"ИБ")</f>
        <v>9</v>
      </c>
      <c r="AR91" s="413">
        <f>SUMIFS('свод практик'!$CK$6:$CK$277,'свод практик'!$J$6:$J$277,'строго ИБ'!AR$1,'свод практик'!$B$6:$B$277,"ИБ")</f>
        <v>21</v>
      </c>
      <c r="AS91" s="413">
        <f>SUMIFS('свод практик'!$CK$6:$CK$277,'свод практик'!$J$6:$J$277,'строго ИБ'!AS$1,'свод практик'!$B$6:$B$277,"ИБ")</f>
        <v>0</v>
      </c>
      <c r="AT91" s="413">
        <f>SUMIFS('свод практик'!$CK$6:$CK$277,'свод практик'!$J$6:$J$277,'строго ИБ'!AT$1,'свод практик'!$B$6:$B$277,"ИБ")</f>
        <v>0</v>
      </c>
      <c r="AU91" s="413">
        <f>SUMIFS('свод практик'!$CK$6:$CK$277,'свод практик'!$J$6:$J$277,'строго ИБ'!AU$1,'свод практик'!$B$6:$B$277,"ИБ")</f>
        <v>16</v>
      </c>
      <c r="AV91" s="413">
        <f>SUMIFS('свод практик'!$CK$6:$CK$277,'свод практик'!$J$6:$J$277,'строго ИБ'!AV$1,'свод практик'!$B$6:$B$277,"ИБ")</f>
        <v>0</v>
      </c>
      <c r="AW91" s="413">
        <f>SUMIFS('свод практик'!$CK$6:$CK$277,'свод практик'!$J$6:$J$277,'строго ИБ'!AW$1,'свод практик'!$B$6:$B$277,"ИБ")</f>
        <v>0</v>
      </c>
      <c r="AX91" s="413">
        <f>SUMIFS('свод практик'!$CK$6:$CK$277,'свод практик'!$J$6:$J$277,'строго ИБ'!AX$1,'свод практик'!$B$6:$B$277,"ИБ")</f>
        <v>0</v>
      </c>
      <c r="AY91" s="413">
        <f>SUMIFS('свод практик'!$CK$6:$CK$277,'свод практик'!$J$6:$J$277,'строго ИБ'!AY$1,'свод практик'!$B$6:$B$277,"ИБ")</f>
        <v>0</v>
      </c>
      <c r="AZ91" s="413">
        <f>SUMIFS('свод практик'!$CK$6:$CK$277,'свод практик'!$J$6:$J$277,'строго ИБ'!AZ$1,'свод практик'!$B$6:$B$277,"ИБ")</f>
        <v>0</v>
      </c>
      <c r="BA91" s="413">
        <f>SUMIFS('свод практик'!$CK$6:$CK$277,'свод практик'!$J$6:$J$277,'строго ИБ'!BA$1,'свод практик'!$B$6:$B$277,"ИБ")</f>
        <v>0</v>
      </c>
      <c r="BB91" s="413">
        <f>SUMIFS('свод практик'!$CK$6:$CK$277,'свод практик'!$J$6:$J$277,'строго ИБ'!BB$1,'свод практик'!$B$6:$B$277,"ИБ")</f>
        <v>2</v>
      </c>
      <c r="BC91" s="413">
        <f>SUMIFS('свод практик'!$CK$6:$CK$277,'свод практик'!$J$6:$J$277,'строго ИБ'!BC$1,'свод практик'!$B$6:$B$277,"ИБ")</f>
        <v>0</v>
      </c>
      <c r="BD91" s="413">
        <f>SUMIFS('свод практик'!$CK$6:$CK$277,'свод практик'!$J$6:$J$277,'строго ИБ'!BD$1,'свод практик'!$B$6:$B$277,"ИБ")</f>
        <v>0</v>
      </c>
      <c r="BE91" s="413">
        <f>SUMIFS('свод практик'!$CK$6:$CK$277,'свод практик'!$J$6:$J$277,'строго ИБ'!BE$1,'свод практик'!$B$6:$B$277,"ИБ")</f>
        <v>0</v>
      </c>
      <c r="BF91" s="413">
        <f>SUMIFS('свод практик'!$CK$6:$CK$277,'свод практик'!$J$6:$J$277,'строго ИБ'!BF$1,'свод практик'!$B$6:$B$277,"ИБ")</f>
        <v>0</v>
      </c>
      <c r="BG91" s="413">
        <f>SUMIFS('свод практик'!$CK$6:$CK$277,'свод практик'!$J$6:$J$277,'строго ИБ'!BG$1,'свод практик'!$B$6:$B$277,"ИБ")</f>
        <v>0</v>
      </c>
      <c r="BH91" s="413">
        <f>SUMIFS('свод практик'!$CK$6:$CK$277,'свод практик'!$J$6:$J$277,'строго ИБ'!BH$1,'свод практик'!$B$6:$B$277,"ИБ")</f>
        <v>66</v>
      </c>
      <c r="BI91" s="413">
        <f>SUMIFS('свод практик'!$CK$6:$CK$277,'свод практик'!$J$6:$J$277,'строго ИБ'!BI$1,'свод практик'!$B$6:$B$277,"ИБ")</f>
        <v>2</v>
      </c>
      <c r="BJ91" s="413">
        <f>SUMIFS('свод практик'!$CK$6:$CK$277,'свод практик'!$J$6:$J$277,'строго ИБ'!BJ$1,'свод практик'!$B$6:$B$277,"ИБ")</f>
        <v>66</v>
      </c>
      <c r="BK91" s="413">
        <f>SUMIFS('свод практик'!$CK$6:$CK$277,'свод практик'!$J$6:$J$277,'строго ИБ'!BK$1,'свод практик'!$B$6:$B$277,"ИБ")</f>
        <v>0</v>
      </c>
      <c r="BL91" s="413">
        <f>SUMIFS('свод практик'!$CK$6:$CK$277,'свод практик'!$J$6:$J$277,'строго ИБ'!BL$1,'свод практик'!$B$6:$B$277,"ИБ")</f>
        <v>33</v>
      </c>
      <c r="BM91" s="413">
        <f>SUMIFS('свод практик'!$CK$6:$CK$277,'свод практик'!$J$6:$J$277,'строго ИБ'!BM$1,'свод практик'!$B$6:$B$277,"ИБ")</f>
        <v>0</v>
      </c>
      <c r="BN91" s="413">
        <f>SUMIFS('свод практик'!$CK$6:$CK$277,'свод практик'!$J$6:$J$277,'строго ИБ'!BN$1,'свод практик'!$B$6:$B$277,"ИБ")</f>
        <v>0</v>
      </c>
      <c r="BO91" s="413">
        <f>SUMIFS('свод практик'!$CK$6:$CK$277,'свод практик'!$J$6:$J$277,'строго ИБ'!BO$1,'свод практик'!$B$6:$B$277,"ИБ")</f>
        <v>0</v>
      </c>
      <c r="BP91" s="413">
        <f>SUMIFS('свод практик'!$CK$6:$CK$277,'свод практик'!$J$6:$J$277,'строго ИБ'!BP$1,'свод практик'!$B$6:$B$277,"ИБ")</f>
        <v>0</v>
      </c>
      <c r="BQ91" s="413">
        <f>SUMIFS('свод практик'!$CK$6:$CK$277,'свод практик'!$J$6:$J$277,'строго ИБ'!BQ$1,'свод практик'!$B$6:$B$277,"ИБ")</f>
        <v>0</v>
      </c>
      <c r="BR91" s="413">
        <f>SUMIFS('свод практик'!$CK$6:$CK$277,'свод практик'!$J$6:$J$277,'строго ИБ'!BR$1,'свод практик'!$B$6:$B$277,"ИБ")</f>
        <v>0</v>
      </c>
      <c r="BS91" s="413">
        <f>SUMIFS('свод практик'!$CK$6:$CK$277,'свод практик'!$J$6:$J$277,'строго ИБ'!BS$1,'свод практик'!$B$6:$B$277,"ИБ")</f>
        <v>35</v>
      </c>
      <c r="BT91" s="413">
        <f>SUMIFS('свод практик'!$CK$6:$CK$277,'свод практик'!$J$6:$J$277,'строго ИБ'!BT$1,'свод практик'!$B$6:$B$277,"ИБ")</f>
        <v>10</v>
      </c>
      <c r="BU91" s="413">
        <f>SUMIFS('свод практик'!$CK$6:$CK$277,'свод практик'!$J$6:$J$277,'строго ИБ'!BU$1,'свод практик'!$B$6:$B$277,"ИБ")</f>
        <v>0</v>
      </c>
      <c r="BV91" s="413">
        <f>SUMIFS('свод практик'!$CK$6:$CK$277,'свод практик'!$J$6:$J$277,'строго ИБ'!BV$1,'свод практик'!$B$6:$B$277,"ИБ")</f>
        <v>3</v>
      </c>
      <c r="BW91" s="413">
        <f>SUMIFS('свод практик'!$CK$6:$CK$277,'свод практик'!$J$6:$J$277,'строго ИБ'!BW$1,'свод практик'!$B$6:$B$277,"ИБ")</f>
        <v>5</v>
      </c>
      <c r="BX91" s="413">
        <f>SUMIFS('свод практик'!$CK$6:$CK$277,'свод практик'!$J$6:$J$277,'строго ИБ'!BX$1,'свод практик'!$B$6:$B$277,"ИБ")</f>
        <v>0</v>
      </c>
      <c r="BY91" s="413">
        <f>SUMIFS('свод практик'!$CK$6:$CK$277,'свод практик'!$J$6:$J$277,'строго ИБ'!BY$1,'свод практик'!$B$6:$B$277,"ИБ")</f>
        <v>0</v>
      </c>
      <c r="BZ91" s="413">
        <f>SUMIFS('свод практик'!$CK$6:$CK$277,'свод практик'!$J$6:$J$277,'строго ИБ'!BZ$1,'свод практик'!$B$6:$B$277,"ИБ")</f>
        <v>0</v>
      </c>
      <c r="CA91" s="413">
        <f>SUMIFS('свод практик'!$CK$6:$CK$277,'свод практик'!$J$6:$J$277,'строго ИБ'!CA$1,'свод практик'!$B$6:$B$277,"ИБ")</f>
        <v>0</v>
      </c>
      <c r="CB91" s="413">
        <f>SUMIFS('свод практик'!$CK$6:$CK$277,'свод практик'!$J$6:$J$277,'строго ИБ'!CB$1,'свод практик'!$B$6:$B$277,"ИБ")</f>
        <v>0</v>
      </c>
      <c r="CC91" s="413">
        <f>SUMIFS('свод практик'!$CK$6:$CK$277,'свод практик'!$J$6:$J$277,'строго ИБ'!CC$1,'свод практик'!$B$6:$B$277,"ИБ")</f>
        <v>6</v>
      </c>
      <c r="CD91" s="413">
        <f>SUMIFS('свод практик'!$CK$6:$CK$277,'свод практик'!$J$6:$J$277,'строго ИБ'!CD$1,'свод практик'!$B$6:$B$277,"ИБ")</f>
        <v>26</v>
      </c>
      <c r="CE91" s="413">
        <f>SUMIFS('свод практик'!$CK$6:$CK$277,'свод практик'!$J$6:$J$277,'строго ИБ'!CE$1,'свод практик'!$B$6:$B$277,"ИБ")</f>
        <v>0</v>
      </c>
      <c r="CF91" s="413">
        <f>SUMIFS('свод практик'!$CK$6:$CK$277,'свод практик'!$J$6:$J$277,'строго ИБ'!CF$1,'свод практик'!$B$6:$B$277,"ИБ")</f>
        <v>13</v>
      </c>
      <c r="CG91" s="413">
        <f>SUMIFS('свод практик'!$CK$6:$CK$277,'свод практик'!$J$6:$J$277,'строго ИБ'!CG$1,'свод практик'!$B$6:$B$277,"ИБ")</f>
        <v>6</v>
      </c>
      <c r="CH91" s="413">
        <f>SUMIFS('свод практик'!$CK$6:$CK$277,'свод практик'!$J$6:$J$277,'строго ИБ'!CH$1,'свод практик'!$B$6:$B$277,"ИБ")</f>
        <v>0</v>
      </c>
      <c r="CI91" s="413">
        <f>SUMIFS('свод практик'!$CK$6:$CK$277,'свод практик'!$J$6:$J$277,'строго ИБ'!CI$1,'свод практик'!$B$6:$B$277,"ИБ")</f>
        <v>0</v>
      </c>
      <c r="CJ91" s="413">
        <f>SUMIFS('свод практик'!$CK$6:$CK$277,'свод практик'!$J$6:$J$277,'строго ИБ'!CJ$1,'свод практик'!$B$6:$B$277,"ИБ")</f>
        <v>0</v>
      </c>
      <c r="CK91" s="413">
        <f>SUMIFS('свод практик'!$CK$6:$CK$277,'свод практик'!$J$6:$J$277,'строго ИБ'!CK$1,'свод практик'!$B$6:$B$277,"ИБ")</f>
        <v>6</v>
      </c>
      <c r="CL91" s="413">
        <f>SUMIFS('свод практик'!$CK$6:$CK$277,'свод практик'!$J$6:$J$277,'строго ИБ'!CL$1,'свод практик'!$B$6:$B$277,"ИБ")</f>
        <v>10</v>
      </c>
      <c r="CM91" s="413">
        <f>SUMIFS('свод практик'!$CK$6:$CK$277,'свод практик'!$J$6:$J$277,'строго ИБ'!CM$1,'свод практик'!$B$6:$B$277,"ИБ")</f>
        <v>2</v>
      </c>
      <c r="CN91" s="413">
        <f>SUMIFS('свод практик'!$CK$6:$CK$277,'свод практик'!$J$6:$J$277,'строго ИБ'!CN$1,'свод практик'!$B$6:$B$277,"ИБ")</f>
        <v>0</v>
      </c>
      <c r="CO91" s="413">
        <f>SUMIFS('свод практик'!$CK$6:$CK$277,'свод практик'!$J$6:$J$277,'строго ИБ'!CO$1,'свод практик'!$B$6:$B$277,"ИБ")</f>
        <v>5</v>
      </c>
      <c r="CP91" s="413">
        <f>SUMIFS('свод практик'!$CK$6:$CK$277,'свод практик'!$J$6:$J$277,'строго ИБ'!CP$1,'свод практик'!$B$6:$B$277,"ИБ")</f>
        <v>0</v>
      </c>
      <c r="CQ91" s="413">
        <f>SUMIFS('свод практик'!$CK$6:$CK$277,'свод практик'!$J$6:$J$277,'строго ИБ'!CQ$1,'свод практик'!$B$6:$B$277,"ИБ")</f>
        <v>0</v>
      </c>
      <c r="CR91" s="413">
        <f>SUMIFS('свод практик'!$CK$6:$CK$277,'свод практик'!$J$6:$J$277,'строго ИБ'!CR$1,'свод практик'!$B$6:$B$277,"ИБ")</f>
        <v>54</v>
      </c>
      <c r="CS91" s="413">
        <f>SUMIFS('свод практик'!$CK$6:$CK$277,'свод практик'!$J$6:$J$277,'строго ИБ'!CS$1,'свод практик'!$B$6:$B$277,"ИБ")</f>
        <v>0</v>
      </c>
      <c r="CT91" s="413">
        <f>SUMIFS('свод практик'!$CK$6:$CK$277,'свод практик'!$J$6:$J$277,'строго ИБ'!CT$1,'свод практик'!$B$6:$B$277,"ИБ")</f>
        <v>2</v>
      </c>
      <c r="CU91" s="413">
        <f>SUMIFS('свод практик'!$CK$6:$CK$277,'свод практик'!$J$6:$J$277,'строго ИБ'!CU$1,'свод практик'!$B$6:$B$277,"ИБ")</f>
        <v>0</v>
      </c>
    </row>
    <row r="92" spans="1:99" ht="18" customHeight="1">
      <c r="A92" s="815"/>
      <c r="B92" s="817"/>
      <c r="C92" s="805"/>
      <c r="D92" s="439" t="s">
        <v>4949</v>
      </c>
      <c r="E92" s="439">
        <v>73</v>
      </c>
      <c r="F92" s="440" t="s">
        <v>5176</v>
      </c>
      <c r="G92" s="808"/>
      <c r="H92" s="442" t="s">
        <v>60</v>
      </c>
      <c r="I92" s="443"/>
      <c r="J92" s="444"/>
      <c r="K92" s="2"/>
      <c r="L92" s="383"/>
      <c r="M92" s="384">
        <v>5.7570862094286974E-2</v>
      </c>
      <c r="N92" s="607">
        <f>N91/N107</f>
        <v>5.3917274939172748E-2</v>
      </c>
      <c r="O92" s="607">
        <f t="shared" ref="O92:BZ92" si="48">O91/O107</f>
        <v>0</v>
      </c>
      <c r="P92" s="607">
        <f t="shared" si="48"/>
        <v>0</v>
      </c>
      <c r="Q92" s="607">
        <f t="shared" si="48"/>
        <v>6.8627450980392163E-2</v>
      </c>
      <c r="R92" s="607">
        <f t="shared" si="48"/>
        <v>3.6585365853658534E-2</v>
      </c>
      <c r="S92" s="607">
        <f t="shared" si="48"/>
        <v>0</v>
      </c>
      <c r="T92" s="607">
        <f t="shared" si="48"/>
        <v>0</v>
      </c>
      <c r="U92" s="607">
        <f t="shared" si="48"/>
        <v>5.9230769230769233E-2</v>
      </c>
      <c r="V92" s="607">
        <f t="shared" si="48"/>
        <v>0</v>
      </c>
      <c r="W92" s="607">
        <f t="shared" si="48"/>
        <v>5.6179775280898875E-2</v>
      </c>
      <c r="X92" s="607" t="e">
        <f t="shared" si="48"/>
        <v>#DIV/0!</v>
      </c>
      <c r="Y92" s="607" t="e">
        <f t="shared" si="48"/>
        <v>#DIV/0!</v>
      </c>
      <c r="Z92" s="607">
        <f t="shared" si="48"/>
        <v>5.3763440860215055E-2</v>
      </c>
      <c r="AA92" s="607">
        <f t="shared" si="48"/>
        <v>0</v>
      </c>
      <c r="AB92" s="607">
        <f t="shared" si="48"/>
        <v>4.6153846153846156E-2</v>
      </c>
      <c r="AC92" s="607" t="e">
        <f t="shared" si="48"/>
        <v>#DIV/0!</v>
      </c>
      <c r="AD92" s="607" t="e">
        <f t="shared" si="48"/>
        <v>#DIV/0!</v>
      </c>
      <c r="AE92" s="607" t="e">
        <f t="shared" si="48"/>
        <v>#DIV/0!</v>
      </c>
      <c r="AF92" s="607" t="e">
        <f t="shared" si="48"/>
        <v>#DIV/0!</v>
      </c>
      <c r="AG92" s="607" t="e">
        <f t="shared" si="48"/>
        <v>#DIV/0!</v>
      </c>
      <c r="AH92" s="607" t="e">
        <f t="shared" si="48"/>
        <v>#DIV/0!</v>
      </c>
      <c r="AI92" s="607" t="e">
        <f t="shared" si="48"/>
        <v>#DIV/0!</v>
      </c>
      <c r="AJ92" s="607" t="e">
        <f t="shared" si="48"/>
        <v>#DIV/0!</v>
      </c>
      <c r="AK92" s="607">
        <f t="shared" si="48"/>
        <v>0.22222222222222221</v>
      </c>
      <c r="AL92" s="607">
        <f t="shared" si="48"/>
        <v>0.1</v>
      </c>
      <c r="AM92" s="607" t="e">
        <f t="shared" si="48"/>
        <v>#DIV/0!</v>
      </c>
      <c r="AN92" s="607" t="e">
        <f t="shared" si="48"/>
        <v>#DIV/0!</v>
      </c>
      <c r="AO92" s="607">
        <f t="shared" si="48"/>
        <v>3.7974683544303799E-2</v>
      </c>
      <c r="AP92" s="607">
        <f t="shared" si="48"/>
        <v>0.25233644859813081</v>
      </c>
      <c r="AQ92" s="607">
        <f t="shared" si="48"/>
        <v>2.5210084033613446E-2</v>
      </c>
      <c r="AR92" s="607">
        <f t="shared" si="48"/>
        <v>7.6086956521739135E-2</v>
      </c>
      <c r="AS92" s="607" t="e">
        <f t="shared" si="48"/>
        <v>#DIV/0!</v>
      </c>
      <c r="AT92" s="607" t="e">
        <f t="shared" si="48"/>
        <v>#DIV/0!</v>
      </c>
      <c r="AU92" s="607">
        <f t="shared" si="48"/>
        <v>0.13333333333333333</v>
      </c>
      <c r="AV92" s="607" t="e">
        <f t="shared" si="48"/>
        <v>#DIV/0!</v>
      </c>
      <c r="AW92" s="607">
        <f t="shared" si="48"/>
        <v>0</v>
      </c>
      <c r="AX92" s="607" t="e">
        <f t="shared" si="48"/>
        <v>#DIV/0!</v>
      </c>
      <c r="AY92" s="607">
        <f t="shared" si="48"/>
        <v>0</v>
      </c>
      <c r="AZ92" s="607" t="e">
        <f t="shared" si="48"/>
        <v>#DIV/0!</v>
      </c>
      <c r="BA92" s="607" t="e">
        <f t="shared" si="48"/>
        <v>#DIV/0!</v>
      </c>
      <c r="BB92" s="607">
        <f t="shared" si="48"/>
        <v>4.7619047619047616E-2</v>
      </c>
      <c r="BC92" s="607" t="e">
        <f t="shared" si="48"/>
        <v>#DIV/0!</v>
      </c>
      <c r="BD92" s="607" t="e">
        <f t="shared" si="48"/>
        <v>#DIV/0!</v>
      </c>
      <c r="BE92" s="607">
        <f t="shared" si="48"/>
        <v>0</v>
      </c>
      <c r="BF92" s="607">
        <f t="shared" si="48"/>
        <v>0</v>
      </c>
      <c r="BG92" s="607">
        <f t="shared" si="48"/>
        <v>0</v>
      </c>
      <c r="BH92" s="607">
        <f t="shared" si="48"/>
        <v>0.11129848229342328</v>
      </c>
      <c r="BI92" s="607">
        <f t="shared" si="48"/>
        <v>4.5454545454545456E-2</v>
      </c>
      <c r="BJ92" s="607">
        <f t="shared" si="48"/>
        <v>0.3251231527093596</v>
      </c>
      <c r="BK92" s="607" t="e">
        <f t="shared" si="48"/>
        <v>#DIV/0!</v>
      </c>
      <c r="BL92" s="607">
        <f t="shared" si="48"/>
        <v>0.22448979591836735</v>
      </c>
      <c r="BM92" s="607">
        <f t="shared" si="48"/>
        <v>0</v>
      </c>
      <c r="BN92" s="607" t="e">
        <f t="shared" si="48"/>
        <v>#DIV/0!</v>
      </c>
      <c r="BO92" s="607">
        <f t="shared" si="48"/>
        <v>0</v>
      </c>
      <c r="BP92" s="607" t="e">
        <f t="shared" si="48"/>
        <v>#DIV/0!</v>
      </c>
      <c r="BQ92" s="607" t="e">
        <f t="shared" si="48"/>
        <v>#DIV/0!</v>
      </c>
      <c r="BR92" s="607">
        <f t="shared" si="48"/>
        <v>0</v>
      </c>
      <c r="BS92" s="607">
        <f t="shared" si="48"/>
        <v>0.19021739130434784</v>
      </c>
      <c r="BT92" s="607">
        <f t="shared" si="48"/>
        <v>1.7953321364452424E-2</v>
      </c>
      <c r="BU92" s="607">
        <f t="shared" si="48"/>
        <v>0</v>
      </c>
      <c r="BV92" s="607">
        <f t="shared" si="48"/>
        <v>2.7272727272727271E-2</v>
      </c>
      <c r="BW92" s="607">
        <f t="shared" si="48"/>
        <v>1.1286681715575621E-2</v>
      </c>
      <c r="BX92" s="607">
        <f t="shared" si="48"/>
        <v>0</v>
      </c>
      <c r="BY92" s="607">
        <f t="shared" si="48"/>
        <v>0</v>
      </c>
      <c r="BZ92" s="607" t="e">
        <f t="shared" si="48"/>
        <v>#DIV/0!</v>
      </c>
      <c r="CA92" s="607" t="e">
        <f t="shared" ref="CA92:CU92" si="49">CA91/CA107</f>
        <v>#DIV/0!</v>
      </c>
      <c r="CB92" s="607" t="e">
        <f t="shared" si="49"/>
        <v>#DIV/0!</v>
      </c>
      <c r="CC92" s="607">
        <f t="shared" si="49"/>
        <v>2.4489795918367346E-2</v>
      </c>
      <c r="CD92" s="607">
        <f t="shared" si="49"/>
        <v>4.8148148148148148E-2</v>
      </c>
      <c r="CE92" s="607" t="e">
        <f t="shared" si="49"/>
        <v>#DIV/0!</v>
      </c>
      <c r="CF92" s="607">
        <f t="shared" si="49"/>
        <v>4.797047970479705E-2</v>
      </c>
      <c r="CG92" s="607">
        <f t="shared" si="49"/>
        <v>8.3333333333333329E-2</v>
      </c>
      <c r="CH92" s="607">
        <f t="shared" si="49"/>
        <v>0</v>
      </c>
      <c r="CI92" s="607" t="e">
        <f t="shared" si="49"/>
        <v>#DIV/0!</v>
      </c>
      <c r="CJ92" s="607" t="e">
        <f t="shared" si="49"/>
        <v>#DIV/0!</v>
      </c>
      <c r="CK92" s="607">
        <f t="shared" si="49"/>
        <v>5.5045871559633031E-2</v>
      </c>
      <c r="CL92" s="607">
        <f t="shared" si="49"/>
        <v>6.8027210884353748E-2</v>
      </c>
      <c r="CM92" s="607">
        <f t="shared" si="49"/>
        <v>4.878048780487805E-2</v>
      </c>
      <c r="CN92" s="607" t="e">
        <f t="shared" si="49"/>
        <v>#DIV/0!</v>
      </c>
      <c r="CO92" s="607">
        <f t="shared" si="49"/>
        <v>2.6455026455026454E-2</v>
      </c>
      <c r="CP92" s="607">
        <f t="shared" si="49"/>
        <v>0</v>
      </c>
      <c r="CQ92" s="607" t="e">
        <f t="shared" si="49"/>
        <v>#DIV/0!</v>
      </c>
      <c r="CR92" s="607">
        <f t="shared" si="49"/>
        <v>8.3981337480559873E-2</v>
      </c>
      <c r="CS92" s="607">
        <f t="shared" si="49"/>
        <v>0</v>
      </c>
      <c r="CT92" s="607">
        <f t="shared" si="49"/>
        <v>2.4691358024691357E-2</v>
      </c>
      <c r="CU92" s="607">
        <f t="shared" si="49"/>
        <v>0</v>
      </c>
    </row>
    <row r="93" spans="1:99" ht="19.5" customHeight="1">
      <c r="A93" s="815"/>
      <c r="B93" s="817"/>
      <c r="C93" s="805"/>
      <c r="D93" s="439" t="s">
        <v>4949</v>
      </c>
      <c r="E93" s="439">
        <v>74</v>
      </c>
      <c r="F93" s="440" t="s">
        <v>5177</v>
      </c>
      <c r="G93" s="808" t="s">
        <v>5771</v>
      </c>
      <c r="H93" s="442" t="s">
        <v>5140</v>
      </c>
      <c r="I93" s="443"/>
      <c r="J93" s="444"/>
      <c r="K93" s="2" t="s">
        <v>278</v>
      </c>
      <c r="L93" s="385"/>
      <c r="M93" s="351">
        <v>44</v>
      </c>
      <c r="N93" s="580">
        <f t="shared" si="25"/>
        <v>307</v>
      </c>
      <c r="O93" s="413">
        <f>SUMIFS('свод практик'!$CL$6:$CL$277,'свод практик'!$J$6:$J$277,'строго ИБ'!O$1,'свод практик'!$B$6:$B$277,"ИБ")</f>
        <v>0</v>
      </c>
      <c r="P93" s="413">
        <f>SUMIFS('свод практик'!$CL$6:$CL$277,'свод практик'!$J$6:$J$277,'строго ИБ'!P$1,'свод практик'!$B$6:$B$277,"ИБ")</f>
        <v>0</v>
      </c>
      <c r="Q93" s="413">
        <f>SUMIFS('свод практик'!$CL$6:$CL$277,'свод практик'!$J$6:$J$277,'строго ИБ'!Q$1,'свод практик'!$B$6:$B$277,"ИБ")</f>
        <v>0</v>
      </c>
      <c r="R93" s="413">
        <f>SUMIFS('свод практик'!$CL$6:$CL$277,'свод практик'!$J$6:$J$277,'строго ИБ'!R$1,'свод практик'!$B$6:$B$277,"ИБ")</f>
        <v>0</v>
      </c>
      <c r="S93" s="413">
        <f>SUMIFS('свод практик'!$CL$6:$CL$277,'свод практик'!$J$6:$J$277,'строго ИБ'!S$1,'свод практик'!$B$6:$B$277,"ИБ")</f>
        <v>0</v>
      </c>
      <c r="T93" s="413">
        <f>SUMIFS('свод практик'!$CL$6:$CL$277,'свод практик'!$J$6:$J$277,'строго ИБ'!T$1,'свод практик'!$B$6:$B$277,"ИБ")</f>
        <v>0</v>
      </c>
      <c r="U93" s="413">
        <f>SUMIFS('свод практик'!$CL$6:$CL$277,'свод практик'!$J$6:$J$277,'строго ИБ'!U$1,'свод практик'!$B$6:$B$277,"ИБ")</f>
        <v>1</v>
      </c>
      <c r="V93" s="413">
        <f>SUMIFS('свод практик'!$CL$6:$CL$277,'свод практик'!$J$6:$J$277,'строго ИБ'!V$1,'свод практик'!$B$6:$B$277,"ИБ")</f>
        <v>0</v>
      </c>
      <c r="W93" s="413">
        <f>SUMIFS('свод практик'!$CL$6:$CL$277,'свод практик'!$J$6:$J$277,'строго ИБ'!W$1,'свод практик'!$B$6:$B$277,"ИБ")</f>
        <v>0</v>
      </c>
      <c r="X93" s="413">
        <f>SUMIFS('свод практик'!$CL$6:$CL$277,'свод практик'!$J$6:$J$277,'строго ИБ'!X$1,'свод практик'!$B$6:$B$277,"ИБ")</f>
        <v>0</v>
      </c>
      <c r="Y93" s="413">
        <f>SUMIFS('свод практик'!$CL$6:$CL$277,'свод практик'!$J$6:$J$277,'строго ИБ'!Y$1,'свод практик'!$B$6:$B$277,"ИБ")</f>
        <v>0</v>
      </c>
      <c r="Z93" s="413">
        <f>SUMIFS('свод практик'!$CL$6:$CL$277,'свод практик'!$J$6:$J$277,'строго ИБ'!Z$1,'свод практик'!$B$6:$B$277,"ИБ")</f>
        <v>0</v>
      </c>
      <c r="AA93" s="413">
        <f>SUMIFS('свод практик'!$CL$6:$CL$277,'свод практик'!$J$6:$J$277,'строго ИБ'!AA$1,'свод практик'!$B$6:$B$277,"ИБ")</f>
        <v>9</v>
      </c>
      <c r="AB93" s="413">
        <f>SUMIFS('свод практик'!$CL$6:$CL$277,'свод практик'!$J$6:$J$277,'строго ИБ'!AB$1,'свод практик'!$B$6:$B$277,"ИБ")</f>
        <v>0</v>
      </c>
      <c r="AC93" s="413">
        <f>SUMIFS('свод практик'!$CL$6:$CL$277,'свод практик'!$J$6:$J$277,'строго ИБ'!AC$1,'свод практик'!$B$6:$B$277,"ИБ")</f>
        <v>0</v>
      </c>
      <c r="AD93" s="413">
        <f>SUMIFS('свод практик'!$CL$6:$CL$277,'свод практик'!$J$6:$J$277,'строго ИБ'!AD$1,'свод практик'!$B$6:$B$277,"ИБ")</f>
        <v>0</v>
      </c>
      <c r="AE93" s="413">
        <f>SUMIFS('свод практик'!$CL$6:$CL$277,'свод практик'!$J$6:$J$277,'строго ИБ'!AE$1,'свод практик'!$B$6:$B$277,"ИБ")</f>
        <v>0</v>
      </c>
      <c r="AF93" s="413">
        <f>SUMIFS('свод практик'!$CL$6:$CL$277,'свод практик'!$J$6:$J$277,'строго ИБ'!AF$1,'свод практик'!$B$6:$B$277,"ИБ")</f>
        <v>0</v>
      </c>
      <c r="AG93" s="413">
        <f>SUMIFS('свод практик'!$CL$6:$CL$277,'свод практик'!$J$6:$J$277,'строго ИБ'!AG$1,'свод практик'!$B$6:$B$277,"ИБ")</f>
        <v>0</v>
      </c>
      <c r="AH93" s="413">
        <f>SUMIFS('свод практик'!$CL$6:$CL$277,'свод практик'!$J$6:$J$277,'строго ИБ'!AH$1,'свод практик'!$B$6:$B$277,"ИБ")</f>
        <v>0</v>
      </c>
      <c r="AI93" s="413">
        <f>SUMIFS('свод практик'!$CL$6:$CL$277,'свод практик'!$J$6:$J$277,'строго ИБ'!AI$1,'свод практик'!$B$6:$B$277,"ИБ")</f>
        <v>0</v>
      </c>
      <c r="AJ93" s="413">
        <f>SUMIFS('свод практик'!$CL$6:$CL$277,'свод практик'!$J$6:$J$277,'строго ИБ'!AJ$1,'свод практик'!$B$6:$B$277,"ИБ")</f>
        <v>0</v>
      </c>
      <c r="AK93" s="413">
        <f>SUMIFS('свод практик'!$CL$6:$CL$277,'свод практик'!$J$6:$J$277,'строго ИБ'!AK$1,'свод практик'!$B$6:$B$277,"ИБ")</f>
        <v>0</v>
      </c>
      <c r="AL93" s="413">
        <f>SUMIFS('свод практик'!$CL$6:$CL$277,'свод практик'!$J$6:$J$277,'строго ИБ'!AL$1,'свод практик'!$B$6:$B$277,"ИБ")</f>
        <v>0</v>
      </c>
      <c r="AM93" s="413">
        <f>SUMIFS('свод практик'!$CL$6:$CL$277,'свод практик'!$J$6:$J$277,'строго ИБ'!AM$1,'свод практик'!$B$6:$B$277,"ИБ")</f>
        <v>0</v>
      </c>
      <c r="AN93" s="413">
        <f>SUMIFS('свод практик'!$CL$6:$CL$277,'свод практик'!$J$6:$J$277,'строго ИБ'!AN$1,'свод практик'!$B$6:$B$277,"ИБ")</f>
        <v>0</v>
      </c>
      <c r="AO93" s="413">
        <f>SUMIFS('свод практик'!$CL$6:$CL$277,'свод практик'!$J$6:$J$277,'строго ИБ'!AO$1,'свод практик'!$B$6:$B$277,"ИБ")</f>
        <v>0</v>
      </c>
      <c r="AP93" s="413">
        <f>SUMIFS('свод практик'!$CL$6:$CL$277,'свод практик'!$J$6:$J$277,'строго ИБ'!AP$1,'свод практик'!$B$6:$B$277,"ИБ")</f>
        <v>0</v>
      </c>
      <c r="AQ93" s="413">
        <f>SUMIFS('свод практик'!$CL$6:$CL$277,'свод практик'!$J$6:$J$277,'строго ИБ'!AQ$1,'свод практик'!$B$6:$B$277,"ИБ")</f>
        <v>15</v>
      </c>
      <c r="AR93" s="413">
        <f>SUMIFS('свод практик'!$CL$6:$CL$277,'свод практик'!$J$6:$J$277,'строго ИБ'!AR$1,'свод практик'!$B$6:$B$277,"ИБ")</f>
        <v>5</v>
      </c>
      <c r="AS93" s="413">
        <f>SUMIFS('свод практик'!$CL$6:$CL$277,'свод практик'!$J$6:$J$277,'строго ИБ'!AS$1,'свод практик'!$B$6:$B$277,"ИБ")</f>
        <v>0</v>
      </c>
      <c r="AT93" s="413">
        <f>SUMIFS('свод практик'!$CL$6:$CL$277,'свод практик'!$J$6:$J$277,'строго ИБ'!AT$1,'свод практик'!$B$6:$B$277,"ИБ")</f>
        <v>0</v>
      </c>
      <c r="AU93" s="413">
        <f>SUMIFS('свод практик'!$CL$6:$CL$277,'свод практик'!$J$6:$J$277,'строго ИБ'!AU$1,'свод практик'!$B$6:$B$277,"ИБ")</f>
        <v>0</v>
      </c>
      <c r="AV93" s="413">
        <f>SUMIFS('свод практик'!$CL$6:$CL$277,'свод практик'!$J$6:$J$277,'строго ИБ'!AV$1,'свод практик'!$B$6:$B$277,"ИБ")</f>
        <v>0</v>
      </c>
      <c r="AW93" s="413">
        <f>SUMIFS('свод практик'!$CL$6:$CL$277,'свод практик'!$J$6:$J$277,'строго ИБ'!AW$1,'свод практик'!$B$6:$B$277,"ИБ")</f>
        <v>0</v>
      </c>
      <c r="AX93" s="413">
        <f>SUMIFS('свод практик'!$CL$6:$CL$277,'свод практик'!$J$6:$J$277,'строго ИБ'!AX$1,'свод практик'!$B$6:$B$277,"ИБ")</f>
        <v>0</v>
      </c>
      <c r="AY93" s="413">
        <f>SUMIFS('свод практик'!$CL$6:$CL$277,'свод практик'!$J$6:$J$277,'строго ИБ'!AY$1,'свод практик'!$B$6:$B$277,"ИБ")</f>
        <v>0</v>
      </c>
      <c r="AZ93" s="413">
        <f>SUMIFS('свод практик'!$CL$6:$CL$277,'свод практик'!$J$6:$J$277,'строго ИБ'!AZ$1,'свод практик'!$B$6:$B$277,"ИБ")</f>
        <v>0</v>
      </c>
      <c r="BA93" s="413">
        <f>SUMIFS('свод практик'!$CL$6:$CL$277,'свод практик'!$J$6:$J$277,'строго ИБ'!BA$1,'свод практик'!$B$6:$B$277,"ИБ")</f>
        <v>0</v>
      </c>
      <c r="BB93" s="413">
        <f>SUMIFS('свод практик'!$CL$6:$CL$277,'свод практик'!$J$6:$J$277,'строго ИБ'!BB$1,'свод практик'!$B$6:$B$277,"ИБ")</f>
        <v>0</v>
      </c>
      <c r="BC93" s="413">
        <f>SUMIFS('свод практик'!$CL$6:$CL$277,'свод практик'!$J$6:$J$277,'строго ИБ'!BC$1,'свод практик'!$B$6:$B$277,"ИБ")</f>
        <v>0</v>
      </c>
      <c r="BD93" s="413">
        <f>SUMIFS('свод практик'!$CL$6:$CL$277,'свод практик'!$J$6:$J$277,'строго ИБ'!BD$1,'свод практик'!$B$6:$B$277,"ИБ")</f>
        <v>0</v>
      </c>
      <c r="BE93" s="413">
        <f>SUMIFS('свод практик'!$CL$6:$CL$277,'свод практик'!$J$6:$J$277,'строго ИБ'!BE$1,'свод практик'!$B$6:$B$277,"ИБ")</f>
        <v>0</v>
      </c>
      <c r="BF93" s="413">
        <f>SUMIFS('свод практик'!$CL$6:$CL$277,'свод практик'!$J$6:$J$277,'строго ИБ'!BF$1,'свод практик'!$B$6:$B$277,"ИБ")</f>
        <v>0</v>
      </c>
      <c r="BG93" s="413">
        <f>SUMIFS('свод практик'!$CL$6:$CL$277,'свод практик'!$J$6:$J$277,'строго ИБ'!BG$1,'свод практик'!$B$6:$B$277,"ИБ")</f>
        <v>0</v>
      </c>
      <c r="BH93" s="413">
        <f>SUMIFS('свод практик'!$CL$6:$CL$277,'свод практик'!$J$6:$J$277,'строго ИБ'!BH$1,'свод практик'!$B$6:$B$277,"ИБ")</f>
        <v>0</v>
      </c>
      <c r="BI93" s="413">
        <f>SUMIFS('свод практик'!$CL$6:$CL$277,'свод практик'!$J$6:$J$277,'строго ИБ'!BI$1,'свод практик'!$B$6:$B$277,"ИБ")</f>
        <v>1</v>
      </c>
      <c r="BJ93" s="413">
        <f>SUMIFS('свод практик'!$CL$6:$CL$277,'свод практик'!$J$6:$J$277,'строго ИБ'!BJ$1,'свод практик'!$B$6:$B$277,"ИБ")</f>
        <v>1</v>
      </c>
      <c r="BK93" s="413">
        <f>SUMIFS('свод практик'!$CL$6:$CL$277,'свод практик'!$J$6:$J$277,'строго ИБ'!BK$1,'свод практик'!$B$6:$B$277,"ИБ")</f>
        <v>0</v>
      </c>
      <c r="BL93" s="413">
        <f>SUMIFS('свод практик'!$CL$6:$CL$277,'свод практик'!$J$6:$J$277,'строго ИБ'!BL$1,'свод практик'!$B$6:$B$277,"ИБ")</f>
        <v>1</v>
      </c>
      <c r="BM93" s="413">
        <f>SUMIFS('свод практик'!$CL$6:$CL$277,'свод практик'!$J$6:$J$277,'строго ИБ'!BM$1,'свод практик'!$B$6:$B$277,"ИБ")</f>
        <v>0</v>
      </c>
      <c r="BN93" s="413">
        <f>SUMIFS('свод практик'!$CL$6:$CL$277,'свод практик'!$J$6:$J$277,'строго ИБ'!BN$1,'свод практик'!$B$6:$B$277,"ИБ")</f>
        <v>0</v>
      </c>
      <c r="BO93" s="413">
        <f>SUMIFS('свод практик'!$CL$6:$CL$277,'свод практик'!$J$6:$J$277,'строго ИБ'!BO$1,'свод практик'!$B$6:$B$277,"ИБ")</f>
        <v>0</v>
      </c>
      <c r="BP93" s="413">
        <f>SUMIFS('свод практик'!$CL$6:$CL$277,'свод практик'!$J$6:$J$277,'строго ИБ'!BP$1,'свод практик'!$B$6:$B$277,"ИБ")</f>
        <v>0</v>
      </c>
      <c r="BQ93" s="413">
        <f>SUMIFS('свод практик'!$CL$6:$CL$277,'свод практик'!$J$6:$J$277,'строго ИБ'!BQ$1,'свод практик'!$B$6:$B$277,"ИБ")</f>
        <v>0</v>
      </c>
      <c r="BR93" s="413">
        <f>SUMIFS('свод практик'!$CL$6:$CL$277,'свод практик'!$J$6:$J$277,'строго ИБ'!BR$1,'свод практик'!$B$6:$B$277,"ИБ")</f>
        <v>0</v>
      </c>
      <c r="BS93" s="413">
        <f>SUMIFS('свод практик'!$CL$6:$CL$277,'свод практик'!$J$6:$J$277,'строго ИБ'!BS$1,'свод практик'!$B$6:$B$277,"ИБ")</f>
        <v>0</v>
      </c>
      <c r="BT93" s="413">
        <f>SUMIFS('свод практик'!$CL$6:$CL$277,'свод практик'!$J$6:$J$277,'строго ИБ'!BT$1,'свод практик'!$B$6:$B$277,"ИБ")</f>
        <v>2</v>
      </c>
      <c r="BU93" s="413">
        <f>SUMIFS('свод практик'!$CL$6:$CL$277,'свод практик'!$J$6:$J$277,'строго ИБ'!BU$1,'свод практик'!$B$6:$B$277,"ИБ")</f>
        <v>1</v>
      </c>
      <c r="BV93" s="413">
        <f>SUMIFS('свод практик'!$CL$6:$CL$277,'свод практик'!$J$6:$J$277,'строго ИБ'!BV$1,'свод практик'!$B$6:$B$277,"ИБ")</f>
        <v>0</v>
      </c>
      <c r="BW93" s="413">
        <f>SUMIFS('свод практик'!$CL$6:$CL$277,'свод практик'!$J$6:$J$277,'строго ИБ'!BW$1,'свод практик'!$B$6:$B$277,"ИБ")</f>
        <v>8</v>
      </c>
      <c r="BX93" s="413">
        <f>SUMIFS('свод практик'!$CL$6:$CL$277,'свод практик'!$J$6:$J$277,'строго ИБ'!BX$1,'свод практик'!$B$6:$B$277,"ИБ")</f>
        <v>0</v>
      </c>
      <c r="BY93" s="413">
        <f>SUMIFS('свод практик'!$CL$6:$CL$277,'свод практик'!$J$6:$J$277,'строго ИБ'!BY$1,'свод практик'!$B$6:$B$277,"ИБ")</f>
        <v>0</v>
      </c>
      <c r="BZ93" s="413">
        <f>SUMIFS('свод практик'!$CL$6:$CL$277,'свод практик'!$J$6:$J$277,'строго ИБ'!BZ$1,'свод практик'!$B$6:$B$277,"ИБ")</f>
        <v>0</v>
      </c>
      <c r="CA93" s="413">
        <f>SUMIFS('свод практик'!$CL$6:$CL$277,'свод практик'!$J$6:$J$277,'строго ИБ'!CA$1,'свод практик'!$B$6:$B$277,"ИБ")</f>
        <v>0</v>
      </c>
      <c r="CB93" s="413">
        <f>SUMIFS('свод практик'!$CL$6:$CL$277,'свод практик'!$J$6:$J$277,'строго ИБ'!CB$1,'свод практик'!$B$6:$B$277,"ИБ")</f>
        <v>0</v>
      </c>
      <c r="CC93" s="413">
        <f>SUMIFS('свод практик'!$CL$6:$CL$277,'свод практик'!$J$6:$J$277,'строго ИБ'!CC$1,'свод практик'!$B$6:$B$277,"ИБ")</f>
        <v>2</v>
      </c>
      <c r="CD93" s="413">
        <f>SUMIFS('свод практик'!$CL$6:$CL$277,'свод практик'!$J$6:$J$277,'строго ИБ'!CD$1,'свод практик'!$B$6:$B$277,"ИБ")</f>
        <v>21</v>
      </c>
      <c r="CE93" s="413">
        <f>SUMIFS('свод практик'!$CL$6:$CL$277,'свод практик'!$J$6:$J$277,'строго ИБ'!CE$1,'свод практик'!$B$6:$B$277,"ИБ")</f>
        <v>0</v>
      </c>
      <c r="CF93" s="413">
        <f>SUMIFS('свод практик'!$CL$6:$CL$277,'свод практик'!$J$6:$J$277,'строго ИБ'!CF$1,'свод практик'!$B$6:$B$277,"ИБ")</f>
        <v>8</v>
      </c>
      <c r="CG93" s="413">
        <f>SUMIFS('свод практик'!$CL$6:$CL$277,'свод практик'!$J$6:$J$277,'строго ИБ'!CG$1,'свод практик'!$B$6:$B$277,"ИБ")</f>
        <v>0</v>
      </c>
      <c r="CH93" s="413">
        <f>SUMIFS('свод практик'!$CL$6:$CL$277,'свод практик'!$J$6:$J$277,'строго ИБ'!CH$1,'свод практик'!$B$6:$B$277,"ИБ")</f>
        <v>0</v>
      </c>
      <c r="CI93" s="413">
        <f>SUMIFS('свод практик'!$CL$6:$CL$277,'свод практик'!$J$6:$J$277,'строго ИБ'!CI$1,'свод практик'!$B$6:$B$277,"ИБ")</f>
        <v>0</v>
      </c>
      <c r="CJ93" s="413">
        <f>SUMIFS('свод практик'!$CL$6:$CL$277,'свод практик'!$J$6:$J$277,'строго ИБ'!CJ$1,'свод практик'!$B$6:$B$277,"ИБ")</f>
        <v>0</v>
      </c>
      <c r="CK93" s="413">
        <f>SUMIFS('свод практик'!$CL$6:$CL$277,'свод практик'!$J$6:$J$277,'строго ИБ'!CK$1,'свод практик'!$B$6:$B$277,"ИБ")</f>
        <v>0</v>
      </c>
      <c r="CL93" s="413">
        <f>SUMIFS('свод практик'!$CL$6:$CL$277,'свод практик'!$J$6:$J$277,'строго ИБ'!CL$1,'свод практик'!$B$6:$B$277,"ИБ")</f>
        <v>0</v>
      </c>
      <c r="CM93" s="413">
        <f>SUMIFS('свод практик'!$CL$6:$CL$277,'свод практик'!$J$6:$J$277,'строго ИБ'!CM$1,'свод практик'!$B$6:$B$277,"ИБ")</f>
        <v>0</v>
      </c>
      <c r="CN93" s="413">
        <f>SUMIFS('свод практик'!$CL$6:$CL$277,'свод практик'!$J$6:$J$277,'строго ИБ'!CN$1,'свод практик'!$B$6:$B$277,"ИБ")</f>
        <v>0</v>
      </c>
      <c r="CO93" s="413">
        <f>SUMIFS('свод практик'!$CL$6:$CL$277,'свод практик'!$J$6:$J$277,'строго ИБ'!CO$1,'свод практик'!$B$6:$B$277,"ИБ")</f>
        <v>1</v>
      </c>
      <c r="CP93" s="413">
        <f>SUMIFS('свод практик'!$CL$6:$CL$277,'свод практик'!$J$6:$J$277,'строго ИБ'!CP$1,'свод практик'!$B$6:$B$277,"ИБ")</f>
        <v>0</v>
      </c>
      <c r="CQ93" s="413">
        <f>SUMIFS('свод практик'!$CL$6:$CL$277,'свод практик'!$J$6:$J$277,'строго ИБ'!CQ$1,'свод практик'!$B$6:$B$277,"ИБ")</f>
        <v>0</v>
      </c>
      <c r="CR93" s="413">
        <f>SUMIFS('свод практик'!$CL$6:$CL$277,'свод практик'!$J$6:$J$277,'строго ИБ'!CR$1,'свод практик'!$B$6:$B$277,"ИБ")</f>
        <v>228</v>
      </c>
      <c r="CS93" s="413">
        <f>SUMIFS('свод практик'!$CL$6:$CL$277,'свод практик'!$J$6:$J$277,'строго ИБ'!CS$1,'свод практик'!$B$6:$B$277,"ИБ")</f>
        <v>0</v>
      </c>
      <c r="CT93" s="413">
        <f>SUMIFS('свод практик'!$CL$6:$CL$277,'свод практик'!$J$6:$J$277,'строго ИБ'!CT$1,'свод практик'!$B$6:$B$277,"ИБ")</f>
        <v>3</v>
      </c>
      <c r="CU93" s="413">
        <f>SUMIFS('свод практик'!$CL$6:$CL$277,'свод практик'!$J$6:$J$277,'строго ИБ'!CU$1,'свод практик'!$B$6:$B$277,"ИБ")</f>
        <v>0</v>
      </c>
    </row>
    <row r="94" spans="1:99" ht="25.5" customHeight="1">
      <c r="A94" s="815"/>
      <c r="B94" s="817"/>
      <c r="C94" s="805"/>
      <c r="D94" s="439" t="s">
        <v>4949</v>
      </c>
      <c r="E94" s="439">
        <v>75</v>
      </c>
      <c r="F94" s="440" t="s">
        <v>5179</v>
      </c>
      <c r="G94" s="808"/>
      <c r="H94" s="442" t="s">
        <v>60</v>
      </c>
      <c r="I94" s="443"/>
      <c r="J94" s="444"/>
      <c r="K94" s="2"/>
      <c r="L94" s="383"/>
      <c r="M94" s="384">
        <v>6.462035541195477E-3</v>
      </c>
      <c r="N94" s="607">
        <f>N93/N107</f>
        <v>2.9878345498783456E-2</v>
      </c>
      <c r="O94" s="607">
        <f t="shared" ref="O94:BZ94" si="50">O93/O107</f>
        <v>0</v>
      </c>
      <c r="P94" s="607">
        <f t="shared" si="50"/>
        <v>0</v>
      </c>
      <c r="Q94" s="607">
        <f t="shared" si="50"/>
        <v>0</v>
      </c>
      <c r="R94" s="607">
        <f t="shared" si="50"/>
        <v>0</v>
      </c>
      <c r="S94" s="607">
        <f t="shared" si="50"/>
        <v>0</v>
      </c>
      <c r="T94" s="607">
        <f t="shared" si="50"/>
        <v>0</v>
      </c>
      <c r="U94" s="607">
        <f t="shared" si="50"/>
        <v>7.6923076923076923E-4</v>
      </c>
      <c r="V94" s="607">
        <f t="shared" si="50"/>
        <v>0</v>
      </c>
      <c r="W94" s="607">
        <f t="shared" si="50"/>
        <v>0</v>
      </c>
      <c r="X94" s="607" t="e">
        <f t="shared" si="50"/>
        <v>#DIV/0!</v>
      </c>
      <c r="Y94" s="607" t="e">
        <f t="shared" si="50"/>
        <v>#DIV/0!</v>
      </c>
      <c r="Z94" s="607">
        <f t="shared" si="50"/>
        <v>0</v>
      </c>
      <c r="AA94" s="607">
        <f t="shared" si="50"/>
        <v>1.0078387458006719E-2</v>
      </c>
      <c r="AB94" s="607">
        <f t="shared" si="50"/>
        <v>0</v>
      </c>
      <c r="AC94" s="607" t="e">
        <f t="shared" si="50"/>
        <v>#DIV/0!</v>
      </c>
      <c r="AD94" s="607" t="e">
        <f t="shared" si="50"/>
        <v>#DIV/0!</v>
      </c>
      <c r="AE94" s="607" t="e">
        <f t="shared" si="50"/>
        <v>#DIV/0!</v>
      </c>
      <c r="AF94" s="607" t="e">
        <f t="shared" si="50"/>
        <v>#DIV/0!</v>
      </c>
      <c r="AG94" s="607" t="e">
        <f t="shared" si="50"/>
        <v>#DIV/0!</v>
      </c>
      <c r="AH94" s="607" t="e">
        <f t="shared" si="50"/>
        <v>#DIV/0!</v>
      </c>
      <c r="AI94" s="607" t="e">
        <f t="shared" si="50"/>
        <v>#DIV/0!</v>
      </c>
      <c r="AJ94" s="607" t="e">
        <f t="shared" si="50"/>
        <v>#DIV/0!</v>
      </c>
      <c r="AK94" s="607">
        <f t="shared" si="50"/>
        <v>0</v>
      </c>
      <c r="AL94" s="607">
        <f t="shared" si="50"/>
        <v>0</v>
      </c>
      <c r="AM94" s="607" t="e">
        <f t="shared" si="50"/>
        <v>#DIV/0!</v>
      </c>
      <c r="AN94" s="607" t="e">
        <f t="shared" si="50"/>
        <v>#DIV/0!</v>
      </c>
      <c r="AO94" s="607">
        <f t="shared" si="50"/>
        <v>0</v>
      </c>
      <c r="AP94" s="607">
        <f t="shared" si="50"/>
        <v>0</v>
      </c>
      <c r="AQ94" s="607">
        <f t="shared" si="50"/>
        <v>4.2016806722689079E-2</v>
      </c>
      <c r="AR94" s="607">
        <f t="shared" si="50"/>
        <v>1.8115942028985508E-2</v>
      </c>
      <c r="AS94" s="607" t="e">
        <f t="shared" si="50"/>
        <v>#DIV/0!</v>
      </c>
      <c r="AT94" s="607" t="e">
        <f t="shared" si="50"/>
        <v>#DIV/0!</v>
      </c>
      <c r="AU94" s="607">
        <f t="shared" si="50"/>
        <v>0</v>
      </c>
      <c r="AV94" s="607" t="e">
        <f t="shared" si="50"/>
        <v>#DIV/0!</v>
      </c>
      <c r="AW94" s="607">
        <f t="shared" si="50"/>
        <v>0</v>
      </c>
      <c r="AX94" s="607" t="e">
        <f t="shared" si="50"/>
        <v>#DIV/0!</v>
      </c>
      <c r="AY94" s="607">
        <f t="shared" si="50"/>
        <v>0</v>
      </c>
      <c r="AZ94" s="607" t="e">
        <f t="shared" si="50"/>
        <v>#DIV/0!</v>
      </c>
      <c r="BA94" s="607" t="e">
        <f t="shared" si="50"/>
        <v>#DIV/0!</v>
      </c>
      <c r="BB94" s="607">
        <f t="shared" si="50"/>
        <v>0</v>
      </c>
      <c r="BC94" s="607" t="e">
        <f t="shared" si="50"/>
        <v>#DIV/0!</v>
      </c>
      <c r="BD94" s="607" t="e">
        <f t="shared" si="50"/>
        <v>#DIV/0!</v>
      </c>
      <c r="BE94" s="607">
        <f t="shared" si="50"/>
        <v>0</v>
      </c>
      <c r="BF94" s="607">
        <f t="shared" si="50"/>
        <v>0</v>
      </c>
      <c r="BG94" s="607">
        <f t="shared" si="50"/>
        <v>0</v>
      </c>
      <c r="BH94" s="607">
        <f t="shared" si="50"/>
        <v>0</v>
      </c>
      <c r="BI94" s="607">
        <f t="shared" si="50"/>
        <v>2.2727272727272728E-2</v>
      </c>
      <c r="BJ94" s="607">
        <f t="shared" si="50"/>
        <v>4.9261083743842365E-3</v>
      </c>
      <c r="BK94" s="607" t="e">
        <f t="shared" si="50"/>
        <v>#DIV/0!</v>
      </c>
      <c r="BL94" s="607">
        <f t="shared" si="50"/>
        <v>6.8027210884353739E-3</v>
      </c>
      <c r="BM94" s="607">
        <f t="shared" si="50"/>
        <v>0</v>
      </c>
      <c r="BN94" s="607" t="e">
        <f t="shared" si="50"/>
        <v>#DIV/0!</v>
      </c>
      <c r="BO94" s="607">
        <f t="shared" si="50"/>
        <v>0</v>
      </c>
      <c r="BP94" s="607" t="e">
        <f t="shared" si="50"/>
        <v>#DIV/0!</v>
      </c>
      <c r="BQ94" s="607" t="e">
        <f t="shared" si="50"/>
        <v>#DIV/0!</v>
      </c>
      <c r="BR94" s="607">
        <f t="shared" si="50"/>
        <v>0</v>
      </c>
      <c r="BS94" s="607">
        <f t="shared" si="50"/>
        <v>0</v>
      </c>
      <c r="BT94" s="607">
        <f t="shared" si="50"/>
        <v>3.5906642728904849E-3</v>
      </c>
      <c r="BU94" s="607">
        <f t="shared" si="50"/>
        <v>5.8823529411764705E-2</v>
      </c>
      <c r="BV94" s="607">
        <f t="shared" si="50"/>
        <v>0</v>
      </c>
      <c r="BW94" s="607">
        <f t="shared" si="50"/>
        <v>1.8058690744920992E-2</v>
      </c>
      <c r="BX94" s="607">
        <f t="shared" si="50"/>
        <v>0</v>
      </c>
      <c r="BY94" s="607">
        <f t="shared" si="50"/>
        <v>0</v>
      </c>
      <c r="BZ94" s="607" t="e">
        <f t="shared" si="50"/>
        <v>#DIV/0!</v>
      </c>
      <c r="CA94" s="607" t="e">
        <f t="shared" ref="CA94:CU94" si="51">CA93/CA107</f>
        <v>#DIV/0!</v>
      </c>
      <c r="CB94" s="607" t="e">
        <f t="shared" si="51"/>
        <v>#DIV/0!</v>
      </c>
      <c r="CC94" s="607">
        <f t="shared" si="51"/>
        <v>8.1632653061224497E-3</v>
      </c>
      <c r="CD94" s="607">
        <f t="shared" si="51"/>
        <v>3.888888888888889E-2</v>
      </c>
      <c r="CE94" s="607" t="e">
        <f t="shared" si="51"/>
        <v>#DIV/0!</v>
      </c>
      <c r="CF94" s="607">
        <f t="shared" si="51"/>
        <v>2.9520295202952029E-2</v>
      </c>
      <c r="CG94" s="607">
        <f t="shared" si="51"/>
        <v>0</v>
      </c>
      <c r="CH94" s="607">
        <f t="shared" si="51"/>
        <v>0</v>
      </c>
      <c r="CI94" s="607" t="e">
        <f t="shared" si="51"/>
        <v>#DIV/0!</v>
      </c>
      <c r="CJ94" s="607" t="e">
        <f t="shared" si="51"/>
        <v>#DIV/0!</v>
      </c>
      <c r="CK94" s="607">
        <f t="shared" si="51"/>
        <v>0</v>
      </c>
      <c r="CL94" s="607">
        <f t="shared" si="51"/>
        <v>0</v>
      </c>
      <c r="CM94" s="607">
        <f t="shared" si="51"/>
        <v>0</v>
      </c>
      <c r="CN94" s="607" t="e">
        <f t="shared" si="51"/>
        <v>#DIV/0!</v>
      </c>
      <c r="CO94" s="607">
        <f t="shared" si="51"/>
        <v>5.2910052910052907E-3</v>
      </c>
      <c r="CP94" s="607">
        <f t="shared" si="51"/>
        <v>0</v>
      </c>
      <c r="CQ94" s="607" t="e">
        <f t="shared" si="51"/>
        <v>#DIV/0!</v>
      </c>
      <c r="CR94" s="607">
        <f t="shared" si="51"/>
        <v>0.35458786936236392</v>
      </c>
      <c r="CS94" s="607">
        <f t="shared" si="51"/>
        <v>0</v>
      </c>
      <c r="CT94" s="607">
        <f t="shared" si="51"/>
        <v>3.7037037037037035E-2</v>
      </c>
      <c r="CU94" s="607">
        <f t="shared" si="51"/>
        <v>0</v>
      </c>
    </row>
    <row r="95" spans="1:99" ht="20" customHeight="1">
      <c r="A95" s="815"/>
      <c r="B95" s="817"/>
      <c r="C95" s="805"/>
      <c r="D95" s="439" t="s">
        <v>4949</v>
      </c>
      <c r="E95" s="439">
        <v>76</v>
      </c>
      <c r="F95" s="440" t="s">
        <v>5180</v>
      </c>
      <c r="G95" s="808" t="s">
        <v>5772</v>
      </c>
      <c r="H95" s="442" t="s">
        <v>5140</v>
      </c>
      <c r="I95" s="443"/>
      <c r="J95" s="444"/>
      <c r="K95" s="2" t="s">
        <v>278</v>
      </c>
      <c r="L95" s="385"/>
      <c r="M95" s="351">
        <v>19</v>
      </c>
      <c r="N95" s="580">
        <f t="shared" si="25"/>
        <v>23</v>
      </c>
      <c r="O95" s="413">
        <f>SUMIFS('свод практик'!$CM$6:$CM$277,'свод практик'!$J$6:$J$277,'строго ИБ'!O$1,'свод практик'!$B$6:$B$277,"ИБ")</f>
        <v>0</v>
      </c>
      <c r="P95" s="413">
        <f>SUMIFS('свод практик'!$CM$6:$CM$277,'свод практик'!$J$6:$J$277,'строго ИБ'!P$1,'свод практик'!$B$6:$B$277,"ИБ")</f>
        <v>0</v>
      </c>
      <c r="Q95" s="413">
        <f>SUMIFS('свод практик'!$CM$6:$CM$277,'свод практик'!$J$6:$J$277,'строго ИБ'!Q$1,'свод практик'!$B$6:$B$277,"ИБ")</f>
        <v>0</v>
      </c>
      <c r="R95" s="413">
        <f>SUMIFS('свод практик'!$CM$6:$CM$277,'свод практик'!$J$6:$J$277,'строго ИБ'!R$1,'свод практик'!$B$6:$B$277,"ИБ")</f>
        <v>0</v>
      </c>
      <c r="S95" s="413">
        <f>SUMIFS('свод практик'!$CM$6:$CM$277,'свод практик'!$J$6:$J$277,'строго ИБ'!S$1,'свод практик'!$B$6:$B$277,"ИБ")</f>
        <v>0</v>
      </c>
      <c r="T95" s="413">
        <f>SUMIFS('свод практик'!$CM$6:$CM$277,'свод практик'!$J$6:$J$277,'строго ИБ'!T$1,'свод практик'!$B$6:$B$277,"ИБ")</f>
        <v>0</v>
      </c>
      <c r="U95" s="413">
        <f>SUMIFS('свод практик'!$CM$6:$CM$277,'свод практик'!$J$6:$J$277,'строго ИБ'!U$1,'свод практик'!$B$6:$B$277,"ИБ")</f>
        <v>0</v>
      </c>
      <c r="V95" s="413">
        <f>SUMIFS('свод практик'!$CM$6:$CM$277,'свод практик'!$J$6:$J$277,'строго ИБ'!V$1,'свод практик'!$B$6:$B$277,"ИБ")</f>
        <v>0</v>
      </c>
      <c r="W95" s="413">
        <f>SUMIFS('свод практик'!$CM$6:$CM$277,'свод практик'!$J$6:$J$277,'строго ИБ'!W$1,'свод практик'!$B$6:$B$277,"ИБ")</f>
        <v>0</v>
      </c>
      <c r="X95" s="413">
        <f>SUMIFS('свод практик'!$CM$6:$CM$277,'свод практик'!$J$6:$J$277,'строго ИБ'!X$1,'свод практик'!$B$6:$B$277,"ИБ")</f>
        <v>0</v>
      </c>
      <c r="Y95" s="413">
        <f>SUMIFS('свод практик'!$CM$6:$CM$277,'свод практик'!$J$6:$J$277,'строго ИБ'!Y$1,'свод практик'!$B$6:$B$277,"ИБ")</f>
        <v>0</v>
      </c>
      <c r="Z95" s="413">
        <f>SUMIFS('свод практик'!$CM$6:$CM$277,'свод практик'!$J$6:$J$277,'строго ИБ'!Z$1,'свод практик'!$B$6:$B$277,"ИБ")</f>
        <v>0</v>
      </c>
      <c r="AA95" s="413">
        <f>SUMIFS('свод практик'!$CM$6:$CM$277,'свод практик'!$J$6:$J$277,'строго ИБ'!AA$1,'свод практик'!$B$6:$B$277,"ИБ")</f>
        <v>0</v>
      </c>
      <c r="AB95" s="413">
        <f>SUMIFS('свод практик'!$CM$6:$CM$277,'свод практик'!$J$6:$J$277,'строго ИБ'!AB$1,'свод практик'!$B$6:$B$277,"ИБ")</f>
        <v>0</v>
      </c>
      <c r="AC95" s="413">
        <f>SUMIFS('свод практик'!$CM$6:$CM$277,'свод практик'!$J$6:$J$277,'строго ИБ'!AC$1,'свод практик'!$B$6:$B$277,"ИБ")</f>
        <v>0</v>
      </c>
      <c r="AD95" s="413">
        <f>SUMIFS('свод практик'!$CM$6:$CM$277,'свод практик'!$J$6:$J$277,'строго ИБ'!AD$1,'свод практик'!$B$6:$B$277,"ИБ")</f>
        <v>0</v>
      </c>
      <c r="AE95" s="413">
        <f>SUMIFS('свод практик'!$CM$6:$CM$277,'свод практик'!$J$6:$J$277,'строго ИБ'!AE$1,'свод практик'!$B$6:$B$277,"ИБ")</f>
        <v>0</v>
      </c>
      <c r="AF95" s="413">
        <f>SUMIFS('свод практик'!$CM$6:$CM$277,'свод практик'!$J$6:$J$277,'строго ИБ'!AF$1,'свод практик'!$B$6:$B$277,"ИБ")</f>
        <v>0</v>
      </c>
      <c r="AG95" s="413">
        <f>SUMIFS('свод практик'!$CM$6:$CM$277,'свод практик'!$J$6:$J$277,'строго ИБ'!AG$1,'свод практик'!$B$6:$B$277,"ИБ")</f>
        <v>0</v>
      </c>
      <c r="AH95" s="413">
        <f>SUMIFS('свод практик'!$CM$6:$CM$277,'свод практик'!$J$6:$J$277,'строго ИБ'!AH$1,'свод практик'!$B$6:$B$277,"ИБ")</f>
        <v>0</v>
      </c>
      <c r="AI95" s="413">
        <f>SUMIFS('свод практик'!$CM$6:$CM$277,'свод практик'!$J$6:$J$277,'строго ИБ'!AI$1,'свод практик'!$B$6:$B$277,"ИБ")</f>
        <v>0</v>
      </c>
      <c r="AJ95" s="413">
        <f>SUMIFS('свод практик'!$CM$6:$CM$277,'свод практик'!$J$6:$J$277,'строго ИБ'!AJ$1,'свод практик'!$B$6:$B$277,"ИБ")</f>
        <v>0</v>
      </c>
      <c r="AK95" s="413">
        <f>SUMIFS('свод практик'!$CM$6:$CM$277,'свод практик'!$J$6:$J$277,'строго ИБ'!AK$1,'свод практик'!$B$6:$B$277,"ИБ")</f>
        <v>0</v>
      </c>
      <c r="AL95" s="413">
        <f>SUMIFS('свод практик'!$CM$6:$CM$277,'свод практик'!$J$6:$J$277,'строго ИБ'!AL$1,'свод практик'!$B$6:$B$277,"ИБ")</f>
        <v>0</v>
      </c>
      <c r="AM95" s="413">
        <f>SUMIFS('свод практик'!$CM$6:$CM$277,'свод практик'!$J$6:$J$277,'строго ИБ'!AM$1,'свод практик'!$B$6:$B$277,"ИБ")</f>
        <v>0</v>
      </c>
      <c r="AN95" s="413">
        <f>SUMIFS('свод практик'!$CM$6:$CM$277,'свод практик'!$J$6:$J$277,'строго ИБ'!AN$1,'свод практик'!$B$6:$B$277,"ИБ")</f>
        <v>0</v>
      </c>
      <c r="AO95" s="413">
        <f>SUMIFS('свод практик'!$CM$6:$CM$277,'свод практик'!$J$6:$J$277,'строго ИБ'!AO$1,'свод практик'!$B$6:$B$277,"ИБ")</f>
        <v>0</v>
      </c>
      <c r="AP95" s="413">
        <f>SUMIFS('свод практик'!$CM$6:$CM$277,'свод практик'!$J$6:$J$277,'строго ИБ'!AP$1,'свод практик'!$B$6:$B$277,"ИБ")</f>
        <v>0</v>
      </c>
      <c r="AQ95" s="413">
        <f>SUMIFS('свод практик'!$CM$6:$CM$277,'свод практик'!$J$6:$J$277,'строго ИБ'!AQ$1,'свод практик'!$B$6:$B$277,"ИБ")</f>
        <v>0</v>
      </c>
      <c r="AR95" s="413">
        <f>SUMIFS('свод практик'!$CM$6:$CM$277,'свод практик'!$J$6:$J$277,'строго ИБ'!AR$1,'свод практик'!$B$6:$B$277,"ИБ")</f>
        <v>6</v>
      </c>
      <c r="AS95" s="413">
        <f>SUMIFS('свод практик'!$CM$6:$CM$277,'свод практик'!$J$6:$J$277,'строго ИБ'!AS$1,'свод практик'!$B$6:$B$277,"ИБ")</f>
        <v>0</v>
      </c>
      <c r="AT95" s="413">
        <f>SUMIFS('свод практик'!$CM$6:$CM$277,'свод практик'!$J$6:$J$277,'строго ИБ'!AT$1,'свод практик'!$B$6:$B$277,"ИБ")</f>
        <v>0</v>
      </c>
      <c r="AU95" s="413">
        <f>SUMIFS('свод практик'!$CM$6:$CM$277,'свод практик'!$J$6:$J$277,'строго ИБ'!AU$1,'свод практик'!$B$6:$B$277,"ИБ")</f>
        <v>1</v>
      </c>
      <c r="AV95" s="413">
        <f>SUMIFS('свод практик'!$CM$6:$CM$277,'свод практик'!$J$6:$J$277,'строго ИБ'!AV$1,'свод практик'!$B$6:$B$277,"ИБ")</f>
        <v>0</v>
      </c>
      <c r="AW95" s="413">
        <f>SUMIFS('свод практик'!$CM$6:$CM$277,'свод практик'!$J$6:$J$277,'строго ИБ'!AW$1,'свод практик'!$B$6:$B$277,"ИБ")</f>
        <v>0</v>
      </c>
      <c r="AX95" s="413">
        <f>SUMIFS('свод практик'!$CM$6:$CM$277,'свод практик'!$J$6:$J$277,'строго ИБ'!AX$1,'свод практик'!$B$6:$B$277,"ИБ")</f>
        <v>0</v>
      </c>
      <c r="AY95" s="413">
        <f>SUMIFS('свод практик'!$CM$6:$CM$277,'свод практик'!$J$6:$J$277,'строго ИБ'!AY$1,'свод практик'!$B$6:$B$277,"ИБ")</f>
        <v>0</v>
      </c>
      <c r="AZ95" s="413">
        <f>SUMIFS('свод практик'!$CM$6:$CM$277,'свод практик'!$J$6:$J$277,'строго ИБ'!AZ$1,'свод практик'!$B$6:$B$277,"ИБ")</f>
        <v>0</v>
      </c>
      <c r="BA95" s="413">
        <f>SUMIFS('свод практик'!$CM$6:$CM$277,'свод практик'!$J$6:$J$277,'строго ИБ'!BA$1,'свод практик'!$B$6:$B$277,"ИБ")</f>
        <v>0</v>
      </c>
      <c r="BB95" s="413">
        <f>SUMIFS('свод практик'!$CM$6:$CM$277,'свод практик'!$J$6:$J$277,'строго ИБ'!BB$1,'свод практик'!$B$6:$B$277,"ИБ")</f>
        <v>0</v>
      </c>
      <c r="BC95" s="413">
        <f>SUMIFS('свод практик'!$CM$6:$CM$277,'свод практик'!$J$6:$J$277,'строго ИБ'!BC$1,'свод практик'!$B$6:$B$277,"ИБ")</f>
        <v>0</v>
      </c>
      <c r="BD95" s="413">
        <f>SUMIFS('свод практик'!$CM$6:$CM$277,'свод практик'!$J$6:$J$277,'строго ИБ'!BD$1,'свод практик'!$B$6:$B$277,"ИБ")</f>
        <v>0</v>
      </c>
      <c r="BE95" s="413">
        <f>SUMIFS('свод практик'!$CM$6:$CM$277,'свод практик'!$J$6:$J$277,'строго ИБ'!BE$1,'свод практик'!$B$6:$B$277,"ИБ")</f>
        <v>0</v>
      </c>
      <c r="BF95" s="413">
        <f>SUMIFS('свод практик'!$CM$6:$CM$277,'свод практик'!$J$6:$J$277,'строго ИБ'!BF$1,'свод практик'!$B$6:$B$277,"ИБ")</f>
        <v>0</v>
      </c>
      <c r="BG95" s="413">
        <f>SUMIFS('свод практик'!$CM$6:$CM$277,'свод практик'!$J$6:$J$277,'строго ИБ'!BG$1,'свод практик'!$B$6:$B$277,"ИБ")</f>
        <v>0</v>
      </c>
      <c r="BH95" s="413">
        <f>SUMIFS('свод практик'!$CM$6:$CM$277,'свод практик'!$J$6:$J$277,'строго ИБ'!BH$1,'свод практик'!$B$6:$B$277,"ИБ")</f>
        <v>0</v>
      </c>
      <c r="BI95" s="413">
        <f>SUMIFS('свод практик'!$CM$6:$CM$277,'свод практик'!$J$6:$J$277,'строго ИБ'!BI$1,'свод практик'!$B$6:$B$277,"ИБ")</f>
        <v>0</v>
      </c>
      <c r="BJ95" s="413">
        <f>SUMIFS('свод практик'!$CM$6:$CM$277,'свод практик'!$J$6:$J$277,'строго ИБ'!BJ$1,'свод практик'!$B$6:$B$277,"ИБ")</f>
        <v>0</v>
      </c>
      <c r="BK95" s="413">
        <f>SUMIFS('свод практик'!$CM$6:$CM$277,'свод практик'!$J$6:$J$277,'строго ИБ'!BK$1,'свод практик'!$B$6:$B$277,"ИБ")</f>
        <v>0</v>
      </c>
      <c r="BL95" s="413">
        <f>SUMIFS('свод практик'!$CM$6:$CM$277,'свод практик'!$J$6:$J$277,'строго ИБ'!BL$1,'свод практик'!$B$6:$B$277,"ИБ")</f>
        <v>0</v>
      </c>
      <c r="BM95" s="413">
        <f>SUMIFS('свод практик'!$CM$6:$CM$277,'свод практик'!$J$6:$J$277,'строго ИБ'!BM$1,'свод практик'!$B$6:$B$277,"ИБ")</f>
        <v>0</v>
      </c>
      <c r="BN95" s="413">
        <f>SUMIFS('свод практик'!$CM$6:$CM$277,'свод практик'!$J$6:$J$277,'строго ИБ'!BN$1,'свод практик'!$B$6:$B$277,"ИБ")</f>
        <v>0</v>
      </c>
      <c r="BO95" s="413">
        <f>SUMIFS('свод практик'!$CM$6:$CM$277,'свод практик'!$J$6:$J$277,'строго ИБ'!BO$1,'свод практик'!$B$6:$B$277,"ИБ")</f>
        <v>0</v>
      </c>
      <c r="BP95" s="413">
        <f>SUMIFS('свод практик'!$CM$6:$CM$277,'свод практик'!$J$6:$J$277,'строго ИБ'!BP$1,'свод практик'!$B$6:$B$277,"ИБ")</f>
        <v>0</v>
      </c>
      <c r="BQ95" s="413">
        <f>SUMIFS('свод практик'!$CM$6:$CM$277,'свод практик'!$J$6:$J$277,'строго ИБ'!BQ$1,'свод практик'!$B$6:$B$277,"ИБ")</f>
        <v>0</v>
      </c>
      <c r="BR95" s="413">
        <f>SUMIFS('свод практик'!$CM$6:$CM$277,'свод практик'!$J$6:$J$277,'строго ИБ'!BR$1,'свод практик'!$B$6:$B$277,"ИБ")</f>
        <v>0</v>
      </c>
      <c r="BS95" s="413">
        <f>SUMIFS('свод практик'!$CM$6:$CM$277,'свод практик'!$J$6:$J$277,'строго ИБ'!BS$1,'свод практик'!$B$6:$B$277,"ИБ")</f>
        <v>0</v>
      </c>
      <c r="BT95" s="413">
        <f>SUMIFS('свод практик'!$CM$6:$CM$277,'свод практик'!$J$6:$J$277,'строго ИБ'!BT$1,'свод практик'!$B$6:$B$277,"ИБ")</f>
        <v>10</v>
      </c>
      <c r="BU95" s="413">
        <f>SUMIFS('свод практик'!$CM$6:$CM$277,'свод практик'!$J$6:$J$277,'строго ИБ'!BU$1,'свод практик'!$B$6:$B$277,"ИБ")</f>
        <v>0</v>
      </c>
      <c r="BV95" s="413">
        <f>SUMIFS('свод практик'!$CM$6:$CM$277,'свод практик'!$J$6:$J$277,'строго ИБ'!BV$1,'свод практик'!$B$6:$B$277,"ИБ")</f>
        <v>0</v>
      </c>
      <c r="BW95" s="413">
        <f>SUMIFS('свод практик'!$CM$6:$CM$277,'свод практик'!$J$6:$J$277,'строго ИБ'!BW$1,'свод практик'!$B$6:$B$277,"ИБ")</f>
        <v>0</v>
      </c>
      <c r="BX95" s="413">
        <f>SUMIFS('свод практик'!$CM$6:$CM$277,'свод практик'!$J$6:$J$277,'строго ИБ'!BX$1,'свод практик'!$B$6:$B$277,"ИБ")</f>
        <v>0</v>
      </c>
      <c r="BY95" s="413">
        <f>SUMIFS('свод практик'!$CM$6:$CM$277,'свод практик'!$J$6:$J$277,'строго ИБ'!BY$1,'свод практик'!$B$6:$B$277,"ИБ")</f>
        <v>0</v>
      </c>
      <c r="BZ95" s="413">
        <f>SUMIFS('свод практик'!$CM$6:$CM$277,'свод практик'!$J$6:$J$277,'строго ИБ'!BZ$1,'свод практик'!$B$6:$B$277,"ИБ")</f>
        <v>0</v>
      </c>
      <c r="CA95" s="413">
        <f>SUMIFS('свод практик'!$CM$6:$CM$277,'свод практик'!$J$6:$J$277,'строго ИБ'!CA$1,'свод практик'!$B$6:$B$277,"ИБ")</f>
        <v>0</v>
      </c>
      <c r="CB95" s="413">
        <f>SUMIFS('свод практик'!$CM$6:$CM$277,'свод практик'!$J$6:$J$277,'строго ИБ'!CB$1,'свод практик'!$B$6:$B$277,"ИБ")</f>
        <v>0</v>
      </c>
      <c r="CC95" s="413">
        <f>SUMIFS('свод практик'!$CM$6:$CM$277,'свод практик'!$J$6:$J$277,'строго ИБ'!CC$1,'свод практик'!$B$6:$B$277,"ИБ")</f>
        <v>0</v>
      </c>
      <c r="CD95" s="413">
        <f>SUMIFS('свод практик'!$CM$6:$CM$277,'свод практик'!$J$6:$J$277,'строго ИБ'!CD$1,'свод практик'!$B$6:$B$277,"ИБ")</f>
        <v>0</v>
      </c>
      <c r="CE95" s="413">
        <f>SUMIFS('свод практик'!$CM$6:$CM$277,'свод практик'!$J$6:$J$277,'строго ИБ'!CE$1,'свод практик'!$B$6:$B$277,"ИБ")</f>
        <v>0</v>
      </c>
      <c r="CF95" s="413">
        <f>SUMIFS('свод практик'!$CM$6:$CM$277,'свод практик'!$J$6:$J$277,'строго ИБ'!CF$1,'свод практик'!$B$6:$B$277,"ИБ")</f>
        <v>0</v>
      </c>
      <c r="CG95" s="413">
        <f>SUMIFS('свод практик'!$CM$6:$CM$277,'свод практик'!$J$6:$J$277,'строго ИБ'!CG$1,'свод практик'!$B$6:$B$277,"ИБ")</f>
        <v>0</v>
      </c>
      <c r="CH95" s="413">
        <f>SUMIFS('свод практик'!$CM$6:$CM$277,'свод практик'!$J$6:$J$277,'строго ИБ'!CH$1,'свод практик'!$B$6:$B$277,"ИБ")</f>
        <v>0</v>
      </c>
      <c r="CI95" s="413">
        <f>SUMIFS('свод практик'!$CM$6:$CM$277,'свод практик'!$J$6:$J$277,'строго ИБ'!CI$1,'свод практик'!$B$6:$B$277,"ИБ")</f>
        <v>0</v>
      </c>
      <c r="CJ95" s="413">
        <f>SUMIFS('свод практик'!$CM$6:$CM$277,'свод практик'!$J$6:$J$277,'строго ИБ'!CJ$1,'свод практик'!$B$6:$B$277,"ИБ")</f>
        <v>0</v>
      </c>
      <c r="CK95" s="413">
        <f>SUMIFS('свод практик'!$CM$6:$CM$277,'свод практик'!$J$6:$J$277,'строго ИБ'!CK$1,'свод практик'!$B$6:$B$277,"ИБ")</f>
        <v>0</v>
      </c>
      <c r="CL95" s="413">
        <f>SUMIFS('свод практик'!$CM$6:$CM$277,'свод практик'!$J$6:$J$277,'строго ИБ'!CL$1,'свод практик'!$B$6:$B$277,"ИБ")</f>
        <v>0</v>
      </c>
      <c r="CM95" s="413">
        <f>SUMIFS('свод практик'!$CM$6:$CM$277,'свод практик'!$J$6:$J$277,'строго ИБ'!CM$1,'свод практик'!$B$6:$B$277,"ИБ")</f>
        <v>0</v>
      </c>
      <c r="CN95" s="413">
        <f>SUMIFS('свод практик'!$CM$6:$CM$277,'свод практик'!$J$6:$J$277,'строго ИБ'!CN$1,'свод практик'!$B$6:$B$277,"ИБ")</f>
        <v>0</v>
      </c>
      <c r="CO95" s="413">
        <f>SUMIFS('свод практик'!$CM$6:$CM$277,'свод практик'!$J$6:$J$277,'строго ИБ'!CO$1,'свод практик'!$B$6:$B$277,"ИБ")</f>
        <v>2</v>
      </c>
      <c r="CP95" s="413">
        <f>SUMIFS('свод практик'!$CM$6:$CM$277,'свод практик'!$J$6:$J$277,'строго ИБ'!CP$1,'свод практик'!$B$6:$B$277,"ИБ")</f>
        <v>0</v>
      </c>
      <c r="CQ95" s="413">
        <f>SUMIFS('свод практик'!$CM$6:$CM$277,'свод практик'!$J$6:$J$277,'строго ИБ'!CQ$1,'свод практик'!$B$6:$B$277,"ИБ")</f>
        <v>0</v>
      </c>
      <c r="CR95" s="413">
        <f>SUMIFS('свод практик'!$CM$6:$CM$277,'свод практик'!$J$6:$J$277,'строго ИБ'!CR$1,'свод практик'!$B$6:$B$277,"ИБ")</f>
        <v>0</v>
      </c>
      <c r="CS95" s="413">
        <f>SUMIFS('свод практик'!$CM$6:$CM$277,'свод практик'!$J$6:$J$277,'строго ИБ'!CS$1,'свод практик'!$B$6:$B$277,"ИБ")</f>
        <v>0</v>
      </c>
      <c r="CT95" s="413">
        <f>SUMIFS('свод практик'!$CM$6:$CM$277,'свод практик'!$J$6:$J$277,'строго ИБ'!CT$1,'свод практик'!$B$6:$B$277,"ИБ")</f>
        <v>4</v>
      </c>
      <c r="CU95" s="413">
        <f>SUMIFS('свод практик'!$CM$6:$CM$277,'свод практик'!$J$6:$J$277,'строго ИБ'!CU$1,'свод практик'!$B$6:$B$277,"ИБ")</f>
        <v>0</v>
      </c>
    </row>
    <row r="96" spans="1:99" ht="21.5" customHeight="1">
      <c r="A96" s="815"/>
      <c r="B96" s="817"/>
      <c r="C96" s="805"/>
      <c r="D96" s="439" t="s">
        <v>4949</v>
      </c>
      <c r="E96" s="439">
        <v>77</v>
      </c>
      <c r="F96" s="440" t="s">
        <v>5182</v>
      </c>
      <c r="G96" s="808"/>
      <c r="H96" s="442" t="s">
        <v>60</v>
      </c>
      <c r="I96" s="443"/>
      <c r="J96" s="444"/>
      <c r="K96" s="2"/>
      <c r="L96" s="383"/>
      <c r="M96" s="384">
        <v>2.7904244382435011E-3</v>
      </c>
      <c r="N96" s="607">
        <f>N95/N107</f>
        <v>2.2384428223844281E-3</v>
      </c>
      <c r="O96" s="607">
        <f t="shared" ref="O96:BZ96" si="52">O95/O107</f>
        <v>0</v>
      </c>
      <c r="P96" s="607">
        <f t="shared" si="52"/>
        <v>0</v>
      </c>
      <c r="Q96" s="607">
        <f t="shared" si="52"/>
        <v>0</v>
      </c>
      <c r="R96" s="607">
        <f t="shared" si="52"/>
        <v>0</v>
      </c>
      <c r="S96" s="607">
        <f t="shared" si="52"/>
        <v>0</v>
      </c>
      <c r="T96" s="607">
        <f t="shared" si="52"/>
        <v>0</v>
      </c>
      <c r="U96" s="607">
        <f t="shared" si="52"/>
        <v>0</v>
      </c>
      <c r="V96" s="607">
        <f t="shared" si="52"/>
        <v>0</v>
      </c>
      <c r="W96" s="607">
        <f t="shared" si="52"/>
        <v>0</v>
      </c>
      <c r="X96" s="607" t="e">
        <f t="shared" si="52"/>
        <v>#DIV/0!</v>
      </c>
      <c r="Y96" s="607" t="e">
        <f t="shared" si="52"/>
        <v>#DIV/0!</v>
      </c>
      <c r="Z96" s="607">
        <f t="shared" si="52"/>
        <v>0</v>
      </c>
      <c r="AA96" s="607">
        <f t="shared" si="52"/>
        <v>0</v>
      </c>
      <c r="AB96" s="607">
        <f t="shared" si="52"/>
        <v>0</v>
      </c>
      <c r="AC96" s="607" t="e">
        <f t="shared" si="52"/>
        <v>#DIV/0!</v>
      </c>
      <c r="AD96" s="607" t="e">
        <f t="shared" si="52"/>
        <v>#DIV/0!</v>
      </c>
      <c r="AE96" s="607" t="e">
        <f t="shared" si="52"/>
        <v>#DIV/0!</v>
      </c>
      <c r="AF96" s="607" t="e">
        <f t="shared" si="52"/>
        <v>#DIV/0!</v>
      </c>
      <c r="AG96" s="607" t="e">
        <f t="shared" si="52"/>
        <v>#DIV/0!</v>
      </c>
      <c r="AH96" s="607" t="e">
        <f t="shared" si="52"/>
        <v>#DIV/0!</v>
      </c>
      <c r="AI96" s="607" t="e">
        <f t="shared" si="52"/>
        <v>#DIV/0!</v>
      </c>
      <c r="AJ96" s="607" t="e">
        <f t="shared" si="52"/>
        <v>#DIV/0!</v>
      </c>
      <c r="AK96" s="607">
        <f t="shared" si="52"/>
        <v>0</v>
      </c>
      <c r="AL96" s="607">
        <f t="shared" si="52"/>
        <v>0</v>
      </c>
      <c r="AM96" s="607" t="e">
        <f t="shared" si="52"/>
        <v>#DIV/0!</v>
      </c>
      <c r="AN96" s="607" t="e">
        <f t="shared" si="52"/>
        <v>#DIV/0!</v>
      </c>
      <c r="AO96" s="607">
        <f t="shared" si="52"/>
        <v>0</v>
      </c>
      <c r="AP96" s="607">
        <f t="shared" si="52"/>
        <v>0</v>
      </c>
      <c r="AQ96" s="607">
        <f t="shared" si="52"/>
        <v>0</v>
      </c>
      <c r="AR96" s="607">
        <f t="shared" si="52"/>
        <v>2.1739130434782608E-2</v>
      </c>
      <c r="AS96" s="607" t="e">
        <f t="shared" si="52"/>
        <v>#DIV/0!</v>
      </c>
      <c r="AT96" s="607" t="e">
        <f t="shared" si="52"/>
        <v>#DIV/0!</v>
      </c>
      <c r="AU96" s="607">
        <f t="shared" si="52"/>
        <v>8.3333333333333332E-3</v>
      </c>
      <c r="AV96" s="607" t="e">
        <f t="shared" si="52"/>
        <v>#DIV/0!</v>
      </c>
      <c r="AW96" s="607">
        <f t="shared" si="52"/>
        <v>0</v>
      </c>
      <c r="AX96" s="607" t="e">
        <f t="shared" si="52"/>
        <v>#DIV/0!</v>
      </c>
      <c r="AY96" s="607">
        <f t="shared" si="52"/>
        <v>0</v>
      </c>
      <c r="AZ96" s="607" t="e">
        <f t="shared" si="52"/>
        <v>#DIV/0!</v>
      </c>
      <c r="BA96" s="607" t="e">
        <f t="shared" si="52"/>
        <v>#DIV/0!</v>
      </c>
      <c r="BB96" s="607">
        <f t="shared" si="52"/>
        <v>0</v>
      </c>
      <c r="BC96" s="607" t="e">
        <f t="shared" si="52"/>
        <v>#DIV/0!</v>
      </c>
      <c r="BD96" s="607" t="e">
        <f t="shared" si="52"/>
        <v>#DIV/0!</v>
      </c>
      <c r="BE96" s="607">
        <f t="shared" si="52"/>
        <v>0</v>
      </c>
      <c r="BF96" s="607">
        <f t="shared" si="52"/>
        <v>0</v>
      </c>
      <c r="BG96" s="607">
        <f t="shared" si="52"/>
        <v>0</v>
      </c>
      <c r="BH96" s="607">
        <f t="shared" si="52"/>
        <v>0</v>
      </c>
      <c r="BI96" s="607">
        <f t="shared" si="52"/>
        <v>0</v>
      </c>
      <c r="BJ96" s="607">
        <f t="shared" si="52"/>
        <v>0</v>
      </c>
      <c r="BK96" s="607" t="e">
        <f t="shared" si="52"/>
        <v>#DIV/0!</v>
      </c>
      <c r="BL96" s="607">
        <f t="shared" si="52"/>
        <v>0</v>
      </c>
      <c r="BM96" s="607">
        <f t="shared" si="52"/>
        <v>0</v>
      </c>
      <c r="BN96" s="607" t="e">
        <f t="shared" si="52"/>
        <v>#DIV/0!</v>
      </c>
      <c r="BO96" s="607">
        <f t="shared" si="52"/>
        <v>0</v>
      </c>
      <c r="BP96" s="607" t="e">
        <f t="shared" si="52"/>
        <v>#DIV/0!</v>
      </c>
      <c r="BQ96" s="607" t="e">
        <f t="shared" si="52"/>
        <v>#DIV/0!</v>
      </c>
      <c r="BR96" s="607">
        <f t="shared" si="52"/>
        <v>0</v>
      </c>
      <c r="BS96" s="607">
        <f t="shared" si="52"/>
        <v>0</v>
      </c>
      <c r="BT96" s="607">
        <f t="shared" si="52"/>
        <v>1.7953321364452424E-2</v>
      </c>
      <c r="BU96" s="607">
        <f t="shared" si="52"/>
        <v>0</v>
      </c>
      <c r="BV96" s="607">
        <f t="shared" si="52"/>
        <v>0</v>
      </c>
      <c r="BW96" s="607">
        <f t="shared" si="52"/>
        <v>0</v>
      </c>
      <c r="BX96" s="607">
        <f t="shared" si="52"/>
        <v>0</v>
      </c>
      <c r="BY96" s="607">
        <f t="shared" si="52"/>
        <v>0</v>
      </c>
      <c r="BZ96" s="607" t="e">
        <f t="shared" si="52"/>
        <v>#DIV/0!</v>
      </c>
      <c r="CA96" s="607" t="e">
        <f t="shared" ref="CA96:CU96" si="53">CA95/CA107</f>
        <v>#DIV/0!</v>
      </c>
      <c r="CB96" s="607" t="e">
        <f t="shared" si="53"/>
        <v>#DIV/0!</v>
      </c>
      <c r="CC96" s="607">
        <f t="shared" si="53"/>
        <v>0</v>
      </c>
      <c r="CD96" s="607">
        <f t="shared" si="53"/>
        <v>0</v>
      </c>
      <c r="CE96" s="607" t="e">
        <f t="shared" si="53"/>
        <v>#DIV/0!</v>
      </c>
      <c r="CF96" s="607">
        <f t="shared" si="53"/>
        <v>0</v>
      </c>
      <c r="CG96" s="607">
        <f t="shared" si="53"/>
        <v>0</v>
      </c>
      <c r="CH96" s="607">
        <f t="shared" si="53"/>
        <v>0</v>
      </c>
      <c r="CI96" s="607" t="e">
        <f t="shared" si="53"/>
        <v>#DIV/0!</v>
      </c>
      <c r="CJ96" s="607" t="e">
        <f t="shared" si="53"/>
        <v>#DIV/0!</v>
      </c>
      <c r="CK96" s="607">
        <f t="shared" si="53"/>
        <v>0</v>
      </c>
      <c r="CL96" s="607">
        <f t="shared" si="53"/>
        <v>0</v>
      </c>
      <c r="CM96" s="607">
        <f t="shared" si="53"/>
        <v>0</v>
      </c>
      <c r="CN96" s="607" t="e">
        <f t="shared" si="53"/>
        <v>#DIV/0!</v>
      </c>
      <c r="CO96" s="607">
        <f t="shared" si="53"/>
        <v>1.0582010582010581E-2</v>
      </c>
      <c r="CP96" s="607">
        <f t="shared" si="53"/>
        <v>0</v>
      </c>
      <c r="CQ96" s="607" t="e">
        <f t="shared" si="53"/>
        <v>#DIV/0!</v>
      </c>
      <c r="CR96" s="607">
        <f t="shared" si="53"/>
        <v>0</v>
      </c>
      <c r="CS96" s="607">
        <f t="shared" si="53"/>
        <v>0</v>
      </c>
      <c r="CT96" s="607">
        <f t="shared" si="53"/>
        <v>4.9382716049382713E-2</v>
      </c>
      <c r="CU96" s="607">
        <f t="shared" si="53"/>
        <v>0</v>
      </c>
    </row>
    <row r="97" spans="1:99" ht="24" customHeight="1">
      <c r="A97" s="815"/>
      <c r="B97" s="817"/>
      <c r="C97" s="805"/>
      <c r="D97" s="439" t="s">
        <v>4949</v>
      </c>
      <c r="E97" s="439">
        <v>78</v>
      </c>
      <c r="F97" s="440" t="s">
        <v>5183</v>
      </c>
      <c r="G97" s="808" t="s">
        <v>5773</v>
      </c>
      <c r="H97" s="442" t="s">
        <v>5140</v>
      </c>
      <c r="I97" s="443"/>
      <c r="J97" s="444"/>
      <c r="K97" s="2" t="s">
        <v>278</v>
      </c>
      <c r="L97" s="385"/>
      <c r="M97" s="351">
        <v>284</v>
      </c>
      <c r="N97" s="580">
        <f t="shared" si="25"/>
        <v>151</v>
      </c>
      <c r="O97" s="413">
        <f>SUMIFS('свод практик'!$CN$6:$CN$277,'свод практик'!$J$6:$J$277,'строго ИБ'!O$1,'свод практик'!$B$6:$B$277,"ИБ")</f>
        <v>0</v>
      </c>
      <c r="P97" s="413">
        <f>SUMIFS('свод практик'!$CN$6:$CN$277,'свод практик'!$J$6:$J$277,'строго ИБ'!P$1,'свод практик'!$B$6:$B$277,"ИБ")</f>
        <v>0</v>
      </c>
      <c r="Q97" s="413">
        <f>SUMIFS('свод практик'!$CN$6:$CN$277,'свод практик'!$J$6:$J$277,'строго ИБ'!Q$1,'свод практик'!$B$6:$B$277,"ИБ")</f>
        <v>0</v>
      </c>
      <c r="R97" s="413">
        <f>SUMIFS('свод практик'!$CN$6:$CN$277,'свод практик'!$J$6:$J$277,'строго ИБ'!R$1,'свод практик'!$B$6:$B$277,"ИБ")</f>
        <v>0</v>
      </c>
      <c r="S97" s="413">
        <f>SUMIFS('свод практик'!$CN$6:$CN$277,'свод практик'!$J$6:$J$277,'строго ИБ'!S$1,'свод практик'!$B$6:$B$277,"ИБ")</f>
        <v>0</v>
      </c>
      <c r="T97" s="413">
        <f>SUMIFS('свод практик'!$CN$6:$CN$277,'свод практик'!$J$6:$J$277,'строго ИБ'!T$1,'свод практик'!$B$6:$B$277,"ИБ")</f>
        <v>0</v>
      </c>
      <c r="U97" s="413">
        <f>SUMIFS('свод практик'!$CN$6:$CN$277,'свод практик'!$J$6:$J$277,'строго ИБ'!U$1,'свод практик'!$B$6:$B$277,"ИБ")</f>
        <v>2</v>
      </c>
      <c r="V97" s="413">
        <f>SUMIFS('свод практик'!$CN$6:$CN$277,'свод практик'!$J$6:$J$277,'строго ИБ'!V$1,'свод практик'!$B$6:$B$277,"ИБ")</f>
        <v>0</v>
      </c>
      <c r="W97" s="413">
        <f>SUMIFS('свод практик'!$CN$6:$CN$277,'свод практик'!$J$6:$J$277,'строго ИБ'!W$1,'свод практик'!$B$6:$B$277,"ИБ")</f>
        <v>0</v>
      </c>
      <c r="X97" s="413">
        <f>SUMIFS('свод практик'!$CN$6:$CN$277,'свод практик'!$J$6:$J$277,'строго ИБ'!X$1,'свод практик'!$B$6:$B$277,"ИБ")</f>
        <v>0</v>
      </c>
      <c r="Y97" s="413">
        <f>SUMIFS('свод практик'!$CN$6:$CN$277,'свод практик'!$J$6:$J$277,'строго ИБ'!Y$1,'свод практик'!$B$6:$B$277,"ИБ")</f>
        <v>0</v>
      </c>
      <c r="Z97" s="413">
        <f>SUMIFS('свод практик'!$CN$6:$CN$277,'свод практик'!$J$6:$J$277,'строго ИБ'!Z$1,'свод практик'!$B$6:$B$277,"ИБ")</f>
        <v>0</v>
      </c>
      <c r="AA97" s="413">
        <f>SUMIFS('свод практик'!$CN$6:$CN$277,'свод практик'!$J$6:$J$277,'строго ИБ'!AA$1,'свод практик'!$B$6:$B$277,"ИБ")</f>
        <v>12</v>
      </c>
      <c r="AB97" s="413">
        <f>SUMIFS('свод практик'!$CN$6:$CN$277,'свод практик'!$J$6:$J$277,'строго ИБ'!AB$1,'свод практик'!$B$6:$B$277,"ИБ")</f>
        <v>0</v>
      </c>
      <c r="AC97" s="413">
        <f>SUMIFS('свод практик'!$CN$6:$CN$277,'свод практик'!$J$6:$J$277,'строго ИБ'!AC$1,'свод практик'!$B$6:$B$277,"ИБ")</f>
        <v>0</v>
      </c>
      <c r="AD97" s="413">
        <f>SUMIFS('свод практик'!$CN$6:$CN$277,'свод практик'!$J$6:$J$277,'строго ИБ'!AD$1,'свод практик'!$B$6:$B$277,"ИБ")</f>
        <v>0</v>
      </c>
      <c r="AE97" s="413">
        <f>SUMIFS('свод практик'!$CN$6:$CN$277,'свод практик'!$J$6:$J$277,'строго ИБ'!AE$1,'свод практик'!$B$6:$B$277,"ИБ")</f>
        <v>0</v>
      </c>
      <c r="AF97" s="413">
        <f>SUMIFS('свод практик'!$CN$6:$CN$277,'свод практик'!$J$6:$J$277,'строго ИБ'!AF$1,'свод практик'!$B$6:$B$277,"ИБ")</f>
        <v>0</v>
      </c>
      <c r="AG97" s="413">
        <f>SUMIFS('свод практик'!$CN$6:$CN$277,'свод практик'!$J$6:$J$277,'строго ИБ'!AG$1,'свод практик'!$B$6:$B$277,"ИБ")</f>
        <v>0</v>
      </c>
      <c r="AH97" s="413">
        <f>SUMIFS('свод практик'!$CN$6:$CN$277,'свод практик'!$J$6:$J$277,'строго ИБ'!AH$1,'свод практик'!$B$6:$B$277,"ИБ")</f>
        <v>0</v>
      </c>
      <c r="AI97" s="413">
        <f>SUMIFS('свод практик'!$CN$6:$CN$277,'свод практик'!$J$6:$J$277,'строго ИБ'!AI$1,'свод практик'!$B$6:$B$277,"ИБ")</f>
        <v>0</v>
      </c>
      <c r="AJ97" s="413">
        <f>SUMIFS('свод практик'!$CN$6:$CN$277,'свод практик'!$J$6:$J$277,'строго ИБ'!AJ$1,'свод практик'!$B$6:$B$277,"ИБ")</f>
        <v>0</v>
      </c>
      <c r="AK97" s="413">
        <f>SUMIFS('свод практик'!$CN$6:$CN$277,'свод практик'!$J$6:$J$277,'строго ИБ'!AK$1,'свод практик'!$B$6:$B$277,"ИБ")</f>
        <v>0</v>
      </c>
      <c r="AL97" s="413">
        <f>SUMIFS('свод практик'!$CN$6:$CN$277,'свод практик'!$J$6:$J$277,'строго ИБ'!AL$1,'свод практик'!$B$6:$B$277,"ИБ")</f>
        <v>0</v>
      </c>
      <c r="AM97" s="413">
        <f>SUMIFS('свод практик'!$CN$6:$CN$277,'свод практик'!$J$6:$J$277,'строго ИБ'!AM$1,'свод практик'!$B$6:$B$277,"ИБ")</f>
        <v>0</v>
      </c>
      <c r="AN97" s="413">
        <f>SUMIFS('свод практик'!$CN$6:$CN$277,'свод практик'!$J$6:$J$277,'строго ИБ'!AN$1,'свод практик'!$B$6:$B$277,"ИБ")</f>
        <v>0</v>
      </c>
      <c r="AO97" s="413">
        <f>SUMIFS('свод практик'!$CN$6:$CN$277,'свод практик'!$J$6:$J$277,'строго ИБ'!AO$1,'свод практик'!$B$6:$B$277,"ИБ")</f>
        <v>0</v>
      </c>
      <c r="AP97" s="413">
        <f>SUMIFS('свод практик'!$CN$6:$CN$277,'свод практик'!$J$6:$J$277,'строго ИБ'!AP$1,'свод практик'!$B$6:$B$277,"ИБ")</f>
        <v>0</v>
      </c>
      <c r="AQ97" s="413">
        <f>SUMIFS('свод практик'!$CN$6:$CN$277,'свод практик'!$J$6:$J$277,'строго ИБ'!AQ$1,'свод практик'!$B$6:$B$277,"ИБ")</f>
        <v>0</v>
      </c>
      <c r="AR97" s="413">
        <f>SUMIFS('свод практик'!$CN$6:$CN$277,'свод практик'!$J$6:$J$277,'строго ИБ'!AR$1,'свод практик'!$B$6:$B$277,"ИБ")</f>
        <v>0</v>
      </c>
      <c r="AS97" s="413">
        <f>SUMIFS('свод практик'!$CN$6:$CN$277,'свод практик'!$J$6:$J$277,'строго ИБ'!AS$1,'свод практик'!$B$6:$B$277,"ИБ")</f>
        <v>0</v>
      </c>
      <c r="AT97" s="413">
        <f>SUMIFS('свод практик'!$CN$6:$CN$277,'свод практик'!$J$6:$J$277,'строго ИБ'!AT$1,'свод практик'!$B$6:$B$277,"ИБ")</f>
        <v>0</v>
      </c>
      <c r="AU97" s="413">
        <f>SUMIFS('свод практик'!$CN$6:$CN$277,'свод практик'!$J$6:$J$277,'строго ИБ'!AU$1,'свод практик'!$B$6:$B$277,"ИБ")</f>
        <v>0</v>
      </c>
      <c r="AV97" s="413">
        <f>SUMIFS('свод практик'!$CN$6:$CN$277,'свод практик'!$J$6:$J$277,'строго ИБ'!AV$1,'свод практик'!$B$6:$B$277,"ИБ")</f>
        <v>0</v>
      </c>
      <c r="AW97" s="413">
        <f>SUMIFS('свод практик'!$CN$6:$CN$277,'свод практик'!$J$6:$J$277,'строго ИБ'!AW$1,'свод практик'!$B$6:$B$277,"ИБ")</f>
        <v>0</v>
      </c>
      <c r="AX97" s="413">
        <f>SUMIFS('свод практик'!$CN$6:$CN$277,'свод практик'!$J$6:$J$277,'строго ИБ'!AX$1,'свод практик'!$B$6:$B$277,"ИБ")</f>
        <v>0</v>
      </c>
      <c r="AY97" s="413">
        <f>SUMIFS('свод практик'!$CN$6:$CN$277,'свод практик'!$J$6:$J$277,'строго ИБ'!AY$1,'свод практик'!$B$6:$B$277,"ИБ")</f>
        <v>0</v>
      </c>
      <c r="AZ97" s="413">
        <f>SUMIFS('свод практик'!$CN$6:$CN$277,'свод практик'!$J$6:$J$277,'строго ИБ'!AZ$1,'свод практик'!$B$6:$B$277,"ИБ")</f>
        <v>0</v>
      </c>
      <c r="BA97" s="413">
        <f>SUMIFS('свод практик'!$CN$6:$CN$277,'свод практик'!$J$6:$J$277,'строго ИБ'!BA$1,'свод практик'!$B$6:$B$277,"ИБ")</f>
        <v>0</v>
      </c>
      <c r="BB97" s="413">
        <f>SUMIFS('свод практик'!$CN$6:$CN$277,'свод практик'!$J$6:$J$277,'строго ИБ'!BB$1,'свод практик'!$B$6:$B$277,"ИБ")</f>
        <v>0</v>
      </c>
      <c r="BC97" s="413">
        <f>SUMIFS('свод практик'!$CN$6:$CN$277,'свод практик'!$J$6:$J$277,'строго ИБ'!BC$1,'свод практик'!$B$6:$B$277,"ИБ")</f>
        <v>0</v>
      </c>
      <c r="BD97" s="413">
        <f>SUMIFS('свод практик'!$CN$6:$CN$277,'свод практик'!$J$6:$J$277,'строго ИБ'!BD$1,'свод практик'!$B$6:$B$277,"ИБ")</f>
        <v>0</v>
      </c>
      <c r="BE97" s="413">
        <f>SUMIFS('свод практик'!$CN$6:$CN$277,'свод практик'!$J$6:$J$277,'строго ИБ'!BE$1,'свод практик'!$B$6:$B$277,"ИБ")</f>
        <v>0</v>
      </c>
      <c r="BF97" s="413">
        <f>SUMIFS('свод практик'!$CN$6:$CN$277,'свод практик'!$J$6:$J$277,'строго ИБ'!BF$1,'свод практик'!$B$6:$B$277,"ИБ")</f>
        <v>0</v>
      </c>
      <c r="BG97" s="413">
        <f>SUMIFS('свод практик'!$CN$6:$CN$277,'свод практик'!$J$6:$J$277,'строго ИБ'!BG$1,'свод практик'!$B$6:$B$277,"ИБ")</f>
        <v>0</v>
      </c>
      <c r="BH97" s="413">
        <f>SUMIFS('свод практик'!$CN$6:$CN$277,'свод практик'!$J$6:$J$277,'строго ИБ'!BH$1,'свод практик'!$B$6:$B$277,"ИБ")</f>
        <v>8</v>
      </c>
      <c r="BI97" s="413">
        <f>SUMIFS('свод практик'!$CN$6:$CN$277,'свод практик'!$J$6:$J$277,'строго ИБ'!BI$1,'свод практик'!$B$6:$B$277,"ИБ")</f>
        <v>0</v>
      </c>
      <c r="BJ97" s="413">
        <f>SUMIFS('свод практик'!$CN$6:$CN$277,'свод практик'!$J$6:$J$277,'строго ИБ'!BJ$1,'свод практик'!$B$6:$B$277,"ИБ")</f>
        <v>2</v>
      </c>
      <c r="BK97" s="413">
        <f>SUMIFS('свод практик'!$CN$6:$CN$277,'свод практик'!$J$6:$J$277,'строго ИБ'!BK$1,'свод практик'!$B$6:$B$277,"ИБ")</f>
        <v>0</v>
      </c>
      <c r="BL97" s="413">
        <f>SUMIFS('свод практик'!$CN$6:$CN$277,'свод практик'!$J$6:$J$277,'строго ИБ'!BL$1,'свод практик'!$B$6:$B$277,"ИБ")</f>
        <v>0</v>
      </c>
      <c r="BM97" s="413">
        <f>SUMIFS('свод практик'!$CN$6:$CN$277,'свод практик'!$J$6:$J$277,'строго ИБ'!BM$1,'свод практик'!$B$6:$B$277,"ИБ")</f>
        <v>0</v>
      </c>
      <c r="BN97" s="413">
        <f>SUMIFS('свод практик'!$CN$6:$CN$277,'свод практик'!$J$6:$J$277,'строго ИБ'!BN$1,'свод практик'!$B$6:$B$277,"ИБ")</f>
        <v>0</v>
      </c>
      <c r="BO97" s="413">
        <f>SUMIFS('свод практик'!$CN$6:$CN$277,'свод практик'!$J$6:$J$277,'строго ИБ'!BO$1,'свод практик'!$B$6:$B$277,"ИБ")</f>
        <v>0</v>
      </c>
      <c r="BP97" s="413">
        <f>SUMIFS('свод практик'!$CN$6:$CN$277,'свод практик'!$J$6:$J$277,'строго ИБ'!BP$1,'свод практик'!$B$6:$B$277,"ИБ")</f>
        <v>0</v>
      </c>
      <c r="BQ97" s="413">
        <f>SUMIFS('свод практик'!$CN$6:$CN$277,'свод практик'!$J$6:$J$277,'строго ИБ'!BQ$1,'свод практик'!$B$6:$B$277,"ИБ")</f>
        <v>0</v>
      </c>
      <c r="BR97" s="413">
        <f>SUMIFS('свод практик'!$CN$6:$CN$277,'свод практик'!$J$6:$J$277,'строго ИБ'!BR$1,'свод практик'!$B$6:$B$277,"ИБ")</f>
        <v>0</v>
      </c>
      <c r="BS97" s="413">
        <f>SUMIFS('свод практик'!$CN$6:$CN$277,'свод практик'!$J$6:$J$277,'строго ИБ'!BS$1,'свод практик'!$B$6:$B$277,"ИБ")</f>
        <v>0</v>
      </c>
      <c r="BT97" s="413">
        <f>SUMIFS('свод практик'!$CN$6:$CN$277,'свод практик'!$J$6:$J$277,'строго ИБ'!BT$1,'свод практик'!$B$6:$B$277,"ИБ")</f>
        <v>0</v>
      </c>
      <c r="BU97" s="413">
        <f>SUMIFS('свод практик'!$CN$6:$CN$277,'свод практик'!$J$6:$J$277,'строго ИБ'!BU$1,'свод практик'!$B$6:$B$277,"ИБ")</f>
        <v>0</v>
      </c>
      <c r="BV97" s="413">
        <f>SUMIFS('свод практик'!$CN$6:$CN$277,'свод практик'!$J$6:$J$277,'строго ИБ'!BV$1,'свод практик'!$B$6:$B$277,"ИБ")</f>
        <v>0</v>
      </c>
      <c r="BW97" s="413">
        <f>SUMIFS('свод практик'!$CN$6:$CN$277,'свод практик'!$J$6:$J$277,'строго ИБ'!BW$1,'свод практик'!$B$6:$B$277,"ИБ")</f>
        <v>0</v>
      </c>
      <c r="BX97" s="413">
        <f>SUMIFS('свод практик'!$CN$6:$CN$277,'свод практик'!$J$6:$J$277,'строго ИБ'!BX$1,'свод практик'!$B$6:$B$277,"ИБ")</f>
        <v>0</v>
      </c>
      <c r="BY97" s="413">
        <f>SUMIFS('свод практик'!$CN$6:$CN$277,'свод практик'!$J$6:$J$277,'строго ИБ'!BY$1,'свод практик'!$B$6:$B$277,"ИБ")</f>
        <v>0</v>
      </c>
      <c r="BZ97" s="413">
        <f>SUMIFS('свод практик'!$CN$6:$CN$277,'свод практик'!$J$6:$J$277,'строго ИБ'!BZ$1,'свод практик'!$B$6:$B$277,"ИБ")</f>
        <v>0</v>
      </c>
      <c r="CA97" s="413">
        <f>SUMIFS('свод практик'!$CN$6:$CN$277,'свод практик'!$J$6:$J$277,'строго ИБ'!CA$1,'свод практик'!$B$6:$B$277,"ИБ")</f>
        <v>0</v>
      </c>
      <c r="CB97" s="413">
        <f>SUMIFS('свод практик'!$CN$6:$CN$277,'свод практик'!$J$6:$J$277,'строго ИБ'!CB$1,'свод практик'!$B$6:$B$277,"ИБ")</f>
        <v>0</v>
      </c>
      <c r="CC97" s="413">
        <f>SUMIFS('свод практик'!$CN$6:$CN$277,'свод практик'!$J$6:$J$277,'строго ИБ'!CC$1,'свод практик'!$B$6:$B$277,"ИБ")</f>
        <v>0</v>
      </c>
      <c r="CD97" s="413">
        <f>SUMIFS('свод практик'!$CN$6:$CN$277,'свод практик'!$J$6:$J$277,'строго ИБ'!CD$1,'свод практик'!$B$6:$B$277,"ИБ")</f>
        <v>3</v>
      </c>
      <c r="CE97" s="413">
        <f>SUMIFS('свод практик'!$CN$6:$CN$277,'свод практик'!$J$6:$J$277,'строго ИБ'!CE$1,'свод практик'!$B$6:$B$277,"ИБ")</f>
        <v>0</v>
      </c>
      <c r="CF97" s="413">
        <f>SUMIFS('свод практик'!$CN$6:$CN$277,'свод практик'!$J$6:$J$277,'строго ИБ'!CF$1,'свод практик'!$B$6:$B$277,"ИБ")</f>
        <v>0</v>
      </c>
      <c r="CG97" s="413">
        <f>SUMIFS('свод практик'!$CN$6:$CN$277,'свод практик'!$J$6:$J$277,'строго ИБ'!CG$1,'свод практик'!$B$6:$B$277,"ИБ")</f>
        <v>0</v>
      </c>
      <c r="CH97" s="413">
        <f>SUMIFS('свод практик'!$CN$6:$CN$277,'свод практик'!$J$6:$J$277,'строго ИБ'!CH$1,'свод практик'!$B$6:$B$277,"ИБ")</f>
        <v>123</v>
      </c>
      <c r="CI97" s="413">
        <f>SUMIFS('свод практик'!$CN$6:$CN$277,'свод практик'!$J$6:$J$277,'строго ИБ'!CI$1,'свод практик'!$B$6:$B$277,"ИБ")</f>
        <v>0</v>
      </c>
      <c r="CJ97" s="413">
        <f>SUMIFS('свод практик'!$CN$6:$CN$277,'свод практик'!$J$6:$J$277,'строго ИБ'!CJ$1,'свод практик'!$B$6:$B$277,"ИБ")</f>
        <v>0</v>
      </c>
      <c r="CK97" s="413">
        <f>SUMIFS('свод практик'!$CN$6:$CN$277,'свод практик'!$J$6:$J$277,'строго ИБ'!CK$1,'свод практик'!$B$6:$B$277,"ИБ")</f>
        <v>0</v>
      </c>
      <c r="CL97" s="413">
        <f>SUMIFS('свод практик'!$CN$6:$CN$277,'свод практик'!$J$6:$J$277,'строго ИБ'!CL$1,'свод практик'!$B$6:$B$277,"ИБ")</f>
        <v>0</v>
      </c>
      <c r="CM97" s="413">
        <f>SUMIFS('свод практик'!$CN$6:$CN$277,'свод практик'!$J$6:$J$277,'строго ИБ'!CM$1,'свод практик'!$B$6:$B$277,"ИБ")</f>
        <v>0</v>
      </c>
      <c r="CN97" s="413">
        <f>SUMIFS('свод практик'!$CN$6:$CN$277,'свод практик'!$J$6:$J$277,'строго ИБ'!CN$1,'свод практик'!$B$6:$B$277,"ИБ")</f>
        <v>0</v>
      </c>
      <c r="CO97" s="413">
        <f>SUMIFS('свод практик'!$CN$6:$CN$277,'свод практик'!$J$6:$J$277,'строго ИБ'!CO$1,'свод практик'!$B$6:$B$277,"ИБ")</f>
        <v>0</v>
      </c>
      <c r="CP97" s="413">
        <f>SUMIFS('свод практик'!$CN$6:$CN$277,'свод практик'!$J$6:$J$277,'строго ИБ'!CP$1,'свод практик'!$B$6:$B$277,"ИБ")</f>
        <v>0</v>
      </c>
      <c r="CQ97" s="413">
        <f>SUMIFS('свод практик'!$CN$6:$CN$277,'свод практик'!$J$6:$J$277,'строго ИБ'!CQ$1,'свод практик'!$B$6:$B$277,"ИБ")</f>
        <v>0</v>
      </c>
      <c r="CR97" s="413">
        <f>SUMIFS('свод практик'!$CN$6:$CN$277,'свод практик'!$J$6:$J$277,'строго ИБ'!CR$1,'свод практик'!$B$6:$B$277,"ИБ")</f>
        <v>0</v>
      </c>
      <c r="CS97" s="413">
        <f>SUMIFS('свод практик'!$CN$6:$CN$277,'свод практик'!$J$6:$J$277,'строго ИБ'!CS$1,'свод практик'!$B$6:$B$277,"ИБ")</f>
        <v>0</v>
      </c>
      <c r="CT97" s="413">
        <f>SUMIFS('свод практик'!$CN$6:$CN$277,'свод практик'!$J$6:$J$277,'строго ИБ'!CT$1,'свод практик'!$B$6:$B$277,"ИБ")</f>
        <v>1</v>
      </c>
      <c r="CU97" s="413">
        <f>SUMIFS('свод практик'!$CN$6:$CN$277,'свод практик'!$J$6:$J$277,'строго ИБ'!CU$1,'свод практик'!$B$6:$B$277,"ИБ")</f>
        <v>0</v>
      </c>
    </row>
    <row r="98" spans="1:99" ht="21" customHeight="1">
      <c r="A98" s="815"/>
      <c r="B98" s="817"/>
      <c r="C98" s="805"/>
      <c r="D98" s="439" t="s">
        <v>4949</v>
      </c>
      <c r="E98" s="439">
        <v>79</v>
      </c>
      <c r="F98" s="440" t="s">
        <v>5185</v>
      </c>
      <c r="G98" s="808"/>
      <c r="H98" s="442" t="s">
        <v>60</v>
      </c>
      <c r="I98" s="443"/>
      <c r="J98" s="444"/>
      <c r="K98" s="2"/>
      <c r="L98" s="383"/>
      <c r="M98" s="384">
        <v>4.1709502129534441E-2</v>
      </c>
      <c r="N98" s="607">
        <f>N97/N107</f>
        <v>1.4695863746958637E-2</v>
      </c>
      <c r="O98" s="607">
        <f t="shared" ref="O98:BZ98" si="54">O97/O107</f>
        <v>0</v>
      </c>
      <c r="P98" s="607">
        <f t="shared" si="54"/>
        <v>0</v>
      </c>
      <c r="Q98" s="607">
        <f t="shared" si="54"/>
        <v>0</v>
      </c>
      <c r="R98" s="607">
        <f t="shared" si="54"/>
        <v>0</v>
      </c>
      <c r="S98" s="607">
        <f t="shared" si="54"/>
        <v>0</v>
      </c>
      <c r="T98" s="607">
        <f t="shared" si="54"/>
        <v>0</v>
      </c>
      <c r="U98" s="607">
        <f t="shared" si="54"/>
        <v>1.5384615384615385E-3</v>
      </c>
      <c r="V98" s="607">
        <f t="shared" si="54"/>
        <v>0</v>
      </c>
      <c r="W98" s="607">
        <f t="shared" si="54"/>
        <v>0</v>
      </c>
      <c r="X98" s="607" t="e">
        <f t="shared" si="54"/>
        <v>#DIV/0!</v>
      </c>
      <c r="Y98" s="607" t="e">
        <f t="shared" si="54"/>
        <v>#DIV/0!</v>
      </c>
      <c r="Z98" s="607">
        <f t="shared" si="54"/>
        <v>0</v>
      </c>
      <c r="AA98" s="607">
        <f t="shared" si="54"/>
        <v>1.3437849944008958E-2</v>
      </c>
      <c r="AB98" s="607">
        <f t="shared" si="54"/>
        <v>0</v>
      </c>
      <c r="AC98" s="607" t="e">
        <f t="shared" si="54"/>
        <v>#DIV/0!</v>
      </c>
      <c r="AD98" s="607" t="e">
        <f t="shared" si="54"/>
        <v>#DIV/0!</v>
      </c>
      <c r="AE98" s="607" t="e">
        <f t="shared" si="54"/>
        <v>#DIV/0!</v>
      </c>
      <c r="AF98" s="607" t="e">
        <f t="shared" si="54"/>
        <v>#DIV/0!</v>
      </c>
      <c r="AG98" s="607" t="e">
        <f t="shared" si="54"/>
        <v>#DIV/0!</v>
      </c>
      <c r="AH98" s="607" t="e">
        <f t="shared" si="54"/>
        <v>#DIV/0!</v>
      </c>
      <c r="AI98" s="607" t="e">
        <f t="shared" si="54"/>
        <v>#DIV/0!</v>
      </c>
      <c r="AJ98" s="607" t="e">
        <f t="shared" si="54"/>
        <v>#DIV/0!</v>
      </c>
      <c r="AK98" s="607">
        <f t="shared" si="54"/>
        <v>0</v>
      </c>
      <c r="AL98" s="607">
        <f t="shared" si="54"/>
        <v>0</v>
      </c>
      <c r="AM98" s="607" t="e">
        <f t="shared" si="54"/>
        <v>#DIV/0!</v>
      </c>
      <c r="AN98" s="607" t="e">
        <f t="shared" si="54"/>
        <v>#DIV/0!</v>
      </c>
      <c r="AO98" s="607">
        <f t="shared" si="54"/>
        <v>0</v>
      </c>
      <c r="AP98" s="607">
        <f t="shared" si="54"/>
        <v>0</v>
      </c>
      <c r="AQ98" s="607">
        <f t="shared" si="54"/>
        <v>0</v>
      </c>
      <c r="AR98" s="607">
        <f t="shared" si="54"/>
        <v>0</v>
      </c>
      <c r="AS98" s="607" t="e">
        <f t="shared" si="54"/>
        <v>#DIV/0!</v>
      </c>
      <c r="AT98" s="607" t="e">
        <f t="shared" si="54"/>
        <v>#DIV/0!</v>
      </c>
      <c r="AU98" s="607">
        <f t="shared" si="54"/>
        <v>0</v>
      </c>
      <c r="AV98" s="607" t="e">
        <f t="shared" si="54"/>
        <v>#DIV/0!</v>
      </c>
      <c r="AW98" s="607">
        <f t="shared" si="54"/>
        <v>0</v>
      </c>
      <c r="AX98" s="607" t="e">
        <f t="shared" si="54"/>
        <v>#DIV/0!</v>
      </c>
      <c r="AY98" s="607">
        <f t="shared" si="54"/>
        <v>0</v>
      </c>
      <c r="AZ98" s="607" t="e">
        <f t="shared" si="54"/>
        <v>#DIV/0!</v>
      </c>
      <c r="BA98" s="607" t="e">
        <f t="shared" si="54"/>
        <v>#DIV/0!</v>
      </c>
      <c r="BB98" s="607">
        <f t="shared" si="54"/>
        <v>0</v>
      </c>
      <c r="BC98" s="607" t="e">
        <f t="shared" si="54"/>
        <v>#DIV/0!</v>
      </c>
      <c r="BD98" s="607" t="e">
        <f t="shared" si="54"/>
        <v>#DIV/0!</v>
      </c>
      <c r="BE98" s="607">
        <f t="shared" si="54"/>
        <v>0</v>
      </c>
      <c r="BF98" s="607">
        <f t="shared" si="54"/>
        <v>0</v>
      </c>
      <c r="BG98" s="607">
        <f t="shared" si="54"/>
        <v>0</v>
      </c>
      <c r="BH98" s="607">
        <f t="shared" si="54"/>
        <v>1.3490725126475547E-2</v>
      </c>
      <c r="BI98" s="607">
        <f t="shared" si="54"/>
        <v>0</v>
      </c>
      <c r="BJ98" s="607">
        <f t="shared" si="54"/>
        <v>9.852216748768473E-3</v>
      </c>
      <c r="BK98" s="607" t="e">
        <f t="shared" si="54"/>
        <v>#DIV/0!</v>
      </c>
      <c r="BL98" s="607">
        <f t="shared" si="54"/>
        <v>0</v>
      </c>
      <c r="BM98" s="607">
        <f t="shared" si="54"/>
        <v>0</v>
      </c>
      <c r="BN98" s="607" t="e">
        <f t="shared" si="54"/>
        <v>#DIV/0!</v>
      </c>
      <c r="BO98" s="607">
        <f t="shared" si="54"/>
        <v>0</v>
      </c>
      <c r="BP98" s="607" t="e">
        <f t="shared" si="54"/>
        <v>#DIV/0!</v>
      </c>
      <c r="BQ98" s="607" t="e">
        <f t="shared" si="54"/>
        <v>#DIV/0!</v>
      </c>
      <c r="BR98" s="607">
        <f t="shared" si="54"/>
        <v>0</v>
      </c>
      <c r="BS98" s="607">
        <f t="shared" si="54"/>
        <v>0</v>
      </c>
      <c r="BT98" s="607">
        <f t="shared" si="54"/>
        <v>0</v>
      </c>
      <c r="BU98" s="607">
        <f t="shared" si="54"/>
        <v>0</v>
      </c>
      <c r="BV98" s="607">
        <f t="shared" si="54"/>
        <v>0</v>
      </c>
      <c r="BW98" s="607">
        <f t="shared" si="54"/>
        <v>0</v>
      </c>
      <c r="BX98" s="607">
        <f t="shared" si="54"/>
        <v>0</v>
      </c>
      <c r="BY98" s="607">
        <f t="shared" si="54"/>
        <v>0</v>
      </c>
      <c r="BZ98" s="607" t="e">
        <f t="shared" si="54"/>
        <v>#DIV/0!</v>
      </c>
      <c r="CA98" s="607" t="e">
        <f t="shared" ref="CA98:CT98" si="55">CA97/CA107</f>
        <v>#DIV/0!</v>
      </c>
      <c r="CB98" s="607" t="e">
        <f t="shared" si="55"/>
        <v>#DIV/0!</v>
      </c>
      <c r="CC98" s="607">
        <f t="shared" si="55"/>
        <v>0</v>
      </c>
      <c r="CD98" s="607">
        <f t="shared" si="55"/>
        <v>5.5555555555555558E-3</v>
      </c>
      <c r="CE98" s="607" t="e">
        <f t="shared" si="55"/>
        <v>#DIV/0!</v>
      </c>
      <c r="CF98" s="607">
        <f t="shared" si="55"/>
        <v>0</v>
      </c>
      <c r="CG98" s="607">
        <f t="shared" si="55"/>
        <v>0</v>
      </c>
      <c r="CH98" s="607">
        <f t="shared" si="55"/>
        <v>0.24308300395256918</v>
      </c>
      <c r="CI98" s="607" t="e">
        <f t="shared" si="55"/>
        <v>#DIV/0!</v>
      </c>
      <c r="CJ98" s="607" t="e">
        <f t="shared" si="55"/>
        <v>#DIV/0!</v>
      </c>
      <c r="CK98" s="607">
        <f t="shared" si="55"/>
        <v>0</v>
      </c>
      <c r="CL98" s="607">
        <f t="shared" si="55"/>
        <v>0</v>
      </c>
      <c r="CM98" s="607">
        <f t="shared" si="55"/>
        <v>0</v>
      </c>
      <c r="CN98" s="607" t="e">
        <f t="shared" si="55"/>
        <v>#DIV/0!</v>
      </c>
      <c r="CO98" s="607">
        <f t="shared" si="55"/>
        <v>0</v>
      </c>
      <c r="CP98" s="607">
        <f t="shared" si="55"/>
        <v>0</v>
      </c>
      <c r="CQ98" s="607" t="e">
        <f t="shared" si="55"/>
        <v>#DIV/0!</v>
      </c>
      <c r="CR98" s="607">
        <f t="shared" si="55"/>
        <v>0</v>
      </c>
      <c r="CS98" s="607">
        <f t="shared" si="55"/>
        <v>0</v>
      </c>
      <c r="CT98" s="607">
        <f t="shared" si="55"/>
        <v>1.2345679012345678E-2</v>
      </c>
      <c r="CU98" s="607">
        <f>CU97/CU107</f>
        <v>0</v>
      </c>
    </row>
    <row r="99" spans="1:99" ht="25.5" customHeight="1">
      <c r="A99" s="815"/>
      <c r="B99" s="817"/>
      <c r="C99" s="805"/>
      <c r="D99" s="439" t="s">
        <v>4949</v>
      </c>
      <c r="E99" s="439">
        <v>80</v>
      </c>
      <c r="F99" s="440" t="s">
        <v>5186</v>
      </c>
      <c r="G99" s="808" t="s">
        <v>5774</v>
      </c>
      <c r="H99" s="442" t="s">
        <v>5140</v>
      </c>
      <c r="I99" s="443"/>
      <c r="J99" s="444"/>
      <c r="K99" s="2" t="s">
        <v>278</v>
      </c>
      <c r="L99" s="385"/>
      <c r="M99" s="351">
        <v>3</v>
      </c>
      <c r="N99" s="580">
        <f t="shared" si="25"/>
        <v>21</v>
      </c>
      <c r="O99" s="413">
        <f>SUMIFS('свод практик'!$CO$6:$CO$277,'свод практик'!$J$6:$J$277,'строго ИБ'!O$1,'свод практик'!$B$6:$B$277,"ИБ")</f>
        <v>0</v>
      </c>
      <c r="P99" s="413">
        <f>SUMIFS('свод практик'!$CO$6:$CO$277,'свод практик'!$J$6:$J$277,'строго ИБ'!P$1,'свод практик'!$B$6:$B$277,"ИБ")</f>
        <v>0</v>
      </c>
      <c r="Q99" s="413">
        <f>SUMIFS('свод практик'!$CO$6:$CO$277,'свод практик'!$J$6:$J$277,'строго ИБ'!Q$1,'свод практик'!$B$6:$B$277,"ИБ")</f>
        <v>0</v>
      </c>
      <c r="R99" s="413">
        <f>SUMIFS('свод практик'!$CO$6:$CO$277,'свод практик'!$J$6:$J$277,'строго ИБ'!R$1,'свод практик'!$B$6:$B$277,"ИБ")</f>
        <v>0</v>
      </c>
      <c r="S99" s="413">
        <f>SUMIFS('свод практик'!$CO$6:$CO$277,'свод практик'!$J$6:$J$277,'строго ИБ'!S$1,'свод практик'!$B$6:$B$277,"ИБ")</f>
        <v>0</v>
      </c>
      <c r="T99" s="413">
        <f>SUMIFS('свод практик'!$CO$6:$CO$277,'свод практик'!$J$6:$J$277,'строго ИБ'!T$1,'свод практик'!$B$6:$B$277,"ИБ")</f>
        <v>0</v>
      </c>
      <c r="U99" s="413">
        <f>SUMIFS('свод практик'!$CO$6:$CO$277,'свод практик'!$J$6:$J$277,'строго ИБ'!U$1,'свод практик'!$B$6:$B$277,"ИБ")</f>
        <v>0</v>
      </c>
      <c r="V99" s="413">
        <f>SUMIFS('свод практик'!$CO$6:$CO$277,'свод практик'!$J$6:$J$277,'строго ИБ'!V$1,'свод практик'!$B$6:$B$277,"ИБ")</f>
        <v>0</v>
      </c>
      <c r="W99" s="413">
        <f>SUMIFS('свод практик'!$CO$6:$CO$277,'свод практик'!$J$6:$J$277,'строго ИБ'!W$1,'свод практик'!$B$6:$B$277,"ИБ")</f>
        <v>0</v>
      </c>
      <c r="X99" s="413">
        <f>SUMIFS('свод практик'!$CO$6:$CO$277,'свод практик'!$J$6:$J$277,'строго ИБ'!X$1,'свод практик'!$B$6:$B$277,"ИБ")</f>
        <v>0</v>
      </c>
      <c r="Y99" s="413">
        <f>SUMIFS('свод практик'!$CO$6:$CO$277,'свод практик'!$J$6:$J$277,'строго ИБ'!Y$1,'свод практик'!$B$6:$B$277,"ИБ")</f>
        <v>0</v>
      </c>
      <c r="Z99" s="413">
        <f>SUMIFS('свод практик'!$CO$6:$CO$277,'свод практик'!$J$6:$J$277,'строго ИБ'!Z$1,'свод практик'!$B$6:$B$277,"ИБ")</f>
        <v>0</v>
      </c>
      <c r="AA99" s="413">
        <f>SUMIFS('свод практик'!$CO$6:$CO$277,'свод практик'!$J$6:$J$277,'строго ИБ'!AA$1,'свод практик'!$B$6:$B$277,"ИБ")</f>
        <v>0</v>
      </c>
      <c r="AB99" s="413">
        <f>SUMIFS('свод практик'!$CO$6:$CO$277,'свод практик'!$J$6:$J$277,'строго ИБ'!AB$1,'свод практик'!$B$6:$B$277,"ИБ")</f>
        <v>0</v>
      </c>
      <c r="AC99" s="413">
        <f>SUMIFS('свод практик'!$CO$6:$CO$277,'свод практик'!$J$6:$J$277,'строго ИБ'!AC$1,'свод практик'!$B$6:$B$277,"ИБ")</f>
        <v>0</v>
      </c>
      <c r="AD99" s="413">
        <f>SUMIFS('свод практик'!$CO$6:$CO$277,'свод практик'!$J$6:$J$277,'строго ИБ'!AD$1,'свод практик'!$B$6:$B$277,"ИБ")</f>
        <v>0</v>
      </c>
      <c r="AE99" s="413">
        <f>SUMIFS('свод практик'!$CO$6:$CO$277,'свод практик'!$J$6:$J$277,'строго ИБ'!AE$1,'свод практик'!$B$6:$B$277,"ИБ")</f>
        <v>0</v>
      </c>
      <c r="AF99" s="413">
        <f>SUMIFS('свод практик'!$CO$6:$CO$277,'свод практик'!$J$6:$J$277,'строго ИБ'!AF$1,'свод практик'!$B$6:$B$277,"ИБ")</f>
        <v>0</v>
      </c>
      <c r="AG99" s="413">
        <f>SUMIFS('свод практик'!$CO$6:$CO$277,'свод практик'!$J$6:$J$277,'строго ИБ'!AG$1,'свод практик'!$B$6:$B$277,"ИБ")</f>
        <v>0</v>
      </c>
      <c r="AH99" s="413">
        <f>SUMIFS('свод практик'!$CO$6:$CO$277,'свод практик'!$J$6:$J$277,'строго ИБ'!AH$1,'свод практик'!$B$6:$B$277,"ИБ")</f>
        <v>0</v>
      </c>
      <c r="AI99" s="413">
        <f>SUMIFS('свод практик'!$CO$6:$CO$277,'свод практик'!$J$6:$J$277,'строго ИБ'!AI$1,'свод практик'!$B$6:$B$277,"ИБ")</f>
        <v>0</v>
      </c>
      <c r="AJ99" s="413">
        <f>SUMIFS('свод практик'!$CO$6:$CO$277,'свод практик'!$J$6:$J$277,'строго ИБ'!AJ$1,'свод практик'!$B$6:$B$277,"ИБ")</f>
        <v>0</v>
      </c>
      <c r="AK99" s="413">
        <f>SUMIFS('свод практик'!$CO$6:$CO$277,'свод практик'!$J$6:$J$277,'строго ИБ'!AK$1,'свод практик'!$B$6:$B$277,"ИБ")</f>
        <v>0</v>
      </c>
      <c r="AL99" s="413">
        <f>SUMIFS('свод практик'!$CO$6:$CO$277,'свод практик'!$J$6:$J$277,'строго ИБ'!AL$1,'свод практик'!$B$6:$B$277,"ИБ")</f>
        <v>0</v>
      </c>
      <c r="AM99" s="413">
        <f>SUMIFS('свод практик'!$CO$6:$CO$277,'свод практик'!$J$6:$J$277,'строго ИБ'!AM$1,'свод практик'!$B$6:$B$277,"ИБ")</f>
        <v>0</v>
      </c>
      <c r="AN99" s="413">
        <f>SUMIFS('свод практик'!$CO$6:$CO$277,'свод практик'!$J$6:$J$277,'строго ИБ'!AN$1,'свод практик'!$B$6:$B$277,"ИБ")</f>
        <v>0</v>
      </c>
      <c r="AO99" s="413">
        <f>SUMIFS('свод практик'!$CO$6:$CO$277,'свод практик'!$J$6:$J$277,'строго ИБ'!AO$1,'свод практик'!$B$6:$B$277,"ИБ")</f>
        <v>0</v>
      </c>
      <c r="AP99" s="413">
        <f>SUMIFS('свод практик'!$CO$6:$CO$277,'свод практик'!$J$6:$J$277,'строго ИБ'!AP$1,'свод практик'!$B$6:$B$277,"ИБ")</f>
        <v>0</v>
      </c>
      <c r="AQ99" s="413">
        <f>SUMIFS('свод практик'!$CO$6:$CO$277,'свод практик'!$J$6:$J$277,'строго ИБ'!AQ$1,'свод практик'!$B$6:$B$277,"ИБ")</f>
        <v>0</v>
      </c>
      <c r="AR99" s="413">
        <f>SUMIFS('свод практик'!$CO$6:$CO$277,'свод практик'!$J$6:$J$277,'строго ИБ'!AR$1,'свод практик'!$B$6:$B$277,"ИБ")</f>
        <v>0</v>
      </c>
      <c r="AS99" s="413">
        <f>SUMIFS('свод практик'!$CO$6:$CO$277,'свод практик'!$J$6:$J$277,'строго ИБ'!AS$1,'свод практик'!$B$6:$B$277,"ИБ")</f>
        <v>0</v>
      </c>
      <c r="AT99" s="413">
        <f>SUMIFS('свод практик'!$CO$6:$CO$277,'свод практик'!$J$6:$J$277,'строго ИБ'!AT$1,'свод практик'!$B$6:$B$277,"ИБ")</f>
        <v>0</v>
      </c>
      <c r="AU99" s="413">
        <f>SUMIFS('свод практик'!$CO$6:$CO$277,'свод практик'!$J$6:$J$277,'строго ИБ'!AU$1,'свод практик'!$B$6:$B$277,"ИБ")</f>
        <v>0</v>
      </c>
      <c r="AV99" s="413">
        <f>SUMIFS('свод практик'!$CO$6:$CO$277,'свод практик'!$J$6:$J$277,'строго ИБ'!AV$1,'свод практик'!$B$6:$B$277,"ИБ")</f>
        <v>0</v>
      </c>
      <c r="AW99" s="413">
        <f>SUMIFS('свод практик'!$CO$6:$CO$277,'свод практик'!$J$6:$J$277,'строго ИБ'!AW$1,'свод практик'!$B$6:$B$277,"ИБ")</f>
        <v>0</v>
      </c>
      <c r="AX99" s="413">
        <f>SUMIFS('свод практик'!$CO$6:$CO$277,'свод практик'!$J$6:$J$277,'строго ИБ'!AX$1,'свод практик'!$B$6:$B$277,"ИБ")</f>
        <v>0</v>
      </c>
      <c r="AY99" s="413">
        <f>SUMIFS('свод практик'!$CO$6:$CO$277,'свод практик'!$J$6:$J$277,'строго ИБ'!AY$1,'свод практик'!$B$6:$B$277,"ИБ")</f>
        <v>0</v>
      </c>
      <c r="AZ99" s="413">
        <f>SUMIFS('свод практик'!$CO$6:$CO$277,'свод практик'!$J$6:$J$277,'строго ИБ'!AZ$1,'свод практик'!$B$6:$B$277,"ИБ")</f>
        <v>0</v>
      </c>
      <c r="BA99" s="413">
        <f>SUMIFS('свод практик'!$CO$6:$CO$277,'свод практик'!$J$6:$J$277,'строго ИБ'!BA$1,'свод практик'!$B$6:$B$277,"ИБ")</f>
        <v>0</v>
      </c>
      <c r="BB99" s="413">
        <f>SUMIFS('свод практик'!$CO$6:$CO$277,'свод практик'!$J$6:$J$277,'строго ИБ'!BB$1,'свод практик'!$B$6:$B$277,"ИБ")</f>
        <v>0</v>
      </c>
      <c r="BC99" s="413">
        <f>SUMIFS('свод практик'!$CO$6:$CO$277,'свод практик'!$J$6:$J$277,'строго ИБ'!BC$1,'свод практик'!$B$6:$B$277,"ИБ")</f>
        <v>0</v>
      </c>
      <c r="BD99" s="413">
        <f>SUMIFS('свод практик'!$CO$6:$CO$277,'свод практик'!$J$6:$J$277,'строго ИБ'!BD$1,'свод практик'!$B$6:$B$277,"ИБ")</f>
        <v>0</v>
      </c>
      <c r="BE99" s="413">
        <f>SUMIFS('свод практик'!$CO$6:$CO$277,'свод практик'!$J$6:$J$277,'строго ИБ'!BE$1,'свод практик'!$B$6:$B$277,"ИБ")</f>
        <v>0</v>
      </c>
      <c r="BF99" s="413">
        <f>SUMIFS('свод практик'!$CO$6:$CO$277,'свод практик'!$J$6:$J$277,'строго ИБ'!BF$1,'свод практик'!$B$6:$B$277,"ИБ")</f>
        <v>0</v>
      </c>
      <c r="BG99" s="413">
        <f>SUMIFS('свод практик'!$CO$6:$CO$277,'свод практик'!$J$6:$J$277,'строго ИБ'!BG$1,'свод практик'!$B$6:$B$277,"ИБ")</f>
        <v>0</v>
      </c>
      <c r="BH99" s="413">
        <f>SUMIFS('свод практик'!$CO$6:$CO$277,'свод практик'!$J$6:$J$277,'строго ИБ'!BH$1,'свод практик'!$B$6:$B$277,"ИБ")</f>
        <v>2</v>
      </c>
      <c r="BI99" s="413">
        <f>SUMIFS('свод практик'!$CO$6:$CO$277,'свод практик'!$J$6:$J$277,'строго ИБ'!BI$1,'свод практик'!$B$6:$B$277,"ИБ")</f>
        <v>0</v>
      </c>
      <c r="BJ99" s="413">
        <f>SUMIFS('свод практик'!$CO$6:$CO$277,'свод практик'!$J$6:$J$277,'строго ИБ'!BJ$1,'свод практик'!$B$6:$B$277,"ИБ")</f>
        <v>0</v>
      </c>
      <c r="BK99" s="413">
        <f>SUMIFS('свод практик'!$CO$6:$CO$277,'свод практик'!$J$6:$J$277,'строго ИБ'!BK$1,'свод практик'!$B$6:$B$277,"ИБ")</f>
        <v>0</v>
      </c>
      <c r="BL99" s="413">
        <f>SUMIFS('свод практик'!$CO$6:$CO$277,'свод практик'!$J$6:$J$277,'строго ИБ'!BL$1,'свод практик'!$B$6:$B$277,"ИБ")</f>
        <v>0</v>
      </c>
      <c r="BM99" s="413">
        <f>SUMIFS('свод практик'!$CO$6:$CO$277,'свод практик'!$J$6:$J$277,'строго ИБ'!BM$1,'свод практик'!$B$6:$B$277,"ИБ")</f>
        <v>0</v>
      </c>
      <c r="BN99" s="413">
        <f>SUMIFS('свод практик'!$CO$6:$CO$277,'свод практик'!$J$6:$J$277,'строго ИБ'!BN$1,'свод практик'!$B$6:$B$277,"ИБ")</f>
        <v>0</v>
      </c>
      <c r="BO99" s="413">
        <f>SUMIFS('свод практик'!$CO$6:$CO$277,'свод практик'!$J$6:$J$277,'строго ИБ'!BO$1,'свод практик'!$B$6:$B$277,"ИБ")</f>
        <v>0</v>
      </c>
      <c r="BP99" s="413">
        <f>SUMIFS('свод практик'!$CO$6:$CO$277,'свод практик'!$J$6:$J$277,'строго ИБ'!BP$1,'свод практик'!$B$6:$B$277,"ИБ")</f>
        <v>0</v>
      </c>
      <c r="BQ99" s="413">
        <f>SUMIFS('свод практик'!$CO$6:$CO$277,'свод практик'!$J$6:$J$277,'строго ИБ'!BQ$1,'свод практик'!$B$6:$B$277,"ИБ")</f>
        <v>0</v>
      </c>
      <c r="BR99" s="413">
        <f>SUMIFS('свод практик'!$CO$6:$CO$277,'свод практик'!$J$6:$J$277,'строго ИБ'!BR$1,'свод практик'!$B$6:$B$277,"ИБ")</f>
        <v>0</v>
      </c>
      <c r="BS99" s="413">
        <f>SUMIFS('свод практик'!$CO$6:$CO$277,'свод практик'!$J$6:$J$277,'строго ИБ'!BS$1,'свод практик'!$B$6:$B$277,"ИБ")</f>
        <v>0</v>
      </c>
      <c r="BT99" s="413">
        <f>SUMIFS('свод практик'!$CO$6:$CO$277,'свод практик'!$J$6:$J$277,'строго ИБ'!BT$1,'свод практик'!$B$6:$B$277,"ИБ")</f>
        <v>1</v>
      </c>
      <c r="BU99" s="413">
        <f>SUMIFS('свод практик'!$CO$6:$CO$277,'свод практик'!$J$6:$J$277,'строго ИБ'!BU$1,'свод практик'!$B$6:$B$277,"ИБ")</f>
        <v>0</v>
      </c>
      <c r="BV99" s="413">
        <f>SUMIFS('свод практик'!$CO$6:$CO$277,'свод практик'!$J$6:$J$277,'строго ИБ'!BV$1,'свод практик'!$B$6:$B$277,"ИБ")</f>
        <v>0</v>
      </c>
      <c r="BW99" s="413">
        <f>SUMIFS('свод практик'!$CO$6:$CO$277,'свод практик'!$J$6:$J$277,'строго ИБ'!BW$1,'свод практик'!$B$6:$B$277,"ИБ")</f>
        <v>0</v>
      </c>
      <c r="BX99" s="413">
        <f>SUMIFS('свод практик'!$CO$6:$CO$277,'свод практик'!$J$6:$J$277,'строго ИБ'!BX$1,'свод практик'!$B$6:$B$277,"ИБ")</f>
        <v>0</v>
      </c>
      <c r="BY99" s="413">
        <f>SUMIFS('свод практик'!$CO$6:$CO$277,'свод практик'!$J$6:$J$277,'строго ИБ'!BY$1,'свод практик'!$B$6:$B$277,"ИБ")</f>
        <v>0</v>
      </c>
      <c r="BZ99" s="413">
        <f>SUMIFS('свод практик'!$CO$6:$CO$277,'свод практик'!$J$6:$J$277,'строго ИБ'!BZ$1,'свод практик'!$B$6:$B$277,"ИБ")</f>
        <v>0</v>
      </c>
      <c r="CA99" s="413">
        <f>SUMIFS('свод практик'!$CO$6:$CO$277,'свод практик'!$J$6:$J$277,'строго ИБ'!CA$1,'свод практик'!$B$6:$B$277,"ИБ")</f>
        <v>0</v>
      </c>
      <c r="CB99" s="413">
        <f>SUMIFS('свод практик'!$CO$6:$CO$277,'свод практик'!$J$6:$J$277,'строго ИБ'!CB$1,'свод практик'!$B$6:$B$277,"ИБ")</f>
        <v>0</v>
      </c>
      <c r="CC99" s="413">
        <f>SUMIFS('свод практик'!$CO$6:$CO$277,'свод практик'!$J$6:$J$277,'строго ИБ'!CC$1,'свод практик'!$B$6:$B$277,"ИБ")</f>
        <v>0</v>
      </c>
      <c r="CD99" s="413">
        <f>SUMIFS('свод практик'!$CO$6:$CO$277,'свод практик'!$J$6:$J$277,'строго ИБ'!CD$1,'свод практик'!$B$6:$B$277,"ИБ")</f>
        <v>17</v>
      </c>
      <c r="CE99" s="413">
        <f>SUMIFS('свод практик'!$CO$6:$CO$277,'свод практик'!$J$6:$J$277,'строго ИБ'!CE$1,'свод практик'!$B$6:$B$277,"ИБ")</f>
        <v>0</v>
      </c>
      <c r="CF99" s="413">
        <f>SUMIFS('свод практик'!$CO$6:$CO$277,'свод практик'!$J$6:$J$277,'строго ИБ'!CF$1,'свод практик'!$B$6:$B$277,"ИБ")</f>
        <v>0</v>
      </c>
      <c r="CG99" s="413">
        <f>SUMIFS('свод практик'!$CO$6:$CO$277,'свод практик'!$J$6:$J$277,'строго ИБ'!CG$1,'свод практик'!$B$6:$B$277,"ИБ")</f>
        <v>0</v>
      </c>
      <c r="CH99" s="413">
        <f>SUMIFS('свод практик'!$CO$6:$CO$277,'свод практик'!$J$6:$J$277,'строго ИБ'!CH$1,'свод практик'!$B$6:$B$277,"ИБ")</f>
        <v>0</v>
      </c>
      <c r="CI99" s="413">
        <f>SUMIFS('свод практик'!$CO$6:$CO$277,'свод практик'!$J$6:$J$277,'строго ИБ'!CI$1,'свод практик'!$B$6:$B$277,"ИБ")</f>
        <v>0</v>
      </c>
      <c r="CJ99" s="413">
        <f>SUMIFS('свод практик'!$CO$6:$CO$277,'свод практик'!$J$6:$J$277,'строго ИБ'!CJ$1,'свод практик'!$B$6:$B$277,"ИБ")</f>
        <v>0</v>
      </c>
      <c r="CK99" s="413">
        <f>SUMIFS('свод практик'!$CO$6:$CO$277,'свод практик'!$J$6:$J$277,'строго ИБ'!CK$1,'свод практик'!$B$6:$B$277,"ИБ")</f>
        <v>0</v>
      </c>
      <c r="CL99" s="413">
        <f>SUMIFS('свод практик'!$CO$6:$CO$277,'свод практик'!$J$6:$J$277,'строго ИБ'!CL$1,'свод практик'!$B$6:$B$277,"ИБ")</f>
        <v>1</v>
      </c>
      <c r="CM99" s="413">
        <f>SUMIFS('свод практик'!$CO$6:$CO$277,'свод практик'!$J$6:$J$277,'строго ИБ'!CM$1,'свод практик'!$B$6:$B$277,"ИБ")</f>
        <v>0</v>
      </c>
      <c r="CN99" s="413">
        <f>SUMIFS('свод практик'!$CO$6:$CO$277,'свод практик'!$J$6:$J$277,'строго ИБ'!CN$1,'свод практик'!$B$6:$B$277,"ИБ")</f>
        <v>0</v>
      </c>
      <c r="CO99" s="413">
        <f>SUMIFS('свод практик'!$CO$6:$CO$277,'свод практик'!$J$6:$J$277,'строго ИБ'!CO$1,'свод практик'!$B$6:$B$277,"ИБ")</f>
        <v>0</v>
      </c>
      <c r="CP99" s="413">
        <f>SUMIFS('свод практик'!$CO$6:$CO$277,'свод практик'!$J$6:$J$277,'строго ИБ'!CP$1,'свод практик'!$B$6:$B$277,"ИБ")</f>
        <v>0</v>
      </c>
      <c r="CQ99" s="413">
        <f>SUMIFS('свод практик'!$CO$6:$CO$277,'свод практик'!$J$6:$J$277,'строго ИБ'!CQ$1,'свод практик'!$B$6:$B$277,"ИБ")</f>
        <v>0</v>
      </c>
      <c r="CR99" s="413">
        <f>SUMIFS('свод практик'!$CO$6:$CO$277,'свод практик'!$J$6:$J$277,'строго ИБ'!CR$1,'свод практик'!$B$6:$B$277,"ИБ")</f>
        <v>0</v>
      </c>
      <c r="CS99" s="413">
        <f>SUMIFS('свод практик'!$CO$6:$CO$277,'свод практик'!$J$6:$J$277,'строго ИБ'!CS$1,'свод практик'!$B$6:$B$277,"ИБ")</f>
        <v>0</v>
      </c>
      <c r="CT99" s="413">
        <f>SUMIFS('свод практик'!$CO$6:$CO$277,'свод практик'!$J$6:$J$277,'строго ИБ'!CT$1,'свод практик'!$B$6:$B$277,"ИБ")</f>
        <v>0</v>
      </c>
      <c r="CU99" s="413">
        <f>SUMIFS('свод практик'!$CO$6:$CO$277,'свод практик'!$J$6:$J$277,'строго ИБ'!CU$1,'свод практик'!$B$6:$B$277,"ИБ")</f>
        <v>0</v>
      </c>
    </row>
    <row r="100" spans="1:99" ht="28" customHeight="1">
      <c r="A100" s="815"/>
      <c r="B100" s="817"/>
      <c r="C100" s="805"/>
      <c r="D100" s="439" t="s">
        <v>4949</v>
      </c>
      <c r="E100" s="439">
        <v>81</v>
      </c>
      <c r="F100" s="440" t="s">
        <v>5188</v>
      </c>
      <c r="G100" s="808"/>
      <c r="H100" s="442" t="s">
        <v>60</v>
      </c>
      <c r="I100" s="443"/>
      <c r="J100" s="444"/>
      <c r="K100" s="2"/>
      <c r="L100" s="383"/>
      <c r="M100" s="384">
        <v>4.4059333235423704E-4</v>
      </c>
      <c r="N100" s="607">
        <f>N99/N107</f>
        <v>2.0437956204379564E-3</v>
      </c>
      <c r="O100" s="607">
        <f t="shared" ref="O100:BZ100" si="56">O99/O107</f>
        <v>0</v>
      </c>
      <c r="P100" s="607">
        <f t="shared" si="56"/>
        <v>0</v>
      </c>
      <c r="Q100" s="607">
        <f t="shared" si="56"/>
        <v>0</v>
      </c>
      <c r="R100" s="607">
        <f t="shared" si="56"/>
        <v>0</v>
      </c>
      <c r="S100" s="607">
        <f t="shared" si="56"/>
        <v>0</v>
      </c>
      <c r="T100" s="607">
        <f t="shared" si="56"/>
        <v>0</v>
      </c>
      <c r="U100" s="607">
        <f t="shared" si="56"/>
        <v>0</v>
      </c>
      <c r="V100" s="607">
        <f t="shared" si="56"/>
        <v>0</v>
      </c>
      <c r="W100" s="607">
        <f t="shared" si="56"/>
        <v>0</v>
      </c>
      <c r="X100" s="607" t="e">
        <f t="shared" si="56"/>
        <v>#DIV/0!</v>
      </c>
      <c r="Y100" s="607" t="e">
        <f t="shared" si="56"/>
        <v>#DIV/0!</v>
      </c>
      <c r="Z100" s="607">
        <f t="shared" si="56"/>
        <v>0</v>
      </c>
      <c r="AA100" s="607">
        <f t="shared" si="56"/>
        <v>0</v>
      </c>
      <c r="AB100" s="607">
        <f t="shared" si="56"/>
        <v>0</v>
      </c>
      <c r="AC100" s="607" t="e">
        <f t="shared" si="56"/>
        <v>#DIV/0!</v>
      </c>
      <c r="AD100" s="607" t="e">
        <f t="shared" si="56"/>
        <v>#DIV/0!</v>
      </c>
      <c r="AE100" s="607" t="e">
        <f t="shared" si="56"/>
        <v>#DIV/0!</v>
      </c>
      <c r="AF100" s="607" t="e">
        <f t="shared" si="56"/>
        <v>#DIV/0!</v>
      </c>
      <c r="AG100" s="607" t="e">
        <f t="shared" si="56"/>
        <v>#DIV/0!</v>
      </c>
      <c r="AH100" s="607" t="e">
        <f t="shared" si="56"/>
        <v>#DIV/0!</v>
      </c>
      <c r="AI100" s="607" t="e">
        <f t="shared" si="56"/>
        <v>#DIV/0!</v>
      </c>
      <c r="AJ100" s="607" t="e">
        <f t="shared" si="56"/>
        <v>#DIV/0!</v>
      </c>
      <c r="AK100" s="607">
        <f t="shared" si="56"/>
        <v>0</v>
      </c>
      <c r="AL100" s="607">
        <f t="shared" si="56"/>
        <v>0</v>
      </c>
      <c r="AM100" s="607" t="e">
        <f t="shared" si="56"/>
        <v>#DIV/0!</v>
      </c>
      <c r="AN100" s="607" t="e">
        <f t="shared" si="56"/>
        <v>#DIV/0!</v>
      </c>
      <c r="AO100" s="607">
        <f t="shared" si="56"/>
        <v>0</v>
      </c>
      <c r="AP100" s="607">
        <f t="shared" si="56"/>
        <v>0</v>
      </c>
      <c r="AQ100" s="607">
        <f t="shared" si="56"/>
        <v>0</v>
      </c>
      <c r="AR100" s="607">
        <f t="shared" si="56"/>
        <v>0</v>
      </c>
      <c r="AS100" s="607" t="e">
        <f t="shared" si="56"/>
        <v>#DIV/0!</v>
      </c>
      <c r="AT100" s="607" t="e">
        <f t="shared" si="56"/>
        <v>#DIV/0!</v>
      </c>
      <c r="AU100" s="607">
        <f t="shared" si="56"/>
        <v>0</v>
      </c>
      <c r="AV100" s="607" t="e">
        <f t="shared" si="56"/>
        <v>#DIV/0!</v>
      </c>
      <c r="AW100" s="607">
        <f t="shared" si="56"/>
        <v>0</v>
      </c>
      <c r="AX100" s="607" t="e">
        <f t="shared" si="56"/>
        <v>#DIV/0!</v>
      </c>
      <c r="AY100" s="607">
        <f t="shared" si="56"/>
        <v>0</v>
      </c>
      <c r="AZ100" s="607" t="e">
        <f t="shared" si="56"/>
        <v>#DIV/0!</v>
      </c>
      <c r="BA100" s="607" t="e">
        <f t="shared" si="56"/>
        <v>#DIV/0!</v>
      </c>
      <c r="BB100" s="607">
        <f t="shared" si="56"/>
        <v>0</v>
      </c>
      <c r="BC100" s="607" t="e">
        <f t="shared" si="56"/>
        <v>#DIV/0!</v>
      </c>
      <c r="BD100" s="607" t="e">
        <f t="shared" si="56"/>
        <v>#DIV/0!</v>
      </c>
      <c r="BE100" s="607">
        <f t="shared" si="56"/>
        <v>0</v>
      </c>
      <c r="BF100" s="607">
        <f t="shared" si="56"/>
        <v>0</v>
      </c>
      <c r="BG100" s="607">
        <f t="shared" si="56"/>
        <v>0</v>
      </c>
      <c r="BH100" s="607">
        <f t="shared" si="56"/>
        <v>3.3726812816188868E-3</v>
      </c>
      <c r="BI100" s="607">
        <f t="shared" si="56"/>
        <v>0</v>
      </c>
      <c r="BJ100" s="607">
        <f t="shared" si="56"/>
        <v>0</v>
      </c>
      <c r="BK100" s="607" t="e">
        <f t="shared" si="56"/>
        <v>#DIV/0!</v>
      </c>
      <c r="BL100" s="607">
        <f t="shared" si="56"/>
        <v>0</v>
      </c>
      <c r="BM100" s="607">
        <f t="shared" si="56"/>
        <v>0</v>
      </c>
      <c r="BN100" s="607" t="e">
        <f t="shared" si="56"/>
        <v>#DIV/0!</v>
      </c>
      <c r="BO100" s="607">
        <f t="shared" si="56"/>
        <v>0</v>
      </c>
      <c r="BP100" s="607" t="e">
        <f t="shared" si="56"/>
        <v>#DIV/0!</v>
      </c>
      <c r="BQ100" s="607" t="e">
        <f t="shared" si="56"/>
        <v>#DIV/0!</v>
      </c>
      <c r="BR100" s="607">
        <f t="shared" si="56"/>
        <v>0</v>
      </c>
      <c r="BS100" s="607">
        <f t="shared" si="56"/>
        <v>0</v>
      </c>
      <c r="BT100" s="607">
        <f t="shared" si="56"/>
        <v>1.7953321364452424E-3</v>
      </c>
      <c r="BU100" s="607">
        <f t="shared" si="56"/>
        <v>0</v>
      </c>
      <c r="BV100" s="607">
        <f t="shared" si="56"/>
        <v>0</v>
      </c>
      <c r="BW100" s="607">
        <f t="shared" si="56"/>
        <v>0</v>
      </c>
      <c r="BX100" s="607">
        <f t="shared" si="56"/>
        <v>0</v>
      </c>
      <c r="BY100" s="607">
        <f t="shared" si="56"/>
        <v>0</v>
      </c>
      <c r="BZ100" s="607" t="e">
        <f t="shared" si="56"/>
        <v>#DIV/0!</v>
      </c>
      <c r="CA100" s="607" t="e">
        <f t="shared" ref="CA100:CU100" si="57">CA99/CA107</f>
        <v>#DIV/0!</v>
      </c>
      <c r="CB100" s="607" t="e">
        <f t="shared" si="57"/>
        <v>#DIV/0!</v>
      </c>
      <c r="CC100" s="607">
        <f t="shared" si="57"/>
        <v>0</v>
      </c>
      <c r="CD100" s="607">
        <f t="shared" si="57"/>
        <v>3.1481481481481478E-2</v>
      </c>
      <c r="CE100" s="607" t="e">
        <f t="shared" si="57"/>
        <v>#DIV/0!</v>
      </c>
      <c r="CF100" s="607">
        <f t="shared" si="57"/>
        <v>0</v>
      </c>
      <c r="CG100" s="607">
        <f t="shared" si="57"/>
        <v>0</v>
      </c>
      <c r="CH100" s="607">
        <f t="shared" si="57"/>
        <v>0</v>
      </c>
      <c r="CI100" s="607" t="e">
        <f t="shared" si="57"/>
        <v>#DIV/0!</v>
      </c>
      <c r="CJ100" s="607" t="e">
        <f t="shared" si="57"/>
        <v>#DIV/0!</v>
      </c>
      <c r="CK100" s="607">
        <f t="shared" si="57"/>
        <v>0</v>
      </c>
      <c r="CL100" s="607">
        <f t="shared" si="57"/>
        <v>6.8027210884353739E-3</v>
      </c>
      <c r="CM100" s="607">
        <f t="shared" si="57"/>
        <v>0</v>
      </c>
      <c r="CN100" s="607" t="e">
        <f t="shared" si="57"/>
        <v>#DIV/0!</v>
      </c>
      <c r="CO100" s="607">
        <f t="shared" si="57"/>
        <v>0</v>
      </c>
      <c r="CP100" s="607">
        <f t="shared" si="57"/>
        <v>0</v>
      </c>
      <c r="CQ100" s="607" t="e">
        <f t="shared" si="57"/>
        <v>#DIV/0!</v>
      </c>
      <c r="CR100" s="607">
        <f t="shared" si="57"/>
        <v>0</v>
      </c>
      <c r="CS100" s="607">
        <f t="shared" si="57"/>
        <v>0</v>
      </c>
      <c r="CT100" s="607">
        <f t="shared" si="57"/>
        <v>0</v>
      </c>
      <c r="CU100" s="607">
        <f t="shared" si="57"/>
        <v>0</v>
      </c>
    </row>
    <row r="101" spans="1:99" ht="22.5" customHeight="1">
      <c r="A101" s="815"/>
      <c r="B101" s="817"/>
      <c r="C101" s="805"/>
      <c r="D101" s="439" t="s">
        <v>4949</v>
      </c>
      <c r="E101" s="439">
        <v>82</v>
      </c>
      <c r="F101" s="440" t="s">
        <v>5189</v>
      </c>
      <c r="G101" s="808" t="s">
        <v>5775</v>
      </c>
      <c r="H101" s="442" t="s">
        <v>5140</v>
      </c>
      <c r="I101" s="443"/>
      <c r="J101" s="444"/>
      <c r="K101" s="2" t="s">
        <v>278</v>
      </c>
      <c r="L101" s="385"/>
      <c r="M101" s="351">
        <v>202</v>
      </c>
      <c r="N101" s="580">
        <f t="shared" si="25"/>
        <v>245</v>
      </c>
      <c r="O101" s="413">
        <f>SUMIFS('свод практик'!$CP$6:$CP$277,'свод практик'!$J$6:$J$277,'строго ИБ'!O$1,'свод практик'!$B$6:$B$277,"ИБ")</f>
        <v>0</v>
      </c>
      <c r="P101" s="413">
        <f>SUMIFS('свод практик'!$CP$6:$CP$277,'свод практик'!$J$6:$J$277,'строго ИБ'!P$1,'свод практик'!$B$6:$B$277,"ИБ")</f>
        <v>0</v>
      </c>
      <c r="Q101" s="413">
        <f>SUMIFS('свод практик'!$CP$6:$CP$277,'свод практик'!$J$6:$J$277,'строго ИБ'!Q$1,'свод практик'!$B$6:$B$277,"ИБ")</f>
        <v>0</v>
      </c>
      <c r="R101" s="413">
        <f>SUMIFS('свод практик'!$CP$6:$CP$277,'свод практик'!$J$6:$J$277,'строго ИБ'!R$1,'свод практик'!$B$6:$B$277,"ИБ")</f>
        <v>0</v>
      </c>
      <c r="S101" s="413">
        <f>SUMIFS('свод практик'!$CP$6:$CP$277,'свод практик'!$J$6:$J$277,'строго ИБ'!S$1,'свод практик'!$B$6:$B$277,"ИБ")</f>
        <v>0</v>
      </c>
      <c r="T101" s="413">
        <f>SUMIFS('свод практик'!$CP$6:$CP$277,'свод практик'!$J$6:$J$277,'строго ИБ'!T$1,'свод практик'!$B$6:$B$277,"ИБ")</f>
        <v>0</v>
      </c>
      <c r="U101" s="413">
        <f>SUMIFS('свод практик'!$CP$6:$CP$277,'свод практик'!$J$6:$J$277,'строго ИБ'!U$1,'свод практик'!$B$6:$B$277,"ИБ")</f>
        <v>108</v>
      </c>
      <c r="V101" s="413">
        <f>SUMIFS('свод практик'!$CP$6:$CP$277,'свод практик'!$J$6:$J$277,'строго ИБ'!V$1,'свод практик'!$B$6:$B$277,"ИБ")</f>
        <v>6</v>
      </c>
      <c r="W101" s="413">
        <f>SUMIFS('свод практик'!$CP$6:$CP$277,'свод практик'!$J$6:$J$277,'строго ИБ'!W$1,'свод практик'!$B$6:$B$277,"ИБ")</f>
        <v>0</v>
      </c>
      <c r="X101" s="413">
        <f>SUMIFS('свод практик'!$CP$6:$CP$277,'свод практик'!$J$6:$J$277,'строго ИБ'!X$1,'свод практик'!$B$6:$B$277,"ИБ")</f>
        <v>0</v>
      </c>
      <c r="Y101" s="413">
        <f>SUMIFS('свод практик'!$CP$6:$CP$277,'свод практик'!$J$6:$J$277,'строго ИБ'!Y$1,'свод практик'!$B$6:$B$277,"ИБ")</f>
        <v>0</v>
      </c>
      <c r="Z101" s="413">
        <f>SUMIFS('свод практик'!$CP$6:$CP$277,'свод практик'!$J$6:$J$277,'строго ИБ'!Z$1,'свод практик'!$B$6:$B$277,"ИБ")</f>
        <v>1</v>
      </c>
      <c r="AA101" s="413">
        <f>SUMIFS('свод практик'!$CP$6:$CP$277,'свод практик'!$J$6:$J$277,'строго ИБ'!AA$1,'свод практик'!$B$6:$B$277,"ИБ")</f>
        <v>0</v>
      </c>
      <c r="AB101" s="413">
        <f>SUMIFS('свод практик'!$CP$6:$CP$277,'свод практик'!$J$6:$J$277,'строго ИБ'!AB$1,'свод практик'!$B$6:$B$277,"ИБ")</f>
        <v>0</v>
      </c>
      <c r="AC101" s="413">
        <f>SUMIFS('свод практик'!$CP$6:$CP$277,'свод практик'!$J$6:$J$277,'строго ИБ'!AC$1,'свод практик'!$B$6:$B$277,"ИБ")</f>
        <v>0</v>
      </c>
      <c r="AD101" s="413">
        <f>SUMIFS('свод практик'!$CP$6:$CP$277,'свод практик'!$J$6:$J$277,'строго ИБ'!AD$1,'свод практик'!$B$6:$B$277,"ИБ")</f>
        <v>0</v>
      </c>
      <c r="AE101" s="413">
        <f>SUMIFS('свод практик'!$CP$6:$CP$277,'свод практик'!$J$6:$J$277,'строго ИБ'!AE$1,'свод практик'!$B$6:$B$277,"ИБ")</f>
        <v>0</v>
      </c>
      <c r="AF101" s="413">
        <f>SUMIFS('свод практик'!$CP$6:$CP$277,'свод практик'!$J$6:$J$277,'строго ИБ'!AF$1,'свод практик'!$B$6:$B$277,"ИБ")</f>
        <v>0</v>
      </c>
      <c r="AG101" s="413">
        <f>SUMIFS('свод практик'!$CP$6:$CP$277,'свод практик'!$J$6:$J$277,'строго ИБ'!AG$1,'свод практик'!$B$6:$B$277,"ИБ")</f>
        <v>0</v>
      </c>
      <c r="AH101" s="413">
        <f>SUMIFS('свод практик'!$CP$6:$CP$277,'свод практик'!$J$6:$J$277,'строго ИБ'!AH$1,'свод практик'!$B$6:$B$277,"ИБ")</f>
        <v>0</v>
      </c>
      <c r="AI101" s="413">
        <f>SUMIFS('свод практик'!$CP$6:$CP$277,'свод практик'!$J$6:$J$277,'строго ИБ'!AI$1,'свод практик'!$B$6:$B$277,"ИБ")</f>
        <v>0</v>
      </c>
      <c r="AJ101" s="413">
        <f>SUMIFS('свод практик'!$CP$6:$CP$277,'свод практик'!$J$6:$J$277,'строго ИБ'!AJ$1,'свод практик'!$B$6:$B$277,"ИБ")</f>
        <v>0</v>
      </c>
      <c r="AK101" s="413">
        <f>SUMIFS('свод практик'!$CP$6:$CP$277,'свод практик'!$J$6:$J$277,'строго ИБ'!AK$1,'свод практик'!$B$6:$B$277,"ИБ")</f>
        <v>0</v>
      </c>
      <c r="AL101" s="413">
        <f>SUMIFS('свод практик'!$CP$6:$CP$277,'свод практик'!$J$6:$J$277,'строго ИБ'!AL$1,'свод практик'!$B$6:$B$277,"ИБ")</f>
        <v>0</v>
      </c>
      <c r="AM101" s="413">
        <f>SUMIFS('свод практик'!$CP$6:$CP$277,'свод практик'!$J$6:$J$277,'строго ИБ'!AM$1,'свод практик'!$B$6:$B$277,"ИБ")</f>
        <v>0</v>
      </c>
      <c r="AN101" s="413">
        <f>SUMIFS('свод практик'!$CP$6:$CP$277,'свод практик'!$J$6:$J$277,'строго ИБ'!AN$1,'свод практик'!$B$6:$B$277,"ИБ")</f>
        <v>0</v>
      </c>
      <c r="AO101" s="413">
        <f>SUMIFS('свод практик'!$CP$6:$CP$277,'свод практик'!$J$6:$J$277,'строго ИБ'!AO$1,'свод практик'!$B$6:$B$277,"ИБ")</f>
        <v>1</v>
      </c>
      <c r="AP101" s="413">
        <f>SUMIFS('свод практик'!$CP$6:$CP$277,'свод практик'!$J$6:$J$277,'строго ИБ'!AP$1,'свод практик'!$B$6:$B$277,"ИБ")</f>
        <v>0</v>
      </c>
      <c r="AQ101" s="413">
        <f>SUMIFS('свод практик'!$CP$6:$CP$277,'свод практик'!$J$6:$J$277,'строго ИБ'!AQ$1,'свод практик'!$B$6:$B$277,"ИБ")</f>
        <v>0</v>
      </c>
      <c r="AR101" s="413">
        <f>SUMIFS('свод практик'!$CP$6:$CP$277,'свод практик'!$J$6:$J$277,'строго ИБ'!AR$1,'свод практик'!$B$6:$B$277,"ИБ")</f>
        <v>16</v>
      </c>
      <c r="AS101" s="413">
        <f>SUMIFS('свод практик'!$CP$6:$CP$277,'свод практик'!$J$6:$J$277,'строго ИБ'!AS$1,'свод практик'!$B$6:$B$277,"ИБ")</f>
        <v>0</v>
      </c>
      <c r="AT101" s="413">
        <f>SUMIFS('свод практик'!$CP$6:$CP$277,'свод практик'!$J$6:$J$277,'строго ИБ'!AT$1,'свод практик'!$B$6:$B$277,"ИБ")</f>
        <v>0</v>
      </c>
      <c r="AU101" s="413">
        <f>SUMIFS('свод практик'!$CP$6:$CP$277,'свод практик'!$J$6:$J$277,'строго ИБ'!AU$1,'свод практик'!$B$6:$B$277,"ИБ")</f>
        <v>0</v>
      </c>
      <c r="AV101" s="413">
        <f>SUMIFS('свод практик'!$CP$6:$CP$277,'свод практик'!$J$6:$J$277,'строго ИБ'!AV$1,'свод практик'!$B$6:$B$277,"ИБ")</f>
        <v>0</v>
      </c>
      <c r="AW101" s="413">
        <f>SUMIFS('свод практик'!$CP$6:$CP$277,'свод практик'!$J$6:$J$277,'строго ИБ'!AW$1,'свод практик'!$B$6:$B$277,"ИБ")</f>
        <v>0</v>
      </c>
      <c r="AX101" s="413">
        <f>SUMIFS('свод практик'!$CP$6:$CP$277,'свод практик'!$J$6:$J$277,'строго ИБ'!AX$1,'свод практик'!$B$6:$B$277,"ИБ")</f>
        <v>0</v>
      </c>
      <c r="AY101" s="413">
        <f>SUMIFS('свод практик'!$CP$6:$CP$277,'свод практик'!$J$6:$J$277,'строго ИБ'!AY$1,'свод практик'!$B$6:$B$277,"ИБ")</f>
        <v>0</v>
      </c>
      <c r="AZ101" s="413">
        <f>SUMIFS('свод практик'!$CP$6:$CP$277,'свод практик'!$J$6:$J$277,'строго ИБ'!AZ$1,'свод практик'!$B$6:$B$277,"ИБ")</f>
        <v>0</v>
      </c>
      <c r="BA101" s="413">
        <f>SUMIFS('свод практик'!$CP$6:$CP$277,'свод практик'!$J$6:$J$277,'строго ИБ'!BA$1,'свод практик'!$B$6:$B$277,"ИБ")</f>
        <v>0</v>
      </c>
      <c r="BB101" s="413">
        <f>SUMIFS('свод практик'!$CP$6:$CP$277,'свод практик'!$J$6:$J$277,'строго ИБ'!BB$1,'свод практик'!$B$6:$B$277,"ИБ")</f>
        <v>0</v>
      </c>
      <c r="BC101" s="413">
        <f>SUMIFS('свод практик'!$CP$6:$CP$277,'свод практик'!$J$6:$J$277,'строго ИБ'!BC$1,'свод практик'!$B$6:$B$277,"ИБ")</f>
        <v>0</v>
      </c>
      <c r="BD101" s="413">
        <f>SUMIFS('свод практик'!$CP$6:$CP$277,'свод практик'!$J$6:$J$277,'строго ИБ'!BD$1,'свод практик'!$B$6:$B$277,"ИБ")</f>
        <v>0</v>
      </c>
      <c r="BE101" s="413">
        <f>SUMIFS('свод практик'!$CP$6:$CP$277,'свод практик'!$J$6:$J$277,'строго ИБ'!BE$1,'свод практик'!$B$6:$B$277,"ИБ")</f>
        <v>0</v>
      </c>
      <c r="BF101" s="413">
        <f>SUMIFS('свод практик'!$CP$6:$CP$277,'свод практик'!$J$6:$J$277,'строго ИБ'!BF$1,'свод практик'!$B$6:$B$277,"ИБ")</f>
        <v>1</v>
      </c>
      <c r="BG101" s="413">
        <f>SUMIFS('свод практик'!$CP$6:$CP$277,'свод практик'!$J$6:$J$277,'строго ИБ'!BG$1,'свод практик'!$B$6:$B$277,"ИБ")</f>
        <v>0</v>
      </c>
      <c r="BH101" s="413">
        <f>SUMIFS('свод практик'!$CP$6:$CP$277,'свод практик'!$J$6:$J$277,'строго ИБ'!BH$1,'свод практик'!$B$6:$B$277,"ИБ")</f>
        <v>0</v>
      </c>
      <c r="BI101" s="413">
        <f>SUMIFS('свод практик'!$CP$6:$CP$277,'свод практик'!$J$6:$J$277,'строго ИБ'!BI$1,'свод практик'!$B$6:$B$277,"ИБ")</f>
        <v>0</v>
      </c>
      <c r="BJ101" s="413">
        <f>SUMIFS('свод практик'!$CP$6:$CP$277,'свод практик'!$J$6:$J$277,'строго ИБ'!BJ$1,'свод практик'!$B$6:$B$277,"ИБ")</f>
        <v>1</v>
      </c>
      <c r="BK101" s="413">
        <f>SUMIFS('свод практик'!$CP$6:$CP$277,'свод практик'!$J$6:$J$277,'строго ИБ'!BK$1,'свод практик'!$B$6:$B$277,"ИБ")</f>
        <v>0</v>
      </c>
      <c r="BL101" s="413">
        <f>SUMIFS('свод практик'!$CP$6:$CP$277,'свод практик'!$J$6:$J$277,'строго ИБ'!BL$1,'свод практик'!$B$6:$B$277,"ИБ")</f>
        <v>0</v>
      </c>
      <c r="BM101" s="413">
        <f>SUMIFS('свод практик'!$CP$6:$CP$277,'свод практик'!$J$6:$J$277,'строго ИБ'!BM$1,'свод практик'!$B$6:$B$277,"ИБ")</f>
        <v>0</v>
      </c>
      <c r="BN101" s="413">
        <f>SUMIFS('свод практик'!$CP$6:$CP$277,'свод практик'!$J$6:$J$277,'строго ИБ'!BN$1,'свод практик'!$B$6:$B$277,"ИБ")</f>
        <v>0</v>
      </c>
      <c r="BO101" s="413">
        <f>SUMIFS('свод практик'!$CP$6:$CP$277,'свод практик'!$J$6:$J$277,'строго ИБ'!BO$1,'свод практик'!$B$6:$B$277,"ИБ")</f>
        <v>5</v>
      </c>
      <c r="BP101" s="413">
        <f>SUMIFS('свод практик'!$CP$6:$CP$277,'свод практик'!$J$6:$J$277,'строго ИБ'!BP$1,'свод практик'!$B$6:$B$277,"ИБ")</f>
        <v>0</v>
      </c>
      <c r="BQ101" s="413">
        <f>SUMIFS('свод практик'!$CP$6:$CP$277,'свод практик'!$J$6:$J$277,'строго ИБ'!BQ$1,'свод практик'!$B$6:$B$277,"ИБ")</f>
        <v>0</v>
      </c>
      <c r="BR101" s="413">
        <f>SUMIFS('свод практик'!$CP$6:$CP$277,'свод практик'!$J$6:$J$277,'строго ИБ'!BR$1,'свод практик'!$B$6:$B$277,"ИБ")</f>
        <v>0</v>
      </c>
      <c r="BS101" s="413">
        <f>SUMIFS('свод практик'!$CP$6:$CP$277,'свод практик'!$J$6:$J$277,'строго ИБ'!BS$1,'свод практик'!$B$6:$B$277,"ИБ")</f>
        <v>0</v>
      </c>
      <c r="BT101" s="413">
        <f>SUMIFS('свод практик'!$CP$6:$CP$277,'свод практик'!$J$6:$J$277,'строго ИБ'!BT$1,'свод практик'!$B$6:$B$277,"ИБ")</f>
        <v>1</v>
      </c>
      <c r="BU101" s="413">
        <f>SUMIFS('свод практик'!$CP$6:$CP$277,'свод практик'!$J$6:$J$277,'строго ИБ'!BU$1,'свод практик'!$B$6:$B$277,"ИБ")</f>
        <v>0</v>
      </c>
      <c r="BV101" s="413">
        <f>SUMIFS('свод практик'!$CP$6:$CP$277,'свод практик'!$J$6:$J$277,'строго ИБ'!BV$1,'свод практик'!$B$6:$B$277,"ИБ")</f>
        <v>0</v>
      </c>
      <c r="BW101" s="413">
        <f>SUMIFS('свод практик'!$CP$6:$CP$277,'свод практик'!$J$6:$J$277,'строго ИБ'!BW$1,'свод практик'!$B$6:$B$277,"ИБ")</f>
        <v>16</v>
      </c>
      <c r="BX101" s="413">
        <f>SUMIFS('свод практик'!$CP$6:$CP$277,'свод практик'!$J$6:$J$277,'строго ИБ'!BX$1,'свод практик'!$B$6:$B$277,"ИБ")</f>
        <v>0</v>
      </c>
      <c r="BY101" s="413">
        <f>SUMIFS('свод практик'!$CP$6:$CP$277,'свод практик'!$J$6:$J$277,'строго ИБ'!BY$1,'свод практик'!$B$6:$B$277,"ИБ")</f>
        <v>0</v>
      </c>
      <c r="BZ101" s="413">
        <f>SUMIFS('свод практик'!$CP$6:$CP$277,'свод практик'!$J$6:$J$277,'строго ИБ'!BZ$1,'свод практик'!$B$6:$B$277,"ИБ")</f>
        <v>0</v>
      </c>
      <c r="CA101" s="413">
        <f>SUMIFS('свод практик'!$CP$6:$CP$277,'свод практик'!$J$6:$J$277,'строго ИБ'!CA$1,'свод практик'!$B$6:$B$277,"ИБ")</f>
        <v>0</v>
      </c>
      <c r="CB101" s="413">
        <f>SUMIFS('свод практик'!$CP$6:$CP$277,'свод практик'!$J$6:$J$277,'строго ИБ'!CB$1,'свод практик'!$B$6:$B$277,"ИБ")</f>
        <v>0</v>
      </c>
      <c r="CC101" s="413">
        <f>SUMIFS('свод практик'!$CP$6:$CP$277,'свод практик'!$J$6:$J$277,'строго ИБ'!CC$1,'свод практик'!$B$6:$B$277,"ИБ")</f>
        <v>0</v>
      </c>
      <c r="CD101" s="413">
        <f>SUMIFS('свод практик'!$CP$6:$CP$277,'свод практик'!$J$6:$J$277,'строго ИБ'!CD$1,'свод практик'!$B$6:$B$277,"ИБ")</f>
        <v>8</v>
      </c>
      <c r="CE101" s="413">
        <f>SUMIFS('свод практик'!$CP$6:$CP$277,'свод практик'!$J$6:$J$277,'строго ИБ'!CE$1,'свод практик'!$B$6:$B$277,"ИБ")</f>
        <v>0</v>
      </c>
      <c r="CF101" s="413">
        <f>SUMIFS('свод практик'!$CP$6:$CP$277,'свод практик'!$J$6:$J$277,'строго ИБ'!CF$1,'свод практик'!$B$6:$B$277,"ИБ")</f>
        <v>17</v>
      </c>
      <c r="CG101" s="413">
        <f>SUMIFS('свод практик'!$CP$6:$CP$277,'свод практик'!$J$6:$J$277,'строго ИБ'!CG$1,'свод практик'!$B$6:$B$277,"ИБ")</f>
        <v>0</v>
      </c>
      <c r="CH101" s="413">
        <f>SUMIFS('свод практик'!$CP$6:$CP$277,'свод практик'!$J$6:$J$277,'строго ИБ'!CH$1,'свод практик'!$B$6:$B$277,"ИБ")</f>
        <v>0</v>
      </c>
      <c r="CI101" s="413">
        <f>SUMIFS('свод практик'!$CP$6:$CP$277,'свод практик'!$J$6:$J$277,'строго ИБ'!CI$1,'свод практик'!$B$6:$B$277,"ИБ")</f>
        <v>0</v>
      </c>
      <c r="CJ101" s="413">
        <f>SUMIFS('свод практик'!$CP$6:$CP$277,'свод практик'!$J$6:$J$277,'строго ИБ'!CJ$1,'свод практик'!$B$6:$B$277,"ИБ")</f>
        <v>0</v>
      </c>
      <c r="CK101" s="413">
        <f>SUMIFS('свод практик'!$CP$6:$CP$277,'свод практик'!$J$6:$J$277,'строго ИБ'!CK$1,'свод практик'!$B$6:$B$277,"ИБ")</f>
        <v>0</v>
      </c>
      <c r="CL101" s="413">
        <f>SUMIFS('свод практик'!$CP$6:$CP$277,'свод практик'!$J$6:$J$277,'строго ИБ'!CL$1,'свод практик'!$B$6:$B$277,"ИБ")</f>
        <v>0</v>
      </c>
      <c r="CM101" s="413">
        <f>SUMIFS('свод практик'!$CP$6:$CP$277,'свод практик'!$J$6:$J$277,'строго ИБ'!CM$1,'свод практик'!$B$6:$B$277,"ИБ")</f>
        <v>0</v>
      </c>
      <c r="CN101" s="413">
        <f>SUMIFS('свод практик'!$CP$6:$CP$277,'свод практик'!$J$6:$J$277,'строго ИБ'!CN$1,'свод практик'!$B$6:$B$277,"ИБ")</f>
        <v>0</v>
      </c>
      <c r="CO101" s="413">
        <f>SUMIFS('свод практик'!$CP$6:$CP$277,'свод практик'!$J$6:$J$277,'строго ИБ'!CO$1,'свод практик'!$B$6:$B$277,"ИБ")</f>
        <v>0</v>
      </c>
      <c r="CP101" s="413">
        <f>SUMIFS('свод практик'!$CP$6:$CP$277,'свод практик'!$J$6:$J$277,'строго ИБ'!CP$1,'свод практик'!$B$6:$B$277,"ИБ")</f>
        <v>0</v>
      </c>
      <c r="CQ101" s="413">
        <f>SUMIFS('свод практик'!$CP$6:$CP$277,'свод практик'!$J$6:$J$277,'строго ИБ'!CQ$1,'свод практик'!$B$6:$B$277,"ИБ")</f>
        <v>0</v>
      </c>
      <c r="CR101" s="413">
        <f>SUMIFS('свод практик'!$CP$6:$CP$277,'свод практик'!$J$6:$J$277,'строго ИБ'!CR$1,'свод практик'!$B$6:$B$277,"ИБ")</f>
        <v>2</v>
      </c>
      <c r="CS101" s="413">
        <f>SUMIFS('свод практик'!$CP$6:$CP$277,'свод практик'!$J$6:$J$277,'строго ИБ'!CS$1,'свод практик'!$B$6:$B$277,"ИБ")</f>
        <v>0</v>
      </c>
      <c r="CT101" s="413">
        <f>SUMIFS('свод практик'!$CP$6:$CP$277,'свод практик'!$J$6:$J$277,'строго ИБ'!CT$1,'свод практик'!$B$6:$B$277,"ИБ")</f>
        <v>1</v>
      </c>
      <c r="CU101" s="413">
        <f>SUMIFS('свод практик'!$CP$6:$CP$277,'свод практик'!$J$6:$J$277,'строго ИБ'!CU$1,'свод практик'!$B$6:$B$277,"ИБ")</f>
        <v>61</v>
      </c>
    </row>
    <row r="102" spans="1:99" ht="16" customHeight="1">
      <c r="A102" s="815"/>
      <c r="B102" s="817"/>
      <c r="C102" s="805"/>
      <c r="D102" s="439" t="s">
        <v>4949</v>
      </c>
      <c r="E102" s="439">
        <v>83</v>
      </c>
      <c r="F102" s="440" t="s">
        <v>5191</v>
      </c>
      <c r="G102" s="808"/>
      <c r="H102" s="442" t="s">
        <v>60</v>
      </c>
      <c r="I102" s="443"/>
      <c r="J102" s="444"/>
      <c r="K102" s="2"/>
      <c r="L102" s="383"/>
      <c r="M102" s="384">
        <v>2.9666617711851962E-2</v>
      </c>
      <c r="N102" s="607">
        <f>N101/N107</f>
        <v>2.3844282238442822E-2</v>
      </c>
      <c r="O102" s="607">
        <f t="shared" ref="O102:BZ102" si="58">O101/O107</f>
        <v>0</v>
      </c>
      <c r="P102" s="607">
        <f t="shared" si="58"/>
        <v>0</v>
      </c>
      <c r="Q102" s="607">
        <f t="shared" si="58"/>
        <v>0</v>
      </c>
      <c r="R102" s="607">
        <f t="shared" si="58"/>
        <v>0</v>
      </c>
      <c r="S102" s="607">
        <f t="shared" si="58"/>
        <v>0</v>
      </c>
      <c r="T102" s="607">
        <f t="shared" si="58"/>
        <v>0</v>
      </c>
      <c r="U102" s="607">
        <f t="shared" si="58"/>
        <v>8.3076923076923076E-2</v>
      </c>
      <c r="V102" s="607">
        <f t="shared" si="58"/>
        <v>7.6923076923076927E-2</v>
      </c>
      <c r="W102" s="607">
        <f t="shared" si="58"/>
        <v>0</v>
      </c>
      <c r="X102" s="607" t="e">
        <f t="shared" si="58"/>
        <v>#DIV/0!</v>
      </c>
      <c r="Y102" s="607" t="e">
        <f t="shared" si="58"/>
        <v>#DIV/0!</v>
      </c>
      <c r="Z102" s="607">
        <f t="shared" si="58"/>
        <v>1.0752688172043012E-2</v>
      </c>
      <c r="AA102" s="607">
        <f t="shared" si="58"/>
        <v>0</v>
      </c>
      <c r="AB102" s="607">
        <f t="shared" si="58"/>
        <v>0</v>
      </c>
      <c r="AC102" s="607" t="e">
        <f t="shared" si="58"/>
        <v>#DIV/0!</v>
      </c>
      <c r="AD102" s="607" t="e">
        <f t="shared" si="58"/>
        <v>#DIV/0!</v>
      </c>
      <c r="AE102" s="607" t="e">
        <f t="shared" si="58"/>
        <v>#DIV/0!</v>
      </c>
      <c r="AF102" s="607" t="e">
        <f t="shared" si="58"/>
        <v>#DIV/0!</v>
      </c>
      <c r="AG102" s="607" t="e">
        <f t="shared" si="58"/>
        <v>#DIV/0!</v>
      </c>
      <c r="AH102" s="607" t="e">
        <f t="shared" si="58"/>
        <v>#DIV/0!</v>
      </c>
      <c r="AI102" s="607" t="e">
        <f t="shared" si="58"/>
        <v>#DIV/0!</v>
      </c>
      <c r="AJ102" s="607" t="e">
        <f t="shared" si="58"/>
        <v>#DIV/0!</v>
      </c>
      <c r="AK102" s="607">
        <f t="shared" si="58"/>
        <v>0</v>
      </c>
      <c r="AL102" s="607">
        <f t="shared" si="58"/>
        <v>0</v>
      </c>
      <c r="AM102" s="607" t="e">
        <f t="shared" si="58"/>
        <v>#DIV/0!</v>
      </c>
      <c r="AN102" s="607" t="e">
        <f t="shared" si="58"/>
        <v>#DIV/0!</v>
      </c>
      <c r="AO102" s="607">
        <f t="shared" si="58"/>
        <v>1.2658227848101266E-2</v>
      </c>
      <c r="AP102" s="607">
        <f t="shared" si="58"/>
        <v>0</v>
      </c>
      <c r="AQ102" s="607">
        <f t="shared" si="58"/>
        <v>0</v>
      </c>
      <c r="AR102" s="607">
        <f t="shared" si="58"/>
        <v>5.7971014492753624E-2</v>
      </c>
      <c r="AS102" s="607" t="e">
        <f t="shared" si="58"/>
        <v>#DIV/0!</v>
      </c>
      <c r="AT102" s="607" t="e">
        <f t="shared" si="58"/>
        <v>#DIV/0!</v>
      </c>
      <c r="AU102" s="607">
        <f t="shared" si="58"/>
        <v>0</v>
      </c>
      <c r="AV102" s="607" t="e">
        <f t="shared" si="58"/>
        <v>#DIV/0!</v>
      </c>
      <c r="AW102" s="607">
        <f t="shared" si="58"/>
        <v>0</v>
      </c>
      <c r="AX102" s="607" t="e">
        <f t="shared" si="58"/>
        <v>#DIV/0!</v>
      </c>
      <c r="AY102" s="607">
        <f t="shared" si="58"/>
        <v>0</v>
      </c>
      <c r="AZ102" s="607" t="e">
        <f t="shared" si="58"/>
        <v>#DIV/0!</v>
      </c>
      <c r="BA102" s="607" t="e">
        <f t="shared" si="58"/>
        <v>#DIV/0!</v>
      </c>
      <c r="BB102" s="607">
        <f t="shared" si="58"/>
        <v>0</v>
      </c>
      <c r="BC102" s="607" t="e">
        <f t="shared" si="58"/>
        <v>#DIV/0!</v>
      </c>
      <c r="BD102" s="607" t="e">
        <f t="shared" si="58"/>
        <v>#DIV/0!</v>
      </c>
      <c r="BE102" s="607">
        <f t="shared" si="58"/>
        <v>0</v>
      </c>
      <c r="BF102" s="607">
        <f t="shared" si="58"/>
        <v>2.7777777777777776E-2</v>
      </c>
      <c r="BG102" s="607">
        <f t="shared" si="58"/>
        <v>0</v>
      </c>
      <c r="BH102" s="607">
        <f t="shared" si="58"/>
        <v>0</v>
      </c>
      <c r="BI102" s="607">
        <f t="shared" si="58"/>
        <v>0</v>
      </c>
      <c r="BJ102" s="607">
        <f t="shared" si="58"/>
        <v>4.9261083743842365E-3</v>
      </c>
      <c r="BK102" s="607" t="e">
        <f t="shared" si="58"/>
        <v>#DIV/0!</v>
      </c>
      <c r="BL102" s="607">
        <f t="shared" si="58"/>
        <v>0</v>
      </c>
      <c r="BM102" s="607">
        <f t="shared" si="58"/>
        <v>0</v>
      </c>
      <c r="BN102" s="607" t="e">
        <f t="shared" si="58"/>
        <v>#DIV/0!</v>
      </c>
      <c r="BO102" s="607">
        <f t="shared" si="58"/>
        <v>3.8461538461538464E-2</v>
      </c>
      <c r="BP102" s="607" t="e">
        <f t="shared" si="58"/>
        <v>#DIV/0!</v>
      </c>
      <c r="BQ102" s="607" t="e">
        <f t="shared" si="58"/>
        <v>#DIV/0!</v>
      </c>
      <c r="BR102" s="607">
        <f t="shared" si="58"/>
        <v>0</v>
      </c>
      <c r="BS102" s="607">
        <f t="shared" si="58"/>
        <v>0</v>
      </c>
      <c r="BT102" s="607">
        <f t="shared" si="58"/>
        <v>1.7953321364452424E-3</v>
      </c>
      <c r="BU102" s="607">
        <f t="shared" si="58"/>
        <v>0</v>
      </c>
      <c r="BV102" s="607">
        <f t="shared" si="58"/>
        <v>0</v>
      </c>
      <c r="BW102" s="607">
        <f t="shared" si="58"/>
        <v>3.6117381489841983E-2</v>
      </c>
      <c r="BX102" s="607">
        <f t="shared" si="58"/>
        <v>0</v>
      </c>
      <c r="BY102" s="607">
        <f t="shared" si="58"/>
        <v>0</v>
      </c>
      <c r="BZ102" s="607" t="e">
        <f t="shared" si="58"/>
        <v>#DIV/0!</v>
      </c>
      <c r="CA102" s="607" t="e">
        <f t="shared" ref="CA102:CU102" si="59">CA101/CA107</f>
        <v>#DIV/0!</v>
      </c>
      <c r="CB102" s="607" t="e">
        <f t="shared" si="59"/>
        <v>#DIV/0!</v>
      </c>
      <c r="CC102" s="607">
        <f t="shared" si="59"/>
        <v>0</v>
      </c>
      <c r="CD102" s="607">
        <f t="shared" si="59"/>
        <v>1.4814814814814815E-2</v>
      </c>
      <c r="CE102" s="607" t="e">
        <f t="shared" si="59"/>
        <v>#DIV/0!</v>
      </c>
      <c r="CF102" s="607">
        <f t="shared" si="59"/>
        <v>6.273062730627306E-2</v>
      </c>
      <c r="CG102" s="607">
        <f t="shared" si="59"/>
        <v>0</v>
      </c>
      <c r="CH102" s="607">
        <f t="shared" si="59"/>
        <v>0</v>
      </c>
      <c r="CI102" s="607" t="e">
        <f t="shared" si="59"/>
        <v>#DIV/0!</v>
      </c>
      <c r="CJ102" s="607" t="e">
        <f t="shared" si="59"/>
        <v>#DIV/0!</v>
      </c>
      <c r="CK102" s="607">
        <f t="shared" si="59"/>
        <v>0</v>
      </c>
      <c r="CL102" s="607">
        <f t="shared" si="59"/>
        <v>0</v>
      </c>
      <c r="CM102" s="607">
        <f t="shared" si="59"/>
        <v>0</v>
      </c>
      <c r="CN102" s="607" t="e">
        <f t="shared" si="59"/>
        <v>#DIV/0!</v>
      </c>
      <c r="CO102" s="607">
        <f t="shared" si="59"/>
        <v>0</v>
      </c>
      <c r="CP102" s="607">
        <f t="shared" si="59"/>
        <v>0</v>
      </c>
      <c r="CQ102" s="607" t="e">
        <f t="shared" si="59"/>
        <v>#DIV/0!</v>
      </c>
      <c r="CR102" s="607">
        <f t="shared" si="59"/>
        <v>3.1104199066874028E-3</v>
      </c>
      <c r="CS102" s="607">
        <f t="shared" si="59"/>
        <v>0</v>
      </c>
      <c r="CT102" s="607">
        <f t="shared" si="59"/>
        <v>1.2345679012345678E-2</v>
      </c>
      <c r="CU102" s="607">
        <f t="shared" si="59"/>
        <v>0.1227364185110664</v>
      </c>
    </row>
    <row r="103" spans="1:99" ht="21" customHeight="1">
      <c r="A103" s="815"/>
      <c r="B103" s="817"/>
      <c r="C103" s="805"/>
      <c r="D103" s="439"/>
      <c r="E103" s="439"/>
      <c r="F103" s="482" t="s">
        <v>5241</v>
      </c>
      <c r="G103" s="812" t="s">
        <v>5776</v>
      </c>
      <c r="H103" s="442" t="s">
        <v>5140</v>
      </c>
      <c r="I103" s="443"/>
      <c r="J103" s="444"/>
      <c r="K103" s="2"/>
      <c r="L103" s="383"/>
      <c r="M103" s="351">
        <v>6</v>
      </c>
      <c r="N103" s="580">
        <f t="shared" si="25"/>
        <v>18</v>
      </c>
      <c r="O103" s="413">
        <f>SUMIFS('свод практик'!$CQ$6:$CQ$277,'свод практик'!$J$6:$J$277,'строго ИБ'!O$1,'свод практик'!$B$6:$B$277,"ИБ")</f>
        <v>0</v>
      </c>
      <c r="P103" s="413">
        <f>SUMIFS('свод практик'!$CQ$6:$CQ$277,'свод практик'!$J$6:$J$277,'строго ИБ'!P$1,'свод практик'!$B$6:$B$277,"ИБ")</f>
        <v>0</v>
      </c>
      <c r="Q103" s="413">
        <f>SUMIFS('свод практик'!$CQ$6:$CQ$277,'свод практик'!$J$6:$J$277,'строго ИБ'!Q$1,'свод практик'!$B$6:$B$277,"ИБ")</f>
        <v>0</v>
      </c>
      <c r="R103" s="413">
        <f>SUMIFS('свод практик'!$CQ$6:$CQ$277,'свод практик'!$J$6:$J$277,'строго ИБ'!R$1,'свод практик'!$B$6:$B$277,"ИБ")</f>
        <v>0</v>
      </c>
      <c r="S103" s="413">
        <f>SUMIFS('свод практик'!$CQ$6:$CQ$277,'свод практик'!$J$6:$J$277,'строго ИБ'!S$1,'свод практик'!$B$6:$B$277,"ИБ")</f>
        <v>0</v>
      </c>
      <c r="T103" s="413">
        <f>SUMIFS('свод практик'!$CQ$6:$CQ$277,'свод практик'!$J$6:$J$277,'строго ИБ'!T$1,'свод практик'!$B$6:$B$277,"ИБ")</f>
        <v>0</v>
      </c>
      <c r="U103" s="413">
        <f>SUMIFS('свод практик'!$CQ$6:$CQ$277,'свод практик'!$J$6:$J$277,'строго ИБ'!U$1,'свод практик'!$B$6:$B$277,"ИБ")</f>
        <v>0</v>
      </c>
      <c r="V103" s="413">
        <f>SUMIFS('свод практик'!$CQ$6:$CQ$277,'свод практик'!$J$6:$J$277,'строго ИБ'!V$1,'свод практик'!$B$6:$B$277,"ИБ")</f>
        <v>0</v>
      </c>
      <c r="W103" s="413">
        <f>SUMIFS('свод практик'!$CQ$6:$CQ$277,'свод практик'!$J$6:$J$277,'строго ИБ'!W$1,'свод практик'!$B$6:$B$277,"ИБ")</f>
        <v>0</v>
      </c>
      <c r="X103" s="413">
        <f>SUMIFS('свод практик'!$CQ$6:$CQ$277,'свод практик'!$J$6:$J$277,'строго ИБ'!X$1,'свод практик'!$B$6:$B$277,"ИБ")</f>
        <v>0</v>
      </c>
      <c r="Y103" s="413">
        <f>SUMIFS('свод практик'!$CQ$6:$CQ$277,'свод практик'!$J$6:$J$277,'строго ИБ'!Y$1,'свод практик'!$B$6:$B$277,"ИБ")</f>
        <v>0</v>
      </c>
      <c r="Z103" s="413">
        <f>SUMIFS('свод практик'!$CQ$6:$CQ$277,'свод практик'!$J$6:$J$277,'строго ИБ'!Z$1,'свод практик'!$B$6:$B$277,"ИБ")</f>
        <v>0</v>
      </c>
      <c r="AA103" s="413">
        <f>SUMIFS('свод практик'!$CQ$6:$CQ$277,'свод практик'!$J$6:$J$277,'строго ИБ'!AA$1,'свод практик'!$B$6:$B$277,"ИБ")</f>
        <v>1</v>
      </c>
      <c r="AB103" s="413">
        <f>SUMIFS('свод практик'!$CQ$6:$CQ$277,'свод практик'!$J$6:$J$277,'строго ИБ'!AB$1,'свод практик'!$B$6:$B$277,"ИБ")</f>
        <v>0</v>
      </c>
      <c r="AC103" s="413">
        <f>SUMIFS('свод практик'!$CQ$6:$CQ$277,'свод практик'!$J$6:$J$277,'строго ИБ'!AC$1,'свод практик'!$B$6:$B$277,"ИБ")</f>
        <v>0</v>
      </c>
      <c r="AD103" s="413">
        <f>SUMIFS('свод практик'!$CQ$6:$CQ$277,'свод практик'!$J$6:$J$277,'строго ИБ'!AD$1,'свод практик'!$B$6:$B$277,"ИБ")</f>
        <v>0</v>
      </c>
      <c r="AE103" s="413">
        <f>SUMIFS('свод практик'!$CQ$6:$CQ$277,'свод практик'!$J$6:$J$277,'строго ИБ'!AE$1,'свод практик'!$B$6:$B$277,"ИБ")</f>
        <v>0</v>
      </c>
      <c r="AF103" s="413">
        <f>SUMIFS('свод практик'!$CQ$6:$CQ$277,'свод практик'!$J$6:$J$277,'строго ИБ'!AF$1,'свод практик'!$B$6:$B$277,"ИБ")</f>
        <v>0</v>
      </c>
      <c r="AG103" s="413">
        <f>SUMIFS('свод практик'!$CQ$6:$CQ$277,'свод практик'!$J$6:$J$277,'строго ИБ'!AG$1,'свод практик'!$B$6:$B$277,"ИБ")</f>
        <v>0</v>
      </c>
      <c r="AH103" s="413">
        <f>SUMIFS('свод практик'!$CQ$6:$CQ$277,'свод практик'!$J$6:$J$277,'строго ИБ'!AH$1,'свод практик'!$B$6:$B$277,"ИБ")</f>
        <v>0</v>
      </c>
      <c r="AI103" s="413">
        <f>SUMIFS('свод практик'!$CQ$6:$CQ$277,'свод практик'!$J$6:$J$277,'строго ИБ'!AI$1,'свод практик'!$B$6:$B$277,"ИБ")</f>
        <v>0</v>
      </c>
      <c r="AJ103" s="413">
        <f>SUMIFS('свод практик'!$CQ$6:$CQ$277,'свод практик'!$J$6:$J$277,'строго ИБ'!AJ$1,'свод практик'!$B$6:$B$277,"ИБ")</f>
        <v>0</v>
      </c>
      <c r="AK103" s="413">
        <f>SUMIFS('свод практик'!$CQ$6:$CQ$277,'свод практик'!$J$6:$J$277,'строго ИБ'!AK$1,'свод практик'!$B$6:$B$277,"ИБ")</f>
        <v>0</v>
      </c>
      <c r="AL103" s="413">
        <f>SUMIFS('свод практик'!$CQ$6:$CQ$277,'свод практик'!$J$6:$J$277,'строго ИБ'!AL$1,'свод практик'!$B$6:$B$277,"ИБ")</f>
        <v>0</v>
      </c>
      <c r="AM103" s="413">
        <f>SUMIFS('свод практик'!$CQ$6:$CQ$277,'свод практик'!$J$6:$J$277,'строго ИБ'!AM$1,'свод практик'!$B$6:$B$277,"ИБ")</f>
        <v>0</v>
      </c>
      <c r="AN103" s="413">
        <f>SUMIFS('свод практик'!$CQ$6:$CQ$277,'свод практик'!$J$6:$J$277,'строго ИБ'!AN$1,'свод практик'!$B$6:$B$277,"ИБ")</f>
        <v>0</v>
      </c>
      <c r="AO103" s="413">
        <f>SUMIFS('свод практик'!$CQ$6:$CQ$277,'свод практик'!$J$6:$J$277,'строго ИБ'!AO$1,'свод практик'!$B$6:$B$277,"ИБ")</f>
        <v>0</v>
      </c>
      <c r="AP103" s="413">
        <f>SUMIFS('свод практик'!$CQ$6:$CQ$277,'свод практик'!$J$6:$J$277,'строго ИБ'!AP$1,'свод практик'!$B$6:$B$277,"ИБ")</f>
        <v>0</v>
      </c>
      <c r="AQ103" s="413">
        <f>SUMIFS('свод практик'!$CQ$6:$CQ$277,'свод практик'!$J$6:$J$277,'строго ИБ'!AQ$1,'свод практик'!$B$6:$B$277,"ИБ")</f>
        <v>0</v>
      </c>
      <c r="AR103" s="413">
        <f>SUMIFS('свод практик'!$CQ$6:$CQ$277,'свод практик'!$J$6:$J$277,'строго ИБ'!AR$1,'свод практик'!$B$6:$B$277,"ИБ")</f>
        <v>0</v>
      </c>
      <c r="AS103" s="413">
        <f>SUMIFS('свод практик'!$CQ$6:$CQ$277,'свод практик'!$J$6:$J$277,'строго ИБ'!AS$1,'свод практик'!$B$6:$B$277,"ИБ")</f>
        <v>0</v>
      </c>
      <c r="AT103" s="413">
        <f>SUMIFS('свод практик'!$CQ$6:$CQ$277,'свод практик'!$J$6:$J$277,'строго ИБ'!AT$1,'свод практик'!$B$6:$B$277,"ИБ")</f>
        <v>0</v>
      </c>
      <c r="AU103" s="413">
        <f>SUMIFS('свод практик'!$CQ$6:$CQ$277,'свод практик'!$J$6:$J$277,'строго ИБ'!AU$1,'свод практик'!$B$6:$B$277,"ИБ")</f>
        <v>0</v>
      </c>
      <c r="AV103" s="413">
        <f>SUMIFS('свод практик'!$CQ$6:$CQ$277,'свод практик'!$J$6:$J$277,'строго ИБ'!AV$1,'свод практик'!$B$6:$B$277,"ИБ")</f>
        <v>0</v>
      </c>
      <c r="AW103" s="413">
        <f>SUMIFS('свод практик'!$CQ$6:$CQ$277,'свод практик'!$J$6:$J$277,'строго ИБ'!AW$1,'свод практик'!$B$6:$B$277,"ИБ")</f>
        <v>0</v>
      </c>
      <c r="AX103" s="413">
        <f>SUMIFS('свод практик'!$CQ$6:$CQ$277,'свод практик'!$J$6:$J$277,'строго ИБ'!AX$1,'свод практик'!$B$6:$B$277,"ИБ")</f>
        <v>0</v>
      </c>
      <c r="AY103" s="413">
        <f>SUMIFS('свод практик'!$CQ$6:$CQ$277,'свод практик'!$J$6:$J$277,'строго ИБ'!AY$1,'свод практик'!$B$6:$B$277,"ИБ")</f>
        <v>0</v>
      </c>
      <c r="AZ103" s="413">
        <f>SUMIFS('свод практик'!$CQ$6:$CQ$277,'свод практик'!$J$6:$J$277,'строго ИБ'!AZ$1,'свод практик'!$B$6:$B$277,"ИБ")</f>
        <v>0</v>
      </c>
      <c r="BA103" s="413">
        <f>SUMIFS('свод практик'!$CQ$6:$CQ$277,'свод практик'!$J$6:$J$277,'строго ИБ'!BA$1,'свод практик'!$B$6:$B$277,"ИБ")</f>
        <v>0</v>
      </c>
      <c r="BB103" s="413">
        <f>SUMIFS('свод практик'!$CQ$6:$CQ$277,'свод практик'!$J$6:$J$277,'строго ИБ'!BB$1,'свод практик'!$B$6:$B$277,"ИБ")</f>
        <v>0</v>
      </c>
      <c r="BC103" s="413">
        <f>SUMIFS('свод практик'!$CQ$6:$CQ$277,'свод практик'!$J$6:$J$277,'строго ИБ'!BC$1,'свод практик'!$B$6:$B$277,"ИБ")</f>
        <v>0</v>
      </c>
      <c r="BD103" s="413">
        <f>SUMIFS('свод практик'!$CQ$6:$CQ$277,'свод практик'!$J$6:$J$277,'строго ИБ'!BD$1,'свод практик'!$B$6:$B$277,"ИБ")</f>
        <v>0</v>
      </c>
      <c r="BE103" s="413">
        <f>SUMIFS('свод практик'!$CQ$6:$CQ$277,'свод практик'!$J$6:$J$277,'строго ИБ'!BE$1,'свод практик'!$B$6:$B$277,"ИБ")</f>
        <v>0</v>
      </c>
      <c r="BF103" s="413">
        <f>SUMIFS('свод практик'!$CQ$6:$CQ$277,'свод практик'!$J$6:$J$277,'строго ИБ'!BF$1,'свод практик'!$B$6:$B$277,"ИБ")</f>
        <v>0</v>
      </c>
      <c r="BG103" s="413">
        <f>SUMIFS('свод практик'!$CQ$6:$CQ$277,'свод практик'!$J$6:$J$277,'строго ИБ'!BG$1,'свод практик'!$B$6:$B$277,"ИБ")</f>
        <v>0</v>
      </c>
      <c r="BH103" s="413">
        <f>SUMIFS('свод практик'!$CQ$6:$CQ$277,'свод практик'!$J$6:$J$277,'строго ИБ'!BH$1,'свод практик'!$B$6:$B$277,"ИБ")</f>
        <v>0</v>
      </c>
      <c r="BI103" s="413">
        <f>SUMIFS('свод практик'!$CQ$6:$CQ$277,'свод практик'!$J$6:$J$277,'строго ИБ'!BI$1,'свод практик'!$B$6:$B$277,"ИБ")</f>
        <v>0</v>
      </c>
      <c r="BJ103" s="413">
        <f>SUMIFS('свод практик'!$CQ$6:$CQ$277,'свод практик'!$J$6:$J$277,'строго ИБ'!BJ$1,'свод практик'!$B$6:$B$277,"ИБ")</f>
        <v>3</v>
      </c>
      <c r="BK103" s="413">
        <f>SUMIFS('свод практик'!$CQ$6:$CQ$277,'свод практик'!$J$6:$J$277,'строго ИБ'!BK$1,'свод практик'!$B$6:$B$277,"ИБ")</f>
        <v>0</v>
      </c>
      <c r="BL103" s="413">
        <f>SUMIFS('свод практик'!$CQ$6:$CQ$277,'свод практик'!$J$6:$J$277,'строго ИБ'!BL$1,'свод практик'!$B$6:$B$277,"ИБ")</f>
        <v>0</v>
      </c>
      <c r="BM103" s="413">
        <f>SUMIFS('свод практик'!$CQ$6:$CQ$277,'свод практик'!$J$6:$J$277,'строго ИБ'!BM$1,'свод практик'!$B$6:$B$277,"ИБ")</f>
        <v>0</v>
      </c>
      <c r="BN103" s="413">
        <f>SUMIFS('свод практик'!$CQ$6:$CQ$277,'свод практик'!$J$6:$J$277,'строго ИБ'!BN$1,'свод практик'!$B$6:$B$277,"ИБ")</f>
        <v>0</v>
      </c>
      <c r="BO103" s="413">
        <f>SUMIFS('свод практик'!$CQ$6:$CQ$277,'свод практик'!$J$6:$J$277,'строго ИБ'!BO$1,'свод практик'!$B$6:$B$277,"ИБ")</f>
        <v>0</v>
      </c>
      <c r="BP103" s="413">
        <f>SUMIFS('свод практик'!$CQ$6:$CQ$277,'свод практик'!$J$6:$J$277,'строго ИБ'!BP$1,'свод практик'!$B$6:$B$277,"ИБ")</f>
        <v>0</v>
      </c>
      <c r="BQ103" s="413">
        <f>SUMIFS('свод практик'!$CQ$6:$CQ$277,'свод практик'!$J$6:$J$277,'строго ИБ'!BQ$1,'свод практик'!$B$6:$B$277,"ИБ")</f>
        <v>0</v>
      </c>
      <c r="BR103" s="413">
        <f>SUMIFS('свод практик'!$CQ$6:$CQ$277,'свод практик'!$J$6:$J$277,'строго ИБ'!BR$1,'свод практик'!$B$6:$B$277,"ИБ")</f>
        <v>0</v>
      </c>
      <c r="BS103" s="413">
        <f>SUMIFS('свод практик'!$CQ$6:$CQ$277,'свод практик'!$J$6:$J$277,'строго ИБ'!BS$1,'свод практик'!$B$6:$B$277,"ИБ")</f>
        <v>1</v>
      </c>
      <c r="BT103" s="413">
        <f>SUMIFS('свод практик'!$CQ$6:$CQ$277,'свод практик'!$J$6:$J$277,'строго ИБ'!BT$1,'свод практик'!$B$6:$B$277,"ИБ")</f>
        <v>0</v>
      </c>
      <c r="BU103" s="413">
        <f>SUMIFS('свод практик'!$CQ$6:$CQ$277,'свод практик'!$J$6:$J$277,'строго ИБ'!BU$1,'свод практик'!$B$6:$B$277,"ИБ")</f>
        <v>3</v>
      </c>
      <c r="BV103" s="413">
        <f>SUMIFS('свод практик'!$CQ$6:$CQ$277,'свод практик'!$J$6:$J$277,'строго ИБ'!BV$1,'свод практик'!$B$6:$B$277,"ИБ")</f>
        <v>0</v>
      </c>
      <c r="BW103" s="413">
        <f>SUMIFS('свод практик'!$CQ$6:$CQ$277,'свод практик'!$J$6:$J$277,'строго ИБ'!BW$1,'свод практик'!$B$6:$B$277,"ИБ")</f>
        <v>0</v>
      </c>
      <c r="BX103" s="413">
        <f>SUMIFS('свод практик'!$CQ$6:$CQ$277,'свод практик'!$J$6:$J$277,'строго ИБ'!BX$1,'свод практик'!$B$6:$B$277,"ИБ")</f>
        <v>0</v>
      </c>
      <c r="BY103" s="413">
        <f>SUMIFS('свод практик'!$CQ$6:$CQ$277,'свод практик'!$J$6:$J$277,'строго ИБ'!BY$1,'свод практик'!$B$6:$B$277,"ИБ")</f>
        <v>4</v>
      </c>
      <c r="BZ103" s="413">
        <f>SUMIFS('свод практик'!$CQ$6:$CQ$277,'свод практик'!$J$6:$J$277,'строго ИБ'!BZ$1,'свод практик'!$B$6:$B$277,"ИБ")</f>
        <v>0</v>
      </c>
      <c r="CA103" s="413">
        <f>SUMIFS('свод практик'!$CQ$6:$CQ$277,'свод практик'!$J$6:$J$277,'строго ИБ'!CA$1,'свод практик'!$B$6:$B$277,"ИБ")</f>
        <v>0</v>
      </c>
      <c r="CB103" s="413">
        <f>SUMIFS('свод практик'!$CQ$6:$CQ$277,'свод практик'!$J$6:$J$277,'строго ИБ'!CB$1,'свод практик'!$B$6:$B$277,"ИБ")</f>
        <v>0</v>
      </c>
      <c r="CC103" s="413">
        <f>SUMIFS('свод практик'!$CQ$6:$CQ$277,'свод практик'!$J$6:$J$277,'строго ИБ'!CC$1,'свод практик'!$B$6:$B$277,"ИБ")</f>
        <v>0</v>
      </c>
      <c r="CD103" s="413">
        <f>SUMIFS('свод практик'!$CQ$6:$CQ$277,'свод практик'!$J$6:$J$277,'строго ИБ'!CD$1,'свод практик'!$B$6:$B$277,"ИБ")</f>
        <v>0</v>
      </c>
      <c r="CE103" s="413">
        <f>SUMIFS('свод практик'!$CQ$6:$CQ$277,'свод практик'!$J$6:$J$277,'строго ИБ'!CE$1,'свод практик'!$B$6:$B$277,"ИБ")</f>
        <v>0</v>
      </c>
      <c r="CF103" s="413">
        <f>SUMIFS('свод практик'!$CQ$6:$CQ$277,'свод практик'!$J$6:$J$277,'строго ИБ'!CF$1,'свод практик'!$B$6:$B$277,"ИБ")</f>
        <v>0</v>
      </c>
      <c r="CG103" s="413">
        <f>SUMIFS('свод практик'!$CQ$6:$CQ$277,'свод практик'!$J$6:$J$277,'строго ИБ'!CG$1,'свод практик'!$B$6:$B$277,"ИБ")</f>
        <v>0</v>
      </c>
      <c r="CH103" s="413">
        <f>SUMIFS('свод практик'!$CQ$6:$CQ$277,'свод практик'!$J$6:$J$277,'строго ИБ'!CH$1,'свод практик'!$B$6:$B$277,"ИБ")</f>
        <v>0</v>
      </c>
      <c r="CI103" s="413">
        <f>SUMIFS('свод практик'!$CQ$6:$CQ$277,'свод практик'!$J$6:$J$277,'строго ИБ'!CI$1,'свод практик'!$B$6:$B$277,"ИБ")</f>
        <v>0</v>
      </c>
      <c r="CJ103" s="413">
        <f>SUMIFS('свод практик'!$CQ$6:$CQ$277,'свод практик'!$J$6:$J$277,'строго ИБ'!CJ$1,'свод практик'!$B$6:$B$277,"ИБ")</f>
        <v>0</v>
      </c>
      <c r="CK103" s="413">
        <f>SUMIFS('свод практик'!$CQ$6:$CQ$277,'свод практик'!$J$6:$J$277,'строго ИБ'!CK$1,'свод практик'!$B$6:$B$277,"ИБ")</f>
        <v>0</v>
      </c>
      <c r="CL103" s="413">
        <f>SUMIFS('свод практик'!$CQ$6:$CQ$277,'свод практик'!$J$6:$J$277,'строго ИБ'!CL$1,'свод практик'!$B$6:$B$277,"ИБ")</f>
        <v>0</v>
      </c>
      <c r="CM103" s="413">
        <f>SUMIFS('свод практик'!$CQ$6:$CQ$277,'свод практик'!$J$6:$J$277,'строго ИБ'!CM$1,'свод практик'!$B$6:$B$277,"ИБ")</f>
        <v>0</v>
      </c>
      <c r="CN103" s="413">
        <f>SUMIFS('свод практик'!$CQ$6:$CQ$277,'свод практик'!$J$6:$J$277,'строго ИБ'!CN$1,'свод практик'!$B$6:$B$277,"ИБ")</f>
        <v>0</v>
      </c>
      <c r="CO103" s="413">
        <f>SUMIFS('свод практик'!$CQ$6:$CQ$277,'свод практик'!$J$6:$J$277,'строго ИБ'!CO$1,'свод практик'!$B$6:$B$277,"ИБ")</f>
        <v>0</v>
      </c>
      <c r="CP103" s="413">
        <f>SUMIFS('свод практик'!$CQ$6:$CQ$277,'свод практик'!$J$6:$J$277,'строго ИБ'!CP$1,'свод практик'!$B$6:$B$277,"ИБ")</f>
        <v>0</v>
      </c>
      <c r="CQ103" s="413">
        <f>SUMIFS('свод практик'!$CQ$6:$CQ$277,'свод практик'!$J$6:$J$277,'строго ИБ'!CQ$1,'свод практик'!$B$6:$B$277,"ИБ")</f>
        <v>0</v>
      </c>
      <c r="CR103" s="413">
        <f>SUMIFS('свод практик'!$CQ$6:$CQ$277,'свод практик'!$J$6:$J$277,'строго ИБ'!CR$1,'свод практик'!$B$6:$B$277,"ИБ")</f>
        <v>0</v>
      </c>
      <c r="CS103" s="413">
        <f>SUMIFS('свод практик'!$CQ$6:$CQ$277,'свод практик'!$J$6:$J$277,'строго ИБ'!CS$1,'свод практик'!$B$6:$B$277,"ИБ")</f>
        <v>0</v>
      </c>
      <c r="CT103" s="413">
        <f>SUMIFS('свод практик'!$CQ$6:$CQ$277,'свод практик'!$J$6:$J$277,'строго ИБ'!CT$1,'свод практик'!$B$6:$B$277,"ИБ")</f>
        <v>4</v>
      </c>
      <c r="CU103" s="413">
        <f>SUMIFS('свод практик'!$CQ$6:$CQ$277,'свод практик'!$J$6:$J$277,'строго ИБ'!CU$1,'свод практик'!$B$6:$B$277,"ИБ")</f>
        <v>2</v>
      </c>
    </row>
    <row r="104" spans="1:99" ht="23.5" customHeight="1">
      <c r="A104" s="815"/>
      <c r="B104" s="817"/>
      <c r="C104" s="805"/>
      <c r="D104" s="439"/>
      <c r="E104" s="439"/>
      <c r="F104" s="482" t="s">
        <v>5241</v>
      </c>
      <c r="G104" s="813"/>
      <c r="H104" s="442" t="s">
        <v>60</v>
      </c>
      <c r="I104" s="443"/>
      <c r="J104" s="444"/>
      <c r="K104" s="2"/>
      <c r="L104" s="383"/>
      <c r="M104" s="384">
        <v>8.8118666470847408E-4</v>
      </c>
      <c r="N104" s="607">
        <f>N103/N107</f>
        <v>1.7518248175182481E-3</v>
      </c>
      <c r="O104" s="607">
        <f t="shared" ref="O104:BZ104" si="60">O103/O107</f>
        <v>0</v>
      </c>
      <c r="P104" s="607">
        <f t="shared" si="60"/>
        <v>0</v>
      </c>
      <c r="Q104" s="607">
        <f t="shared" si="60"/>
        <v>0</v>
      </c>
      <c r="R104" s="607">
        <f t="shared" si="60"/>
        <v>0</v>
      </c>
      <c r="S104" s="607">
        <f t="shared" si="60"/>
        <v>0</v>
      </c>
      <c r="T104" s="607">
        <f t="shared" si="60"/>
        <v>0</v>
      </c>
      <c r="U104" s="607">
        <f t="shared" si="60"/>
        <v>0</v>
      </c>
      <c r="V104" s="607">
        <f t="shared" si="60"/>
        <v>0</v>
      </c>
      <c r="W104" s="607">
        <f t="shared" si="60"/>
        <v>0</v>
      </c>
      <c r="X104" s="607" t="e">
        <f t="shared" si="60"/>
        <v>#DIV/0!</v>
      </c>
      <c r="Y104" s="607" t="e">
        <f t="shared" si="60"/>
        <v>#DIV/0!</v>
      </c>
      <c r="Z104" s="607">
        <f t="shared" si="60"/>
        <v>0</v>
      </c>
      <c r="AA104" s="607">
        <f t="shared" si="60"/>
        <v>1.1198208286674132E-3</v>
      </c>
      <c r="AB104" s="607">
        <f t="shared" si="60"/>
        <v>0</v>
      </c>
      <c r="AC104" s="607" t="e">
        <f t="shared" si="60"/>
        <v>#DIV/0!</v>
      </c>
      <c r="AD104" s="607" t="e">
        <f t="shared" si="60"/>
        <v>#DIV/0!</v>
      </c>
      <c r="AE104" s="607" t="e">
        <f t="shared" si="60"/>
        <v>#DIV/0!</v>
      </c>
      <c r="AF104" s="607" t="e">
        <f t="shared" si="60"/>
        <v>#DIV/0!</v>
      </c>
      <c r="AG104" s="607" t="e">
        <f t="shared" si="60"/>
        <v>#DIV/0!</v>
      </c>
      <c r="AH104" s="607" t="e">
        <f t="shared" si="60"/>
        <v>#DIV/0!</v>
      </c>
      <c r="AI104" s="607" t="e">
        <f t="shared" si="60"/>
        <v>#DIV/0!</v>
      </c>
      <c r="AJ104" s="607" t="e">
        <f t="shared" si="60"/>
        <v>#DIV/0!</v>
      </c>
      <c r="AK104" s="607">
        <f t="shared" si="60"/>
        <v>0</v>
      </c>
      <c r="AL104" s="607">
        <f t="shared" si="60"/>
        <v>0</v>
      </c>
      <c r="AM104" s="607" t="e">
        <f t="shared" si="60"/>
        <v>#DIV/0!</v>
      </c>
      <c r="AN104" s="607" t="e">
        <f t="shared" si="60"/>
        <v>#DIV/0!</v>
      </c>
      <c r="AO104" s="607">
        <f t="shared" si="60"/>
        <v>0</v>
      </c>
      <c r="AP104" s="607">
        <f t="shared" si="60"/>
        <v>0</v>
      </c>
      <c r="AQ104" s="607">
        <f t="shared" si="60"/>
        <v>0</v>
      </c>
      <c r="AR104" s="607">
        <f t="shared" si="60"/>
        <v>0</v>
      </c>
      <c r="AS104" s="607" t="e">
        <f t="shared" si="60"/>
        <v>#DIV/0!</v>
      </c>
      <c r="AT104" s="607" t="e">
        <f t="shared" si="60"/>
        <v>#DIV/0!</v>
      </c>
      <c r="AU104" s="607">
        <f t="shared" si="60"/>
        <v>0</v>
      </c>
      <c r="AV104" s="607" t="e">
        <f t="shared" si="60"/>
        <v>#DIV/0!</v>
      </c>
      <c r="AW104" s="607">
        <f t="shared" si="60"/>
        <v>0</v>
      </c>
      <c r="AX104" s="607" t="e">
        <f t="shared" si="60"/>
        <v>#DIV/0!</v>
      </c>
      <c r="AY104" s="607">
        <f t="shared" si="60"/>
        <v>0</v>
      </c>
      <c r="AZ104" s="607" t="e">
        <f t="shared" si="60"/>
        <v>#DIV/0!</v>
      </c>
      <c r="BA104" s="607" t="e">
        <f t="shared" si="60"/>
        <v>#DIV/0!</v>
      </c>
      <c r="BB104" s="607">
        <f t="shared" si="60"/>
        <v>0</v>
      </c>
      <c r="BC104" s="607" t="e">
        <f t="shared" si="60"/>
        <v>#DIV/0!</v>
      </c>
      <c r="BD104" s="607" t="e">
        <f t="shared" si="60"/>
        <v>#DIV/0!</v>
      </c>
      <c r="BE104" s="607">
        <f t="shared" si="60"/>
        <v>0</v>
      </c>
      <c r="BF104" s="607">
        <f t="shared" si="60"/>
        <v>0</v>
      </c>
      <c r="BG104" s="607">
        <f t="shared" si="60"/>
        <v>0</v>
      </c>
      <c r="BH104" s="607">
        <f t="shared" si="60"/>
        <v>0</v>
      </c>
      <c r="BI104" s="607">
        <f t="shared" si="60"/>
        <v>0</v>
      </c>
      <c r="BJ104" s="607">
        <f t="shared" si="60"/>
        <v>1.4778325123152709E-2</v>
      </c>
      <c r="BK104" s="607" t="e">
        <f t="shared" si="60"/>
        <v>#DIV/0!</v>
      </c>
      <c r="BL104" s="607">
        <f t="shared" si="60"/>
        <v>0</v>
      </c>
      <c r="BM104" s="607">
        <f t="shared" si="60"/>
        <v>0</v>
      </c>
      <c r="BN104" s="607" t="e">
        <f t="shared" si="60"/>
        <v>#DIV/0!</v>
      </c>
      <c r="BO104" s="607">
        <f t="shared" si="60"/>
        <v>0</v>
      </c>
      <c r="BP104" s="607" t="e">
        <f t="shared" si="60"/>
        <v>#DIV/0!</v>
      </c>
      <c r="BQ104" s="607" t="e">
        <f t="shared" si="60"/>
        <v>#DIV/0!</v>
      </c>
      <c r="BR104" s="607">
        <f t="shared" si="60"/>
        <v>0</v>
      </c>
      <c r="BS104" s="607">
        <f t="shared" si="60"/>
        <v>5.434782608695652E-3</v>
      </c>
      <c r="BT104" s="607">
        <f t="shared" si="60"/>
        <v>0</v>
      </c>
      <c r="BU104" s="607">
        <f t="shared" si="60"/>
        <v>0.17647058823529413</v>
      </c>
      <c r="BV104" s="607">
        <f t="shared" si="60"/>
        <v>0</v>
      </c>
      <c r="BW104" s="607">
        <f t="shared" si="60"/>
        <v>0</v>
      </c>
      <c r="BX104" s="607">
        <f t="shared" si="60"/>
        <v>0</v>
      </c>
      <c r="BY104" s="607">
        <f t="shared" si="60"/>
        <v>0.08</v>
      </c>
      <c r="BZ104" s="607" t="e">
        <f t="shared" si="60"/>
        <v>#DIV/0!</v>
      </c>
      <c r="CA104" s="607" t="e">
        <f t="shared" ref="CA104:CU104" si="61">CA103/CA107</f>
        <v>#DIV/0!</v>
      </c>
      <c r="CB104" s="607" t="e">
        <f t="shared" si="61"/>
        <v>#DIV/0!</v>
      </c>
      <c r="CC104" s="607">
        <f t="shared" si="61"/>
        <v>0</v>
      </c>
      <c r="CD104" s="607">
        <f t="shared" si="61"/>
        <v>0</v>
      </c>
      <c r="CE104" s="607" t="e">
        <f t="shared" si="61"/>
        <v>#DIV/0!</v>
      </c>
      <c r="CF104" s="607">
        <f t="shared" si="61"/>
        <v>0</v>
      </c>
      <c r="CG104" s="607">
        <f t="shared" si="61"/>
        <v>0</v>
      </c>
      <c r="CH104" s="607">
        <f t="shared" si="61"/>
        <v>0</v>
      </c>
      <c r="CI104" s="607" t="e">
        <f t="shared" si="61"/>
        <v>#DIV/0!</v>
      </c>
      <c r="CJ104" s="607" t="e">
        <f t="shared" si="61"/>
        <v>#DIV/0!</v>
      </c>
      <c r="CK104" s="607">
        <f t="shared" si="61"/>
        <v>0</v>
      </c>
      <c r="CL104" s="607">
        <f t="shared" si="61"/>
        <v>0</v>
      </c>
      <c r="CM104" s="607">
        <f t="shared" si="61"/>
        <v>0</v>
      </c>
      <c r="CN104" s="607" t="e">
        <f t="shared" si="61"/>
        <v>#DIV/0!</v>
      </c>
      <c r="CO104" s="607">
        <f t="shared" si="61"/>
        <v>0</v>
      </c>
      <c r="CP104" s="607">
        <f t="shared" si="61"/>
        <v>0</v>
      </c>
      <c r="CQ104" s="607" t="e">
        <f t="shared" si="61"/>
        <v>#DIV/0!</v>
      </c>
      <c r="CR104" s="607">
        <f t="shared" si="61"/>
        <v>0</v>
      </c>
      <c r="CS104" s="607">
        <f t="shared" si="61"/>
        <v>0</v>
      </c>
      <c r="CT104" s="607">
        <f t="shared" si="61"/>
        <v>4.9382716049382713E-2</v>
      </c>
      <c r="CU104" s="607">
        <f t="shared" si="61"/>
        <v>4.0241448692152921E-3</v>
      </c>
    </row>
    <row r="105" spans="1:99" ht="13.5" customHeight="1">
      <c r="A105" s="815"/>
      <c r="B105" s="817"/>
      <c r="C105" s="805"/>
      <c r="D105" s="439" t="s">
        <v>4949</v>
      </c>
      <c r="E105" s="439">
        <v>84</v>
      </c>
      <c r="F105" s="440" t="s">
        <v>5194</v>
      </c>
      <c r="G105" s="808" t="s">
        <v>5777</v>
      </c>
      <c r="H105" s="442" t="s">
        <v>5140</v>
      </c>
      <c r="I105" s="443"/>
      <c r="J105" s="444"/>
      <c r="K105" s="2" t="s">
        <v>278</v>
      </c>
      <c r="L105" s="385"/>
      <c r="M105" s="351">
        <v>94</v>
      </c>
      <c r="N105" s="580">
        <f t="shared" si="25"/>
        <v>136</v>
      </c>
      <c r="O105" s="413">
        <f>SUMIFS('свод практик'!$CR$6:$CR$277,'свод практик'!$J$6:$J$277,'строго ИБ'!O$1,'свод практик'!$B$6:$B$277,"ИБ")</f>
        <v>0</v>
      </c>
      <c r="P105" s="413">
        <f>SUMIFS('свод практик'!$CR$6:$CR$277,'свод практик'!$J$6:$J$277,'строго ИБ'!P$1,'свод практик'!$B$6:$B$277,"ИБ")</f>
        <v>0</v>
      </c>
      <c r="Q105" s="413">
        <f>SUMIFS('свод практик'!$CR$6:$CR$277,'свод практик'!$J$6:$J$277,'строго ИБ'!Q$1,'свод практик'!$B$6:$B$277,"ИБ")</f>
        <v>0</v>
      </c>
      <c r="R105" s="413">
        <f>SUMIFS('свод практик'!$CR$6:$CR$277,'свод практик'!$J$6:$J$277,'строго ИБ'!R$1,'свод практик'!$B$6:$B$277,"ИБ")</f>
        <v>0</v>
      </c>
      <c r="S105" s="413">
        <f>SUMIFS('свод практик'!$CR$6:$CR$277,'свод практик'!$J$6:$J$277,'строго ИБ'!S$1,'свод практик'!$B$6:$B$277,"ИБ")</f>
        <v>0</v>
      </c>
      <c r="T105" s="413">
        <f>SUMIFS('свод практик'!$CR$6:$CR$277,'свод практик'!$J$6:$J$277,'строго ИБ'!T$1,'свод практик'!$B$6:$B$277,"ИБ")</f>
        <v>0</v>
      </c>
      <c r="U105" s="413">
        <f>SUMIFS('свод практик'!$CR$6:$CR$277,'свод практик'!$J$6:$J$277,'строго ИБ'!U$1,'свод практик'!$B$6:$B$277,"ИБ")</f>
        <v>0</v>
      </c>
      <c r="V105" s="413">
        <f>SUMIFS('свод практик'!$CR$6:$CR$277,'свод практик'!$J$6:$J$277,'строго ИБ'!V$1,'свод практик'!$B$6:$B$277,"ИБ")</f>
        <v>4</v>
      </c>
      <c r="W105" s="413">
        <f>SUMIFS('свод практик'!$CR$6:$CR$277,'свод практик'!$J$6:$J$277,'строго ИБ'!W$1,'свод практик'!$B$6:$B$277,"ИБ")</f>
        <v>0</v>
      </c>
      <c r="X105" s="413">
        <f>SUMIFS('свод практик'!$CR$6:$CR$277,'свод практик'!$J$6:$J$277,'строго ИБ'!X$1,'свод практик'!$B$6:$B$277,"ИБ")</f>
        <v>0</v>
      </c>
      <c r="Y105" s="413">
        <f>SUMIFS('свод практик'!$CR$6:$CR$277,'свод практик'!$J$6:$J$277,'строго ИБ'!Y$1,'свод практик'!$B$6:$B$277,"ИБ")</f>
        <v>0</v>
      </c>
      <c r="Z105" s="413">
        <f>SUMIFS('свод практик'!$CR$6:$CR$277,'свод практик'!$J$6:$J$277,'строго ИБ'!Z$1,'свод практик'!$B$6:$B$277,"ИБ")</f>
        <v>0</v>
      </c>
      <c r="AA105" s="413">
        <f>SUMIFS('свод практик'!$CR$6:$CR$277,'свод практик'!$J$6:$J$277,'строго ИБ'!AA$1,'свод практик'!$B$6:$B$277,"ИБ")</f>
        <v>0</v>
      </c>
      <c r="AB105" s="413">
        <f>SUMIFS('свод практик'!$CR$6:$CR$277,'свод практик'!$J$6:$J$277,'строго ИБ'!AB$1,'свод практик'!$B$6:$B$277,"ИБ")</f>
        <v>8</v>
      </c>
      <c r="AC105" s="413">
        <f>SUMIFS('свод практик'!$CR$6:$CR$277,'свод практик'!$J$6:$J$277,'строго ИБ'!AC$1,'свод практик'!$B$6:$B$277,"ИБ")</f>
        <v>0</v>
      </c>
      <c r="AD105" s="413">
        <f>SUMIFS('свод практик'!$CR$6:$CR$277,'свод практик'!$J$6:$J$277,'строго ИБ'!AD$1,'свод практик'!$B$6:$B$277,"ИБ")</f>
        <v>0</v>
      </c>
      <c r="AE105" s="413">
        <f>SUMIFS('свод практик'!$CR$6:$CR$277,'свод практик'!$J$6:$J$277,'строго ИБ'!AE$1,'свод практик'!$B$6:$B$277,"ИБ")</f>
        <v>0</v>
      </c>
      <c r="AF105" s="413">
        <f>SUMIFS('свод практик'!$CR$6:$CR$277,'свод практик'!$J$6:$J$277,'строго ИБ'!AF$1,'свод практик'!$B$6:$B$277,"ИБ")</f>
        <v>0</v>
      </c>
      <c r="AG105" s="413">
        <f>SUMIFS('свод практик'!$CR$6:$CR$277,'свод практик'!$J$6:$J$277,'строго ИБ'!AG$1,'свод практик'!$B$6:$B$277,"ИБ")</f>
        <v>0</v>
      </c>
      <c r="AH105" s="413">
        <f>SUMIFS('свод практик'!$CR$6:$CR$277,'свод практик'!$J$6:$J$277,'строго ИБ'!AH$1,'свод практик'!$B$6:$B$277,"ИБ")</f>
        <v>0</v>
      </c>
      <c r="AI105" s="413">
        <f>SUMIFS('свод практик'!$CR$6:$CR$277,'свод практик'!$J$6:$J$277,'строго ИБ'!AI$1,'свод практик'!$B$6:$B$277,"ИБ")</f>
        <v>0</v>
      </c>
      <c r="AJ105" s="413">
        <f>SUMIFS('свод практик'!$CR$6:$CR$277,'свод практик'!$J$6:$J$277,'строго ИБ'!AJ$1,'свод практик'!$B$6:$B$277,"ИБ")</f>
        <v>0</v>
      </c>
      <c r="AK105" s="413">
        <f>SUMIFS('свод практик'!$CR$6:$CR$277,'свод практик'!$J$6:$J$277,'строго ИБ'!AK$1,'свод практик'!$B$6:$B$277,"ИБ")</f>
        <v>0</v>
      </c>
      <c r="AL105" s="413">
        <f>SUMIFS('свод практик'!$CR$6:$CR$277,'свод практик'!$J$6:$J$277,'строго ИБ'!AL$1,'свод практик'!$B$6:$B$277,"ИБ")</f>
        <v>24</v>
      </c>
      <c r="AM105" s="413">
        <f>SUMIFS('свод практик'!$CR$6:$CR$277,'свод практик'!$J$6:$J$277,'строго ИБ'!AM$1,'свод практик'!$B$6:$B$277,"ИБ")</f>
        <v>0</v>
      </c>
      <c r="AN105" s="413">
        <f>SUMIFS('свод практик'!$CR$6:$CR$277,'свод практик'!$J$6:$J$277,'строго ИБ'!AN$1,'свод практик'!$B$6:$B$277,"ИБ")</f>
        <v>0</v>
      </c>
      <c r="AO105" s="413">
        <f>SUMIFS('свод практик'!$CR$6:$CR$277,'свод практик'!$J$6:$J$277,'строго ИБ'!AO$1,'свод практик'!$B$6:$B$277,"ИБ")</f>
        <v>0</v>
      </c>
      <c r="AP105" s="413">
        <f>SUMIFS('свод практик'!$CR$6:$CR$277,'свод практик'!$J$6:$J$277,'строго ИБ'!AP$1,'свод практик'!$B$6:$B$277,"ИБ")</f>
        <v>8</v>
      </c>
      <c r="AQ105" s="413">
        <f>SUMIFS('свод практик'!$CR$6:$CR$277,'свод практик'!$J$6:$J$277,'строго ИБ'!AQ$1,'свод практик'!$B$6:$B$277,"ИБ")</f>
        <v>0</v>
      </c>
      <c r="AR105" s="413">
        <f>SUMIFS('свод практик'!$CR$6:$CR$277,'свод практик'!$J$6:$J$277,'строго ИБ'!AR$1,'свод практик'!$B$6:$B$277,"ИБ")</f>
        <v>10</v>
      </c>
      <c r="AS105" s="413">
        <f>SUMIFS('свод практик'!$CR$6:$CR$277,'свод практик'!$J$6:$J$277,'строго ИБ'!AS$1,'свод практик'!$B$6:$B$277,"ИБ")</f>
        <v>0</v>
      </c>
      <c r="AT105" s="413">
        <f>SUMIFS('свод практик'!$CR$6:$CR$277,'свод практик'!$J$6:$J$277,'строго ИБ'!AT$1,'свод практик'!$B$6:$B$277,"ИБ")</f>
        <v>0</v>
      </c>
      <c r="AU105" s="413">
        <f>SUMIFS('свод практик'!$CR$6:$CR$277,'свод практик'!$J$6:$J$277,'строго ИБ'!AU$1,'свод практик'!$B$6:$B$277,"ИБ")</f>
        <v>0</v>
      </c>
      <c r="AV105" s="413">
        <f>SUMIFS('свод практик'!$CR$6:$CR$277,'свод практик'!$J$6:$J$277,'строго ИБ'!AV$1,'свод практик'!$B$6:$B$277,"ИБ")</f>
        <v>0</v>
      </c>
      <c r="AW105" s="413">
        <f>SUMIFS('свод практик'!$CR$6:$CR$277,'свод практик'!$J$6:$J$277,'строго ИБ'!AW$1,'свод практик'!$B$6:$B$277,"ИБ")</f>
        <v>1</v>
      </c>
      <c r="AX105" s="413">
        <f>SUMIFS('свод практик'!$CR$6:$CR$277,'свод практик'!$J$6:$J$277,'строго ИБ'!AX$1,'свод практик'!$B$6:$B$277,"ИБ")</f>
        <v>0</v>
      </c>
      <c r="AY105" s="413">
        <f>SUMIFS('свод практик'!$CR$6:$CR$277,'свод практик'!$J$6:$J$277,'строго ИБ'!AY$1,'свод практик'!$B$6:$B$277,"ИБ")</f>
        <v>1</v>
      </c>
      <c r="AZ105" s="413">
        <f>SUMIFS('свод практик'!$CR$6:$CR$277,'свод практик'!$J$6:$J$277,'строго ИБ'!AZ$1,'свод практик'!$B$6:$B$277,"ИБ")</f>
        <v>0</v>
      </c>
      <c r="BA105" s="413">
        <f>SUMIFS('свод практик'!$CR$6:$CR$277,'свод практик'!$J$6:$J$277,'строго ИБ'!BA$1,'свод практик'!$B$6:$B$277,"ИБ")</f>
        <v>0</v>
      </c>
      <c r="BB105" s="413">
        <f>SUMIFS('свод практик'!$CR$6:$CR$277,'свод практик'!$J$6:$J$277,'строго ИБ'!BB$1,'свод практик'!$B$6:$B$277,"ИБ")</f>
        <v>3</v>
      </c>
      <c r="BC105" s="413">
        <f>SUMIFS('свод практик'!$CR$6:$CR$277,'свод практик'!$J$6:$J$277,'строго ИБ'!BC$1,'свод практик'!$B$6:$B$277,"ИБ")</f>
        <v>0</v>
      </c>
      <c r="BD105" s="413">
        <f>SUMIFS('свод практик'!$CR$6:$CR$277,'свод практик'!$J$6:$J$277,'строго ИБ'!BD$1,'свод практик'!$B$6:$B$277,"ИБ")</f>
        <v>0</v>
      </c>
      <c r="BE105" s="413">
        <f>SUMIFS('свод практик'!$CR$6:$CR$277,'свод практик'!$J$6:$J$277,'строго ИБ'!BE$1,'свод практик'!$B$6:$B$277,"ИБ")</f>
        <v>0</v>
      </c>
      <c r="BF105" s="413">
        <f>SUMIFS('свод практик'!$CR$6:$CR$277,'свод практик'!$J$6:$J$277,'строго ИБ'!BF$1,'свод практик'!$B$6:$B$277,"ИБ")</f>
        <v>0</v>
      </c>
      <c r="BG105" s="413">
        <f>SUMIFS('свод практик'!$CR$6:$CR$277,'свод практик'!$J$6:$J$277,'строго ИБ'!BG$1,'свод практик'!$B$6:$B$277,"ИБ")</f>
        <v>0</v>
      </c>
      <c r="BH105" s="413">
        <f>SUMIFS('свод практик'!$CR$6:$CR$277,'свод практик'!$J$6:$J$277,'строго ИБ'!BH$1,'свод практик'!$B$6:$B$277,"ИБ")</f>
        <v>1</v>
      </c>
      <c r="BI105" s="413">
        <f>SUMIFS('свод практик'!$CR$6:$CR$277,'свод практик'!$J$6:$J$277,'строго ИБ'!BI$1,'свод практик'!$B$6:$B$277,"ИБ")</f>
        <v>1</v>
      </c>
      <c r="BJ105" s="413">
        <f>SUMIFS('свод практик'!$CR$6:$CR$277,'свод практик'!$J$6:$J$277,'строго ИБ'!BJ$1,'свод практик'!$B$6:$B$277,"ИБ")</f>
        <v>0</v>
      </c>
      <c r="BK105" s="413">
        <f>SUMIFS('свод практик'!$CR$6:$CR$277,'свод практик'!$J$6:$J$277,'строго ИБ'!BK$1,'свод практик'!$B$6:$B$277,"ИБ")</f>
        <v>0</v>
      </c>
      <c r="BL105" s="413">
        <f>SUMIFS('свод практик'!$CR$6:$CR$277,'свод практик'!$J$6:$J$277,'строго ИБ'!BL$1,'свод практик'!$B$6:$B$277,"ИБ")</f>
        <v>0</v>
      </c>
      <c r="BM105" s="413">
        <f>SUMIFS('свод практик'!$CR$6:$CR$277,'свод практик'!$J$6:$J$277,'строго ИБ'!BM$1,'свод практик'!$B$6:$B$277,"ИБ")</f>
        <v>0</v>
      </c>
      <c r="BN105" s="413">
        <f>SUMIFS('свод практик'!$CR$6:$CR$277,'свод практик'!$J$6:$J$277,'строго ИБ'!BN$1,'свод практик'!$B$6:$B$277,"ИБ")</f>
        <v>0</v>
      </c>
      <c r="BO105" s="413">
        <f>SUMIFS('свод практик'!$CR$6:$CR$277,'свод практик'!$J$6:$J$277,'строго ИБ'!BO$1,'свод практик'!$B$6:$B$277,"ИБ")</f>
        <v>1</v>
      </c>
      <c r="BP105" s="413">
        <f>SUMIFS('свод практик'!$CR$6:$CR$277,'свод практик'!$J$6:$J$277,'строго ИБ'!BP$1,'свод практик'!$B$6:$B$277,"ИБ")</f>
        <v>0</v>
      </c>
      <c r="BQ105" s="413">
        <f>SUMIFS('свод практик'!$CR$6:$CR$277,'свод практик'!$J$6:$J$277,'строго ИБ'!BQ$1,'свод практик'!$B$6:$B$277,"ИБ")</f>
        <v>0</v>
      </c>
      <c r="BR105" s="413">
        <f>SUMIFS('свод практик'!$CR$6:$CR$277,'свод практик'!$J$6:$J$277,'строго ИБ'!BR$1,'свод практик'!$B$6:$B$277,"ИБ")</f>
        <v>1</v>
      </c>
      <c r="BS105" s="413">
        <f>SUMIFS('свод практик'!$CR$6:$CR$277,'свод практик'!$J$6:$J$277,'строго ИБ'!BS$1,'свод практик'!$B$6:$B$277,"ИБ")</f>
        <v>0</v>
      </c>
      <c r="BT105" s="413">
        <f>SUMIFS('свод практик'!$CR$6:$CR$277,'свод практик'!$J$6:$J$277,'строго ИБ'!BT$1,'свод практик'!$B$6:$B$277,"ИБ")</f>
        <v>4</v>
      </c>
      <c r="BU105" s="413">
        <f>SUMIFS('свод практик'!$CR$6:$CR$277,'свод практик'!$J$6:$J$277,'строго ИБ'!BU$1,'свод практик'!$B$6:$B$277,"ИБ")</f>
        <v>2</v>
      </c>
      <c r="BV105" s="413">
        <f>SUMIFS('свод практик'!$CR$6:$CR$277,'свод практик'!$J$6:$J$277,'строго ИБ'!BV$1,'свод практик'!$B$6:$B$277,"ИБ")</f>
        <v>0</v>
      </c>
      <c r="BW105" s="413">
        <f>SUMIFS('свод практик'!$CR$6:$CR$277,'свод практик'!$J$6:$J$277,'строго ИБ'!BW$1,'свод практик'!$B$6:$B$277,"ИБ")</f>
        <v>4</v>
      </c>
      <c r="BX105" s="413">
        <f>SUMIFS('свод практик'!$CR$6:$CR$277,'свод практик'!$J$6:$J$277,'строго ИБ'!BX$1,'свод практик'!$B$6:$B$277,"ИБ")</f>
        <v>1</v>
      </c>
      <c r="BY105" s="413">
        <f>SUMIFS('свод практик'!$CR$6:$CR$277,'свод практик'!$J$6:$J$277,'строго ИБ'!BY$1,'свод практик'!$B$6:$B$277,"ИБ")</f>
        <v>0</v>
      </c>
      <c r="BZ105" s="413">
        <f>SUMIFS('свод практик'!$CR$6:$CR$277,'свод практик'!$J$6:$J$277,'строго ИБ'!BZ$1,'свод практик'!$B$6:$B$277,"ИБ")</f>
        <v>0</v>
      </c>
      <c r="CA105" s="413">
        <f>SUMIFS('свод практик'!$CR$6:$CR$277,'свод практик'!$J$6:$J$277,'строго ИБ'!CA$1,'свод практик'!$B$6:$B$277,"ИБ")</f>
        <v>0</v>
      </c>
      <c r="CB105" s="413">
        <f>SUMIFS('свод практик'!$CR$6:$CR$277,'свод практик'!$J$6:$J$277,'строго ИБ'!CB$1,'свод практик'!$B$6:$B$277,"ИБ")</f>
        <v>0</v>
      </c>
      <c r="CC105" s="413">
        <f>SUMIFS('свод практик'!$CR$6:$CR$277,'свод практик'!$J$6:$J$277,'строго ИБ'!CC$1,'свод практик'!$B$6:$B$277,"ИБ")</f>
        <v>0</v>
      </c>
      <c r="CD105" s="413">
        <f>SUMIFS('свод практик'!$CR$6:$CR$277,'свод практик'!$J$6:$J$277,'строго ИБ'!CD$1,'свод практик'!$B$6:$B$277,"ИБ")</f>
        <v>8</v>
      </c>
      <c r="CE105" s="413">
        <f>SUMIFS('свод практик'!$CR$6:$CR$277,'свод практик'!$J$6:$J$277,'строго ИБ'!CE$1,'свод практик'!$B$6:$B$277,"ИБ")</f>
        <v>0</v>
      </c>
      <c r="CF105" s="413">
        <f>SUMIFS('свод практик'!$CR$6:$CR$277,'свод практик'!$J$6:$J$277,'строго ИБ'!CF$1,'свод практик'!$B$6:$B$277,"ИБ")</f>
        <v>0</v>
      </c>
      <c r="CG105" s="413">
        <f>SUMIFS('свод практик'!$CR$6:$CR$277,'свод практик'!$J$6:$J$277,'строго ИБ'!CG$1,'свод практик'!$B$6:$B$277,"ИБ")</f>
        <v>0</v>
      </c>
      <c r="CH105" s="413">
        <f>SUMIFS('свод практик'!$CR$6:$CR$277,'свод практик'!$J$6:$J$277,'строго ИБ'!CH$1,'свод практик'!$B$6:$B$277,"ИБ")</f>
        <v>0</v>
      </c>
      <c r="CI105" s="413">
        <f>SUMIFS('свод практик'!$CR$6:$CR$277,'свод практик'!$J$6:$J$277,'строго ИБ'!CI$1,'свод практик'!$B$6:$B$277,"ИБ")</f>
        <v>0</v>
      </c>
      <c r="CJ105" s="413">
        <f>SUMIFS('свод практик'!$CR$6:$CR$277,'свод практик'!$J$6:$J$277,'строго ИБ'!CJ$1,'свод практик'!$B$6:$B$277,"ИБ")</f>
        <v>0</v>
      </c>
      <c r="CK105" s="413">
        <f>SUMIFS('свод практик'!$CR$6:$CR$277,'свод практик'!$J$6:$J$277,'строго ИБ'!CK$1,'свод практик'!$B$6:$B$277,"ИБ")</f>
        <v>0</v>
      </c>
      <c r="CL105" s="413">
        <f>SUMIFS('свод практик'!$CR$6:$CR$277,'свод практик'!$J$6:$J$277,'строго ИБ'!CL$1,'свод практик'!$B$6:$B$277,"ИБ")</f>
        <v>1</v>
      </c>
      <c r="CM105" s="413">
        <f>SUMIFS('свод практик'!$CR$6:$CR$277,'свод практик'!$J$6:$J$277,'строго ИБ'!CM$1,'свод практик'!$B$6:$B$277,"ИБ")</f>
        <v>0</v>
      </c>
      <c r="CN105" s="413">
        <f>SUMIFS('свод практик'!$CR$6:$CR$277,'свод практик'!$J$6:$J$277,'строго ИБ'!CN$1,'свод практик'!$B$6:$B$277,"ИБ")</f>
        <v>0</v>
      </c>
      <c r="CO105" s="413">
        <f>SUMIFS('свод практик'!$CR$6:$CR$277,'свод практик'!$J$6:$J$277,'строго ИБ'!CO$1,'свод практик'!$B$6:$B$277,"ИБ")</f>
        <v>24</v>
      </c>
      <c r="CP105" s="413">
        <f>SUMIFS('свод практик'!$CR$6:$CR$277,'свод практик'!$J$6:$J$277,'строго ИБ'!CP$1,'свод практик'!$B$6:$B$277,"ИБ")</f>
        <v>0</v>
      </c>
      <c r="CQ105" s="413">
        <f>SUMIFS('свод практик'!$CR$6:$CR$277,'свод практик'!$J$6:$J$277,'строго ИБ'!CQ$1,'свод практик'!$B$6:$B$277,"ИБ")</f>
        <v>0</v>
      </c>
      <c r="CR105" s="413">
        <f>SUMIFS('свод практик'!$CR$6:$CR$277,'свод практик'!$J$6:$J$277,'строго ИБ'!CR$1,'свод практик'!$B$6:$B$277,"ИБ")</f>
        <v>7</v>
      </c>
      <c r="CS105" s="413">
        <f>SUMIFS('свод практик'!$CR$6:$CR$277,'свод практик'!$J$6:$J$277,'строго ИБ'!CS$1,'свод практик'!$B$6:$B$277,"ИБ")</f>
        <v>0</v>
      </c>
      <c r="CT105" s="413">
        <f>SUMIFS('свод практик'!$CR$6:$CR$277,'свод практик'!$J$6:$J$277,'строго ИБ'!CT$1,'свод практик'!$B$6:$B$277,"ИБ")</f>
        <v>13</v>
      </c>
      <c r="CU105" s="413">
        <f>SUMIFS('свод практик'!$CR$6:$CR$277,'свод практик'!$J$6:$J$277,'строго ИБ'!CU$1,'свод практик'!$B$6:$B$277,"ИБ")</f>
        <v>9</v>
      </c>
    </row>
    <row r="106" spans="1:99" ht="16.5" customHeight="1" thickBot="1">
      <c r="A106" s="811"/>
      <c r="B106" s="818"/>
      <c r="C106" s="807"/>
      <c r="D106" s="452" t="s">
        <v>4949</v>
      </c>
      <c r="E106" s="452">
        <v>85</v>
      </c>
      <c r="F106" s="453" t="s">
        <v>5196</v>
      </c>
      <c r="G106" s="809"/>
      <c r="H106" s="455" t="s">
        <v>60</v>
      </c>
      <c r="I106" s="478"/>
      <c r="J106" s="456"/>
      <c r="K106" s="343"/>
      <c r="L106" s="386"/>
      <c r="M106" s="387">
        <v>1.3805257747099427E-2</v>
      </c>
      <c r="N106" s="607">
        <f>N105/N107</f>
        <v>1.3236009732360098E-2</v>
      </c>
      <c r="O106" s="607">
        <f t="shared" ref="O106:BZ106" si="62">O105/O107</f>
        <v>0</v>
      </c>
      <c r="P106" s="607">
        <f t="shared" si="62"/>
        <v>0</v>
      </c>
      <c r="Q106" s="607">
        <f t="shared" si="62"/>
        <v>0</v>
      </c>
      <c r="R106" s="607">
        <f t="shared" si="62"/>
        <v>0</v>
      </c>
      <c r="S106" s="607">
        <f t="shared" si="62"/>
        <v>0</v>
      </c>
      <c r="T106" s="607">
        <f t="shared" si="62"/>
        <v>0</v>
      </c>
      <c r="U106" s="607">
        <f t="shared" si="62"/>
        <v>0</v>
      </c>
      <c r="V106" s="607">
        <f t="shared" si="62"/>
        <v>5.128205128205128E-2</v>
      </c>
      <c r="W106" s="607">
        <f t="shared" si="62"/>
        <v>0</v>
      </c>
      <c r="X106" s="607" t="e">
        <f t="shared" si="62"/>
        <v>#DIV/0!</v>
      </c>
      <c r="Y106" s="607" t="e">
        <f t="shared" si="62"/>
        <v>#DIV/0!</v>
      </c>
      <c r="Z106" s="607">
        <f t="shared" si="62"/>
        <v>0</v>
      </c>
      <c r="AA106" s="607">
        <f t="shared" si="62"/>
        <v>0</v>
      </c>
      <c r="AB106" s="607">
        <f t="shared" si="62"/>
        <v>0.12307692307692308</v>
      </c>
      <c r="AC106" s="607" t="e">
        <f t="shared" si="62"/>
        <v>#DIV/0!</v>
      </c>
      <c r="AD106" s="607" t="e">
        <f t="shared" si="62"/>
        <v>#DIV/0!</v>
      </c>
      <c r="AE106" s="607" t="e">
        <f t="shared" si="62"/>
        <v>#DIV/0!</v>
      </c>
      <c r="AF106" s="607" t="e">
        <f t="shared" si="62"/>
        <v>#DIV/0!</v>
      </c>
      <c r="AG106" s="607" t="e">
        <f t="shared" si="62"/>
        <v>#DIV/0!</v>
      </c>
      <c r="AH106" s="607" t="e">
        <f t="shared" si="62"/>
        <v>#DIV/0!</v>
      </c>
      <c r="AI106" s="607" t="e">
        <f t="shared" si="62"/>
        <v>#DIV/0!</v>
      </c>
      <c r="AJ106" s="607" t="e">
        <f t="shared" si="62"/>
        <v>#DIV/0!</v>
      </c>
      <c r="AK106" s="607">
        <f t="shared" si="62"/>
        <v>0</v>
      </c>
      <c r="AL106" s="607">
        <f t="shared" si="62"/>
        <v>0.14117647058823529</v>
      </c>
      <c r="AM106" s="607" t="e">
        <f t="shared" si="62"/>
        <v>#DIV/0!</v>
      </c>
      <c r="AN106" s="607" t="e">
        <f t="shared" si="62"/>
        <v>#DIV/0!</v>
      </c>
      <c r="AO106" s="607">
        <f t="shared" si="62"/>
        <v>0</v>
      </c>
      <c r="AP106" s="607">
        <f t="shared" si="62"/>
        <v>7.476635514018691E-2</v>
      </c>
      <c r="AQ106" s="607">
        <f t="shared" si="62"/>
        <v>0</v>
      </c>
      <c r="AR106" s="607">
        <f t="shared" si="62"/>
        <v>3.6231884057971016E-2</v>
      </c>
      <c r="AS106" s="607" t="e">
        <f t="shared" si="62"/>
        <v>#DIV/0!</v>
      </c>
      <c r="AT106" s="607" t="e">
        <f t="shared" si="62"/>
        <v>#DIV/0!</v>
      </c>
      <c r="AU106" s="607">
        <f t="shared" si="62"/>
        <v>0</v>
      </c>
      <c r="AV106" s="607" t="e">
        <f t="shared" si="62"/>
        <v>#DIV/0!</v>
      </c>
      <c r="AW106" s="607">
        <f t="shared" si="62"/>
        <v>1.0309278350515464E-2</v>
      </c>
      <c r="AX106" s="607" t="e">
        <f t="shared" si="62"/>
        <v>#DIV/0!</v>
      </c>
      <c r="AY106" s="607">
        <f t="shared" si="62"/>
        <v>0.125</v>
      </c>
      <c r="AZ106" s="607" t="e">
        <f t="shared" si="62"/>
        <v>#DIV/0!</v>
      </c>
      <c r="BA106" s="607" t="e">
        <f t="shared" si="62"/>
        <v>#DIV/0!</v>
      </c>
      <c r="BB106" s="607">
        <f t="shared" si="62"/>
        <v>7.1428571428571425E-2</v>
      </c>
      <c r="BC106" s="607" t="e">
        <f t="shared" si="62"/>
        <v>#DIV/0!</v>
      </c>
      <c r="BD106" s="607" t="e">
        <f t="shared" si="62"/>
        <v>#DIV/0!</v>
      </c>
      <c r="BE106" s="607">
        <f t="shared" si="62"/>
        <v>0</v>
      </c>
      <c r="BF106" s="607">
        <f t="shared" si="62"/>
        <v>0</v>
      </c>
      <c r="BG106" s="607">
        <f t="shared" si="62"/>
        <v>0</v>
      </c>
      <c r="BH106" s="607">
        <f t="shared" si="62"/>
        <v>1.6863406408094434E-3</v>
      </c>
      <c r="BI106" s="607">
        <f t="shared" si="62"/>
        <v>2.2727272727272728E-2</v>
      </c>
      <c r="BJ106" s="607">
        <f t="shared" si="62"/>
        <v>0</v>
      </c>
      <c r="BK106" s="607" t="e">
        <f t="shared" si="62"/>
        <v>#DIV/0!</v>
      </c>
      <c r="BL106" s="607">
        <f t="shared" si="62"/>
        <v>0</v>
      </c>
      <c r="BM106" s="607">
        <f t="shared" si="62"/>
        <v>0</v>
      </c>
      <c r="BN106" s="607" t="e">
        <f t="shared" si="62"/>
        <v>#DIV/0!</v>
      </c>
      <c r="BO106" s="607">
        <f t="shared" si="62"/>
        <v>7.6923076923076927E-3</v>
      </c>
      <c r="BP106" s="607" t="e">
        <f t="shared" si="62"/>
        <v>#DIV/0!</v>
      </c>
      <c r="BQ106" s="607" t="e">
        <f t="shared" si="62"/>
        <v>#DIV/0!</v>
      </c>
      <c r="BR106" s="607">
        <f t="shared" si="62"/>
        <v>9.7087378640776691E-3</v>
      </c>
      <c r="BS106" s="607">
        <f t="shared" si="62"/>
        <v>0</v>
      </c>
      <c r="BT106" s="607">
        <f t="shared" si="62"/>
        <v>7.1813285457809697E-3</v>
      </c>
      <c r="BU106" s="607">
        <f t="shared" si="62"/>
        <v>0.11764705882352941</v>
      </c>
      <c r="BV106" s="607">
        <f t="shared" si="62"/>
        <v>0</v>
      </c>
      <c r="BW106" s="607">
        <f t="shared" si="62"/>
        <v>9.0293453724604959E-3</v>
      </c>
      <c r="BX106" s="607">
        <f t="shared" si="62"/>
        <v>5.681818181818182E-3</v>
      </c>
      <c r="BY106" s="607">
        <f t="shared" si="62"/>
        <v>0</v>
      </c>
      <c r="BZ106" s="607" t="e">
        <f t="shared" si="62"/>
        <v>#DIV/0!</v>
      </c>
      <c r="CA106" s="607" t="e">
        <f t="shared" ref="CA106:CU106" si="63">CA105/CA107</f>
        <v>#DIV/0!</v>
      </c>
      <c r="CB106" s="607" t="e">
        <f t="shared" si="63"/>
        <v>#DIV/0!</v>
      </c>
      <c r="CC106" s="607">
        <f t="shared" si="63"/>
        <v>0</v>
      </c>
      <c r="CD106" s="607">
        <f t="shared" si="63"/>
        <v>1.4814814814814815E-2</v>
      </c>
      <c r="CE106" s="607" t="e">
        <f t="shared" si="63"/>
        <v>#DIV/0!</v>
      </c>
      <c r="CF106" s="607">
        <f t="shared" si="63"/>
        <v>0</v>
      </c>
      <c r="CG106" s="607">
        <f t="shared" si="63"/>
        <v>0</v>
      </c>
      <c r="CH106" s="607">
        <f t="shared" si="63"/>
        <v>0</v>
      </c>
      <c r="CI106" s="607" t="e">
        <f t="shared" si="63"/>
        <v>#DIV/0!</v>
      </c>
      <c r="CJ106" s="607" t="e">
        <f t="shared" si="63"/>
        <v>#DIV/0!</v>
      </c>
      <c r="CK106" s="607">
        <f t="shared" si="63"/>
        <v>0</v>
      </c>
      <c r="CL106" s="607">
        <f t="shared" si="63"/>
        <v>6.8027210884353739E-3</v>
      </c>
      <c r="CM106" s="607">
        <f t="shared" si="63"/>
        <v>0</v>
      </c>
      <c r="CN106" s="607" t="e">
        <f t="shared" si="63"/>
        <v>#DIV/0!</v>
      </c>
      <c r="CO106" s="607">
        <f t="shared" si="63"/>
        <v>0.12698412698412698</v>
      </c>
      <c r="CP106" s="607">
        <f t="shared" si="63"/>
        <v>0</v>
      </c>
      <c r="CQ106" s="607" t="e">
        <f t="shared" si="63"/>
        <v>#DIV/0!</v>
      </c>
      <c r="CR106" s="607">
        <f t="shared" si="63"/>
        <v>1.088646967340591E-2</v>
      </c>
      <c r="CS106" s="607">
        <f t="shared" si="63"/>
        <v>0</v>
      </c>
      <c r="CT106" s="607">
        <f t="shared" si="63"/>
        <v>0.16049382716049382</v>
      </c>
      <c r="CU106" s="607">
        <f t="shared" si="63"/>
        <v>1.8108651911468814E-2</v>
      </c>
    </row>
    <row r="107" spans="1:99" ht="48" customHeight="1" thickBot="1">
      <c r="A107" s="462" t="s">
        <v>5197</v>
      </c>
      <c r="B107" s="463" t="s">
        <v>4990</v>
      </c>
      <c r="C107" s="464" t="s">
        <v>5198</v>
      </c>
      <c r="D107" s="465" t="s">
        <v>4949</v>
      </c>
      <c r="E107" s="465">
        <v>86</v>
      </c>
      <c r="F107" s="466" t="s">
        <v>5199</v>
      </c>
      <c r="G107" s="517" t="s">
        <v>5778</v>
      </c>
      <c r="H107" s="468" t="s">
        <v>5140</v>
      </c>
      <c r="I107" s="507" t="s">
        <v>5090</v>
      </c>
      <c r="J107" s="518"/>
      <c r="K107" s="345" t="s">
        <v>278</v>
      </c>
      <c r="L107" s="388"/>
      <c r="M107" s="389">
        <v>6809</v>
      </c>
      <c r="N107" s="614">
        <f>SUM(N105,N67,N69,N71,N73,N75,N77,N79,N81,N83,N85,N87,N89,N91,N93,N95,N97,N99,N101,N103)</f>
        <v>10275</v>
      </c>
      <c r="O107" s="609">
        <f t="shared" ref="O107:BZ107" si="64">SUM(O105,O67,O69,O71,O73,O75,O77,O79,O81,O83,O85,O87,O89,O91,O93,O95,O97,O99,O101,O103)</f>
        <v>6</v>
      </c>
      <c r="P107" s="609">
        <f t="shared" si="64"/>
        <v>6</v>
      </c>
      <c r="Q107" s="609">
        <f t="shared" si="64"/>
        <v>204</v>
      </c>
      <c r="R107" s="609">
        <f t="shared" si="64"/>
        <v>82</v>
      </c>
      <c r="S107" s="609">
        <f t="shared" si="64"/>
        <v>5</v>
      </c>
      <c r="T107" s="609">
        <f t="shared" si="64"/>
        <v>12</v>
      </c>
      <c r="U107" s="609">
        <f t="shared" si="64"/>
        <v>1300</v>
      </c>
      <c r="V107" s="609">
        <f t="shared" si="64"/>
        <v>78</v>
      </c>
      <c r="W107" s="609">
        <f t="shared" si="64"/>
        <v>89</v>
      </c>
      <c r="X107" s="609">
        <f t="shared" si="64"/>
        <v>0</v>
      </c>
      <c r="Y107" s="609">
        <f t="shared" si="64"/>
        <v>0</v>
      </c>
      <c r="Z107" s="609">
        <f t="shared" si="64"/>
        <v>93</v>
      </c>
      <c r="AA107" s="609">
        <f t="shared" si="64"/>
        <v>893</v>
      </c>
      <c r="AB107" s="609">
        <f t="shared" si="64"/>
        <v>65</v>
      </c>
      <c r="AC107" s="609">
        <f t="shared" si="64"/>
        <v>0</v>
      </c>
      <c r="AD107" s="609">
        <f t="shared" si="64"/>
        <v>0</v>
      </c>
      <c r="AE107" s="609">
        <f t="shared" si="64"/>
        <v>0</v>
      </c>
      <c r="AF107" s="609">
        <f t="shared" si="64"/>
        <v>0</v>
      </c>
      <c r="AG107" s="609">
        <f t="shared" si="64"/>
        <v>0</v>
      </c>
      <c r="AH107" s="609">
        <f t="shared" si="64"/>
        <v>0</v>
      </c>
      <c r="AI107" s="609">
        <f t="shared" si="64"/>
        <v>0</v>
      </c>
      <c r="AJ107" s="609">
        <f t="shared" si="64"/>
        <v>0</v>
      </c>
      <c r="AK107" s="609">
        <f t="shared" si="64"/>
        <v>9</v>
      </c>
      <c r="AL107" s="609">
        <f t="shared" si="64"/>
        <v>170</v>
      </c>
      <c r="AM107" s="609">
        <f t="shared" si="64"/>
        <v>0</v>
      </c>
      <c r="AN107" s="609">
        <f t="shared" si="64"/>
        <v>0</v>
      </c>
      <c r="AO107" s="609">
        <f t="shared" si="64"/>
        <v>79</v>
      </c>
      <c r="AP107" s="609">
        <f t="shared" si="64"/>
        <v>107</v>
      </c>
      <c r="AQ107" s="609">
        <f t="shared" si="64"/>
        <v>357</v>
      </c>
      <c r="AR107" s="609">
        <f t="shared" si="64"/>
        <v>276</v>
      </c>
      <c r="AS107" s="609">
        <f t="shared" si="64"/>
        <v>0</v>
      </c>
      <c r="AT107" s="609">
        <f t="shared" si="64"/>
        <v>0</v>
      </c>
      <c r="AU107" s="609">
        <f t="shared" si="64"/>
        <v>120</v>
      </c>
      <c r="AV107" s="609">
        <f t="shared" si="64"/>
        <v>0</v>
      </c>
      <c r="AW107" s="609">
        <f t="shared" si="64"/>
        <v>97</v>
      </c>
      <c r="AX107" s="609">
        <f t="shared" si="64"/>
        <v>0</v>
      </c>
      <c r="AY107" s="609">
        <f t="shared" si="64"/>
        <v>8</v>
      </c>
      <c r="AZ107" s="609">
        <f t="shared" si="64"/>
        <v>0</v>
      </c>
      <c r="BA107" s="609">
        <f t="shared" si="64"/>
        <v>0</v>
      </c>
      <c r="BB107" s="609">
        <f t="shared" si="64"/>
        <v>42</v>
      </c>
      <c r="BC107" s="609">
        <f t="shared" si="64"/>
        <v>0</v>
      </c>
      <c r="BD107" s="609">
        <f t="shared" si="64"/>
        <v>0</v>
      </c>
      <c r="BE107" s="609">
        <f t="shared" si="64"/>
        <v>3</v>
      </c>
      <c r="BF107" s="609">
        <f t="shared" si="64"/>
        <v>36</v>
      </c>
      <c r="BG107" s="609">
        <f t="shared" si="64"/>
        <v>23</v>
      </c>
      <c r="BH107" s="609">
        <f t="shared" si="64"/>
        <v>593</v>
      </c>
      <c r="BI107" s="609">
        <f t="shared" si="64"/>
        <v>44</v>
      </c>
      <c r="BJ107" s="609">
        <f t="shared" si="64"/>
        <v>203</v>
      </c>
      <c r="BK107" s="609">
        <f t="shared" si="64"/>
        <v>0</v>
      </c>
      <c r="BL107" s="609">
        <f t="shared" si="64"/>
        <v>147</v>
      </c>
      <c r="BM107" s="609">
        <f t="shared" si="64"/>
        <v>6</v>
      </c>
      <c r="BN107" s="609">
        <f t="shared" si="64"/>
        <v>0</v>
      </c>
      <c r="BO107" s="609">
        <f t="shared" si="64"/>
        <v>130</v>
      </c>
      <c r="BP107" s="609">
        <f t="shared" si="64"/>
        <v>0</v>
      </c>
      <c r="BQ107" s="609">
        <f t="shared" si="64"/>
        <v>0</v>
      </c>
      <c r="BR107" s="609">
        <f t="shared" si="64"/>
        <v>103</v>
      </c>
      <c r="BS107" s="609">
        <f t="shared" si="64"/>
        <v>184</v>
      </c>
      <c r="BT107" s="609">
        <f t="shared" si="64"/>
        <v>557</v>
      </c>
      <c r="BU107" s="609">
        <f t="shared" si="64"/>
        <v>17</v>
      </c>
      <c r="BV107" s="609">
        <f t="shared" si="64"/>
        <v>110</v>
      </c>
      <c r="BW107" s="609">
        <f t="shared" si="64"/>
        <v>443</v>
      </c>
      <c r="BX107" s="609">
        <f t="shared" si="64"/>
        <v>176</v>
      </c>
      <c r="BY107" s="609">
        <f t="shared" si="64"/>
        <v>50</v>
      </c>
      <c r="BZ107" s="609">
        <f t="shared" si="64"/>
        <v>0</v>
      </c>
      <c r="CA107" s="609">
        <f t="shared" ref="CA107:CU107" si="65">SUM(CA105,CA67,CA69,CA71,CA73,CA75,CA77,CA79,CA81,CA83,CA85,CA87,CA89,CA91,CA93,CA95,CA97,CA99,CA101,CA103)</f>
        <v>0</v>
      </c>
      <c r="CB107" s="609">
        <f t="shared" si="65"/>
        <v>0</v>
      </c>
      <c r="CC107" s="609">
        <f t="shared" si="65"/>
        <v>245</v>
      </c>
      <c r="CD107" s="609">
        <f t="shared" si="65"/>
        <v>540</v>
      </c>
      <c r="CE107" s="609">
        <f t="shared" si="65"/>
        <v>0</v>
      </c>
      <c r="CF107" s="609">
        <f t="shared" si="65"/>
        <v>271</v>
      </c>
      <c r="CG107" s="609">
        <f t="shared" si="65"/>
        <v>72</v>
      </c>
      <c r="CH107" s="609">
        <f t="shared" si="65"/>
        <v>506</v>
      </c>
      <c r="CI107" s="609">
        <f t="shared" si="65"/>
        <v>0</v>
      </c>
      <c r="CJ107" s="609">
        <f t="shared" si="65"/>
        <v>0</v>
      </c>
      <c r="CK107" s="609">
        <f t="shared" si="65"/>
        <v>109</v>
      </c>
      <c r="CL107" s="609">
        <f t="shared" si="65"/>
        <v>147</v>
      </c>
      <c r="CM107" s="609">
        <f t="shared" si="65"/>
        <v>41</v>
      </c>
      <c r="CN107" s="609">
        <f t="shared" si="65"/>
        <v>0</v>
      </c>
      <c r="CO107" s="609">
        <f t="shared" si="65"/>
        <v>189</v>
      </c>
      <c r="CP107" s="609">
        <f t="shared" si="65"/>
        <v>1</v>
      </c>
      <c r="CQ107" s="609">
        <f t="shared" si="65"/>
        <v>0</v>
      </c>
      <c r="CR107" s="609">
        <f t="shared" si="65"/>
        <v>643</v>
      </c>
      <c r="CS107" s="609">
        <f t="shared" si="65"/>
        <v>10</v>
      </c>
      <c r="CT107" s="609">
        <f t="shared" si="65"/>
        <v>81</v>
      </c>
      <c r="CU107" s="609">
        <f t="shared" si="65"/>
        <v>497</v>
      </c>
    </row>
    <row r="108" spans="1:99" ht="45.5" customHeight="1" thickBot="1">
      <c r="A108" s="492" t="s">
        <v>5200</v>
      </c>
      <c r="B108" s="485" t="s">
        <v>4947</v>
      </c>
      <c r="C108" s="493" t="s">
        <v>5201</v>
      </c>
      <c r="D108" s="486" t="s">
        <v>4949</v>
      </c>
      <c r="E108" s="486">
        <v>87</v>
      </c>
      <c r="F108" s="487" t="s">
        <v>5202</v>
      </c>
      <c r="G108" s="488" t="s">
        <v>5779</v>
      </c>
      <c r="H108" s="489" t="s">
        <v>5082</v>
      </c>
      <c r="I108" s="490" t="s">
        <v>5203</v>
      </c>
      <c r="J108" s="519"/>
      <c r="K108" s="354"/>
      <c r="L108" s="390"/>
      <c r="M108" s="391">
        <v>1.1785252947569391</v>
      </c>
      <c r="N108" s="615">
        <f>N44/N107</f>
        <v>1.2170673796233575</v>
      </c>
      <c r="O108" s="615">
        <f t="shared" ref="O108:BZ108" si="66">O44/O107</f>
        <v>1.1943333333333335</v>
      </c>
      <c r="P108" s="615">
        <f t="shared" si="66"/>
        <v>0.53650000000000009</v>
      </c>
      <c r="Q108" s="615">
        <f t="shared" si="66"/>
        <v>0.85392156862745094</v>
      </c>
      <c r="R108" s="615">
        <f t="shared" si="66"/>
        <v>1.0929512195121951</v>
      </c>
      <c r="S108" s="615">
        <f t="shared" si="66"/>
        <v>1.2</v>
      </c>
      <c r="T108" s="615">
        <f t="shared" si="66"/>
        <v>9.9999999999999992E-2</v>
      </c>
      <c r="U108" s="615">
        <f t="shared" si="66"/>
        <v>2.2157646153846158</v>
      </c>
      <c r="V108" s="615">
        <f t="shared" si="66"/>
        <v>1.218346153846154</v>
      </c>
      <c r="W108" s="615">
        <f t="shared" si="66"/>
        <v>1.2247191011235956</v>
      </c>
      <c r="X108" s="615" t="e">
        <f t="shared" si="66"/>
        <v>#DIV/0!</v>
      </c>
      <c r="Y108" s="615" t="e">
        <f t="shared" si="66"/>
        <v>#DIV/0!</v>
      </c>
      <c r="Z108" s="615">
        <f t="shared" si="66"/>
        <v>1.2303333333333335</v>
      </c>
      <c r="AA108" s="615">
        <f t="shared" si="66"/>
        <v>0.28092497200447925</v>
      </c>
      <c r="AB108" s="615">
        <f t="shared" si="66"/>
        <v>2.3400769230769227</v>
      </c>
      <c r="AC108" s="615" t="e">
        <f t="shared" si="66"/>
        <v>#DIV/0!</v>
      </c>
      <c r="AD108" s="615" t="e">
        <f t="shared" si="66"/>
        <v>#DIV/0!</v>
      </c>
      <c r="AE108" s="615" t="e">
        <f t="shared" si="66"/>
        <v>#DIV/0!</v>
      </c>
      <c r="AF108" s="615" t="e">
        <f t="shared" si="66"/>
        <v>#DIV/0!</v>
      </c>
      <c r="AG108" s="615" t="e">
        <f t="shared" si="66"/>
        <v>#DIV/0!</v>
      </c>
      <c r="AH108" s="615" t="e">
        <f t="shared" si="66"/>
        <v>#DIV/0!</v>
      </c>
      <c r="AI108" s="615" t="e">
        <f t="shared" si="66"/>
        <v>#DIV/0!</v>
      </c>
      <c r="AJ108" s="615" t="e">
        <f t="shared" si="66"/>
        <v>#DIV/0!</v>
      </c>
      <c r="AK108" s="615">
        <f t="shared" si="66"/>
        <v>0.83368811111111107</v>
      </c>
      <c r="AL108" s="615">
        <f t="shared" si="66"/>
        <v>0.97147680911764689</v>
      </c>
      <c r="AM108" s="615" t="e">
        <f t="shared" si="66"/>
        <v>#DIV/0!</v>
      </c>
      <c r="AN108" s="615" t="e">
        <f t="shared" si="66"/>
        <v>#DIV/0!</v>
      </c>
      <c r="AO108" s="615">
        <f t="shared" si="66"/>
        <v>1.2556962025316456</v>
      </c>
      <c r="AP108" s="615">
        <f t="shared" si="66"/>
        <v>1.1448598130841121</v>
      </c>
      <c r="AQ108" s="615">
        <f t="shared" si="66"/>
        <v>1.100280112044818</v>
      </c>
      <c r="AR108" s="615">
        <f t="shared" si="66"/>
        <v>0.42841304347826087</v>
      </c>
      <c r="AS108" s="615" t="e">
        <f t="shared" si="66"/>
        <v>#DIV/0!</v>
      </c>
      <c r="AT108" s="615" t="e">
        <f t="shared" si="66"/>
        <v>#DIV/0!</v>
      </c>
      <c r="AU108" s="615">
        <f t="shared" si="66"/>
        <v>1.2857499999999999</v>
      </c>
      <c r="AV108" s="615" t="e">
        <f t="shared" si="66"/>
        <v>#DIV/0!</v>
      </c>
      <c r="AW108" s="615">
        <f t="shared" si="66"/>
        <v>1.9705773195876288</v>
      </c>
      <c r="AX108" s="615" t="e">
        <f t="shared" si="66"/>
        <v>#DIV/0!</v>
      </c>
      <c r="AY108" s="615">
        <f t="shared" si="66"/>
        <v>1.325</v>
      </c>
      <c r="AZ108" s="615" t="e">
        <f t="shared" si="66"/>
        <v>#DIV/0!</v>
      </c>
      <c r="BA108" s="615" t="e">
        <f t="shared" si="66"/>
        <v>#DIV/0!</v>
      </c>
      <c r="BB108" s="615">
        <f t="shared" si="66"/>
        <v>0.7702336904761905</v>
      </c>
      <c r="BC108" s="615" t="e">
        <f t="shared" si="66"/>
        <v>#DIV/0!</v>
      </c>
      <c r="BD108" s="615" t="e">
        <f t="shared" si="66"/>
        <v>#DIV/0!</v>
      </c>
      <c r="BE108" s="615">
        <f t="shared" si="66"/>
        <v>2.6366666666666667</v>
      </c>
      <c r="BF108" s="615">
        <f t="shared" si="66"/>
        <v>1.0351111111111111</v>
      </c>
      <c r="BG108" s="615">
        <f t="shared" si="66"/>
        <v>1.0122608695652173</v>
      </c>
      <c r="BH108" s="615">
        <f t="shared" si="66"/>
        <v>1.1727386172006744</v>
      </c>
      <c r="BI108" s="615">
        <f t="shared" si="66"/>
        <v>1.0215227272727272</v>
      </c>
      <c r="BJ108" s="615">
        <f t="shared" si="66"/>
        <v>0.77635467980295558</v>
      </c>
      <c r="BK108" s="615" t="e">
        <f t="shared" si="66"/>
        <v>#DIV/0!</v>
      </c>
      <c r="BL108" s="615">
        <f t="shared" si="66"/>
        <v>0.78335306122448989</v>
      </c>
      <c r="BM108" s="615">
        <f t="shared" si="66"/>
        <v>3.3655000000000004</v>
      </c>
      <c r="BN108" s="615" t="e">
        <f t="shared" si="66"/>
        <v>#DIV/0!</v>
      </c>
      <c r="BO108" s="615">
        <f t="shared" si="66"/>
        <v>1.0018822552307693</v>
      </c>
      <c r="BP108" s="615" t="e">
        <f t="shared" si="66"/>
        <v>#DIV/0!</v>
      </c>
      <c r="BQ108" s="615" t="e">
        <f t="shared" si="66"/>
        <v>#DIV/0!</v>
      </c>
      <c r="BR108" s="615">
        <f t="shared" si="66"/>
        <v>0.10223300970873786</v>
      </c>
      <c r="BS108" s="615">
        <f t="shared" si="66"/>
        <v>1.1158369565217392</v>
      </c>
      <c r="BT108" s="615">
        <f t="shared" si="66"/>
        <v>0.47155475763016169</v>
      </c>
      <c r="BU108" s="615">
        <f t="shared" si="66"/>
        <v>10.676425882352941</v>
      </c>
      <c r="BV108" s="615">
        <f t="shared" si="66"/>
        <v>0.98387545454545455</v>
      </c>
      <c r="BW108" s="615">
        <f t="shared" si="66"/>
        <v>1.8218284424379234</v>
      </c>
      <c r="BX108" s="615">
        <f t="shared" si="66"/>
        <v>4.896590909090909</v>
      </c>
      <c r="BY108" s="615">
        <f t="shared" si="66"/>
        <v>1.9307400000000001</v>
      </c>
      <c r="BZ108" s="615" t="e">
        <f t="shared" si="66"/>
        <v>#DIV/0!</v>
      </c>
      <c r="CA108" s="615" t="e">
        <f t="shared" ref="CA108:CU108" si="67">CA44/CA107</f>
        <v>#DIV/0!</v>
      </c>
      <c r="CB108" s="615" t="e">
        <f t="shared" si="67"/>
        <v>#DIV/0!</v>
      </c>
      <c r="CC108" s="615">
        <f t="shared" si="67"/>
        <v>2.6420816326530616</v>
      </c>
      <c r="CD108" s="615">
        <f t="shared" si="67"/>
        <v>0.24565370370370368</v>
      </c>
      <c r="CE108" s="615" t="e">
        <f t="shared" si="67"/>
        <v>#DIV/0!</v>
      </c>
      <c r="CF108" s="615">
        <f t="shared" si="67"/>
        <v>0.82730627306273063</v>
      </c>
      <c r="CG108" s="615">
        <f t="shared" si="67"/>
        <v>0.749525055</v>
      </c>
      <c r="CH108" s="615">
        <f t="shared" si="67"/>
        <v>1.3794466403162056</v>
      </c>
      <c r="CI108" s="615" t="e">
        <f t="shared" si="67"/>
        <v>#DIV/0!</v>
      </c>
      <c r="CJ108" s="615" t="e">
        <f t="shared" si="67"/>
        <v>#DIV/0!</v>
      </c>
      <c r="CK108" s="615">
        <f t="shared" si="67"/>
        <v>0.84782931284403662</v>
      </c>
      <c r="CL108" s="615">
        <f t="shared" si="67"/>
        <v>1.3099968197278915</v>
      </c>
      <c r="CM108" s="615">
        <f t="shared" si="67"/>
        <v>1.9097560975609755</v>
      </c>
      <c r="CN108" s="615" t="e">
        <f t="shared" si="67"/>
        <v>#DIV/0!</v>
      </c>
      <c r="CO108" s="615">
        <f t="shared" si="67"/>
        <v>0.8678380705820109</v>
      </c>
      <c r="CP108" s="615">
        <f t="shared" si="67"/>
        <v>1.8</v>
      </c>
      <c r="CQ108" s="615" t="e">
        <f t="shared" si="67"/>
        <v>#DIV/0!</v>
      </c>
      <c r="CR108" s="615">
        <f t="shared" si="67"/>
        <v>0.67840124416796266</v>
      </c>
      <c r="CS108" s="615">
        <f t="shared" si="67"/>
        <v>2.6659999999999999</v>
      </c>
      <c r="CT108" s="615">
        <f t="shared" si="67"/>
        <v>0.92587654320987633</v>
      </c>
      <c r="CU108" s="615">
        <f t="shared" si="67"/>
        <v>1.487927565392354</v>
      </c>
    </row>
    <row r="109" spans="1:99" ht="36" customHeight="1">
      <c r="A109" s="810" t="s">
        <v>5204</v>
      </c>
      <c r="B109" s="795" t="s">
        <v>4947</v>
      </c>
      <c r="C109" s="795" t="s">
        <v>5205</v>
      </c>
      <c r="D109" s="433" t="s">
        <v>4949</v>
      </c>
      <c r="E109" s="433">
        <v>88</v>
      </c>
      <c r="F109" s="434" t="s">
        <v>5206</v>
      </c>
      <c r="G109" s="435" t="s">
        <v>5780</v>
      </c>
      <c r="H109" s="436" t="s">
        <v>5082</v>
      </c>
      <c r="I109" s="437" t="s">
        <v>5208</v>
      </c>
      <c r="J109" s="438"/>
      <c r="K109" s="392"/>
      <c r="L109" s="393"/>
      <c r="M109" s="394">
        <v>0.7513408466735203</v>
      </c>
      <c r="N109" s="610">
        <f>N47/N107</f>
        <v>0.80181545846423363</v>
      </c>
      <c r="O109" s="610">
        <f t="shared" ref="O109:BZ109" si="68">O47/O107</f>
        <v>0.82583333333333331</v>
      </c>
      <c r="P109" s="610">
        <f t="shared" si="68"/>
        <v>0.30199999999999999</v>
      </c>
      <c r="Q109" s="610">
        <f t="shared" si="68"/>
        <v>0.57794117647058829</v>
      </c>
      <c r="R109" s="610">
        <f t="shared" si="68"/>
        <v>0.86984146341463409</v>
      </c>
      <c r="S109" s="610">
        <f t="shared" si="68"/>
        <v>0</v>
      </c>
      <c r="T109" s="610">
        <f t="shared" si="68"/>
        <v>9.9999999999999992E-2</v>
      </c>
      <c r="U109" s="610">
        <f t="shared" si="68"/>
        <v>1.9037346153846153</v>
      </c>
      <c r="V109" s="610">
        <f t="shared" si="68"/>
        <v>0</v>
      </c>
      <c r="W109" s="610">
        <f t="shared" si="68"/>
        <v>1.0786516853932584</v>
      </c>
      <c r="X109" s="610" t="e">
        <f t="shared" si="68"/>
        <v>#DIV/0!</v>
      </c>
      <c r="Y109" s="610" t="e">
        <f t="shared" si="68"/>
        <v>#DIV/0!</v>
      </c>
      <c r="Z109" s="610">
        <f t="shared" si="68"/>
        <v>0.56112903225806454</v>
      </c>
      <c r="AA109" s="610">
        <f t="shared" si="68"/>
        <v>9.18902575587906E-2</v>
      </c>
      <c r="AB109" s="610">
        <f t="shared" si="68"/>
        <v>1.7480923076923078</v>
      </c>
      <c r="AC109" s="610" t="e">
        <f t="shared" si="68"/>
        <v>#DIV/0!</v>
      </c>
      <c r="AD109" s="610" t="e">
        <f t="shared" si="68"/>
        <v>#DIV/0!</v>
      </c>
      <c r="AE109" s="610" t="e">
        <f t="shared" si="68"/>
        <v>#DIV/0!</v>
      </c>
      <c r="AF109" s="610" t="e">
        <f t="shared" si="68"/>
        <v>#DIV/0!</v>
      </c>
      <c r="AG109" s="610" t="e">
        <f t="shared" si="68"/>
        <v>#DIV/0!</v>
      </c>
      <c r="AH109" s="610" t="e">
        <f t="shared" si="68"/>
        <v>#DIV/0!</v>
      </c>
      <c r="AI109" s="610" t="e">
        <f t="shared" si="68"/>
        <v>#DIV/0!</v>
      </c>
      <c r="AJ109" s="610" t="e">
        <f t="shared" si="68"/>
        <v>#DIV/0!</v>
      </c>
      <c r="AK109" s="610">
        <f t="shared" si="68"/>
        <v>0.59752144444444444</v>
      </c>
      <c r="AL109" s="610">
        <f t="shared" si="68"/>
        <v>0.54430588235294119</v>
      </c>
      <c r="AM109" s="610" t="e">
        <f t="shared" si="68"/>
        <v>#DIV/0!</v>
      </c>
      <c r="AN109" s="610" t="e">
        <f t="shared" si="68"/>
        <v>#DIV/0!</v>
      </c>
      <c r="AO109" s="610">
        <f t="shared" si="68"/>
        <v>0.73291139240506331</v>
      </c>
      <c r="AP109" s="610">
        <f t="shared" si="68"/>
        <v>0.81869158878504666</v>
      </c>
      <c r="AQ109" s="610">
        <f t="shared" si="68"/>
        <v>0.67955182072829134</v>
      </c>
      <c r="AR109" s="610">
        <f t="shared" si="68"/>
        <v>0.32623913043478259</v>
      </c>
      <c r="AS109" s="610" t="e">
        <f t="shared" si="68"/>
        <v>#DIV/0!</v>
      </c>
      <c r="AT109" s="610" t="e">
        <f t="shared" si="68"/>
        <v>#DIV/0!</v>
      </c>
      <c r="AU109" s="610">
        <f t="shared" si="68"/>
        <v>0.82166666666666666</v>
      </c>
      <c r="AV109" s="610" t="e">
        <f t="shared" si="68"/>
        <v>#DIV/0!</v>
      </c>
      <c r="AW109" s="610">
        <f t="shared" si="68"/>
        <v>1.0778556701030928</v>
      </c>
      <c r="AX109" s="610" t="e">
        <f t="shared" si="68"/>
        <v>#DIV/0!</v>
      </c>
      <c r="AY109" s="610">
        <f t="shared" si="68"/>
        <v>0</v>
      </c>
      <c r="AZ109" s="610" t="e">
        <f t="shared" si="68"/>
        <v>#DIV/0!</v>
      </c>
      <c r="BA109" s="610" t="e">
        <f t="shared" si="68"/>
        <v>#DIV/0!</v>
      </c>
      <c r="BB109" s="610">
        <f t="shared" si="68"/>
        <v>0.5190933333333333</v>
      </c>
      <c r="BC109" s="610" t="e">
        <f t="shared" si="68"/>
        <v>#DIV/0!</v>
      </c>
      <c r="BD109" s="610" t="e">
        <f t="shared" si="68"/>
        <v>#DIV/0!</v>
      </c>
      <c r="BE109" s="610">
        <f t="shared" si="68"/>
        <v>0</v>
      </c>
      <c r="BF109" s="610">
        <f t="shared" si="68"/>
        <v>0.62777777777777777</v>
      </c>
      <c r="BG109" s="610">
        <f t="shared" si="68"/>
        <v>0.84700000000000009</v>
      </c>
      <c r="BH109" s="610">
        <f t="shared" si="68"/>
        <v>0.61401180438448566</v>
      </c>
      <c r="BI109" s="610">
        <f t="shared" si="68"/>
        <v>0.6</v>
      </c>
      <c r="BJ109" s="610">
        <f t="shared" si="68"/>
        <v>0.5556650246305419</v>
      </c>
      <c r="BK109" s="610" t="e">
        <f t="shared" si="68"/>
        <v>#DIV/0!</v>
      </c>
      <c r="BL109" s="610">
        <f t="shared" si="68"/>
        <v>0.47619047619047616</v>
      </c>
      <c r="BM109" s="610">
        <f t="shared" si="68"/>
        <v>2.4523333333333333</v>
      </c>
      <c r="BN109" s="610" t="e">
        <f t="shared" si="68"/>
        <v>#DIV/0!</v>
      </c>
      <c r="BO109" s="610">
        <f t="shared" si="68"/>
        <v>0.89030848653846162</v>
      </c>
      <c r="BP109" s="610" t="e">
        <f t="shared" si="68"/>
        <v>#DIV/0!</v>
      </c>
      <c r="BQ109" s="610" t="e">
        <f t="shared" si="68"/>
        <v>#DIV/0!</v>
      </c>
      <c r="BR109" s="610">
        <f t="shared" si="68"/>
        <v>0</v>
      </c>
      <c r="BS109" s="610">
        <f t="shared" si="68"/>
        <v>0.77405434782608684</v>
      </c>
      <c r="BT109" s="610">
        <f t="shared" si="68"/>
        <v>0.29642010771992816</v>
      </c>
      <c r="BU109" s="610">
        <f t="shared" si="68"/>
        <v>10.676425882352941</v>
      </c>
      <c r="BV109" s="610">
        <f t="shared" si="68"/>
        <v>0.69081909090909088</v>
      </c>
      <c r="BW109" s="610">
        <f t="shared" si="68"/>
        <v>1.1274266365688488</v>
      </c>
      <c r="BX109" s="610">
        <f t="shared" si="68"/>
        <v>4.6289772727272727</v>
      </c>
      <c r="BY109" s="610">
        <f t="shared" si="68"/>
        <v>0.17762</v>
      </c>
      <c r="BZ109" s="610" t="e">
        <f t="shared" si="68"/>
        <v>#DIV/0!</v>
      </c>
      <c r="CA109" s="610" t="e">
        <f t="shared" ref="CA109:CU109" si="69">CA47/CA107</f>
        <v>#DIV/0!</v>
      </c>
      <c r="CB109" s="610" t="e">
        <f t="shared" si="69"/>
        <v>#DIV/0!</v>
      </c>
      <c r="CC109" s="610">
        <f t="shared" si="69"/>
        <v>1.6169795918367349</v>
      </c>
      <c r="CD109" s="610">
        <f t="shared" si="69"/>
        <v>0.23176481481481481</v>
      </c>
      <c r="CE109" s="610" t="e">
        <f t="shared" si="69"/>
        <v>#DIV/0!</v>
      </c>
      <c r="CF109" s="610">
        <f t="shared" si="69"/>
        <v>0.43394833948339484</v>
      </c>
      <c r="CG109" s="610">
        <f t="shared" si="69"/>
        <v>0.54750824166666667</v>
      </c>
      <c r="CH109" s="610">
        <f t="shared" si="69"/>
        <v>0.88537549407114624</v>
      </c>
      <c r="CI109" s="610" t="e">
        <f t="shared" si="69"/>
        <v>#DIV/0!</v>
      </c>
      <c r="CJ109" s="610" t="e">
        <f t="shared" si="69"/>
        <v>#DIV/0!</v>
      </c>
      <c r="CK109" s="610">
        <f t="shared" si="69"/>
        <v>0.44633027522935781</v>
      </c>
      <c r="CL109" s="610">
        <f t="shared" si="69"/>
        <v>0.76870748299319724</v>
      </c>
      <c r="CM109" s="610">
        <f t="shared" si="69"/>
        <v>1.1000000000000001</v>
      </c>
      <c r="CN109" s="610" t="e">
        <f t="shared" si="69"/>
        <v>#DIV/0!</v>
      </c>
      <c r="CO109" s="610">
        <f t="shared" si="69"/>
        <v>0</v>
      </c>
      <c r="CP109" s="610">
        <f t="shared" si="69"/>
        <v>0</v>
      </c>
      <c r="CQ109" s="610" t="e">
        <f t="shared" si="69"/>
        <v>#DIV/0!</v>
      </c>
      <c r="CR109" s="610">
        <f t="shared" si="69"/>
        <v>0.40982737169517885</v>
      </c>
      <c r="CS109" s="610">
        <f t="shared" si="69"/>
        <v>2.1331186070000001</v>
      </c>
      <c r="CT109" s="610">
        <f t="shared" si="69"/>
        <v>0</v>
      </c>
      <c r="CU109" s="610">
        <f t="shared" si="69"/>
        <v>0.34185110663983903</v>
      </c>
    </row>
    <row r="110" spans="1:99" ht="18.5" customHeight="1" thickBot="1">
      <c r="A110" s="811"/>
      <c r="B110" s="796"/>
      <c r="C110" s="796"/>
      <c r="D110" s="452" t="s">
        <v>4949</v>
      </c>
      <c r="E110" s="452">
        <v>89</v>
      </c>
      <c r="F110" s="453" t="s">
        <v>5209</v>
      </c>
      <c r="G110" s="454" t="s">
        <v>5781</v>
      </c>
      <c r="H110" s="455" t="s">
        <v>5082</v>
      </c>
      <c r="I110" s="478" t="s">
        <v>5211</v>
      </c>
      <c r="J110" s="456"/>
      <c r="K110" s="372"/>
      <c r="L110" s="395"/>
      <c r="M110" s="396">
        <v>0.15809759240710822</v>
      </c>
      <c r="N110" s="610">
        <f>N57/N107</f>
        <v>0.12470347751922141</v>
      </c>
      <c r="O110" s="610">
        <f t="shared" ref="O110:BZ110" si="70">O57/O107</f>
        <v>0.20550000000000002</v>
      </c>
      <c r="P110" s="610">
        <f t="shared" si="70"/>
        <v>8.4500000000000006E-2</v>
      </c>
      <c r="Q110" s="610">
        <f t="shared" si="70"/>
        <v>0.1122549019607843</v>
      </c>
      <c r="R110" s="610">
        <f t="shared" si="70"/>
        <v>7.5634146341463412E-2</v>
      </c>
      <c r="S110" s="610">
        <f t="shared" si="70"/>
        <v>0</v>
      </c>
      <c r="T110" s="610">
        <f t="shared" si="70"/>
        <v>2.0833333333333333E-3</v>
      </c>
      <c r="U110" s="610">
        <f t="shared" si="70"/>
        <v>0.16136461538461544</v>
      </c>
      <c r="V110" s="610">
        <f t="shared" si="70"/>
        <v>0</v>
      </c>
      <c r="W110" s="610">
        <f t="shared" si="70"/>
        <v>5.6179775280898875E-2</v>
      </c>
      <c r="X110" s="610" t="e">
        <f t="shared" si="70"/>
        <v>#DIV/0!</v>
      </c>
      <c r="Y110" s="610" t="e">
        <f t="shared" si="70"/>
        <v>#DIV/0!</v>
      </c>
      <c r="Z110" s="610">
        <f t="shared" si="70"/>
        <v>1.6863516129032256E-2</v>
      </c>
      <c r="AA110" s="610">
        <f t="shared" si="70"/>
        <v>3.1190369540873463E-2</v>
      </c>
      <c r="AB110" s="610">
        <f t="shared" si="70"/>
        <v>0.27089230769230771</v>
      </c>
      <c r="AC110" s="610" t="e">
        <f t="shared" si="70"/>
        <v>#DIV/0!</v>
      </c>
      <c r="AD110" s="610" t="e">
        <f t="shared" si="70"/>
        <v>#DIV/0!</v>
      </c>
      <c r="AE110" s="610" t="e">
        <f t="shared" si="70"/>
        <v>#DIV/0!</v>
      </c>
      <c r="AF110" s="610" t="e">
        <f t="shared" si="70"/>
        <v>#DIV/0!</v>
      </c>
      <c r="AG110" s="610" t="e">
        <f t="shared" si="70"/>
        <v>#DIV/0!</v>
      </c>
      <c r="AH110" s="610" t="e">
        <f t="shared" si="70"/>
        <v>#DIV/0!</v>
      </c>
      <c r="AI110" s="610" t="e">
        <f t="shared" si="70"/>
        <v>#DIV/0!</v>
      </c>
      <c r="AJ110" s="610" t="e">
        <f t="shared" si="70"/>
        <v>#DIV/0!</v>
      </c>
      <c r="AK110" s="610">
        <f t="shared" si="70"/>
        <v>0.12200000000000001</v>
      </c>
      <c r="AL110" s="610">
        <f t="shared" si="70"/>
        <v>0.10138348047058823</v>
      </c>
      <c r="AM110" s="610" t="e">
        <f t="shared" si="70"/>
        <v>#DIV/0!</v>
      </c>
      <c r="AN110" s="610" t="e">
        <f t="shared" si="70"/>
        <v>#DIV/0!</v>
      </c>
      <c r="AO110" s="610">
        <f t="shared" si="70"/>
        <v>0.15569620253164557</v>
      </c>
      <c r="AP110" s="610">
        <f t="shared" si="70"/>
        <v>8.9719626168224292E-2</v>
      </c>
      <c r="AQ110" s="610">
        <f t="shared" si="70"/>
        <v>0.21036414565826328</v>
      </c>
      <c r="AR110" s="610">
        <f t="shared" si="70"/>
        <v>3.0442028985507245E-2</v>
      </c>
      <c r="AS110" s="610" t="e">
        <f t="shared" si="70"/>
        <v>#DIV/0!</v>
      </c>
      <c r="AT110" s="610" t="e">
        <f t="shared" si="70"/>
        <v>#DIV/0!</v>
      </c>
      <c r="AU110" s="610">
        <f t="shared" si="70"/>
        <v>0.11975000000000001</v>
      </c>
      <c r="AV110" s="610" t="e">
        <f t="shared" si="70"/>
        <v>#DIV/0!</v>
      </c>
      <c r="AW110" s="610">
        <f t="shared" si="70"/>
        <v>0.12322680412371133</v>
      </c>
      <c r="AX110" s="610" t="e">
        <f t="shared" si="70"/>
        <v>#DIV/0!</v>
      </c>
      <c r="AY110" s="610">
        <f t="shared" si="70"/>
        <v>0</v>
      </c>
      <c r="AZ110" s="610" t="e">
        <f t="shared" si="70"/>
        <v>#DIV/0!</v>
      </c>
      <c r="BA110" s="610" t="e">
        <f t="shared" si="70"/>
        <v>#DIV/0!</v>
      </c>
      <c r="BB110" s="610">
        <f t="shared" si="70"/>
        <v>0.1220050238095238</v>
      </c>
      <c r="BC110" s="610" t="e">
        <f t="shared" si="70"/>
        <v>#DIV/0!</v>
      </c>
      <c r="BD110" s="610" t="e">
        <f t="shared" si="70"/>
        <v>#DIV/0!</v>
      </c>
      <c r="BE110" s="610">
        <f t="shared" si="70"/>
        <v>0.16666666666666666</v>
      </c>
      <c r="BF110" s="610">
        <f t="shared" si="70"/>
        <v>0.26580555555555552</v>
      </c>
      <c r="BG110" s="610">
        <f t="shared" si="70"/>
        <v>1.373913043478261E-2</v>
      </c>
      <c r="BH110" s="610">
        <f t="shared" si="70"/>
        <v>0.17413490725126476</v>
      </c>
      <c r="BI110" s="610">
        <f t="shared" si="70"/>
        <v>0.11795454545454544</v>
      </c>
      <c r="BJ110" s="610">
        <f t="shared" si="70"/>
        <v>6.8965517241379309E-2</v>
      </c>
      <c r="BK110" s="610" t="e">
        <f t="shared" si="70"/>
        <v>#DIV/0!</v>
      </c>
      <c r="BL110" s="610">
        <f t="shared" si="70"/>
        <v>0.11240340136054421</v>
      </c>
      <c r="BM110" s="610">
        <f t="shared" si="70"/>
        <v>0.48666666666666664</v>
      </c>
      <c r="BN110" s="610" t="e">
        <f t="shared" si="70"/>
        <v>#DIV/0!</v>
      </c>
      <c r="BO110" s="610">
        <f t="shared" si="70"/>
        <v>0.10622657976923078</v>
      </c>
      <c r="BP110" s="610" t="e">
        <f t="shared" si="70"/>
        <v>#DIV/0!</v>
      </c>
      <c r="BQ110" s="610" t="e">
        <f t="shared" si="70"/>
        <v>#DIV/0!</v>
      </c>
      <c r="BR110" s="610">
        <f t="shared" si="70"/>
        <v>0.10223300970873786</v>
      </c>
      <c r="BS110" s="610">
        <f t="shared" si="70"/>
        <v>0.10859782608695652</v>
      </c>
      <c r="BT110" s="610">
        <f t="shared" si="70"/>
        <v>5.1881508078994616E-2</v>
      </c>
      <c r="BU110" s="610">
        <f t="shared" si="70"/>
        <v>0</v>
      </c>
      <c r="BV110" s="610">
        <f t="shared" si="70"/>
        <v>0.13264181818181819</v>
      </c>
      <c r="BW110" s="610">
        <f t="shared" si="70"/>
        <v>0.38492099322799095</v>
      </c>
      <c r="BX110" s="610">
        <f t="shared" si="70"/>
        <v>1.9886363636363636E-2</v>
      </c>
      <c r="BY110" s="610">
        <f t="shared" si="70"/>
        <v>0.26128500000000004</v>
      </c>
      <c r="BZ110" s="610" t="e">
        <f t="shared" si="70"/>
        <v>#DIV/0!</v>
      </c>
      <c r="CA110" s="610" t="e">
        <f t="shared" ref="CA110:CU110" si="71">CA57/CA107</f>
        <v>#DIV/0!</v>
      </c>
      <c r="CB110" s="610" t="e">
        <f t="shared" si="71"/>
        <v>#DIV/0!</v>
      </c>
      <c r="CC110" s="610">
        <f t="shared" si="71"/>
        <v>0.3654734693877551</v>
      </c>
      <c r="CD110" s="610">
        <f t="shared" si="71"/>
        <v>0</v>
      </c>
      <c r="CE110" s="610" t="e">
        <f t="shared" si="71"/>
        <v>#DIV/0!</v>
      </c>
      <c r="CF110" s="610">
        <f t="shared" si="71"/>
        <v>0.13099630996309963</v>
      </c>
      <c r="CG110" s="610">
        <f t="shared" si="71"/>
        <v>8.4769228611111108E-2</v>
      </c>
      <c r="CH110" s="610">
        <f t="shared" si="71"/>
        <v>0.23715415019762845</v>
      </c>
      <c r="CI110" s="610" t="e">
        <f t="shared" si="71"/>
        <v>#DIV/0!</v>
      </c>
      <c r="CJ110" s="610" t="e">
        <f t="shared" si="71"/>
        <v>#DIV/0!</v>
      </c>
      <c r="CK110" s="610">
        <f t="shared" si="71"/>
        <v>0.17152293577981653</v>
      </c>
      <c r="CL110" s="610">
        <f t="shared" si="71"/>
        <v>0.11631972789115647</v>
      </c>
      <c r="CM110" s="610">
        <f t="shared" si="71"/>
        <v>0.448780487804878</v>
      </c>
      <c r="CN110" s="610" t="e">
        <f t="shared" si="71"/>
        <v>#DIV/0!</v>
      </c>
      <c r="CO110" s="610">
        <f t="shared" si="71"/>
        <v>0.1173062962962963</v>
      </c>
      <c r="CP110" s="610">
        <f t="shared" si="71"/>
        <v>0</v>
      </c>
      <c r="CQ110" s="610" t="e">
        <f t="shared" si="71"/>
        <v>#DIV/0!</v>
      </c>
      <c r="CR110" s="610">
        <f t="shared" si="71"/>
        <v>9.4468118195956463E-2</v>
      </c>
      <c r="CS110" s="610">
        <f t="shared" si="71"/>
        <v>4.3341999999999999E-3</v>
      </c>
      <c r="CT110" s="610">
        <f t="shared" si="71"/>
        <v>0.16671975308641973</v>
      </c>
      <c r="CU110" s="610">
        <f t="shared" si="71"/>
        <v>9.0543259557344068E-3</v>
      </c>
    </row>
    <row r="111" spans="1:99" ht="34.5" customHeight="1" thickBot="1">
      <c r="A111" s="817" t="s">
        <v>5212</v>
      </c>
      <c r="B111" s="817" t="s">
        <v>4947</v>
      </c>
      <c r="C111" s="805" t="s">
        <v>5213</v>
      </c>
      <c r="D111" s="496" t="s">
        <v>4949</v>
      </c>
      <c r="E111" s="433">
        <v>90</v>
      </c>
      <c r="F111" s="434" t="s">
        <v>5214</v>
      </c>
      <c r="G111" s="435" t="s">
        <v>5782</v>
      </c>
      <c r="H111" s="436" t="s">
        <v>4958</v>
      </c>
      <c r="I111" s="437" t="s">
        <v>4961</v>
      </c>
      <c r="J111" s="438"/>
      <c r="K111" s="392"/>
      <c r="L111" s="397"/>
      <c r="M111" s="356">
        <v>103</v>
      </c>
      <c r="N111" s="580">
        <f>SUM(O111:CU111)</f>
        <v>167</v>
      </c>
      <c r="O111" s="413">
        <f>COUNTIFS('свод практик'!$J$6:$J$277,'строго ИБ'!O$1,'свод практик'!$E$6:$E$277,"широкая",'свод практик'!$B$6:$B$277,"ИБ")</f>
        <v>1</v>
      </c>
      <c r="P111" s="413">
        <f>COUNTIFS('свод практик'!$J$6:$J$277,'строго ИБ'!P$1,'свод практик'!$E$6:$E$277,"широкая",'свод практик'!$B$6:$B$277,"ИБ")</f>
        <v>1</v>
      </c>
      <c r="Q111" s="413">
        <f>COUNTIFS('свод практик'!$J$6:$J$277,'строго ИБ'!Q$1,'свод практик'!$E$6:$E$277,"широкая",'свод практик'!$B$6:$B$277,"ИБ")</f>
        <v>1</v>
      </c>
      <c r="R111" s="413">
        <f>COUNTIFS('свод практик'!$J$6:$J$277,'строго ИБ'!R$1,'свод практик'!$E$6:$E$277,"широкая",'свод практик'!$B$6:$B$277,"ИБ")</f>
        <v>1</v>
      </c>
      <c r="S111" s="413">
        <f>COUNTIFS('свод практик'!$J$6:$J$277,'строго ИБ'!S$1,'свод практик'!$E$6:$E$277,"широкая",'свод практик'!$B$6:$B$277,"ИБ")</f>
        <v>1</v>
      </c>
      <c r="T111" s="413">
        <f>COUNTIFS('свод практик'!$J$6:$J$277,'строго ИБ'!T$1,'свод практик'!$E$6:$E$277,"широкая",'свод практик'!$B$6:$B$277,"ИБ")</f>
        <v>1</v>
      </c>
      <c r="U111" s="413">
        <f>COUNTIFS('свод практик'!$J$6:$J$277,'строго ИБ'!U$1,'свод практик'!$E$6:$E$277,"широкая",'свод практик'!$B$6:$B$277,"ИБ")</f>
        <v>7</v>
      </c>
      <c r="V111" s="413">
        <f>COUNTIFS('свод практик'!$J$6:$J$277,'строго ИБ'!V$1,'свод практик'!$E$6:$E$277,"широкая",'свод практик'!$B$6:$B$277,"ИБ")</f>
        <v>1</v>
      </c>
      <c r="W111" s="413">
        <f>COUNTIFS('свод практик'!$J$6:$J$277,'строго ИБ'!W$1,'свод практик'!$E$6:$E$277,"широкая",'свод практик'!$B$6:$B$277,"ИБ")</f>
        <v>1</v>
      </c>
      <c r="X111" s="413">
        <f>COUNTIFS('свод практик'!$J$6:$J$277,'строго ИБ'!X$1,'свод практик'!$E$6:$E$277,"широкая",'свод практик'!$B$6:$B$277,"ИБ")</f>
        <v>0</v>
      </c>
      <c r="Y111" s="413">
        <f>COUNTIFS('свод практик'!$J$6:$J$277,'строго ИБ'!Y$1,'свод практик'!$E$6:$E$277,"широкая",'свод практик'!$B$6:$B$277,"ИБ")</f>
        <v>0</v>
      </c>
      <c r="Z111" s="413">
        <f>COUNTIFS('свод практик'!$J$6:$J$277,'строго ИБ'!Z$1,'свод практик'!$E$6:$E$277,"широкая",'свод практик'!$B$6:$B$277,"ИБ")</f>
        <v>1</v>
      </c>
      <c r="AA111" s="413">
        <f>COUNTIFS('свод практик'!$J$6:$J$277,'строго ИБ'!AA$1,'свод практик'!$E$6:$E$277,"широкая",'свод практик'!$B$6:$B$277,"ИБ")</f>
        <v>3</v>
      </c>
      <c r="AB111" s="413">
        <f>COUNTIFS('свод практик'!$J$6:$J$277,'строго ИБ'!AB$1,'свод практик'!$E$6:$E$277,"широкая",'свод практик'!$B$6:$B$277,"ИБ")</f>
        <v>1</v>
      </c>
      <c r="AC111" s="413">
        <f>COUNTIFS('свод практик'!$J$6:$J$277,'строго ИБ'!AC$1,'свод практик'!$E$6:$E$277,"широкая",'свод практик'!$B$6:$B$277,"ИБ")</f>
        <v>0</v>
      </c>
      <c r="AD111" s="413">
        <f>COUNTIFS('свод практик'!$J$6:$J$277,'строго ИБ'!AD$1,'свод практик'!$E$6:$E$277,"широкая",'свод практик'!$B$6:$B$277,"ИБ")</f>
        <v>0</v>
      </c>
      <c r="AE111" s="413">
        <f>COUNTIFS('свод практик'!$J$6:$J$277,'строго ИБ'!AE$1,'свод практик'!$E$6:$E$277,"широкая",'свод практик'!$B$6:$B$277,"ИБ")</f>
        <v>0</v>
      </c>
      <c r="AF111" s="413">
        <f>COUNTIFS('свод практик'!$J$6:$J$277,'строго ИБ'!AF$1,'свод практик'!$E$6:$E$277,"широкая",'свод практик'!$B$6:$B$277,"ИБ")</f>
        <v>0</v>
      </c>
      <c r="AG111" s="413">
        <f>COUNTIFS('свод практик'!$J$6:$J$277,'строго ИБ'!AG$1,'свод практик'!$E$6:$E$277,"широкая",'свод практик'!$B$6:$B$277,"ИБ")</f>
        <v>0</v>
      </c>
      <c r="AH111" s="413">
        <f>COUNTIFS('свод практик'!$J$6:$J$277,'строго ИБ'!AH$1,'свод практик'!$E$6:$E$277,"широкая",'свод практик'!$B$6:$B$277,"ИБ")</f>
        <v>0</v>
      </c>
      <c r="AI111" s="413">
        <f>COUNTIFS('свод практик'!$J$6:$J$277,'строго ИБ'!AI$1,'свод практик'!$E$6:$E$277,"широкая",'свод практик'!$B$6:$B$277,"ИБ")</f>
        <v>0</v>
      </c>
      <c r="AJ111" s="413">
        <f>COUNTIFS('свод практик'!$J$6:$J$277,'строго ИБ'!AJ$1,'свод практик'!$E$6:$E$277,"широкая",'свод практик'!$B$6:$B$277,"ИБ")</f>
        <v>0</v>
      </c>
      <c r="AK111" s="413">
        <f>COUNTIFS('свод практик'!$J$6:$J$277,'строго ИБ'!AK$1,'свод практик'!$E$6:$E$277,"широкая",'свод практик'!$B$6:$B$277,"ИБ")</f>
        <v>1</v>
      </c>
      <c r="AL111" s="413">
        <f>COUNTIFS('свод практик'!$J$6:$J$277,'строго ИБ'!AL$1,'свод практик'!$E$6:$E$277,"широкая",'свод практик'!$B$6:$B$277,"ИБ")</f>
        <v>4</v>
      </c>
      <c r="AM111" s="413">
        <f>COUNTIFS('свод практик'!$J$6:$J$277,'строго ИБ'!AM$1,'свод практик'!$E$6:$E$277,"широкая",'свод практик'!$B$6:$B$277,"ИБ")</f>
        <v>0</v>
      </c>
      <c r="AN111" s="413">
        <f>COUNTIFS('свод практик'!$J$6:$J$277,'строго ИБ'!AN$1,'свод практик'!$E$6:$E$277,"широкая",'свод практик'!$B$6:$B$277,"ИБ")</f>
        <v>0</v>
      </c>
      <c r="AO111" s="413">
        <f>COUNTIFS('свод практик'!$J$6:$J$277,'строго ИБ'!AO$1,'свод практик'!$E$6:$E$277,"широкая",'свод практик'!$B$6:$B$277,"ИБ")</f>
        <v>1</v>
      </c>
      <c r="AP111" s="413">
        <f>COUNTIFS('свод практик'!$J$6:$J$277,'строго ИБ'!AP$1,'свод практик'!$E$6:$E$277,"широкая",'свод практик'!$B$6:$B$277,"ИБ")</f>
        <v>1</v>
      </c>
      <c r="AQ111" s="413">
        <f>COUNTIFS('свод практик'!$J$6:$J$277,'строго ИБ'!AQ$1,'свод практик'!$E$6:$E$277,"широкая",'свод практик'!$B$6:$B$277,"ИБ")</f>
        <v>2</v>
      </c>
      <c r="AR111" s="413">
        <f>COUNTIFS('свод практик'!$J$6:$J$277,'строго ИБ'!AR$1,'свод практик'!$E$6:$E$277,"широкая",'свод практик'!$B$6:$B$277,"ИБ")</f>
        <v>1</v>
      </c>
      <c r="AS111" s="413">
        <f>COUNTIFS('свод практик'!$J$6:$J$277,'строго ИБ'!AS$1,'свод практик'!$E$6:$E$277,"широкая",'свод практик'!$B$6:$B$277,"ИБ")</f>
        <v>0</v>
      </c>
      <c r="AT111" s="413">
        <f>COUNTIFS('свод практик'!$J$6:$J$277,'строго ИБ'!AT$1,'свод практик'!$E$6:$E$277,"широкая",'свод практик'!$B$6:$B$277,"ИБ")</f>
        <v>0</v>
      </c>
      <c r="AU111" s="413">
        <f>COUNTIFS('свод практик'!$J$6:$J$277,'строго ИБ'!AU$1,'свод практик'!$E$6:$E$277,"широкая",'свод практик'!$B$6:$B$277,"ИБ")</f>
        <v>2</v>
      </c>
      <c r="AV111" s="413">
        <f>COUNTIFS('свод практик'!$J$6:$J$277,'строго ИБ'!AV$1,'свод практик'!$E$6:$E$277,"широкая",'свод практик'!$B$6:$B$277,"ИБ")</f>
        <v>0</v>
      </c>
      <c r="AW111" s="413">
        <f>COUNTIFS('свод практик'!$J$6:$J$277,'строго ИБ'!AW$1,'свод практик'!$E$6:$E$277,"широкая",'свод практик'!$B$6:$B$277,"ИБ")</f>
        <v>1</v>
      </c>
      <c r="AX111" s="413">
        <f>COUNTIFS('свод практик'!$J$6:$J$277,'строго ИБ'!AX$1,'свод практик'!$E$6:$E$277,"широкая",'свод практик'!$B$6:$B$277,"ИБ")</f>
        <v>0</v>
      </c>
      <c r="AY111" s="413">
        <f>COUNTIFS('свод практик'!$J$6:$J$277,'строго ИБ'!AY$1,'свод практик'!$E$6:$E$277,"широкая",'свод практик'!$B$6:$B$277,"ИБ")</f>
        <v>1</v>
      </c>
      <c r="AZ111" s="413">
        <f>COUNTIFS('свод практик'!$J$6:$J$277,'строго ИБ'!AZ$1,'свод практик'!$E$6:$E$277,"широкая",'свод практик'!$B$6:$B$277,"ИБ")</f>
        <v>0</v>
      </c>
      <c r="BA111" s="413">
        <f>COUNTIFS('свод практик'!$J$6:$J$277,'строго ИБ'!BA$1,'свод практик'!$E$6:$E$277,"широкая",'свод практик'!$B$6:$B$277,"ИБ")</f>
        <v>0</v>
      </c>
      <c r="BB111" s="413">
        <f>COUNTIFS('свод практик'!$J$6:$J$277,'строго ИБ'!BB$1,'свод практик'!$E$6:$E$277,"широкая",'свод практик'!$B$6:$B$277,"ИБ")</f>
        <v>1</v>
      </c>
      <c r="BC111" s="413">
        <f>COUNTIFS('свод практик'!$J$6:$J$277,'строго ИБ'!BC$1,'свод практик'!$E$6:$E$277,"широкая",'свод практик'!$B$6:$B$277,"ИБ")</f>
        <v>0</v>
      </c>
      <c r="BD111" s="413">
        <f>COUNTIFS('свод практик'!$J$6:$J$277,'строго ИБ'!BD$1,'свод практик'!$E$6:$E$277,"широкая",'свод практик'!$B$6:$B$277,"ИБ")</f>
        <v>0</v>
      </c>
      <c r="BE111" s="413">
        <f>COUNTIFS('свод практик'!$J$6:$J$277,'строго ИБ'!BE$1,'свод практик'!$E$6:$E$277,"широкая",'свод практик'!$B$6:$B$277,"ИБ")</f>
        <v>1</v>
      </c>
      <c r="BF111" s="413">
        <f>COUNTIFS('свод практик'!$J$6:$J$277,'строго ИБ'!BF$1,'свод практик'!$E$6:$E$277,"широкая",'свод практик'!$B$6:$B$277,"ИБ")</f>
        <v>1</v>
      </c>
      <c r="BG111" s="413">
        <f>COUNTIFS('свод практик'!$J$6:$J$277,'строго ИБ'!BG$1,'свод практик'!$E$6:$E$277,"широкая",'свод практик'!$B$6:$B$277,"ИБ")</f>
        <v>1</v>
      </c>
      <c r="BH111" s="413">
        <f>COUNTIFS('свод практик'!$J$6:$J$277,'строго ИБ'!BH$1,'свод практик'!$E$6:$E$277,"широкая",'свод практик'!$B$6:$B$277,"ИБ")</f>
        <v>1</v>
      </c>
      <c r="BI111" s="413">
        <f>COUNTIFS('свод практик'!$J$6:$J$277,'строго ИБ'!BI$1,'свод практик'!$E$6:$E$277,"широкая",'свод практик'!$B$6:$B$277,"ИБ")</f>
        <v>2</v>
      </c>
      <c r="BJ111" s="413">
        <f>COUNTIFS('свод практик'!$J$6:$J$277,'строго ИБ'!BJ$1,'свод практик'!$E$6:$E$277,"широкая",'свод практик'!$B$6:$B$277,"ИБ")</f>
        <v>1</v>
      </c>
      <c r="BK111" s="413">
        <f>COUNTIFS('свод практик'!$J$6:$J$277,'строго ИБ'!BK$1,'свод практик'!$E$6:$E$277,"широкая",'свод практик'!$B$6:$B$277,"ИБ")</f>
        <v>0</v>
      </c>
      <c r="BL111" s="413">
        <f>COUNTIFS('свод практик'!$J$6:$J$277,'строго ИБ'!BL$1,'свод практик'!$E$6:$E$277,"широкая",'свод практик'!$B$6:$B$277,"ИБ")</f>
        <v>15</v>
      </c>
      <c r="BM111" s="413">
        <f>COUNTIFS('свод практик'!$J$6:$J$277,'строго ИБ'!BM$1,'свод практик'!$E$6:$E$277,"широкая",'свод практик'!$B$6:$B$277,"ИБ")</f>
        <v>1</v>
      </c>
      <c r="BN111" s="413">
        <f>COUNTIFS('свод практик'!$J$6:$J$277,'строго ИБ'!BN$1,'свод практик'!$E$6:$E$277,"широкая",'свод практик'!$B$6:$B$277,"ИБ")</f>
        <v>0</v>
      </c>
      <c r="BO111" s="413">
        <f>COUNTIFS('свод практик'!$J$6:$J$277,'строго ИБ'!BO$1,'свод практик'!$E$6:$E$277,"широкая",'свод практик'!$B$6:$B$277,"ИБ")</f>
        <v>1</v>
      </c>
      <c r="BP111" s="413">
        <f>COUNTIFS('свод практик'!$J$6:$J$277,'строго ИБ'!BP$1,'свод практик'!$E$6:$E$277,"широкая",'свод практик'!$B$6:$B$277,"ИБ")</f>
        <v>0</v>
      </c>
      <c r="BQ111" s="413">
        <f>COUNTIFS('свод практик'!$J$6:$J$277,'строго ИБ'!BQ$1,'свод практик'!$E$6:$E$277,"широкая",'свод практик'!$B$6:$B$277,"ИБ")</f>
        <v>0</v>
      </c>
      <c r="BR111" s="413">
        <f>COUNTIFS('свод практик'!$J$6:$J$277,'строго ИБ'!BR$1,'свод практик'!$E$6:$E$277,"широкая",'свод практик'!$B$6:$B$277,"ИБ")</f>
        <v>1</v>
      </c>
      <c r="BS111" s="413">
        <f>COUNTIFS('свод практик'!$J$6:$J$277,'строго ИБ'!BS$1,'свод практик'!$E$6:$E$277,"широкая",'свод практик'!$B$6:$B$277,"ИБ")</f>
        <v>1</v>
      </c>
      <c r="BT111" s="413">
        <f>COUNTIFS('свод практик'!$J$6:$J$277,'строго ИБ'!BT$1,'свод практик'!$E$6:$E$277,"широкая",'свод практик'!$B$6:$B$277,"ИБ")</f>
        <v>1</v>
      </c>
      <c r="BU111" s="413">
        <f>COUNTIFS('свод практик'!$J$6:$J$277,'строго ИБ'!BU$1,'свод практик'!$E$6:$E$277,"широкая",'свод практик'!$B$6:$B$277,"ИБ")</f>
        <v>1</v>
      </c>
      <c r="BV111" s="413">
        <f>COUNTIFS('свод практик'!$J$6:$J$277,'строго ИБ'!BV$1,'свод практик'!$E$6:$E$277,"широкая",'свод практик'!$B$6:$B$277,"ИБ")</f>
        <v>1</v>
      </c>
      <c r="BW111" s="413">
        <f>COUNTIFS('свод практик'!$J$6:$J$277,'строго ИБ'!BW$1,'свод практик'!$E$6:$E$277,"широкая",'свод практик'!$B$6:$B$277,"ИБ")</f>
        <v>1</v>
      </c>
      <c r="BX111" s="413">
        <f>COUNTIFS('свод практик'!$J$6:$J$277,'строго ИБ'!BX$1,'свод практик'!$E$6:$E$277,"широкая",'свод практик'!$B$6:$B$277,"ИБ")</f>
        <v>3</v>
      </c>
      <c r="BY111" s="413">
        <f>COUNTIFS('свод практик'!$J$6:$J$277,'строго ИБ'!BY$1,'свод практик'!$E$6:$E$277,"широкая",'свод практик'!$B$6:$B$277,"ИБ")</f>
        <v>2</v>
      </c>
      <c r="BZ111" s="413">
        <f>COUNTIFS('свод практик'!$J$6:$J$277,'строго ИБ'!BZ$1,'свод практик'!$E$6:$E$277,"широкая",'свод практик'!$B$6:$B$277,"ИБ")</f>
        <v>0</v>
      </c>
      <c r="CA111" s="413">
        <f>COUNTIFS('свод практик'!$J$6:$J$277,'строго ИБ'!CA$1,'свод практик'!$E$6:$E$277,"широкая",'свод практик'!$B$6:$B$277,"ИБ")</f>
        <v>0</v>
      </c>
      <c r="CB111" s="413">
        <f>COUNTIFS('свод практик'!$J$6:$J$277,'строго ИБ'!CB$1,'свод практик'!$E$6:$E$277,"широкая",'свод практик'!$B$6:$B$277,"ИБ")</f>
        <v>0</v>
      </c>
      <c r="CC111" s="413">
        <f>COUNTIFS('свод практик'!$J$6:$J$277,'строго ИБ'!CC$1,'свод практик'!$E$6:$E$277,"широкая",'свод практик'!$B$6:$B$277,"ИБ")</f>
        <v>2</v>
      </c>
      <c r="CD111" s="413">
        <f>COUNTIFS('свод практик'!$J$6:$J$277,'строго ИБ'!CD$1,'свод практик'!$E$6:$E$277,"широкая",'свод практик'!$B$6:$B$277,"ИБ")</f>
        <v>1</v>
      </c>
      <c r="CE111" s="413">
        <f>COUNTIFS('свод практик'!$J$6:$J$277,'строго ИБ'!CE$1,'свод практик'!$E$6:$E$277,"широкая",'свод практик'!$B$6:$B$277,"ИБ")</f>
        <v>0</v>
      </c>
      <c r="CF111" s="413">
        <f>COUNTIFS('свод практик'!$J$6:$J$277,'строго ИБ'!CF$1,'свод практик'!$E$6:$E$277,"широкая",'свод практик'!$B$6:$B$277,"ИБ")</f>
        <v>1</v>
      </c>
      <c r="CG111" s="413">
        <f>COUNTIFS('свод практик'!$J$6:$J$277,'строго ИБ'!CG$1,'свод практик'!$E$6:$E$277,"широкая",'свод практик'!$B$6:$B$277,"ИБ")</f>
        <v>1</v>
      </c>
      <c r="CH111" s="413">
        <f>COUNTIFS('свод практик'!$J$6:$J$277,'строго ИБ'!CH$1,'свод практик'!$E$6:$E$277,"широкая",'свод практик'!$B$6:$B$277,"ИБ")</f>
        <v>1</v>
      </c>
      <c r="CI111" s="413">
        <f>COUNTIFS('свод практик'!$J$6:$J$277,'строго ИБ'!CI$1,'свод практик'!$E$6:$E$277,"широкая",'свод практик'!$B$6:$B$277,"ИБ")</f>
        <v>0</v>
      </c>
      <c r="CJ111" s="413">
        <f>COUNTIFS('свод практик'!$J$6:$J$277,'строго ИБ'!CJ$1,'свод практик'!$E$6:$E$277,"широкая",'свод практик'!$B$6:$B$277,"ИБ")</f>
        <v>0</v>
      </c>
      <c r="CK111" s="413">
        <f>COUNTIFS('свод практик'!$J$6:$J$277,'строго ИБ'!CK$1,'свод практик'!$E$6:$E$277,"широкая",'свод практик'!$B$6:$B$277,"ИБ")</f>
        <v>6</v>
      </c>
      <c r="CL111" s="413">
        <f>COUNTIFS('свод практик'!$J$6:$J$277,'строго ИБ'!CL$1,'свод практик'!$E$6:$E$277,"широкая",'свод практик'!$B$6:$B$277,"ИБ")</f>
        <v>28</v>
      </c>
      <c r="CM111" s="413">
        <f>COUNTIFS('свод практик'!$J$6:$J$277,'строго ИБ'!CM$1,'свод практик'!$E$6:$E$277,"широкая",'свод практик'!$B$6:$B$277,"ИБ")</f>
        <v>1</v>
      </c>
      <c r="CN111" s="413">
        <f>COUNTIFS('свод практик'!$J$6:$J$277,'строго ИБ'!CN$1,'свод практик'!$E$6:$E$277,"широкая",'свод практик'!$B$6:$B$277,"ИБ")</f>
        <v>0</v>
      </c>
      <c r="CO111" s="413">
        <f>COUNTIFS('свод практик'!$J$6:$J$277,'строго ИБ'!CO$1,'свод практик'!$E$6:$E$277,"широкая",'свод практик'!$B$6:$B$277,"ИБ")</f>
        <v>27</v>
      </c>
      <c r="CP111" s="413">
        <f>COUNTIFS('свод практик'!$J$6:$J$277,'строго ИБ'!CP$1,'свод практик'!$E$6:$E$277,"широкая",'свод практик'!$B$6:$B$277,"ИБ")</f>
        <v>1</v>
      </c>
      <c r="CQ111" s="413">
        <f>COUNTIFS('свод практик'!$J$6:$J$277,'строго ИБ'!CQ$1,'свод практик'!$E$6:$E$277,"широкая",'свод практик'!$B$6:$B$277,"ИБ")</f>
        <v>0</v>
      </c>
      <c r="CR111" s="413">
        <f>COUNTIFS('свод практик'!$J$6:$J$277,'строго ИБ'!CR$1,'свод практик'!$E$6:$E$277,"широкая",'свод практик'!$B$6:$B$277,"ИБ")</f>
        <v>1</v>
      </c>
      <c r="CS111" s="413">
        <f>COUNTIFS('свод практик'!$J$6:$J$277,'строго ИБ'!CS$1,'свод практик'!$E$6:$E$277,"широкая",'свод практик'!$B$6:$B$277,"ИБ")</f>
        <v>1</v>
      </c>
      <c r="CT111" s="413">
        <f>COUNTIFS('свод практик'!$J$6:$J$277,'строго ИБ'!CT$1,'свод практик'!$E$6:$E$277,"широкая",'свод практик'!$B$6:$B$277,"ИБ")</f>
        <v>25</v>
      </c>
      <c r="CU111" s="413">
        <f>COUNTIFS('свод практик'!$J$6:$J$277,'строго ИБ'!CU$1,'свод практик'!$E$6:$E$277,"широкая",'свод практик'!$B$6:$B$277,"ИБ")</f>
        <v>1</v>
      </c>
    </row>
    <row r="112" spans="1:99" ht="33.5" customHeight="1">
      <c r="A112" s="802"/>
      <c r="B112" s="802"/>
      <c r="C112" s="805"/>
      <c r="D112" s="445" t="s">
        <v>4949</v>
      </c>
      <c r="E112" s="433">
        <v>91</v>
      </c>
      <c r="F112" s="434" t="s">
        <v>5215</v>
      </c>
      <c r="G112" s="435" t="s">
        <v>5783</v>
      </c>
      <c r="H112" s="436" t="s">
        <v>4958</v>
      </c>
      <c r="I112" s="437" t="s">
        <v>4961</v>
      </c>
      <c r="J112" s="438"/>
      <c r="K112" s="336"/>
      <c r="L112" s="397"/>
      <c r="M112" s="342">
        <v>2</v>
      </c>
      <c r="N112" s="580">
        <f t="shared" ref="N112:N113" si="72">SUM(O112:CU112)</f>
        <v>10</v>
      </c>
      <c r="O112" s="413">
        <f>COUNTIFS('свод практик'!$J$6:$J$277,'строго ИБ'!O$1,'свод практик'!$E$6:$E$277,"узкая",'свод практик'!$B$6:$B$277,"ИБ")</f>
        <v>0</v>
      </c>
      <c r="P112" s="413">
        <f>COUNTIFS('свод практик'!$J$6:$J$277,'строго ИБ'!P$1,'свод практик'!$E$6:$E$277,"узкая",'свод практик'!$B$6:$B$277,"ИБ")</f>
        <v>0</v>
      </c>
      <c r="Q112" s="413">
        <f>COUNTIFS('свод практик'!$J$6:$J$277,'строго ИБ'!Q$1,'свод практик'!$E$6:$E$277,"узкая",'свод практик'!$B$6:$B$277,"ИБ")</f>
        <v>0</v>
      </c>
      <c r="R112" s="413">
        <f>COUNTIFS('свод практик'!$J$6:$J$277,'строго ИБ'!R$1,'свод практик'!$E$6:$E$277,"узкая",'свод практик'!$B$6:$B$277,"ИБ")</f>
        <v>0</v>
      </c>
      <c r="S112" s="413">
        <f>COUNTIFS('свод практик'!$J$6:$J$277,'строго ИБ'!S$1,'свод практик'!$E$6:$E$277,"узкая",'свод практик'!$B$6:$B$277,"ИБ")</f>
        <v>0</v>
      </c>
      <c r="T112" s="413">
        <f>COUNTIFS('свод практик'!$J$6:$J$277,'строго ИБ'!T$1,'свод практик'!$E$6:$E$277,"узкая",'свод практик'!$B$6:$B$277,"ИБ")</f>
        <v>0</v>
      </c>
      <c r="U112" s="413">
        <f>COUNTIFS('свод практик'!$J$6:$J$277,'строго ИБ'!U$1,'свод практик'!$E$6:$E$277,"узкая",'свод практик'!$B$6:$B$277,"ИБ")</f>
        <v>0</v>
      </c>
      <c r="V112" s="413">
        <f>COUNTIFS('свод практик'!$J$6:$J$277,'строго ИБ'!V$1,'свод практик'!$E$6:$E$277,"узкая",'свод практик'!$B$6:$B$277,"ИБ")</f>
        <v>0</v>
      </c>
      <c r="W112" s="413">
        <f>COUNTIFS('свод практик'!$J$6:$J$277,'строго ИБ'!W$1,'свод практик'!$E$6:$E$277,"узкая",'свод практик'!$B$6:$B$277,"ИБ")</f>
        <v>0</v>
      </c>
      <c r="X112" s="413">
        <f>COUNTIFS('свод практик'!$J$6:$J$277,'строго ИБ'!X$1,'свод практик'!$E$6:$E$277,"узкая",'свод практик'!$B$6:$B$277,"ИБ")</f>
        <v>0</v>
      </c>
      <c r="Y112" s="413">
        <f>COUNTIFS('свод практик'!$J$6:$J$277,'строго ИБ'!Y$1,'свод практик'!$E$6:$E$277,"узкая",'свод практик'!$B$6:$B$277,"ИБ")</f>
        <v>0</v>
      </c>
      <c r="Z112" s="413">
        <f>COUNTIFS('свод практик'!$J$6:$J$277,'строго ИБ'!Z$1,'свод практик'!$E$6:$E$277,"узкая",'свод практик'!$B$6:$B$277,"ИБ")</f>
        <v>0</v>
      </c>
      <c r="AA112" s="413">
        <f>COUNTIFS('свод практик'!$J$6:$J$277,'строго ИБ'!AA$1,'свод практик'!$E$6:$E$277,"узкая",'свод практик'!$B$6:$B$277,"ИБ")</f>
        <v>0</v>
      </c>
      <c r="AB112" s="413">
        <f>COUNTIFS('свод практик'!$J$6:$J$277,'строго ИБ'!AB$1,'свод практик'!$E$6:$E$277,"узкая",'свод практик'!$B$6:$B$277,"ИБ")</f>
        <v>0</v>
      </c>
      <c r="AC112" s="413">
        <f>COUNTIFS('свод практик'!$J$6:$J$277,'строго ИБ'!AC$1,'свод практик'!$E$6:$E$277,"узкая",'свод практик'!$B$6:$B$277,"ИБ")</f>
        <v>0</v>
      </c>
      <c r="AD112" s="413">
        <f>COUNTIFS('свод практик'!$J$6:$J$277,'строго ИБ'!AD$1,'свод практик'!$E$6:$E$277,"узкая",'свод практик'!$B$6:$B$277,"ИБ")</f>
        <v>0</v>
      </c>
      <c r="AE112" s="413">
        <f>COUNTIFS('свод практик'!$J$6:$J$277,'строго ИБ'!AE$1,'свод практик'!$E$6:$E$277,"узкая",'свод практик'!$B$6:$B$277,"ИБ")</f>
        <v>0</v>
      </c>
      <c r="AF112" s="413">
        <f>COUNTIFS('свод практик'!$J$6:$J$277,'строго ИБ'!AF$1,'свод практик'!$E$6:$E$277,"узкая",'свод практик'!$B$6:$B$277,"ИБ")</f>
        <v>0</v>
      </c>
      <c r="AG112" s="413">
        <f>COUNTIFS('свод практик'!$J$6:$J$277,'строго ИБ'!AG$1,'свод практик'!$E$6:$E$277,"узкая",'свод практик'!$B$6:$B$277,"ИБ")</f>
        <v>0</v>
      </c>
      <c r="AH112" s="413">
        <f>COUNTIFS('свод практик'!$J$6:$J$277,'строго ИБ'!AH$1,'свод практик'!$E$6:$E$277,"узкая",'свод практик'!$B$6:$B$277,"ИБ")</f>
        <v>0</v>
      </c>
      <c r="AI112" s="413">
        <f>COUNTIFS('свод практик'!$J$6:$J$277,'строго ИБ'!AI$1,'свод практик'!$E$6:$E$277,"узкая",'свод практик'!$B$6:$B$277,"ИБ")</f>
        <v>0</v>
      </c>
      <c r="AJ112" s="413">
        <f>COUNTIFS('свод практик'!$J$6:$J$277,'строго ИБ'!AJ$1,'свод практик'!$E$6:$E$277,"узкая",'свод практик'!$B$6:$B$277,"ИБ")</f>
        <v>0</v>
      </c>
      <c r="AK112" s="413">
        <f>COUNTIFS('свод практик'!$J$6:$J$277,'строго ИБ'!AK$1,'свод практик'!$E$6:$E$277,"узкая",'свод практик'!$B$6:$B$277,"ИБ")</f>
        <v>0</v>
      </c>
      <c r="AL112" s="413">
        <f>COUNTIFS('свод практик'!$J$6:$J$277,'строго ИБ'!AL$1,'свод практик'!$E$6:$E$277,"узкая",'свод практик'!$B$6:$B$277,"ИБ")</f>
        <v>0</v>
      </c>
      <c r="AM112" s="413">
        <f>COUNTIFS('свод практик'!$J$6:$J$277,'строго ИБ'!AM$1,'свод практик'!$E$6:$E$277,"узкая",'свод практик'!$B$6:$B$277,"ИБ")</f>
        <v>0</v>
      </c>
      <c r="AN112" s="413">
        <f>COUNTIFS('свод практик'!$J$6:$J$277,'строго ИБ'!AN$1,'свод практик'!$E$6:$E$277,"узкая",'свод практик'!$B$6:$B$277,"ИБ")</f>
        <v>0</v>
      </c>
      <c r="AO112" s="413">
        <f>COUNTIFS('свод практик'!$J$6:$J$277,'строго ИБ'!AO$1,'свод практик'!$E$6:$E$277,"узкая",'свод практик'!$B$6:$B$277,"ИБ")</f>
        <v>0</v>
      </c>
      <c r="AP112" s="413">
        <f>COUNTIFS('свод практик'!$J$6:$J$277,'строго ИБ'!AP$1,'свод практик'!$E$6:$E$277,"узкая",'свод практик'!$B$6:$B$277,"ИБ")</f>
        <v>0</v>
      </c>
      <c r="AQ112" s="413">
        <f>COUNTIFS('свод практик'!$J$6:$J$277,'строго ИБ'!AQ$1,'свод практик'!$E$6:$E$277,"узкая",'свод практик'!$B$6:$B$277,"ИБ")</f>
        <v>0</v>
      </c>
      <c r="AR112" s="413">
        <f>COUNTIFS('свод практик'!$J$6:$J$277,'строго ИБ'!AR$1,'свод практик'!$E$6:$E$277,"узкая",'свод практик'!$B$6:$B$277,"ИБ")</f>
        <v>0</v>
      </c>
      <c r="AS112" s="413">
        <f>COUNTIFS('свод практик'!$J$6:$J$277,'строго ИБ'!AS$1,'свод практик'!$E$6:$E$277,"узкая",'свод практик'!$B$6:$B$277,"ИБ")</f>
        <v>0</v>
      </c>
      <c r="AT112" s="413">
        <f>COUNTIFS('свод практик'!$J$6:$J$277,'строго ИБ'!AT$1,'свод практик'!$E$6:$E$277,"узкая",'свод практик'!$B$6:$B$277,"ИБ")</f>
        <v>0</v>
      </c>
      <c r="AU112" s="413">
        <f>COUNTIFS('свод практик'!$J$6:$J$277,'строго ИБ'!AU$1,'свод практик'!$E$6:$E$277,"узкая",'свод практик'!$B$6:$B$277,"ИБ")</f>
        <v>0</v>
      </c>
      <c r="AV112" s="413">
        <f>COUNTIFS('свод практик'!$J$6:$J$277,'строго ИБ'!AV$1,'свод практик'!$E$6:$E$277,"узкая",'свод практик'!$B$6:$B$277,"ИБ")</f>
        <v>0</v>
      </c>
      <c r="AW112" s="413">
        <f>COUNTIFS('свод практик'!$J$6:$J$277,'строго ИБ'!AW$1,'свод практик'!$E$6:$E$277,"узкая",'свод практик'!$B$6:$B$277,"ИБ")</f>
        <v>0</v>
      </c>
      <c r="AX112" s="413">
        <f>COUNTIFS('свод практик'!$J$6:$J$277,'строго ИБ'!AX$1,'свод практик'!$E$6:$E$277,"узкая",'свод практик'!$B$6:$B$277,"ИБ")</f>
        <v>0</v>
      </c>
      <c r="AY112" s="413">
        <f>COUNTIFS('свод практик'!$J$6:$J$277,'строго ИБ'!AY$1,'свод практик'!$E$6:$E$277,"узкая",'свод практик'!$B$6:$B$277,"ИБ")</f>
        <v>0</v>
      </c>
      <c r="AZ112" s="413">
        <f>COUNTIFS('свод практик'!$J$6:$J$277,'строго ИБ'!AZ$1,'свод практик'!$E$6:$E$277,"узкая",'свод практик'!$B$6:$B$277,"ИБ")</f>
        <v>0</v>
      </c>
      <c r="BA112" s="413">
        <f>COUNTIFS('свод практик'!$J$6:$J$277,'строго ИБ'!BA$1,'свод практик'!$E$6:$E$277,"узкая",'свод практик'!$B$6:$B$277,"ИБ")</f>
        <v>0</v>
      </c>
      <c r="BB112" s="413">
        <f>COUNTIFS('свод практик'!$J$6:$J$277,'строго ИБ'!BB$1,'свод практик'!$E$6:$E$277,"узкая",'свод практик'!$B$6:$B$277,"ИБ")</f>
        <v>0</v>
      </c>
      <c r="BC112" s="413">
        <f>COUNTIFS('свод практик'!$J$6:$J$277,'строго ИБ'!BC$1,'свод практик'!$E$6:$E$277,"узкая",'свод практик'!$B$6:$B$277,"ИБ")</f>
        <v>0</v>
      </c>
      <c r="BD112" s="413">
        <f>COUNTIFS('свод практик'!$J$6:$J$277,'строго ИБ'!BD$1,'свод практик'!$E$6:$E$277,"узкая",'свод практик'!$B$6:$B$277,"ИБ")</f>
        <v>0</v>
      </c>
      <c r="BE112" s="413">
        <f>COUNTIFS('свод практик'!$J$6:$J$277,'строго ИБ'!BE$1,'свод практик'!$E$6:$E$277,"узкая",'свод практик'!$B$6:$B$277,"ИБ")</f>
        <v>0</v>
      </c>
      <c r="BF112" s="413">
        <f>COUNTIFS('свод практик'!$J$6:$J$277,'строго ИБ'!BF$1,'свод практик'!$E$6:$E$277,"узкая",'свод практик'!$B$6:$B$277,"ИБ")</f>
        <v>0</v>
      </c>
      <c r="BG112" s="413">
        <f>COUNTIFS('свод практик'!$J$6:$J$277,'строго ИБ'!BG$1,'свод практик'!$E$6:$E$277,"узкая",'свод практик'!$B$6:$B$277,"ИБ")</f>
        <v>0</v>
      </c>
      <c r="BH112" s="413">
        <f>COUNTIFS('свод практик'!$J$6:$J$277,'строго ИБ'!BH$1,'свод практик'!$E$6:$E$277,"узкая",'свод практик'!$B$6:$B$277,"ИБ")</f>
        <v>0</v>
      </c>
      <c r="BI112" s="413">
        <f>COUNTIFS('свод практик'!$J$6:$J$277,'строго ИБ'!BI$1,'свод практик'!$E$6:$E$277,"узкая",'свод практик'!$B$6:$B$277,"ИБ")</f>
        <v>0</v>
      </c>
      <c r="BJ112" s="413">
        <f>COUNTIFS('свод практик'!$J$6:$J$277,'строго ИБ'!BJ$1,'свод практик'!$E$6:$E$277,"узкая",'свод практик'!$B$6:$B$277,"ИБ")</f>
        <v>0</v>
      </c>
      <c r="BK112" s="413">
        <f>COUNTIFS('свод практик'!$J$6:$J$277,'строго ИБ'!BK$1,'свод практик'!$E$6:$E$277,"узкая",'свод практик'!$B$6:$B$277,"ИБ")</f>
        <v>0</v>
      </c>
      <c r="BL112" s="413">
        <f>COUNTIFS('свод практик'!$J$6:$J$277,'строго ИБ'!BL$1,'свод практик'!$E$6:$E$277,"узкая",'свод практик'!$B$6:$B$277,"ИБ")</f>
        <v>0</v>
      </c>
      <c r="BM112" s="413">
        <f>COUNTIFS('свод практик'!$J$6:$J$277,'строго ИБ'!BM$1,'свод практик'!$E$6:$E$277,"узкая",'свод практик'!$B$6:$B$277,"ИБ")</f>
        <v>0</v>
      </c>
      <c r="BN112" s="413">
        <f>COUNTIFS('свод практик'!$J$6:$J$277,'строго ИБ'!BN$1,'свод практик'!$E$6:$E$277,"узкая",'свод практик'!$B$6:$B$277,"ИБ")</f>
        <v>0</v>
      </c>
      <c r="BO112" s="413">
        <f>COUNTIFS('свод практик'!$J$6:$J$277,'строго ИБ'!BO$1,'свод практик'!$E$6:$E$277,"узкая",'свод практик'!$B$6:$B$277,"ИБ")</f>
        <v>0</v>
      </c>
      <c r="BP112" s="413">
        <f>COUNTIFS('свод практик'!$J$6:$J$277,'строго ИБ'!BP$1,'свод практик'!$E$6:$E$277,"узкая",'свод практик'!$B$6:$B$277,"ИБ")</f>
        <v>0</v>
      </c>
      <c r="BQ112" s="413">
        <f>COUNTIFS('свод практик'!$J$6:$J$277,'строго ИБ'!BQ$1,'свод практик'!$E$6:$E$277,"узкая",'свод практик'!$B$6:$B$277,"ИБ")</f>
        <v>0</v>
      </c>
      <c r="BR112" s="413">
        <f>COUNTIFS('свод практик'!$J$6:$J$277,'строго ИБ'!BR$1,'свод практик'!$E$6:$E$277,"узкая",'свод практик'!$B$6:$B$277,"ИБ")</f>
        <v>0</v>
      </c>
      <c r="BS112" s="413">
        <f>COUNTIFS('свод практик'!$J$6:$J$277,'строго ИБ'!BS$1,'свод практик'!$E$6:$E$277,"узкая",'свод практик'!$B$6:$B$277,"ИБ")</f>
        <v>0</v>
      </c>
      <c r="BT112" s="413">
        <f>COUNTIFS('свод практик'!$J$6:$J$277,'строго ИБ'!BT$1,'свод практик'!$E$6:$E$277,"узкая",'свод практик'!$B$6:$B$277,"ИБ")</f>
        <v>8</v>
      </c>
      <c r="BU112" s="413">
        <f>COUNTIFS('свод практик'!$J$6:$J$277,'строго ИБ'!BU$1,'свод практик'!$E$6:$E$277,"узкая",'свод практик'!$B$6:$B$277,"ИБ")</f>
        <v>0</v>
      </c>
      <c r="BV112" s="413">
        <f>COUNTIFS('свод практик'!$J$6:$J$277,'строго ИБ'!BV$1,'свод практик'!$E$6:$E$277,"узкая",'свод практик'!$B$6:$B$277,"ИБ")</f>
        <v>0</v>
      </c>
      <c r="BW112" s="413">
        <f>COUNTIFS('свод практик'!$J$6:$J$277,'строго ИБ'!BW$1,'свод практик'!$E$6:$E$277,"узкая",'свод практик'!$B$6:$B$277,"ИБ")</f>
        <v>0</v>
      </c>
      <c r="BX112" s="413">
        <f>COUNTIFS('свод практик'!$J$6:$J$277,'строго ИБ'!BX$1,'свод практик'!$E$6:$E$277,"узкая",'свод практик'!$B$6:$B$277,"ИБ")</f>
        <v>0</v>
      </c>
      <c r="BY112" s="413">
        <f>COUNTIFS('свод практик'!$J$6:$J$277,'строго ИБ'!BY$1,'свод практик'!$E$6:$E$277,"узкая",'свод практик'!$B$6:$B$277,"ИБ")</f>
        <v>2</v>
      </c>
      <c r="BZ112" s="413">
        <f>COUNTIFS('свод практик'!$J$6:$J$277,'строго ИБ'!BZ$1,'свод практик'!$E$6:$E$277,"узкая",'свод практик'!$B$6:$B$277,"ИБ")</f>
        <v>0</v>
      </c>
      <c r="CA112" s="413">
        <f>COUNTIFS('свод практик'!$J$6:$J$277,'строго ИБ'!CA$1,'свод практик'!$E$6:$E$277,"узкая",'свод практик'!$B$6:$B$277,"ИБ")</f>
        <v>0</v>
      </c>
      <c r="CB112" s="413">
        <f>COUNTIFS('свод практик'!$J$6:$J$277,'строго ИБ'!CB$1,'свод практик'!$E$6:$E$277,"узкая",'свод практик'!$B$6:$B$277,"ИБ")</f>
        <v>0</v>
      </c>
      <c r="CC112" s="413">
        <f>COUNTIFS('свод практик'!$J$6:$J$277,'строго ИБ'!CC$1,'свод практик'!$E$6:$E$277,"узкая",'свод практик'!$B$6:$B$277,"ИБ")</f>
        <v>0</v>
      </c>
      <c r="CD112" s="413">
        <f>COUNTIFS('свод практик'!$J$6:$J$277,'строго ИБ'!CD$1,'свод практик'!$E$6:$E$277,"узкая",'свод практик'!$B$6:$B$277,"ИБ")</f>
        <v>0</v>
      </c>
      <c r="CE112" s="413">
        <f>COUNTIFS('свод практик'!$J$6:$J$277,'строго ИБ'!CE$1,'свод практик'!$E$6:$E$277,"узкая",'свод практик'!$B$6:$B$277,"ИБ")</f>
        <v>0</v>
      </c>
      <c r="CF112" s="413">
        <f>COUNTIFS('свод практик'!$J$6:$J$277,'строго ИБ'!CF$1,'свод практик'!$E$6:$E$277,"узкая",'свод практик'!$B$6:$B$277,"ИБ")</f>
        <v>0</v>
      </c>
      <c r="CG112" s="413">
        <f>COUNTIFS('свод практик'!$J$6:$J$277,'строго ИБ'!CG$1,'свод практик'!$E$6:$E$277,"узкая",'свод практик'!$B$6:$B$277,"ИБ")</f>
        <v>0</v>
      </c>
      <c r="CH112" s="413">
        <f>COUNTIFS('свод практик'!$J$6:$J$277,'строго ИБ'!CH$1,'свод практик'!$E$6:$E$277,"узкая",'свод практик'!$B$6:$B$277,"ИБ")</f>
        <v>0</v>
      </c>
      <c r="CI112" s="413">
        <f>COUNTIFS('свод практик'!$J$6:$J$277,'строго ИБ'!CI$1,'свод практик'!$E$6:$E$277,"узкая",'свод практик'!$B$6:$B$277,"ИБ")</f>
        <v>0</v>
      </c>
      <c r="CJ112" s="413">
        <f>COUNTIFS('свод практик'!$J$6:$J$277,'строго ИБ'!CJ$1,'свод практик'!$E$6:$E$277,"узкая",'свод практик'!$B$6:$B$277,"ИБ")</f>
        <v>0</v>
      </c>
      <c r="CK112" s="413">
        <f>COUNTIFS('свод практик'!$J$6:$J$277,'строго ИБ'!CK$1,'свод практик'!$E$6:$E$277,"узкая",'свод практик'!$B$6:$B$277,"ИБ")</f>
        <v>0</v>
      </c>
      <c r="CL112" s="413">
        <f>COUNTIFS('свод практик'!$J$6:$J$277,'строго ИБ'!CL$1,'свод практик'!$E$6:$E$277,"узкая",'свод практик'!$B$6:$B$277,"ИБ")</f>
        <v>0</v>
      </c>
      <c r="CM112" s="413">
        <f>COUNTIFS('свод практик'!$J$6:$J$277,'строго ИБ'!CM$1,'свод практик'!$E$6:$E$277,"узкая",'свод практик'!$B$6:$B$277,"ИБ")</f>
        <v>0</v>
      </c>
      <c r="CN112" s="413">
        <f>COUNTIFS('свод практик'!$J$6:$J$277,'строго ИБ'!CN$1,'свод практик'!$E$6:$E$277,"узкая",'свод практик'!$B$6:$B$277,"ИБ")</f>
        <v>0</v>
      </c>
      <c r="CO112" s="413">
        <f>COUNTIFS('свод практик'!$J$6:$J$277,'строго ИБ'!CO$1,'свод практик'!$E$6:$E$277,"узкая",'свод практик'!$B$6:$B$277,"ИБ")</f>
        <v>0</v>
      </c>
      <c r="CP112" s="413">
        <f>COUNTIFS('свод практик'!$J$6:$J$277,'строго ИБ'!CP$1,'свод практик'!$E$6:$E$277,"узкая",'свод практик'!$B$6:$B$277,"ИБ")</f>
        <v>0</v>
      </c>
      <c r="CQ112" s="413">
        <f>COUNTIFS('свод практик'!$J$6:$J$277,'строго ИБ'!CQ$1,'свод практик'!$E$6:$E$277,"узкая",'свод практик'!$B$6:$B$277,"ИБ")</f>
        <v>0</v>
      </c>
      <c r="CR112" s="413">
        <f>COUNTIFS('свод практик'!$J$6:$J$277,'строго ИБ'!CR$1,'свод практик'!$E$6:$E$277,"узкая",'свод практик'!$B$6:$B$277,"ИБ")</f>
        <v>0</v>
      </c>
      <c r="CS112" s="413">
        <f>COUNTIFS('свод практик'!$J$6:$J$277,'строго ИБ'!CS$1,'свод практик'!$E$6:$E$277,"узкая",'свод практик'!$B$6:$B$277,"ИБ")</f>
        <v>0</v>
      </c>
      <c r="CT112" s="413">
        <f>COUNTIFS('свод практик'!$J$6:$J$277,'строго ИБ'!CT$1,'свод практик'!$E$6:$E$277,"узкая",'свод практик'!$B$6:$B$277,"ИБ")</f>
        <v>0</v>
      </c>
      <c r="CU112" s="413">
        <f>COUNTIFS('свод практик'!$J$6:$J$277,'строго ИБ'!CU$1,'свод практик'!$E$6:$E$277,"узкая",'свод практик'!$B$6:$B$277,"ИБ")</f>
        <v>0</v>
      </c>
    </row>
    <row r="113" spans="1:99" ht="41" customHeight="1" thickBot="1">
      <c r="A113" s="802"/>
      <c r="B113" s="802"/>
      <c r="C113" s="805"/>
      <c r="D113" s="452" t="s">
        <v>4949</v>
      </c>
      <c r="E113" s="452">
        <v>92</v>
      </c>
      <c r="F113" s="453" t="s">
        <v>5217</v>
      </c>
      <c r="G113" s="454" t="s">
        <v>5784</v>
      </c>
      <c r="H113" s="455" t="s">
        <v>4958</v>
      </c>
      <c r="I113" s="478" t="s">
        <v>4961</v>
      </c>
      <c r="J113" s="456"/>
      <c r="K113" s="343"/>
      <c r="L113" s="398"/>
      <c r="M113" s="358">
        <v>1</v>
      </c>
      <c r="N113" s="580">
        <f t="shared" si="72"/>
        <v>3</v>
      </c>
      <c r="O113" s="413">
        <f>COUNTIFS('свод практик'!$J$6:$J$277,'строго ИБ'!O$1,'свод практик'!$E$6:$E$277,"специализированная",'свод практик'!$B$6:$B$277,"ИБ")</f>
        <v>0</v>
      </c>
      <c r="P113" s="413">
        <f>COUNTIFS('свод практик'!$J$6:$J$277,'строго ИБ'!P$1,'свод практик'!$E$6:$E$277,"специализированная",'свод практик'!$B$6:$B$277,"ИБ")</f>
        <v>0</v>
      </c>
      <c r="Q113" s="413">
        <f>COUNTIFS('свод практик'!$J$6:$J$277,'строго ИБ'!Q$1,'свод практик'!$E$6:$E$277,"специализированная",'свод практик'!$B$6:$B$277,"ИБ")</f>
        <v>0</v>
      </c>
      <c r="R113" s="413">
        <f>COUNTIFS('свод практик'!$J$6:$J$277,'строго ИБ'!R$1,'свод практик'!$E$6:$E$277,"специализированная",'свод практик'!$B$6:$B$277,"ИБ")</f>
        <v>0</v>
      </c>
      <c r="S113" s="413">
        <f>COUNTIFS('свод практик'!$J$6:$J$277,'строго ИБ'!S$1,'свод практик'!$E$6:$E$277,"специализированная",'свод практик'!$B$6:$B$277,"ИБ")</f>
        <v>0</v>
      </c>
      <c r="T113" s="413">
        <f>COUNTIFS('свод практик'!$J$6:$J$277,'строго ИБ'!T$1,'свод практик'!$E$6:$E$277,"специализированная",'свод практик'!$B$6:$B$277,"ИБ")</f>
        <v>0</v>
      </c>
      <c r="U113" s="413">
        <f>COUNTIFS('свод практик'!$J$6:$J$277,'строго ИБ'!U$1,'свод практик'!$E$6:$E$277,"специализированная",'свод практик'!$B$6:$B$277,"ИБ")</f>
        <v>2</v>
      </c>
      <c r="V113" s="413">
        <f>COUNTIFS('свод практик'!$J$6:$J$277,'строго ИБ'!V$1,'свод практик'!$E$6:$E$277,"специализированная",'свод практик'!$B$6:$B$277,"ИБ")</f>
        <v>0</v>
      </c>
      <c r="W113" s="413">
        <f>COUNTIFS('свод практик'!$J$6:$J$277,'строго ИБ'!W$1,'свод практик'!$E$6:$E$277,"специализированная",'свод практик'!$B$6:$B$277,"ИБ")</f>
        <v>0</v>
      </c>
      <c r="X113" s="413">
        <f>COUNTIFS('свод практик'!$J$6:$J$277,'строго ИБ'!X$1,'свод практик'!$E$6:$E$277,"специализированная",'свод практик'!$B$6:$B$277,"ИБ")</f>
        <v>0</v>
      </c>
      <c r="Y113" s="413">
        <f>COUNTIFS('свод практик'!$J$6:$J$277,'строго ИБ'!Y$1,'свод практик'!$E$6:$E$277,"специализированная",'свод практик'!$B$6:$B$277,"ИБ")</f>
        <v>0</v>
      </c>
      <c r="Z113" s="413">
        <f>COUNTIFS('свод практик'!$J$6:$J$277,'строго ИБ'!Z$1,'свод практик'!$E$6:$E$277,"специализированная",'свод практик'!$B$6:$B$277,"ИБ")</f>
        <v>0</v>
      </c>
      <c r="AA113" s="413">
        <f>COUNTIFS('свод практик'!$J$6:$J$277,'строго ИБ'!AA$1,'свод практик'!$E$6:$E$277,"специализированная",'свод практик'!$B$6:$B$277,"ИБ")</f>
        <v>0</v>
      </c>
      <c r="AB113" s="413">
        <f>COUNTIFS('свод практик'!$J$6:$J$277,'строго ИБ'!AB$1,'свод практик'!$E$6:$E$277,"специализированная",'свод практик'!$B$6:$B$277,"ИБ")</f>
        <v>0</v>
      </c>
      <c r="AC113" s="413">
        <f>COUNTIFS('свод практик'!$J$6:$J$277,'строго ИБ'!AC$1,'свод практик'!$E$6:$E$277,"специализированная",'свод практик'!$B$6:$B$277,"ИБ")</f>
        <v>0</v>
      </c>
      <c r="AD113" s="413">
        <f>COUNTIFS('свод практик'!$J$6:$J$277,'строго ИБ'!AD$1,'свод практик'!$E$6:$E$277,"специализированная",'свод практик'!$B$6:$B$277,"ИБ")</f>
        <v>0</v>
      </c>
      <c r="AE113" s="413">
        <f>COUNTIFS('свод практик'!$J$6:$J$277,'строго ИБ'!AE$1,'свод практик'!$E$6:$E$277,"специализированная",'свод практик'!$B$6:$B$277,"ИБ")</f>
        <v>0</v>
      </c>
      <c r="AF113" s="413">
        <f>COUNTIFS('свод практик'!$J$6:$J$277,'строго ИБ'!AF$1,'свод практик'!$E$6:$E$277,"специализированная",'свод практик'!$B$6:$B$277,"ИБ")</f>
        <v>0</v>
      </c>
      <c r="AG113" s="413">
        <f>COUNTIFS('свод практик'!$J$6:$J$277,'строго ИБ'!AG$1,'свод практик'!$E$6:$E$277,"специализированная",'свод практик'!$B$6:$B$277,"ИБ")</f>
        <v>0</v>
      </c>
      <c r="AH113" s="413">
        <f>COUNTIFS('свод практик'!$J$6:$J$277,'строго ИБ'!AH$1,'свод практик'!$E$6:$E$277,"специализированная",'свод практик'!$B$6:$B$277,"ИБ")</f>
        <v>0</v>
      </c>
      <c r="AI113" s="413">
        <f>COUNTIFS('свод практик'!$J$6:$J$277,'строго ИБ'!AI$1,'свод практик'!$E$6:$E$277,"специализированная",'свод практик'!$B$6:$B$277,"ИБ")</f>
        <v>0</v>
      </c>
      <c r="AJ113" s="413">
        <f>COUNTIFS('свод практик'!$J$6:$J$277,'строго ИБ'!AJ$1,'свод практик'!$E$6:$E$277,"специализированная",'свод практик'!$B$6:$B$277,"ИБ")</f>
        <v>0</v>
      </c>
      <c r="AK113" s="413">
        <f>COUNTIFS('свод практик'!$J$6:$J$277,'строго ИБ'!AK$1,'свод практик'!$E$6:$E$277,"специализированная",'свод практик'!$B$6:$B$277,"ИБ")</f>
        <v>0</v>
      </c>
      <c r="AL113" s="413">
        <f>COUNTIFS('свод практик'!$J$6:$J$277,'строго ИБ'!AL$1,'свод практик'!$E$6:$E$277,"специализированная",'свод практик'!$B$6:$B$277,"ИБ")</f>
        <v>0</v>
      </c>
      <c r="AM113" s="413">
        <f>COUNTIFS('свод практик'!$J$6:$J$277,'строго ИБ'!AM$1,'свод практик'!$E$6:$E$277,"специализированная",'свод практик'!$B$6:$B$277,"ИБ")</f>
        <v>0</v>
      </c>
      <c r="AN113" s="413">
        <f>COUNTIFS('свод практик'!$J$6:$J$277,'строго ИБ'!AN$1,'свод практик'!$E$6:$E$277,"специализированная",'свод практик'!$B$6:$B$277,"ИБ")</f>
        <v>0</v>
      </c>
      <c r="AO113" s="413">
        <f>COUNTIFS('свод практик'!$J$6:$J$277,'строго ИБ'!AO$1,'свод практик'!$E$6:$E$277,"специализированная",'свод практик'!$B$6:$B$277,"ИБ")</f>
        <v>0</v>
      </c>
      <c r="AP113" s="413">
        <f>COUNTIFS('свод практик'!$J$6:$J$277,'строго ИБ'!AP$1,'свод практик'!$E$6:$E$277,"специализированная",'свод практик'!$B$6:$B$277,"ИБ")</f>
        <v>0</v>
      </c>
      <c r="AQ113" s="413">
        <f>COUNTIFS('свод практик'!$J$6:$J$277,'строго ИБ'!AQ$1,'свод практик'!$E$6:$E$277,"специализированная",'свод практик'!$B$6:$B$277,"ИБ")</f>
        <v>0</v>
      </c>
      <c r="AR113" s="413">
        <f>COUNTIFS('свод практик'!$J$6:$J$277,'строго ИБ'!AR$1,'свод практик'!$E$6:$E$277,"специализированная",'свод практик'!$B$6:$B$277,"ИБ")</f>
        <v>0</v>
      </c>
      <c r="AS113" s="413">
        <f>COUNTIFS('свод практик'!$J$6:$J$277,'строго ИБ'!AS$1,'свод практик'!$E$6:$E$277,"специализированная",'свод практик'!$B$6:$B$277,"ИБ")</f>
        <v>0</v>
      </c>
      <c r="AT113" s="413">
        <f>COUNTIFS('свод практик'!$J$6:$J$277,'строго ИБ'!AT$1,'свод практик'!$E$6:$E$277,"специализированная",'свод практик'!$B$6:$B$277,"ИБ")</f>
        <v>0</v>
      </c>
      <c r="AU113" s="413">
        <f>COUNTIFS('свод практик'!$J$6:$J$277,'строго ИБ'!AU$1,'свод практик'!$E$6:$E$277,"специализированная",'свод практик'!$B$6:$B$277,"ИБ")</f>
        <v>0</v>
      </c>
      <c r="AV113" s="413">
        <f>COUNTIFS('свод практик'!$J$6:$J$277,'строго ИБ'!AV$1,'свод практик'!$E$6:$E$277,"специализированная",'свод практик'!$B$6:$B$277,"ИБ")</f>
        <v>0</v>
      </c>
      <c r="AW113" s="413">
        <f>COUNTIFS('свод практик'!$J$6:$J$277,'строго ИБ'!AW$1,'свод практик'!$E$6:$E$277,"специализированная",'свод практик'!$B$6:$B$277,"ИБ")</f>
        <v>0</v>
      </c>
      <c r="AX113" s="413">
        <f>COUNTIFS('свод практик'!$J$6:$J$277,'строго ИБ'!AX$1,'свод практик'!$E$6:$E$277,"специализированная",'свод практик'!$B$6:$B$277,"ИБ")</f>
        <v>0</v>
      </c>
      <c r="AY113" s="413">
        <f>COUNTIFS('свод практик'!$J$6:$J$277,'строго ИБ'!AY$1,'свод практик'!$E$6:$E$277,"специализированная",'свод практик'!$B$6:$B$277,"ИБ")</f>
        <v>0</v>
      </c>
      <c r="AZ113" s="413">
        <f>COUNTIFS('свод практик'!$J$6:$J$277,'строго ИБ'!AZ$1,'свод практик'!$E$6:$E$277,"специализированная",'свод практик'!$B$6:$B$277,"ИБ")</f>
        <v>0</v>
      </c>
      <c r="BA113" s="413">
        <f>COUNTIFS('свод практик'!$J$6:$J$277,'строго ИБ'!BA$1,'свод практик'!$E$6:$E$277,"специализированная",'свод практик'!$B$6:$B$277,"ИБ")</f>
        <v>0</v>
      </c>
      <c r="BB113" s="413">
        <f>COUNTIFS('свод практик'!$J$6:$J$277,'строго ИБ'!BB$1,'свод практик'!$E$6:$E$277,"специализированная",'свод практик'!$B$6:$B$277,"ИБ")</f>
        <v>0</v>
      </c>
      <c r="BC113" s="413">
        <f>COUNTIFS('свод практик'!$J$6:$J$277,'строго ИБ'!BC$1,'свод практик'!$E$6:$E$277,"специализированная",'свод практик'!$B$6:$B$277,"ИБ")</f>
        <v>0</v>
      </c>
      <c r="BD113" s="413">
        <f>COUNTIFS('свод практик'!$J$6:$J$277,'строго ИБ'!BD$1,'свод практик'!$E$6:$E$277,"специализированная",'свод практик'!$B$6:$B$277,"ИБ")</f>
        <v>0</v>
      </c>
      <c r="BE113" s="413">
        <f>COUNTIFS('свод практик'!$J$6:$J$277,'строго ИБ'!BE$1,'свод практик'!$E$6:$E$277,"специализированная",'свод практик'!$B$6:$B$277,"ИБ")</f>
        <v>0</v>
      </c>
      <c r="BF113" s="413">
        <f>COUNTIFS('свод практик'!$J$6:$J$277,'строго ИБ'!BF$1,'свод практик'!$E$6:$E$277,"специализированная",'свод практик'!$B$6:$B$277,"ИБ")</f>
        <v>0</v>
      </c>
      <c r="BG113" s="413">
        <f>COUNTIFS('свод практик'!$J$6:$J$277,'строго ИБ'!BG$1,'свод практик'!$E$6:$E$277,"специализированная",'свод практик'!$B$6:$B$277,"ИБ")</f>
        <v>0</v>
      </c>
      <c r="BH113" s="413">
        <f>COUNTIFS('свод практик'!$J$6:$J$277,'строго ИБ'!BH$1,'свод практик'!$E$6:$E$277,"специализированная",'свод практик'!$B$6:$B$277,"ИБ")</f>
        <v>0</v>
      </c>
      <c r="BI113" s="413">
        <f>COUNTIFS('свод практик'!$J$6:$J$277,'строго ИБ'!BI$1,'свод практик'!$E$6:$E$277,"специализированная",'свод практик'!$B$6:$B$277,"ИБ")</f>
        <v>0</v>
      </c>
      <c r="BJ113" s="413">
        <f>COUNTIFS('свод практик'!$J$6:$J$277,'строго ИБ'!BJ$1,'свод практик'!$E$6:$E$277,"специализированная",'свод практик'!$B$6:$B$277,"ИБ")</f>
        <v>0</v>
      </c>
      <c r="BK113" s="413">
        <f>COUNTIFS('свод практик'!$J$6:$J$277,'строго ИБ'!BK$1,'свод практик'!$E$6:$E$277,"специализированная",'свод практик'!$B$6:$B$277,"ИБ")</f>
        <v>0</v>
      </c>
      <c r="BL113" s="413">
        <f>COUNTIFS('свод практик'!$J$6:$J$277,'строго ИБ'!BL$1,'свод практик'!$E$6:$E$277,"специализированная",'свод практик'!$B$6:$B$277,"ИБ")</f>
        <v>0</v>
      </c>
      <c r="BM113" s="413">
        <f>COUNTIFS('свод практик'!$J$6:$J$277,'строго ИБ'!BM$1,'свод практик'!$E$6:$E$277,"специализированная",'свод практик'!$B$6:$B$277,"ИБ")</f>
        <v>0</v>
      </c>
      <c r="BN113" s="413">
        <f>COUNTIFS('свод практик'!$J$6:$J$277,'строго ИБ'!BN$1,'свод практик'!$E$6:$E$277,"специализированная",'свод практик'!$B$6:$B$277,"ИБ")</f>
        <v>0</v>
      </c>
      <c r="BO113" s="413">
        <f>COUNTIFS('свод практик'!$J$6:$J$277,'строго ИБ'!BO$1,'свод практик'!$E$6:$E$277,"специализированная",'свод практик'!$B$6:$B$277,"ИБ")</f>
        <v>0</v>
      </c>
      <c r="BP113" s="413">
        <f>COUNTIFS('свод практик'!$J$6:$J$277,'строго ИБ'!BP$1,'свод практик'!$E$6:$E$277,"специализированная",'свод практик'!$B$6:$B$277,"ИБ")</f>
        <v>0</v>
      </c>
      <c r="BQ113" s="413">
        <f>COUNTIFS('свод практик'!$J$6:$J$277,'строго ИБ'!BQ$1,'свод практик'!$E$6:$E$277,"специализированная",'свод практик'!$B$6:$B$277,"ИБ")</f>
        <v>0</v>
      </c>
      <c r="BR113" s="413">
        <f>COUNTIFS('свод практик'!$J$6:$J$277,'строго ИБ'!BR$1,'свод практик'!$E$6:$E$277,"специализированная",'свод практик'!$B$6:$B$277,"ИБ")</f>
        <v>0</v>
      </c>
      <c r="BS113" s="413">
        <f>COUNTIFS('свод практик'!$J$6:$J$277,'строго ИБ'!BS$1,'свод практик'!$E$6:$E$277,"специализированная",'свод практик'!$B$6:$B$277,"ИБ")</f>
        <v>0</v>
      </c>
      <c r="BT113" s="413">
        <f>COUNTIFS('свод практик'!$J$6:$J$277,'строго ИБ'!BT$1,'свод практик'!$E$6:$E$277,"специализированная",'свод практик'!$B$6:$B$277,"ИБ")</f>
        <v>1</v>
      </c>
      <c r="BU113" s="413">
        <f>COUNTIFS('свод практик'!$J$6:$J$277,'строго ИБ'!BU$1,'свод практик'!$E$6:$E$277,"специализированная",'свод практик'!$B$6:$B$277,"ИБ")</f>
        <v>0</v>
      </c>
      <c r="BV113" s="413">
        <f>COUNTIFS('свод практик'!$J$6:$J$277,'строго ИБ'!BV$1,'свод практик'!$E$6:$E$277,"специализированная",'свод практик'!$B$6:$B$277,"ИБ")</f>
        <v>0</v>
      </c>
      <c r="BW113" s="413">
        <f>COUNTIFS('свод практик'!$J$6:$J$277,'строго ИБ'!BW$1,'свод практик'!$E$6:$E$277,"специализированная",'свод практик'!$B$6:$B$277,"ИБ")</f>
        <v>0</v>
      </c>
      <c r="BX113" s="413">
        <f>COUNTIFS('свод практик'!$J$6:$J$277,'строго ИБ'!BX$1,'свод практик'!$E$6:$E$277,"специализированная",'свод практик'!$B$6:$B$277,"ИБ")</f>
        <v>0</v>
      </c>
      <c r="BY113" s="413">
        <f>COUNTIFS('свод практик'!$J$6:$J$277,'строго ИБ'!BY$1,'свод практик'!$E$6:$E$277,"специализированная",'свод практик'!$B$6:$B$277,"ИБ")</f>
        <v>0</v>
      </c>
      <c r="BZ113" s="413">
        <f>COUNTIFS('свод практик'!$J$6:$J$277,'строго ИБ'!BZ$1,'свод практик'!$E$6:$E$277,"специализированная",'свод практик'!$B$6:$B$277,"ИБ")</f>
        <v>0</v>
      </c>
      <c r="CA113" s="413">
        <f>COUNTIFS('свод практик'!$J$6:$J$277,'строго ИБ'!CA$1,'свод практик'!$E$6:$E$277,"специализированная",'свод практик'!$B$6:$B$277,"ИБ")</f>
        <v>0</v>
      </c>
      <c r="CB113" s="413">
        <f>COUNTIFS('свод практик'!$J$6:$J$277,'строго ИБ'!CB$1,'свод практик'!$E$6:$E$277,"специализированная",'свод практик'!$B$6:$B$277,"ИБ")</f>
        <v>0</v>
      </c>
      <c r="CC113" s="413">
        <f>COUNTIFS('свод практик'!$J$6:$J$277,'строго ИБ'!CC$1,'свод практик'!$E$6:$E$277,"специализированная",'свод практик'!$B$6:$B$277,"ИБ")</f>
        <v>0</v>
      </c>
      <c r="CD113" s="413">
        <f>COUNTIFS('свод практик'!$J$6:$J$277,'строго ИБ'!CD$1,'свод практик'!$E$6:$E$277,"специализированная",'свод практик'!$B$6:$B$277,"ИБ")</f>
        <v>0</v>
      </c>
      <c r="CE113" s="413">
        <f>COUNTIFS('свод практик'!$J$6:$J$277,'строго ИБ'!CE$1,'свод практик'!$E$6:$E$277,"специализированная",'свод практик'!$B$6:$B$277,"ИБ")</f>
        <v>0</v>
      </c>
      <c r="CF113" s="413">
        <f>COUNTIFS('свод практик'!$J$6:$J$277,'строго ИБ'!CF$1,'свод практик'!$E$6:$E$277,"специализированная",'свод практик'!$B$6:$B$277,"ИБ")</f>
        <v>0</v>
      </c>
      <c r="CG113" s="413">
        <f>COUNTIFS('свод практик'!$J$6:$J$277,'строго ИБ'!CG$1,'свод практик'!$E$6:$E$277,"специализированная",'свод практик'!$B$6:$B$277,"ИБ")</f>
        <v>0</v>
      </c>
      <c r="CH113" s="413">
        <f>COUNTIFS('свод практик'!$J$6:$J$277,'строго ИБ'!CH$1,'свод практик'!$E$6:$E$277,"специализированная",'свод практик'!$B$6:$B$277,"ИБ")</f>
        <v>0</v>
      </c>
      <c r="CI113" s="413">
        <f>COUNTIFS('свод практик'!$J$6:$J$277,'строго ИБ'!CI$1,'свод практик'!$E$6:$E$277,"специализированная",'свод практик'!$B$6:$B$277,"ИБ")</f>
        <v>0</v>
      </c>
      <c r="CJ113" s="413">
        <f>COUNTIFS('свод практик'!$J$6:$J$277,'строго ИБ'!CJ$1,'свод практик'!$E$6:$E$277,"специализированная",'свод практик'!$B$6:$B$277,"ИБ")</f>
        <v>0</v>
      </c>
      <c r="CK113" s="413">
        <f>COUNTIFS('свод практик'!$J$6:$J$277,'строго ИБ'!CK$1,'свод практик'!$E$6:$E$277,"специализированная",'свод практик'!$B$6:$B$277,"ИБ")</f>
        <v>0</v>
      </c>
      <c r="CL113" s="413">
        <f>COUNTIFS('свод практик'!$J$6:$J$277,'строго ИБ'!CL$1,'свод практик'!$E$6:$E$277,"специализированная",'свод практик'!$B$6:$B$277,"ИБ")</f>
        <v>0</v>
      </c>
      <c r="CM113" s="413">
        <f>COUNTIFS('свод практик'!$J$6:$J$277,'строго ИБ'!CM$1,'свод практик'!$E$6:$E$277,"специализированная",'свод практик'!$B$6:$B$277,"ИБ")</f>
        <v>0</v>
      </c>
      <c r="CN113" s="413">
        <f>COUNTIFS('свод практик'!$J$6:$J$277,'строго ИБ'!CN$1,'свод практик'!$E$6:$E$277,"специализированная",'свод практик'!$B$6:$B$277,"ИБ")</f>
        <v>0</v>
      </c>
      <c r="CO113" s="413">
        <f>COUNTIFS('свод практик'!$J$6:$J$277,'строго ИБ'!CO$1,'свод практик'!$E$6:$E$277,"специализированная",'свод практик'!$B$6:$B$277,"ИБ")</f>
        <v>0</v>
      </c>
      <c r="CP113" s="413">
        <f>COUNTIFS('свод практик'!$J$6:$J$277,'строго ИБ'!CP$1,'свод практик'!$E$6:$E$277,"специализированная",'свод практик'!$B$6:$B$277,"ИБ")</f>
        <v>0</v>
      </c>
      <c r="CQ113" s="413">
        <f>COUNTIFS('свод практик'!$J$6:$J$277,'строго ИБ'!CQ$1,'свод практик'!$E$6:$E$277,"специализированная",'свод практик'!$B$6:$B$277,"ИБ")</f>
        <v>0</v>
      </c>
      <c r="CR113" s="413">
        <f>COUNTIFS('свод практик'!$J$6:$J$277,'строго ИБ'!CR$1,'свод практик'!$E$6:$E$277,"специализированная",'свод практик'!$B$6:$B$277,"ИБ")</f>
        <v>0</v>
      </c>
      <c r="CS113" s="413">
        <f>COUNTIFS('свод практик'!$J$6:$J$277,'строго ИБ'!CS$1,'свод практик'!$E$6:$E$277,"специализированная",'свод практик'!$B$6:$B$277,"ИБ")</f>
        <v>0</v>
      </c>
      <c r="CT113" s="413">
        <f>COUNTIFS('свод практик'!$J$6:$J$277,'строго ИБ'!CT$1,'свод практик'!$E$6:$E$277,"специализированная",'свод практик'!$B$6:$B$277,"ИБ")</f>
        <v>0</v>
      </c>
      <c r="CU113" s="413">
        <f>COUNTIFS('свод практик'!$J$6:$J$277,'строго ИБ'!CU$1,'свод практик'!$E$6:$E$277,"специализированная",'свод практик'!$B$6:$B$277,"ИБ")</f>
        <v>0</v>
      </c>
    </row>
    <row r="114" spans="1:99" ht="38.5" customHeight="1">
      <c r="A114" s="520"/>
      <c r="B114" s="134"/>
      <c r="C114" s="521"/>
      <c r="D114" s="433"/>
      <c r="E114" s="433"/>
      <c r="F114" s="495" t="s">
        <v>5241</v>
      </c>
      <c r="G114" s="435" t="s">
        <v>5785</v>
      </c>
      <c r="H114" s="436"/>
      <c r="I114" s="437" t="s">
        <v>4961</v>
      </c>
      <c r="J114" s="438"/>
      <c r="K114" s="336"/>
      <c r="L114" s="397"/>
      <c r="M114" s="399">
        <v>50723</v>
      </c>
      <c r="N114" s="265">
        <f>SUM(O114:CU114)</f>
        <v>26869</v>
      </c>
      <c r="O114" s="413">
        <f>SUMIFS('свод практик'!$BV$6:$BV$277,'свод практик'!$J$6:$J$277,'строго ИБ'!O$1,'свод практик'!$B$6:$B$277,"ИБ")</f>
        <v>32</v>
      </c>
      <c r="P114" s="413">
        <f>SUMIFS('свод практик'!$BV$6:$BV$277,'свод практик'!$J$6:$J$277,'строго ИБ'!P$1,'свод практик'!$B$6:$B$277,"ИБ")</f>
        <v>0</v>
      </c>
      <c r="Q114" s="413">
        <f>SUMIFS('свод практик'!$BV$6:$BV$277,'свод практик'!$J$6:$J$277,'строго ИБ'!Q$1,'свод практик'!$B$6:$B$277,"ИБ")</f>
        <v>917</v>
      </c>
      <c r="R114" s="413">
        <f>SUMIFS('свод практик'!$BV$6:$BV$277,'свод практик'!$J$6:$J$277,'строго ИБ'!R$1,'свод практик'!$B$6:$B$277,"ИБ")</f>
        <v>84</v>
      </c>
      <c r="S114" s="413">
        <f>SUMIFS('свод практик'!$BV$6:$BV$277,'свод практик'!$J$6:$J$277,'строго ИБ'!S$1,'свод практик'!$B$6:$B$277,"ИБ")</f>
        <v>101</v>
      </c>
      <c r="T114" s="413">
        <f>SUMIFS('свод практик'!$BV$6:$BV$277,'свод практик'!$J$6:$J$277,'строго ИБ'!T$1,'свод практик'!$B$6:$B$277,"ИБ")</f>
        <v>25</v>
      </c>
      <c r="U114" s="413">
        <f>SUMIFS('свод практик'!$BV$6:$BV$277,'свод практик'!$J$6:$J$277,'строго ИБ'!U$1,'свод практик'!$B$6:$B$277,"ИБ")</f>
        <v>1662</v>
      </c>
      <c r="V114" s="413">
        <f>SUMIFS('свод практик'!$BV$6:$BV$277,'свод практик'!$J$6:$J$277,'строго ИБ'!V$1,'свод практик'!$B$6:$B$277,"ИБ")</f>
        <v>81</v>
      </c>
      <c r="W114" s="413">
        <f>SUMIFS('свод практик'!$BV$6:$BV$277,'свод практик'!$J$6:$J$277,'строго ИБ'!W$1,'свод практик'!$B$6:$B$277,"ИБ")</f>
        <v>145</v>
      </c>
      <c r="X114" s="413">
        <f>SUMIFS('свод практик'!$BV$6:$BV$277,'свод практик'!$J$6:$J$277,'строго ИБ'!X$1,'свод практик'!$B$6:$B$277,"ИБ")</f>
        <v>0</v>
      </c>
      <c r="Y114" s="413">
        <f>SUMIFS('свод практик'!$BV$6:$BV$277,'свод практик'!$J$6:$J$277,'строго ИБ'!Y$1,'свод практик'!$B$6:$B$277,"ИБ")</f>
        <v>0</v>
      </c>
      <c r="Z114" s="413">
        <f>SUMIFS('свод практик'!$BV$6:$BV$277,'свод практик'!$J$6:$J$277,'строго ИБ'!Z$1,'свод практик'!$B$6:$B$277,"ИБ")</f>
        <v>209</v>
      </c>
      <c r="AA114" s="413">
        <f>SUMIFS('свод практик'!$BV$6:$BV$277,'свод практик'!$J$6:$J$277,'строго ИБ'!AA$1,'свод практик'!$B$6:$B$277,"ИБ")</f>
        <v>1119</v>
      </c>
      <c r="AB114" s="413">
        <f>SUMIFS('свод практик'!$BV$6:$BV$277,'свод практик'!$J$6:$J$277,'строго ИБ'!AB$1,'свод практик'!$B$6:$B$277,"ИБ")</f>
        <v>0</v>
      </c>
      <c r="AC114" s="413">
        <f>SUMIFS('свод практик'!$BV$6:$BV$277,'свод практик'!$J$6:$J$277,'строго ИБ'!AC$1,'свод практик'!$B$6:$B$277,"ИБ")</f>
        <v>0</v>
      </c>
      <c r="AD114" s="413">
        <f>SUMIFS('свод практик'!$BV$6:$BV$277,'свод практик'!$J$6:$J$277,'строго ИБ'!AD$1,'свод практик'!$B$6:$B$277,"ИБ")</f>
        <v>0</v>
      </c>
      <c r="AE114" s="413">
        <f>SUMIFS('свод практик'!$BV$6:$BV$277,'свод практик'!$J$6:$J$277,'строго ИБ'!AE$1,'свод практик'!$B$6:$B$277,"ИБ")</f>
        <v>0</v>
      </c>
      <c r="AF114" s="413">
        <f>SUMIFS('свод практик'!$BV$6:$BV$277,'свод практик'!$J$6:$J$277,'строго ИБ'!AF$1,'свод практик'!$B$6:$B$277,"ИБ")</f>
        <v>0</v>
      </c>
      <c r="AG114" s="413">
        <f>SUMIFS('свод практик'!$BV$6:$BV$277,'свод практик'!$J$6:$J$277,'строго ИБ'!AG$1,'свод практик'!$B$6:$B$277,"ИБ")</f>
        <v>0</v>
      </c>
      <c r="AH114" s="413">
        <f>SUMIFS('свод практик'!$BV$6:$BV$277,'свод практик'!$J$6:$J$277,'строго ИБ'!AH$1,'свод практик'!$B$6:$B$277,"ИБ")</f>
        <v>0</v>
      </c>
      <c r="AI114" s="413">
        <f>SUMIFS('свод практик'!$BV$6:$BV$277,'свод практик'!$J$6:$J$277,'строго ИБ'!AI$1,'свод практик'!$B$6:$B$277,"ИБ")</f>
        <v>0</v>
      </c>
      <c r="AJ114" s="413">
        <f>SUMIFS('свод практик'!$BV$6:$BV$277,'свод практик'!$J$6:$J$277,'строго ИБ'!AJ$1,'свод практик'!$B$6:$B$277,"ИБ")</f>
        <v>0</v>
      </c>
      <c r="AK114" s="413">
        <f>SUMIFS('свод практик'!$BV$6:$BV$277,'свод практик'!$J$6:$J$277,'строго ИБ'!AK$1,'свод практик'!$B$6:$B$277,"ИБ")</f>
        <v>21</v>
      </c>
      <c r="AL114" s="413">
        <f>SUMIFS('свод практик'!$BV$6:$BV$277,'свод практик'!$J$6:$J$277,'строго ИБ'!AL$1,'свод практик'!$B$6:$B$277,"ИБ")</f>
        <v>30</v>
      </c>
      <c r="AM114" s="413">
        <f>SUMIFS('свод практик'!$BV$6:$BV$277,'свод практик'!$J$6:$J$277,'строго ИБ'!AM$1,'свод практик'!$B$6:$B$277,"ИБ")</f>
        <v>0</v>
      </c>
      <c r="AN114" s="413">
        <f>SUMIFS('свод практик'!$BV$6:$BV$277,'свод практик'!$J$6:$J$277,'строго ИБ'!AN$1,'свод практик'!$B$6:$B$277,"ИБ")</f>
        <v>0</v>
      </c>
      <c r="AO114" s="413">
        <f>SUMIFS('свод практик'!$BV$6:$BV$277,'свод практик'!$J$6:$J$277,'строго ИБ'!AO$1,'свод практик'!$B$6:$B$277,"ИБ")</f>
        <v>0</v>
      </c>
      <c r="AP114" s="413">
        <f>SUMIFS('свод практик'!$BV$6:$BV$277,'свод практик'!$J$6:$J$277,'строго ИБ'!AP$1,'свод практик'!$B$6:$B$277,"ИБ")</f>
        <v>255</v>
      </c>
      <c r="AQ114" s="413">
        <f>SUMIFS('свод практик'!$BV$6:$BV$277,'свод практик'!$J$6:$J$277,'строго ИБ'!AQ$1,'свод практик'!$B$6:$B$277,"ИБ")</f>
        <v>532</v>
      </c>
      <c r="AR114" s="413">
        <f>SUMIFS('свод практик'!$BV$6:$BV$277,'свод практик'!$J$6:$J$277,'строго ИБ'!AR$1,'свод практик'!$B$6:$B$277,"ИБ")</f>
        <v>633</v>
      </c>
      <c r="AS114" s="413">
        <f>SUMIFS('свод практик'!$BV$6:$BV$277,'свод практик'!$J$6:$J$277,'строго ИБ'!AS$1,'свод практик'!$B$6:$B$277,"ИБ")</f>
        <v>0</v>
      </c>
      <c r="AT114" s="413">
        <f>SUMIFS('свод практик'!$BV$6:$BV$277,'свод практик'!$J$6:$J$277,'строго ИБ'!AT$1,'свод практик'!$B$6:$B$277,"ИБ")</f>
        <v>0</v>
      </c>
      <c r="AU114" s="413">
        <f>SUMIFS('свод практик'!$BV$6:$BV$277,'свод практик'!$J$6:$J$277,'строго ИБ'!AU$1,'свод практик'!$B$6:$B$277,"ИБ")</f>
        <v>483</v>
      </c>
      <c r="AV114" s="413">
        <f>SUMIFS('свод практик'!$BV$6:$BV$277,'свод практик'!$J$6:$J$277,'строго ИБ'!AV$1,'свод практик'!$B$6:$B$277,"ИБ")</f>
        <v>0</v>
      </c>
      <c r="AW114" s="413">
        <f>SUMIFS('свод практик'!$BV$6:$BV$277,'свод практик'!$J$6:$J$277,'строго ИБ'!AW$1,'свод практик'!$B$6:$B$277,"ИБ")</f>
        <v>105</v>
      </c>
      <c r="AX114" s="413">
        <f>SUMIFS('свод практик'!$BV$6:$BV$277,'свод практик'!$J$6:$J$277,'строго ИБ'!AX$1,'свод практик'!$B$6:$B$277,"ИБ")</f>
        <v>0</v>
      </c>
      <c r="AY114" s="413">
        <f>SUMIFS('свод практик'!$BV$6:$BV$277,'свод практик'!$J$6:$J$277,'строго ИБ'!AY$1,'свод практик'!$B$6:$B$277,"ИБ")</f>
        <v>17</v>
      </c>
      <c r="AZ114" s="413">
        <f>SUMIFS('свод практик'!$BV$6:$BV$277,'свод практик'!$J$6:$J$277,'строго ИБ'!AZ$1,'свод практик'!$B$6:$B$277,"ИБ")</f>
        <v>0</v>
      </c>
      <c r="BA114" s="413">
        <f>SUMIFS('свод практик'!$BV$6:$BV$277,'свод практик'!$J$6:$J$277,'строго ИБ'!BA$1,'свод практик'!$B$6:$B$277,"ИБ")</f>
        <v>0</v>
      </c>
      <c r="BB114" s="413">
        <f>SUMIFS('свод практик'!$BV$6:$BV$277,'свод практик'!$J$6:$J$277,'строго ИБ'!BB$1,'свод практик'!$B$6:$B$277,"ИБ")</f>
        <v>0</v>
      </c>
      <c r="BC114" s="413">
        <f>SUMIFS('свод практик'!$BV$6:$BV$277,'свод практик'!$J$6:$J$277,'строго ИБ'!BC$1,'свод практик'!$B$6:$B$277,"ИБ")</f>
        <v>0</v>
      </c>
      <c r="BD114" s="413">
        <f>SUMIFS('свод практик'!$BV$6:$BV$277,'свод практик'!$J$6:$J$277,'строго ИБ'!BD$1,'свод практик'!$B$6:$B$277,"ИБ")</f>
        <v>0</v>
      </c>
      <c r="BE114" s="413">
        <f>SUMIFS('свод практик'!$BV$6:$BV$277,'свод практик'!$J$6:$J$277,'строго ИБ'!BE$1,'свод практик'!$B$6:$B$277,"ИБ")</f>
        <v>5</v>
      </c>
      <c r="BF114" s="413">
        <f>SUMIFS('свод практик'!$BV$6:$BV$277,'свод практик'!$J$6:$J$277,'строго ИБ'!BF$1,'свод практик'!$B$6:$B$277,"ИБ")</f>
        <v>42</v>
      </c>
      <c r="BG114" s="413">
        <f>SUMIFS('свод практик'!$BV$6:$BV$277,'свод практик'!$J$6:$J$277,'строго ИБ'!BG$1,'свод практик'!$B$6:$B$277,"ИБ")</f>
        <v>0</v>
      </c>
      <c r="BH114" s="413">
        <f>SUMIFS('свод практик'!$BV$6:$BV$277,'свод практик'!$J$6:$J$277,'строго ИБ'!BH$1,'свод практик'!$B$6:$B$277,"ИБ")</f>
        <v>0</v>
      </c>
      <c r="BI114" s="413">
        <f>SUMIFS('свод практик'!$BV$6:$BV$277,'свод практик'!$J$6:$J$277,'строго ИБ'!BI$1,'свод практик'!$B$6:$B$277,"ИБ")</f>
        <v>389</v>
      </c>
      <c r="BJ114" s="413">
        <f>SUMIFS('свод практик'!$BV$6:$BV$277,'свод практик'!$J$6:$J$277,'строго ИБ'!BJ$1,'свод практик'!$B$6:$B$277,"ИБ")</f>
        <v>452</v>
      </c>
      <c r="BK114" s="413">
        <f>SUMIFS('свод практик'!$BV$6:$BV$277,'свод практик'!$J$6:$J$277,'строго ИБ'!BK$1,'свод практик'!$B$6:$B$277,"ИБ")</f>
        <v>0</v>
      </c>
      <c r="BL114" s="413">
        <f>SUMIFS('свод практик'!$BV$6:$BV$277,'свод практик'!$J$6:$J$277,'строго ИБ'!BL$1,'свод практик'!$B$6:$B$277,"ИБ")</f>
        <v>90</v>
      </c>
      <c r="BM114" s="413">
        <f>SUMIFS('свод практик'!$BV$6:$BV$277,'свод практик'!$J$6:$J$277,'строго ИБ'!BM$1,'свод практик'!$B$6:$B$277,"ИБ")</f>
        <v>8</v>
      </c>
      <c r="BN114" s="413">
        <f>SUMIFS('свод практик'!$BV$6:$BV$277,'свод практик'!$J$6:$J$277,'строго ИБ'!BN$1,'свод практик'!$B$6:$B$277,"ИБ")</f>
        <v>0</v>
      </c>
      <c r="BO114" s="413">
        <f>SUMIFS('свод практик'!$BV$6:$BV$277,'свод практик'!$J$6:$J$277,'строго ИБ'!BO$1,'свод практик'!$B$6:$B$277,"ИБ")</f>
        <v>0</v>
      </c>
      <c r="BP114" s="413">
        <f>SUMIFS('свод практик'!$BV$6:$BV$277,'свод практик'!$J$6:$J$277,'строго ИБ'!BP$1,'свод практик'!$B$6:$B$277,"ИБ")</f>
        <v>0</v>
      </c>
      <c r="BQ114" s="413">
        <f>SUMIFS('свод практик'!$BV$6:$BV$277,'свод практик'!$J$6:$J$277,'строго ИБ'!BQ$1,'свод практик'!$B$6:$B$277,"ИБ")</f>
        <v>0</v>
      </c>
      <c r="BR114" s="413">
        <f>SUMIFS('свод практик'!$BV$6:$BV$277,'свод практик'!$J$6:$J$277,'строго ИБ'!BR$1,'свод практик'!$B$6:$B$277,"ИБ")</f>
        <v>103</v>
      </c>
      <c r="BS114" s="413">
        <f>SUMIFS('свод практик'!$BV$6:$BV$277,'свод практик'!$J$6:$J$277,'строго ИБ'!BS$1,'свод практик'!$B$6:$B$277,"ИБ")</f>
        <v>0</v>
      </c>
      <c r="BT114" s="413">
        <f>SUMIFS('свод практик'!$BV$6:$BV$277,'свод практик'!$J$6:$J$277,'строго ИБ'!BT$1,'свод практик'!$B$6:$B$277,"ИБ")</f>
        <v>3482</v>
      </c>
      <c r="BU114" s="413">
        <f>SUMIFS('свод практик'!$BV$6:$BV$277,'свод практик'!$J$6:$J$277,'строго ИБ'!BU$1,'свод практик'!$B$6:$B$277,"ИБ")</f>
        <v>7646</v>
      </c>
      <c r="BV114" s="413">
        <f>SUMIFS('свод практик'!$BV$6:$BV$277,'свод практик'!$J$6:$J$277,'строго ИБ'!BV$1,'свод практик'!$B$6:$B$277,"ИБ")</f>
        <v>346</v>
      </c>
      <c r="BW114" s="413">
        <f>SUMIFS('свод практик'!$BV$6:$BV$277,'свод практик'!$J$6:$J$277,'строго ИБ'!BW$1,'свод практик'!$B$6:$B$277,"ИБ")</f>
        <v>0</v>
      </c>
      <c r="BX114" s="413">
        <f>SUMIFS('свод практик'!$BV$6:$BV$277,'свод практик'!$J$6:$J$277,'строго ИБ'!BX$1,'свод практик'!$B$6:$B$277,"ИБ")</f>
        <v>506</v>
      </c>
      <c r="BY114" s="413">
        <f>SUMIFS('свод практик'!$BV$6:$BV$277,'свод практик'!$J$6:$J$277,'строго ИБ'!BY$1,'свод практик'!$B$6:$B$277,"ИБ")</f>
        <v>1317</v>
      </c>
      <c r="BZ114" s="413">
        <f>SUMIFS('свод практик'!$BV$6:$BV$277,'свод практик'!$J$6:$J$277,'строго ИБ'!BZ$1,'свод практик'!$B$6:$B$277,"ИБ")</f>
        <v>0</v>
      </c>
      <c r="CA114" s="413">
        <f>SUMIFS('свод практик'!$BV$6:$BV$277,'свод практик'!$J$6:$J$277,'строго ИБ'!CA$1,'свод практик'!$B$6:$B$277,"ИБ")</f>
        <v>0</v>
      </c>
      <c r="CB114" s="413">
        <f>SUMIFS('свод практик'!$BV$6:$BV$277,'свод практик'!$J$6:$J$277,'строго ИБ'!CB$1,'свод практик'!$B$6:$B$277,"ИБ")</f>
        <v>0</v>
      </c>
      <c r="CC114" s="413">
        <f>SUMIFS('свод практик'!$BV$6:$BV$277,'свод практик'!$J$6:$J$277,'строго ИБ'!CC$1,'свод практик'!$B$6:$B$277,"ИБ")</f>
        <v>12</v>
      </c>
      <c r="CD114" s="413">
        <f>SUMIFS('свод практик'!$BV$6:$BV$277,'свод практик'!$J$6:$J$277,'строго ИБ'!CD$1,'свод практик'!$B$6:$B$277,"ИБ")</f>
        <v>1500</v>
      </c>
      <c r="CE114" s="413">
        <f>SUMIFS('свод практик'!$BV$6:$BV$277,'свод практик'!$J$6:$J$277,'строго ИБ'!CE$1,'свод практик'!$B$6:$B$277,"ИБ")</f>
        <v>0</v>
      </c>
      <c r="CF114" s="413">
        <f>SUMIFS('свод практик'!$BV$6:$BV$277,'свод практик'!$J$6:$J$277,'строго ИБ'!CF$1,'свод практик'!$B$6:$B$277,"ИБ")</f>
        <v>321</v>
      </c>
      <c r="CG114" s="413">
        <f>SUMIFS('свод практик'!$BV$6:$BV$277,'свод практик'!$J$6:$J$277,'строго ИБ'!CG$1,'свод практик'!$B$6:$B$277,"ИБ")</f>
        <v>0</v>
      </c>
      <c r="CH114" s="413">
        <f>SUMIFS('свод практик'!$BV$6:$BV$277,'свод практик'!$J$6:$J$277,'строго ИБ'!CH$1,'свод практик'!$B$6:$B$277,"ИБ")</f>
        <v>1278</v>
      </c>
      <c r="CI114" s="413">
        <f>SUMIFS('свод практик'!$BV$6:$BV$277,'свод практик'!$J$6:$J$277,'строго ИБ'!CI$1,'свод практик'!$B$6:$B$277,"ИБ")</f>
        <v>0</v>
      </c>
      <c r="CJ114" s="413">
        <f>SUMIFS('свод практик'!$BV$6:$BV$277,'свод практик'!$J$6:$J$277,'строго ИБ'!CJ$1,'свод практик'!$B$6:$B$277,"ИБ")</f>
        <v>0</v>
      </c>
      <c r="CK114" s="413">
        <f>SUMIFS('свод практик'!$BV$6:$BV$277,'свод практик'!$J$6:$J$277,'строго ИБ'!CK$1,'свод практик'!$B$6:$B$277,"ИБ")</f>
        <v>258</v>
      </c>
      <c r="CL114" s="413">
        <f>SUMIFS('свод практик'!$BV$6:$BV$277,'свод практик'!$J$6:$J$277,'строго ИБ'!CL$1,'свод практик'!$B$6:$B$277,"ИБ")</f>
        <v>636</v>
      </c>
      <c r="CM114" s="413">
        <f>SUMIFS('свод практик'!$BV$6:$BV$277,'свод практик'!$J$6:$J$277,'строго ИБ'!CM$1,'свод практик'!$B$6:$B$277,"ИБ")</f>
        <v>139</v>
      </c>
      <c r="CN114" s="413">
        <f>SUMIFS('свод практик'!$BV$6:$BV$277,'свод практик'!$J$6:$J$277,'строго ИБ'!CN$1,'свод практик'!$B$6:$B$277,"ИБ")</f>
        <v>0</v>
      </c>
      <c r="CO114" s="413">
        <f>SUMIFS('свод практик'!$BV$6:$BV$277,'свод практик'!$J$6:$J$277,'строго ИБ'!CO$1,'свод практик'!$B$6:$B$277,"ИБ")</f>
        <v>411</v>
      </c>
      <c r="CP114" s="413">
        <f>SUMIFS('свод практик'!$BV$6:$BV$277,'свод практик'!$J$6:$J$277,'строго ИБ'!CP$1,'свод практик'!$B$6:$B$277,"ИБ")</f>
        <v>38</v>
      </c>
      <c r="CQ114" s="413">
        <f>SUMIFS('свод практик'!$BV$6:$BV$277,'свод практик'!$J$6:$J$277,'строго ИБ'!CQ$1,'свод практик'!$B$6:$B$277,"ИБ")</f>
        <v>0</v>
      </c>
      <c r="CR114" s="413">
        <f>SUMIFS('свод практик'!$BV$6:$BV$277,'свод практик'!$J$6:$J$277,'строго ИБ'!CR$1,'свод практик'!$B$6:$B$277,"ИБ")</f>
        <v>657</v>
      </c>
      <c r="CS114" s="413">
        <f>SUMIFS('свод практик'!$BV$6:$BV$277,'свод практик'!$J$6:$J$277,'строго ИБ'!CS$1,'свод практик'!$B$6:$B$277,"ИБ")</f>
        <v>19</v>
      </c>
      <c r="CT114" s="413">
        <f>SUMIFS('свод практик'!$BV$6:$BV$277,'свод практик'!$J$6:$J$277,'строго ИБ'!CT$1,'свод практик'!$B$6:$B$277,"ИБ")</f>
        <v>254</v>
      </c>
      <c r="CU114" s="413">
        <f>SUMIFS('свод практик'!$BV$6:$BV$277,'свод практик'!$J$6:$J$277,'строго ИБ'!CU$1,'свод практик'!$B$6:$B$277,"ИБ")</f>
        <v>509</v>
      </c>
    </row>
    <row r="115" spans="1:99" ht="53.5" customHeight="1">
      <c r="A115" s="797">
        <v>27</v>
      </c>
      <c r="B115" s="801" t="s">
        <v>4947</v>
      </c>
      <c r="C115" s="804" t="s">
        <v>5219</v>
      </c>
      <c r="D115" s="439" t="s">
        <v>4949</v>
      </c>
      <c r="E115" s="439">
        <v>93</v>
      </c>
      <c r="F115" s="440" t="s">
        <v>5221</v>
      </c>
      <c r="G115" s="451" t="s">
        <v>5786</v>
      </c>
      <c r="H115" s="442" t="s">
        <v>5223</v>
      </c>
      <c r="I115" s="443" t="s">
        <v>4961</v>
      </c>
      <c r="J115" s="443"/>
      <c r="K115" s="2"/>
      <c r="L115" s="385"/>
      <c r="M115" s="351">
        <v>9622</v>
      </c>
      <c r="N115" s="265">
        <f t="shared" ref="N115:N116" si="73">SUM(O115:CU115)</f>
        <v>16104</v>
      </c>
      <c r="O115" s="413">
        <f>SUMIFS('свод практик'!$BW$6:$BW$277,'свод практик'!$J$6:$J$277,'строго ИБ'!O$1,'свод практик'!$B$6:$B$277,"ИБ")</f>
        <v>9</v>
      </c>
      <c r="P115" s="413">
        <f>SUMIFS('свод практик'!$BW$6:$BW$277,'свод практик'!$J$6:$J$277,'строго ИБ'!P$1,'свод практик'!$B$6:$B$277,"ИБ")</f>
        <v>13</v>
      </c>
      <c r="Q115" s="413">
        <f>SUMIFS('свод практик'!$BW$6:$BW$277,'свод практик'!$J$6:$J$277,'строго ИБ'!Q$1,'свод практик'!$B$6:$B$277,"ИБ")</f>
        <v>285</v>
      </c>
      <c r="R115" s="413">
        <f>SUMIFS('свод практик'!$BW$6:$BW$277,'свод практик'!$J$6:$J$277,'строго ИБ'!R$1,'свод практик'!$B$6:$B$277,"ИБ")</f>
        <v>82</v>
      </c>
      <c r="S115" s="413">
        <f>SUMIFS('свод практик'!$BW$6:$BW$277,'свод практик'!$J$6:$J$277,'строго ИБ'!S$1,'свод практик'!$B$6:$B$277,"ИБ")</f>
        <v>20</v>
      </c>
      <c r="T115" s="413">
        <f>SUMIFS('свод практик'!$BW$6:$BW$277,'свод практик'!$J$6:$J$277,'строго ИБ'!T$1,'свод практик'!$B$6:$B$277,"ИБ")</f>
        <v>12</v>
      </c>
      <c r="U115" s="413">
        <f>SUMIFS('свод практик'!$BW$6:$BW$277,'свод практик'!$J$6:$J$277,'строго ИБ'!U$1,'свод практик'!$B$6:$B$277,"ИБ")</f>
        <v>1573</v>
      </c>
      <c r="V115" s="413">
        <f>SUMIFS('свод практик'!$BW$6:$BW$277,'свод практик'!$J$6:$J$277,'строго ИБ'!V$1,'свод практик'!$B$6:$B$277,"ИБ")</f>
        <v>78</v>
      </c>
      <c r="W115" s="413">
        <f>SUMIFS('свод практик'!$BW$6:$BW$277,'свод практик'!$J$6:$J$277,'строго ИБ'!W$1,'свод практик'!$B$6:$B$277,"ИБ")</f>
        <v>145</v>
      </c>
      <c r="X115" s="413">
        <f>SUMIFS('свод практик'!$BW$6:$BW$277,'свод практик'!$J$6:$J$277,'строго ИБ'!X$1,'свод практик'!$B$6:$B$277,"ИБ")</f>
        <v>0</v>
      </c>
      <c r="Y115" s="413">
        <f>SUMIFS('свод практик'!$BW$6:$BW$277,'свод практик'!$J$6:$J$277,'строго ИБ'!Y$1,'свод практик'!$B$6:$B$277,"ИБ")</f>
        <v>0</v>
      </c>
      <c r="Z115" s="413">
        <f>SUMIFS('свод практик'!$BW$6:$BW$277,'свод практик'!$J$6:$J$277,'строго ИБ'!Z$1,'свод практик'!$B$6:$B$277,"ИБ")</f>
        <v>209</v>
      </c>
      <c r="AA115" s="413">
        <f>SUMIFS('свод практик'!$BW$6:$BW$277,'свод практик'!$J$6:$J$277,'строго ИБ'!AA$1,'свод практик'!$B$6:$B$277,"ИБ")</f>
        <v>1082</v>
      </c>
      <c r="AB115" s="413">
        <f>SUMIFS('свод практик'!$BW$6:$BW$277,'свод практик'!$J$6:$J$277,'строго ИБ'!AB$1,'свод практик'!$B$6:$B$277,"ИБ")</f>
        <v>196</v>
      </c>
      <c r="AC115" s="413">
        <f>SUMIFS('свод практик'!$BW$6:$BW$277,'свод практик'!$J$6:$J$277,'строго ИБ'!AC$1,'свод практик'!$B$6:$B$277,"ИБ")</f>
        <v>0</v>
      </c>
      <c r="AD115" s="413">
        <f>SUMIFS('свод практик'!$BW$6:$BW$277,'свод практик'!$J$6:$J$277,'строго ИБ'!AD$1,'свод практик'!$B$6:$B$277,"ИБ")</f>
        <v>0</v>
      </c>
      <c r="AE115" s="413">
        <f>SUMIFS('свод практик'!$BW$6:$BW$277,'свод практик'!$J$6:$J$277,'строго ИБ'!AE$1,'свод практик'!$B$6:$B$277,"ИБ")</f>
        <v>0</v>
      </c>
      <c r="AF115" s="413">
        <f>SUMIFS('свод практик'!$BW$6:$BW$277,'свод практик'!$J$6:$J$277,'строго ИБ'!AF$1,'свод практик'!$B$6:$B$277,"ИБ")</f>
        <v>0</v>
      </c>
      <c r="AG115" s="413">
        <f>SUMIFS('свод практик'!$BW$6:$BW$277,'свод практик'!$J$6:$J$277,'строго ИБ'!AG$1,'свод практик'!$B$6:$B$277,"ИБ")</f>
        <v>0</v>
      </c>
      <c r="AH115" s="413">
        <f>SUMIFS('свод практик'!$BW$6:$BW$277,'свод практик'!$J$6:$J$277,'строго ИБ'!AH$1,'свод практик'!$B$6:$B$277,"ИБ")</f>
        <v>0</v>
      </c>
      <c r="AI115" s="413">
        <f>SUMIFS('свод практик'!$BW$6:$BW$277,'свод практик'!$J$6:$J$277,'строго ИБ'!AI$1,'свод практик'!$B$6:$B$277,"ИБ")</f>
        <v>0</v>
      </c>
      <c r="AJ115" s="413">
        <f>SUMIFS('свод практик'!$BW$6:$BW$277,'свод практик'!$J$6:$J$277,'строго ИБ'!AJ$1,'свод практик'!$B$6:$B$277,"ИБ")</f>
        <v>0</v>
      </c>
      <c r="AK115" s="413">
        <f>SUMIFS('свод практик'!$BW$6:$BW$277,'свод практик'!$J$6:$J$277,'строго ИБ'!AK$1,'свод практик'!$B$6:$B$277,"ИБ")</f>
        <v>21</v>
      </c>
      <c r="AL115" s="413">
        <f>SUMIFS('свод практик'!$BW$6:$BW$277,'свод практик'!$J$6:$J$277,'строго ИБ'!AL$1,'свод практик'!$B$6:$B$277,"ИБ")</f>
        <v>180</v>
      </c>
      <c r="AM115" s="413">
        <f>SUMIFS('свод практик'!$BW$6:$BW$277,'свод практик'!$J$6:$J$277,'строго ИБ'!AM$1,'свод практик'!$B$6:$B$277,"ИБ")</f>
        <v>0</v>
      </c>
      <c r="AN115" s="413">
        <f>SUMIFS('свод практик'!$BW$6:$BW$277,'свод практик'!$J$6:$J$277,'строго ИБ'!AN$1,'свод практик'!$B$6:$B$277,"ИБ")</f>
        <v>0</v>
      </c>
      <c r="AO115" s="413">
        <f>SUMIFS('свод практик'!$BW$6:$BW$277,'свод практик'!$J$6:$J$277,'строго ИБ'!AO$1,'свод практик'!$B$6:$B$277,"ИБ")</f>
        <v>95</v>
      </c>
      <c r="AP115" s="413">
        <f>SUMIFS('свод практик'!$BW$6:$BW$277,'свод практик'!$J$6:$J$277,'строго ИБ'!AP$1,'свод практик'!$B$6:$B$277,"ИБ")</f>
        <v>111</v>
      </c>
      <c r="AQ115" s="413">
        <f>SUMIFS('свод практик'!$BW$6:$BW$277,'свод практик'!$J$6:$J$277,'строго ИБ'!AQ$1,'свод практик'!$B$6:$B$277,"ИБ")</f>
        <v>489</v>
      </c>
      <c r="AR115" s="413">
        <f>SUMIFS('свод практик'!$BW$6:$BW$277,'свод практик'!$J$6:$J$277,'строго ИБ'!AR$1,'свод практик'!$B$6:$B$277,"ИБ")</f>
        <v>393</v>
      </c>
      <c r="AS115" s="413">
        <f>SUMIFS('свод практик'!$BW$6:$BW$277,'свод практик'!$J$6:$J$277,'строго ИБ'!AS$1,'свод практик'!$B$6:$B$277,"ИБ")</f>
        <v>0</v>
      </c>
      <c r="AT115" s="413">
        <f>SUMIFS('свод практик'!$BW$6:$BW$277,'свод практик'!$J$6:$J$277,'строго ИБ'!AT$1,'свод практик'!$B$6:$B$277,"ИБ")</f>
        <v>0</v>
      </c>
      <c r="AU115" s="413">
        <f>SUMIFS('свод практик'!$BW$6:$BW$277,'свод практик'!$J$6:$J$277,'строго ИБ'!AU$1,'свод практик'!$B$6:$B$277,"ИБ")</f>
        <v>169</v>
      </c>
      <c r="AV115" s="413">
        <f>SUMIFS('свод практик'!$BW$6:$BW$277,'свод практик'!$J$6:$J$277,'строго ИБ'!AV$1,'свод практик'!$B$6:$B$277,"ИБ")</f>
        <v>0</v>
      </c>
      <c r="AW115" s="413">
        <f>SUMIFS('свод практик'!$BW$6:$BW$277,'свод практик'!$J$6:$J$277,'строго ИБ'!AW$1,'свод практик'!$B$6:$B$277,"ИБ")</f>
        <v>105</v>
      </c>
      <c r="AX115" s="413">
        <f>SUMIFS('свод практик'!$BW$6:$BW$277,'свод практик'!$J$6:$J$277,'строго ИБ'!AX$1,'свод практик'!$B$6:$B$277,"ИБ")</f>
        <v>0</v>
      </c>
      <c r="AY115" s="413">
        <f>SUMIFS('свод практик'!$BW$6:$BW$277,'свод практик'!$J$6:$J$277,'строго ИБ'!AY$1,'свод практик'!$B$6:$B$277,"ИБ")</f>
        <v>8</v>
      </c>
      <c r="AZ115" s="413">
        <f>SUMIFS('свод практик'!$BW$6:$BW$277,'свод практик'!$J$6:$J$277,'строго ИБ'!AZ$1,'свод практик'!$B$6:$B$277,"ИБ")</f>
        <v>0</v>
      </c>
      <c r="BA115" s="413">
        <f>SUMIFS('свод практик'!$BW$6:$BW$277,'свод практик'!$J$6:$J$277,'строго ИБ'!BA$1,'свод практик'!$B$6:$B$277,"ИБ")</f>
        <v>0</v>
      </c>
      <c r="BB115" s="413">
        <f>SUMIFS('свод практик'!$BW$6:$BW$277,'свод практик'!$J$6:$J$277,'строго ИБ'!BB$1,'свод практик'!$B$6:$B$277,"ИБ")</f>
        <v>84</v>
      </c>
      <c r="BC115" s="413">
        <f>SUMIFS('свод практик'!$BW$6:$BW$277,'свод практик'!$J$6:$J$277,'строго ИБ'!BC$1,'свод практик'!$B$6:$B$277,"ИБ")</f>
        <v>0</v>
      </c>
      <c r="BD115" s="413">
        <f>SUMIFS('свод практик'!$BW$6:$BW$277,'свод практик'!$J$6:$J$277,'строго ИБ'!BD$1,'свод практик'!$B$6:$B$277,"ИБ")</f>
        <v>0</v>
      </c>
      <c r="BE115" s="413">
        <f>SUMIFS('свод практик'!$BW$6:$BW$277,'свод практик'!$J$6:$J$277,'строго ИБ'!BE$1,'свод практик'!$B$6:$B$277,"ИБ")</f>
        <v>5</v>
      </c>
      <c r="BF115" s="413">
        <f>SUMIFS('свод практик'!$BW$6:$BW$277,'свод практик'!$J$6:$J$277,'строго ИБ'!BF$1,'свод практик'!$B$6:$B$277,"ИБ")</f>
        <v>42</v>
      </c>
      <c r="BG115" s="413">
        <f>SUMIFS('свод практик'!$BW$6:$BW$277,'свод практик'!$J$6:$J$277,'строго ИБ'!BG$1,'свод практик'!$B$6:$B$277,"ИБ")</f>
        <v>23</v>
      </c>
      <c r="BH115" s="413">
        <f>SUMIFS('свод практик'!$BW$6:$BW$277,'свод практик'!$J$6:$J$277,'строго ИБ'!BH$1,'свод практик'!$B$6:$B$277,"ИБ")</f>
        <v>600</v>
      </c>
      <c r="BI115" s="413">
        <f>SUMIFS('свод практик'!$BW$6:$BW$277,'свод практик'!$J$6:$J$277,'строго ИБ'!BI$1,'свод практик'!$B$6:$B$277,"ИБ")</f>
        <v>94</v>
      </c>
      <c r="BJ115" s="413">
        <f>SUMIFS('свод практик'!$BW$6:$BW$277,'свод практик'!$J$6:$J$277,'строго ИБ'!BJ$1,'свод практик'!$B$6:$B$277,"ИБ")</f>
        <v>207</v>
      </c>
      <c r="BK115" s="413">
        <f>SUMIFS('свод практик'!$BW$6:$BW$277,'свод практик'!$J$6:$J$277,'строго ИБ'!BK$1,'свод практик'!$B$6:$B$277,"ИБ")</f>
        <v>0</v>
      </c>
      <c r="BL115" s="413">
        <f>SUMIFS('свод практик'!$BW$6:$BW$277,'свод практик'!$J$6:$J$277,'строго ИБ'!BL$1,'свод практик'!$B$6:$B$277,"ИБ")</f>
        <v>171</v>
      </c>
      <c r="BM115" s="413">
        <f>SUMIFS('свод практик'!$BW$6:$BW$277,'свод практик'!$J$6:$J$277,'строго ИБ'!BM$1,'свод практик'!$B$6:$B$277,"ИБ")</f>
        <v>8</v>
      </c>
      <c r="BN115" s="413">
        <f>SUMIFS('свод практик'!$BW$6:$BW$277,'свод практик'!$J$6:$J$277,'строго ИБ'!BN$1,'свод практик'!$B$6:$B$277,"ИБ")</f>
        <v>0</v>
      </c>
      <c r="BO115" s="413">
        <f>SUMIFS('свод практик'!$BW$6:$BW$277,'свод практик'!$J$6:$J$277,'строго ИБ'!BO$1,'свод практик'!$B$6:$B$277,"ИБ")</f>
        <v>306</v>
      </c>
      <c r="BP115" s="413">
        <f>SUMIFS('свод практик'!$BW$6:$BW$277,'свод практик'!$J$6:$J$277,'строго ИБ'!BP$1,'свод практик'!$B$6:$B$277,"ИБ")</f>
        <v>0</v>
      </c>
      <c r="BQ115" s="413">
        <f>SUMIFS('свод практик'!$BW$6:$BW$277,'свод практик'!$J$6:$J$277,'строго ИБ'!BQ$1,'свод практик'!$B$6:$B$277,"ИБ")</f>
        <v>0</v>
      </c>
      <c r="BR115" s="413">
        <f>SUMIFS('свод практик'!$BW$6:$BW$277,'свод практик'!$J$6:$J$277,'строго ИБ'!BR$1,'свод практик'!$B$6:$B$277,"ИБ")</f>
        <v>16</v>
      </c>
      <c r="BS115" s="413">
        <f>SUMIFS('свод практик'!$BW$6:$BW$277,'свод практик'!$J$6:$J$277,'строго ИБ'!BS$1,'свод практик'!$B$6:$B$277,"ИБ")</f>
        <v>281</v>
      </c>
      <c r="BT115" s="413">
        <f>SUMIFS('свод практик'!$BW$6:$BW$277,'свод практик'!$J$6:$J$277,'строго ИБ'!BT$1,'свод практик'!$B$6:$B$277,"ИБ")</f>
        <v>3168</v>
      </c>
      <c r="BU115" s="413">
        <f>SUMIFS('свод практик'!$BW$6:$BW$277,'свод практик'!$J$6:$J$277,'строго ИБ'!BU$1,'свод практик'!$B$6:$B$277,"ИБ")</f>
        <v>52</v>
      </c>
      <c r="BV115" s="413">
        <f>SUMIFS('свод практик'!$BW$6:$BW$277,'свод практик'!$J$6:$J$277,'строго ИБ'!BV$1,'свод практик'!$B$6:$B$277,"ИБ")</f>
        <v>160</v>
      </c>
      <c r="BW115" s="413">
        <f>SUMIFS('свод практик'!$BW$6:$BW$277,'свод практик'!$J$6:$J$277,'строго ИБ'!BW$1,'свод практик'!$B$6:$B$277,"ИБ")</f>
        <v>565</v>
      </c>
      <c r="BX115" s="413">
        <f>SUMIFS('свод практик'!$BW$6:$BW$277,'свод практик'!$J$6:$J$277,'строго ИБ'!BX$1,'свод практик'!$B$6:$B$277,"ИБ")</f>
        <v>249</v>
      </c>
      <c r="BY115" s="413">
        <f>SUMIFS('свод практик'!$BW$6:$BW$277,'свод практик'!$J$6:$J$277,'строго ИБ'!BY$1,'свод практик'!$B$6:$B$277,"ИБ")</f>
        <v>96</v>
      </c>
      <c r="BZ115" s="413">
        <f>SUMIFS('свод практик'!$BW$6:$BW$277,'свод практик'!$J$6:$J$277,'строго ИБ'!BZ$1,'свод практик'!$B$6:$B$277,"ИБ")</f>
        <v>0</v>
      </c>
      <c r="CA115" s="413">
        <f>SUMIFS('свод практик'!$BW$6:$BW$277,'свод практик'!$J$6:$J$277,'строго ИБ'!CA$1,'свод практик'!$B$6:$B$277,"ИБ")</f>
        <v>0</v>
      </c>
      <c r="CB115" s="413">
        <f>SUMIFS('свод практик'!$BW$6:$BW$277,'свод практик'!$J$6:$J$277,'строго ИБ'!CB$1,'свод практик'!$B$6:$B$277,"ИБ")</f>
        <v>0</v>
      </c>
      <c r="CC115" s="413">
        <f>SUMIFS('свод практик'!$BW$6:$BW$277,'свод практик'!$J$6:$J$277,'строго ИБ'!CC$1,'свод практик'!$B$6:$B$277,"ИБ")</f>
        <v>292</v>
      </c>
      <c r="CD115" s="413">
        <f>SUMIFS('свод практик'!$BW$6:$BW$277,'свод практик'!$J$6:$J$277,'строго ИБ'!CD$1,'свод практик'!$B$6:$B$277,"ИБ")</f>
        <v>540</v>
      </c>
      <c r="CE115" s="413">
        <f>SUMIFS('свод практик'!$BW$6:$BW$277,'свод практик'!$J$6:$J$277,'строго ИБ'!CE$1,'свод практик'!$B$6:$B$277,"ИБ")</f>
        <v>0</v>
      </c>
      <c r="CF115" s="413">
        <f>SUMIFS('свод практик'!$BW$6:$BW$277,'свод практик'!$J$6:$J$277,'строго ИБ'!CF$1,'свод практик'!$B$6:$B$277,"ИБ")</f>
        <v>321</v>
      </c>
      <c r="CG115" s="413">
        <f>SUMIFS('свод практик'!$BW$6:$BW$277,'свод практик'!$J$6:$J$277,'строго ИБ'!CG$1,'свод практик'!$B$6:$B$277,"ИБ")</f>
        <v>88</v>
      </c>
      <c r="CH115" s="413">
        <f>SUMIFS('свод практик'!$BW$6:$BW$277,'свод практик'!$J$6:$J$277,'строго ИБ'!CH$1,'свод практик'!$B$6:$B$277,"ИБ")</f>
        <v>1278</v>
      </c>
      <c r="CI115" s="413">
        <f>SUMIFS('свод практик'!$BW$6:$BW$277,'свод практик'!$J$6:$J$277,'строго ИБ'!CI$1,'свод практик'!$B$6:$B$277,"ИБ")</f>
        <v>0</v>
      </c>
      <c r="CJ115" s="413">
        <f>SUMIFS('свод практик'!$BW$6:$BW$277,'свод практик'!$J$6:$J$277,'строго ИБ'!CJ$1,'свод практик'!$B$6:$B$277,"ИБ")</f>
        <v>0</v>
      </c>
      <c r="CK115" s="413">
        <f>SUMIFS('свод практик'!$BW$6:$BW$277,'свод практик'!$J$6:$J$277,'строго ИБ'!CK$1,'свод практик'!$B$6:$B$277,"ИБ")</f>
        <v>166</v>
      </c>
      <c r="CL115" s="413">
        <f>SUMIFS('свод практик'!$BW$6:$BW$277,'свод практик'!$J$6:$J$277,'строго ИБ'!CL$1,'свод практик'!$B$6:$B$277,"ИБ")</f>
        <v>284</v>
      </c>
      <c r="CM115" s="413">
        <f>SUMIFS('свод практик'!$BW$6:$BW$277,'свод практик'!$J$6:$J$277,'строго ИБ'!CM$1,'свод практик'!$B$6:$B$277,"ИБ")</f>
        <v>66</v>
      </c>
      <c r="CN115" s="413">
        <f>SUMIFS('свод практик'!$BW$6:$BW$277,'свод практик'!$J$6:$J$277,'строго ИБ'!CN$1,'свод практик'!$B$6:$B$277,"ИБ")</f>
        <v>0</v>
      </c>
      <c r="CO115" s="413">
        <f>SUMIFS('свод практик'!$BW$6:$BW$277,'свод практик'!$J$6:$J$277,'строго ИБ'!CO$1,'свод практик'!$B$6:$B$277,"ИБ")</f>
        <v>334</v>
      </c>
      <c r="CP115" s="413">
        <f>SUMIFS('свод практик'!$BW$6:$BW$277,'свод практик'!$J$6:$J$277,'строго ИБ'!CP$1,'свод практик'!$B$6:$B$277,"ИБ")</f>
        <v>6</v>
      </c>
      <c r="CQ115" s="413">
        <f>SUMIFS('свод практик'!$BW$6:$BW$277,'свод практик'!$J$6:$J$277,'строго ИБ'!CQ$1,'свод практик'!$B$6:$B$277,"ИБ")</f>
        <v>0</v>
      </c>
      <c r="CR115" s="413">
        <f>SUMIFS('свод практик'!$BW$6:$BW$277,'свод практик'!$J$6:$J$277,'строго ИБ'!CR$1,'свод практик'!$B$6:$B$277,"ИБ")</f>
        <v>649</v>
      </c>
      <c r="CS115" s="413">
        <f>SUMIFS('свод практик'!$BW$6:$BW$277,'свод практик'!$J$6:$J$277,'строго ИБ'!CS$1,'свод практик'!$B$6:$B$277,"ИБ")</f>
        <v>19</v>
      </c>
      <c r="CT115" s="413">
        <f>SUMIFS('свод практик'!$BW$6:$BW$277,'свод практик'!$J$6:$J$277,'строго ИБ'!CT$1,'свод практик'!$B$6:$B$277,"ИБ")</f>
        <v>154</v>
      </c>
      <c r="CU115" s="413">
        <f>SUMIFS('свод практик'!$BW$6:$BW$277,'свод практик'!$J$6:$J$277,'строго ИБ'!CU$1,'свод практик'!$B$6:$B$277,"ИБ")</f>
        <v>505</v>
      </c>
    </row>
    <row r="116" spans="1:99" ht="33" customHeight="1">
      <c r="A116" s="798"/>
      <c r="B116" s="802"/>
      <c r="C116" s="805"/>
      <c r="D116" s="439" t="s">
        <v>4949</v>
      </c>
      <c r="E116" s="439">
        <v>94</v>
      </c>
      <c r="F116" s="440" t="s">
        <v>5224</v>
      </c>
      <c r="G116" s="451" t="s">
        <v>5787</v>
      </c>
      <c r="H116" s="442" t="s">
        <v>5223</v>
      </c>
      <c r="I116" s="443" t="s">
        <v>4961</v>
      </c>
      <c r="J116" s="443"/>
      <c r="K116" s="2"/>
      <c r="L116" s="385"/>
      <c r="M116" s="351">
        <v>7126</v>
      </c>
      <c r="N116" s="265">
        <f t="shared" si="73"/>
        <v>10291</v>
      </c>
      <c r="O116" s="413">
        <f>SUMIFS('свод практик'!$BX$6:$BX$277,'свод практик'!$J$6:$J$277,'строго ИБ'!O$1,'свод практик'!$B$6:$B$277,"ИБ")</f>
        <v>6</v>
      </c>
      <c r="P116" s="413">
        <f>SUMIFS('свод практик'!$BX$6:$BX$277,'свод практик'!$J$6:$J$277,'строго ИБ'!P$1,'свод практик'!$B$6:$B$277,"ИБ")</f>
        <v>7</v>
      </c>
      <c r="Q116" s="413">
        <f>SUMIFS('свод практик'!$BX$6:$BX$277,'свод практик'!$J$6:$J$277,'строго ИБ'!Q$1,'свод практик'!$B$6:$B$277,"ИБ")</f>
        <v>213</v>
      </c>
      <c r="R116" s="413">
        <f>SUMIFS('свод практик'!$BX$6:$BX$277,'свод практик'!$J$6:$J$277,'строго ИБ'!R$1,'свод практик'!$B$6:$B$277,"ИБ")</f>
        <v>82</v>
      </c>
      <c r="S116" s="413">
        <f>SUMIFS('свод практик'!$BX$6:$BX$277,'свод практик'!$J$6:$J$277,'строго ИБ'!S$1,'свод практик'!$B$6:$B$277,"ИБ")</f>
        <v>5</v>
      </c>
      <c r="T116" s="413">
        <f>SUMIFS('свод практик'!$BX$6:$BX$277,'свод практик'!$J$6:$J$277,'строго ИБ'!T$1,'свод практик'!$B$6:$B$277,"ИБ")</f>
        <v>12</v>
      </c>
      <c r="U116" s="413">
        <f>SUMIFS('свод практик'!$BX$6:$BX$277,'свод практик'!$J$6:$J$277,'строго ИБ'!U$1,'свод практик'!$B$6:$B$277,"ИБ")</f>
        <v>1300</v>
      </c>
      <c r="V116" s="413">
        <f>SUMIFS('свод практик'!$BX$6:$BX$277,'свод практик'!$J$6:$J$277,'строго ИБ'!V$1,'свод практик'!$B$6:$B$277,"ИБ")</f>
        <v>78</v>
      </c>
      <c r="W116" s="413">
        <f>SUMIFS('свод практик'!$BX$6:$BX$277,'свод практик'!$J$6:$J$277,'строго ИБ'!W$1,'свод практик'!$B$6:$B$277,"ИБ")</f>
        <v>89</v>
      </c>
      <c r="X116" s="413">
        <f>SUMIFS('свод практик'!$BX$6:$BX$277,'свод практик'!$J$6:$J$277,'строго ИБ'!X$1,'свод практик'!$B$6:$B$277,"ИБ")</f>
        <v>0</v>
      </c>
      <c r="Y116" s="413">
        <f>SUMIFS('свод практик'!$BX$6:$BX$277,'свод практик'!$J$6:$J$277,'строго ИБ'!Y$1,'свод практик'!$B$6:$B$277,"ИБ")</f>
        <v>0</v>
      </c>
      <c r="Z116" s="413">
        <f>SUMIFS('свод практик'!$BX$6:$BX$277,'свод практик'!$J$6:$J$277,'строго ИБ'!Z$1,'свод практик'!$B$6:$B$277,"ИБ")</f>
        <v>93</v>
      </c>
      <c r="AA116" s="413">
        <f>SUMIFS('свод практик'!$BX$6:$BX$277,'свод практик'!$J$6:$J$277,'строго ИБ'!AA$1,'свод практик'!$B$6:$B$277,"ИБ")</f>
        <v>893</v>
      </c>
      <c r="AB116" s="413">
        <f>SUMIFS('свод практик'!$BX$6:$BX$277,'свод практик'!$J$6:$J$277,'строго ИБ'!AB$1,'свод практик'!$B$6:$B$277,"ИБ")</f>
        <v>65</v>
      </c>
      <c r="AC116" s="413">
        <f>SUMIFS('свод практик'!$BX$6:$BX$277,'свод практик'!$J$6:$J$277,'строго ИБ'!AC$1,'свод практик'!$B$6:$B$277,"ИБ")</f>
        <v>0</v>
      </c>
      <c r="AD116" s="413">
        <f>SUMIFS('свод практик'!$BX$6:$BX$277,'свод практик'!$J$6:$J$277,'строго ИБ'!AD$1,'свод практик'!$B$6:$B$277,"ИБ")</f>
        <v>0</v>
      </c>
      <c r="AE116" s="413">
        <f>SUMIFS('свод практик'!$BX$6:$BX$277,'свод практик'!$J$6:$J$277,'строго ИБ'!AE$1,'свод практик'!$B$6:$B$277,"ИБ")</f>
        <v>0</v>
      </c>
      <c r="AF116" s="413">
        <f>SUMIFS('свод практик'!$BX$6:$BX$277,'свод практик'!$J$6:$J$277,'строго ИБ'!AF$1,'свод практик'!$B$6:$B$277,"ИБ")</f>
        <v>0</v>
      </c>
      <c r="AG116" s="413">
        <f>SUMIFS('свод практик'!$BX$6:$BX$277,'свод практик'!$J$6:$J$277,'строго ИБ'!AG$1,'свод практик'!$B$6:$B$277,"ИБ")</f>
        <v>0</v>
      </c>
      <c r="AH116" s="413">
        <f>SUMIFS('свод практик'!$BX$6:$BX$277,'свод практик'!$J$6:$J$277,'строго ИБ'!AH$1,'свод практик'!$B$6:$B$277,"ИБ")</f>
        <v>0</v>
      </c>
      <c r="AI116" s="413">
        <f>SUMIFS('свод практик'!$BX$6:$BX$277,'свод практик'!$J$6:$J$277,'строго ИБ'!AI$1,'свод практик'!$B$6:$B$277,"ИБ")</f>
        <v>0</v>
      </c>
      <c r="AJ116" s="413">
        <f>SUMIFS('свод практик'!$BX$6:$BX$277,'свод практик'!$J$6:$J$277,'строго ИБ'!AJ$1,'свод практик'!$B$6:$B$277,"ИБ")</f>
        <v>0</v>
      </c>
      <c r="AK116" s="413">
        <f>SUMIFS('свод практик'!$BX$6:$BX$277,'свод практик'!$J$6:$J$277,'строго ИБ'!AK$1,'свод практик'!$B$6:$B$277,"ИБ")</f>
        <v>19</v>
      </c>
      <c r="AL116" s="413">
        <f>SUMIFS('свод практик'!$BX$6:$BX$277,'свод практик'!$J$6:$J$277,'строго ИБ'!AL$1,'свод практик'!$B$6:$B$277,"ИБ")</f>
        <v>174</v>
      </c>
      <c r="AM116" s="413">
        <f>SUMIFS('свод практик'!$BX$6:$BX$277,'свод практик'!$J$6:$J$277,'строго ИБ'!AM$1,'свод практик'!$B$6:$B$277,"ИБ")</f>
        <v>0</v>
      </c>
      <c r="AN116" s="413">
        <f>SUMIFS('свод практик'!$BX$6:$BX$277,'свод практик'!$J$6:$J$277,'строго ИБ'!AN$1,'свод практик'!$B$6:$B$277,"ИБ")</f>
        <v>0</v>
      </c>
      <c r="AO116" s="413">
        <f>SUMIFS('свод практик'!$BX$6:$BX$277,'свод практик'!$J$6:$J$277,'строго ИБ'!AO$1,'свод практик'!$B$6:$B$277,"ИБ")</f>
        <v>80</v>
      </c>
      <c r="AP116" s="413">
        <f>SUMIFS('свод практик'!$BX$6:$BX$277,'свод практик'!$J$6:$J$277,'строго ИБ'!AP$1,'свод практик'!$B$6:$B$277,"ИБ")</f>
        <v>107</v>
      </c>
      <c r="AQ116" s="413">
        <f>SUMIFS('свод практик'!$BX$6:$BX$277,'свод практик'!$J$6:$J$277,'строго ИБ'!AQ$1,'свод практик'!$B$6:$B$277,"ИБ")</f>
        <v>357</v>
      </c>
      <c r="AR116" s="413">
        <f>SUMIFS('свод практик'!$BX$6:$BX$277,'свод практик'!$J$6:$J$277,'строго ИБ'!AR$1,'свод практик'!$B$6:$B$277,"ИБ")</f>
        <v>276</v>
      </c>
      <c r="AS116" s="413">
        <f>SUMIFS('свод практик'!$BX$6:$BX$277,'свод практик'!$J$6:$J$277,'строго ИБ'!AS$1,'свод практик'!$B$6:$B$277,"ИБ")</f>
        <v>0</v>
      </c>
      <c r="AT116" s="413">
        <f>SUMIFS('свод практик'!$BX$6:$BX$277,'свод практик'!$J$6:$J$277,'строго ИБ'!AT$1,'свод практик'!$B$6:$B$277,"ИБ")</f>
        <v>0</v>
      </c>
      <c r="AU116" s="413">
        <f>SUMIFS('свод практик'!$BX$6:$BX$277,'свод практик'!$J$6:$J$277,'строго ИБ'!AU$1,'свод практик'!$B$6:$B$277,"ИБ")</f>
        <v>123</v>
      </c>
      <c r="AV116" s="413">
        <f>SUMIFS('свод практик'!$BX$6:$BX$277,'свод практик'!$J$6:$J$277,'строго ИБ'!AV$1,'свод практик'!$B$6:$B$277,"ИБ")</f>
        <v>0</v>
      </c>
      <c r="AW116" s="413">
        <f>SUMIFS('свод практик'!$BX$6:$BX$277,'свод практик'!$J$6:$J$277,'строго ИБ'!AW$1,'свод практик'!$B$6:$B$277,"ИБ")</f>
        <v>98</v>
      </c>
      <c r="AX116" s="413">
        <f>SUMIFS('свод практик'!$BX$6:$BX$277,'свод практик'!$J$6:$J$277,'строго ИБ'!AX$1,'свод практик'!$B$6:$B$277,"ИБ")</f>
        <v>0</v>
      </c>
      <c r="AY116" s="413">
        <f>SUMIFS('свод практик'!$BX$6:$BX$277,'свод практик'!$J$6:$J$277,'строго ИБ'!AY$1,'свод практик'!$B$6:$B$277,"ИБ")</f>
        <v>8</v>
      </c>
      <c r="AZ116" s="413">
        <f>SUMIFS('свод практик'!$BX$6:$BX$277,'свод практик'!$J$6:$J$277,'строго ИБ'!AZ$1,'свод практик'!$B$6:$B$277,"ИБ")</f>
        <v>0</v>
      </c>
      <c r="BA116" s="413">
        <f>SUMIFS('свод практик'!$BX$6:$BX$277,'свод практик'!$J$6:$J$277,'строго ИБ'!BA$1,'свод практик'!$B$6:$B$277,"ИБ")</f>
        <v>0</v>
      </c>
      <c r="BB116" s="413">
        <f>SUMIFS('свод практик'!$BX$6:$BX$277,'свод практик'!$J$6:$J$277,'строго ИБ'!BB$1,'свод практик'!$B$6:$B$277,"ИБ")</f>
        <v>43</v>
      </c>
      <c r="BC116" s="413">
        <f>SUMIFS('свод практик'!$BX$6:$BX$277,'свод практик'!$J$6:$J$277,'строго ИБ'!BC$1,'свод практик'!$B$6:$B$277,"ИБ")</f>
        <v>0</v>
      </c>
      <c r="BD116" s="413">
        <f>SUMIFS('свод практик'!$BX$6:$BX$277,'свод практик'!$J$6:$J$277,'строго ИБ'!BD$1,'свод практик'!$B$6:$B$277,"ИБ")</f>
        <v>0</v>
      </c>
      <c r="BE116" s="413">
        <f>SUMIFS('свод практик'!$BX$6:$BX$277,'свод практик'!$J$6:$J$277,'строго ИБ'!BE$1,'свод практик'!$B$6:$B$277,"ИБ")</f>
        <v>3</v>
      </c>
      <c r="BF116" s="413">
        <f>SUMIFS('свод практик'!$BX$6:$BX$277,'свод практик'!$J$6:$J$277,'строго ИБ'!BF$1,'свод практик'!$B$6:$B$277,"ИБ")</f>
        <v>36</v>
      </c>
      <c r="BG116" s="413">
        <f>SUMIFS('свод практик'!$BX$6:$BX$277,'свод практик'!$J$6:$J$277,'строго ИБ'!BG$1,'свод практик'!$B$6:$B$277,"ИБ")</f>
        <v>23</v>
      </c>
      <c r="BH116" s="413">
        <f>SUMIFS('свод практик'!$BX$6:$BX$277,'свод практик'!$J$6:$J$277,'строго ИБ'!BH$1,'свод практик'!$B$6:$B$277,"ИБ")</f>
        <v>599</v>
      </c>
      <c r="BI116" s="413">
        <f>SUMIFS('свод практик'!$BX$6:$BX$277,'свод практик'!$J$6:$J$277,'строго ИБ'!BI$1,'свод практик'!$B$6:$B$277,"ИБ")</f>
        <v>40</v>
      </c>
      <c r="BJ116" s="413">
        <f>SUMIFS('свод практик'!$BX$6:$BX$277,'свод практик'!$J$6:$J$277,'строго ИБ'!BJ$1,'свод практик'!$B$6:$B$277,"ИБ")</f>
        <v>205</v>
      </c>
      <c r="BK116" s="413">
        <f>SUMIFS('свод практик'!$BX$6:$BX$277,'свод практик'!$J$6:$J$277,'строго ИБ'!BK$1,'свод практик'!$B$6:$B$277,"ИБ")</f>
        <v>0</v>
      </c>
      <c r="BL116" s="413">
        <f>SUMIFS('свод практик'!$BX$6:$BX$277,'свод практик'!$J$6:$J$277,'строго ИБ'!BL$1,'свод практик'!$B$6:$B$277,"ИБ")</f>
        <v>147</v>
      </c>
      <c r="BM116" s="413">
        <f>SUMIFS('свод практик'!$BX$6:$BX$277,'свод практик'!$J$6:$J$277,'строго ИБ'!BM$1,'свод практик'!$B$6:$B$277,"ИБ")</f>
        <v>6</v>
      </c>
      <c r="BN116" s="413">
        <f>SUMIFS('свод практик'!$BX$6:$BX$277,'свод практик'!$J$6:$J$277,'строго ИБ'!BN$1,'свод практик'!$B$6:$B$277,"ИБ")</f>
        <v>0</v>
      </c>
      <c r="BO116" s="413">
        <f>SUMIFS('свод практик'!$BX$6:$BX$277,'свод практик'!$J$6:$J$277,'строго ИБ'!BO$1,'свод практик'!$B$6:$B$277,"ИБ")</f>
        <v>130</v>
      </c>
      <c r="BP116" s="413">
        <f>SUMIFS('свод практик'!$BX$6:$BX$277,'свод практик'!$J$6:$J$277,'строго ИБ'!BP$1,'свод практик'!$B$6:$B$277,"ИБ")</f>
        <v>0</v>
      </c>
      <c r="BQ116" s="413">
        <f>SUMIFS('свод практик'!$BX$6:$BX$277,'свод практик'!$J$6:$J$277,'строго ИБ'!BQ$1,'свод практик'!$B$6:$B$277,"ИБ")</f>
        <v>0</v>
      </c>
      <c r="BR116" s="413">
        <f>SUMIFS('свод практик'!$BX$6:$BX$277,'свод практик'!$J$6:$J$277,'строго ИБ'!BR$1,'свод практик'!$B$6:$B$277,"ИБ")</f>
        <v>16</v>
      </c>
      <c r="BS116" s="413">
        <f>SUMIFS('свод практик'!$BX$6:$BX$277,'свод практик'!$J$6:$J$277,'строго ИБ'!BS$1,'свод практик'!$B$6:$B$277,"ИБ")</f>
        <v>184</v>
      </c>
      <c r="BT116" s="413">
        <f>SUMIFS('свод практик'!$BX$6:$BX$277,'свод практик'!$J$6:$J$277,'строго ИБ'!BT$1,'свод практик'!$B$6:$B$277,"ИБ")</f>
        <v>557</v>
      </c>
      <c r="BU116" s="413">
        <f>SUMIFS('свод практик'!$BX$6:$BX$277,'свод практик'!$J$6:$J$277,'строго ИБ'!BU$1,'свод практик'!$B$6:$B$277,"ИБ")</f>
        <v>17</v>
      </c>
      <c r="BV116" s="413">
        <f>SUMIFS('свод практик'!$BX$6:$BX$277,'свод практик'!$J$6:$J$277,'строго ИБ'!BV$1,'свод практик'!$B$6:$B$277,"ИБ")</f>
        <v>110</v>
      </c>
      <c r="BW116" s="413">
        <f>SUMIFS('свод практик'!$BX$6:$BX$277,'свод практик'!$J$6:$J$277,'строго ИБ'!BW$1,'свод практик'!$B$6:$B$277,"ИБ")</f>
        <v>443</v>
      </c>
      <c r="BX116" s="413">
        <f>SUMIFS('свод практик'!$BX$6:$BX$277,'свод практик'!$J$6:$J$277,'строго ИБ'!BX$1,'свод практик'!$B$6:$B$277,"ИБ")</f>
        <v>186</v>
      </c>
      <c r="BY116" s="413">
        <f>SUMIFS('свод практик'!$BX$6:$BX$277,'свод практик'!$J$6:$J$277,'строго ИБ'!BY$1,'свод практик'!$B$6:$B$277,"ИБ")</f>
        <v>78</v>
      </c>
      <c r="BZ116" s="413">
        <f>SUMIFS('свод практик'!$BX$6:$BX$277,'свод практик'!$J$6:$J$277,'строго ИБ'!BZ$1,'свод практик'!$B$6:$B$277,"ИБ")</f>
        <v>0</v>
      </c>
      <c r="CA116" s="413">
        <f>SUMIFS('свод практик'!$BX$6:$BX$277,'свод практик'!$J$6:$J$277,'строго ИБ'!CA$1,'свод практик'!$B$6:$B$277,"ИБ")</f>
        <v>0</v>
      </c>
      <c r="CB116" s="413">
        <f>SUMIFS('свод практик'!$BX$6:$BX$277,'свод практик'!$J$6:$J$277,'строго ИБ'!CB$1,'свод практик'!$B$6:$B$277,"ИБ")</f>
        <v>0</v>
      </c>
      <c r="CC116" s="413">
        <f>SUMIFS('свод практик'!$BX$6:$BX$277,'свод практик'!$J$6:$J$277,'строго ИБ'!CC$1,'свод практик'!$B$6:$B$277,"ИБ")</f>
        <v>245</v>
      </c>
      <c r="CD116" s="413">
        <f>SUMIFS('свод практик'!$BX$6:$BX$277,'свод практик'!$J$6:$J$277,'строго ИБ'!CD$1,'свод практик'!$B$6:$B$277,"ИБ")</f>
        <v>540</v>
      </c>
      <c r="CE116" s="413">
        <f>SUMIFS('свод практик'!$BX$6:$BX$277,'свод практик'!$J$6:$J$277,'строго ИБ'!CE$1,'свод практик'!$B$6:$B$277,"ИБ")</f>
        <v>0</v>
      </c>
      <c r="CF116" s="413">
        <f>SUMIFS('свод практик'!$BX$6:$BX$277,'свод практик'!$J$6:$J$277,'строго ИБ'!CF$1,'свод практик'!$B$6:$B$277,"ИБ")</f>
        <v>277</v>
      </c>
      <c r="CG116" s="413">
        <f>SUMIFS('свод практик'!$BX$6:$BX$277,'свод практик'!$J$6:$J$277,'строго ИБ'!CG$1,'свод практик'!$B$6:$B$277,"ИБ")</f>
        <v>72</v>
      </c>
      <c r="CH116" s="413">
        <f>SUMIFS('свод практик'!$BX$6:$BX$277,'свод практик'!$J$6:$J$277,'строго ИБ'!CH$1,'свод практик'!$B$6:$B$277,"ИБ")</f>
        <v>506</v>
      </c>
      <c r="CI116" s="413">
        <f>SUMIFS('свод практик'!$BX$6:$BX$277,'свод практик'!$J$6:$J$277,'строго ИБ'!CI$1,'свод практик'!$B$6:$B$277,"ИБ")</f>
        <v>0</v>
      </c>
      <c r="CJ116" s="413">
        <f>SUMIFS('свод практик'!$BX$6:$BX$277,'свод практик'!$J$6:$J$277,'строго ИБ'!CJ$1,'свод практик'!$B$6:$B$277,"ИБ")</f>
        <v>0</v>
      </c>
      <c r="CK116" s="413">
        <f>SUMIFS('свод практик'!$BX$6:$BX$277,'свод практик'!$J$6:$J$277,'строго ИБ'!CK$1,'свод практик'!$B$6:$B$277,"ИБ")</f>
        <v>104</v>
      </c>
      <c r="CL116" s="413">
        <f>SUMIFS('свод практик'!$BX$6:$BX$277,'свод практик'!$J$6:$J$277,'строго ИБ'!CL$1,'свод практик'!$B$6:$B$277,"ИБ")</f>
        <v>147</v>
      </c>
      <c r="CM116" s="413">
        <f>SUMIFS('свод практик'!$BX$6:$BX$277,'свод практик'!$J$6:$J$277,'строго ИБ'!CM$1,'свод практик'!$B$6:$B$277,"ИБ")</f>
        <v>41</v>
      </c>
      <c r="CN116" s="413">
        <f>SUMIFS('свод практик'!$BX$6:$BX$277,'свод практик'!$J$6:$J$277,'строго ИБ'!CN$1,'свод практик'!$B$6:$B$277,"ИБ")</f>
        <v>0</v>
      </c>
      <c r="CO116" s="413">
        <f>SUMIFS('свод практик'!$BX$6:$BX$277,'свод практик'!$J$6:$J$277,'строго ИБ'!CO$1,'свод практик'!$B$6:$B$277,"ИБ")</f>
        <v>192</v>
      </c>
      <c r="CP116" s="413">
        <f>SUMIFS('свод практик'!$BX$6:$BX$277,'свод практик'!$J$6:$J$277,'строго ИБ'!CP$1,'свод практик'!$B$6:$B$277,"ИБ")</f>
        <v>1</v>
      </c>
      <c r="CQ116" s="413">
        <f>SUMIFS('свод практик'!$BX$6:$BX$277,'свод практик'!$J$6:$J$277,'строго ИБ'!CQ$1,'свод практик'!$B$6:$B$277,"ИБ")</f>
        <v>0</v>
      </c>
      <c r="CR116" s="413">
        <f>SUMIFS('свод практик'!$BX$6:$BX$277,'свод практик'!$J$6:$J$277,'строго ИБ'!CR$1,'свод практик'!$B$6:$B$277,"ИБ")</f>
        <v>649</v>
      </c>
      <c r="CS116" s="413">
        <f>SUMIFS('свод практик'!$BX$6:$BX$277,'свод практик'!$J$6:$J$277,'строго ИБ'!CS$1,'свод практик'!$B$6:$B$277,"ИБ")</f>
        <v>18</v>
      </c>
      <c r="CT116" s="413">
        <f>SUMIFS('свод практик'!$BX$6:$BX$277,'свод практик'!$J$6:$J$277,'строго ИБ'!CT$1,'свод практик'!$B$6:$B$277,"ИБ")</f>
        <v>94</v>
      </c>
      <c r="CU116" s="413">
        <f>SUMIFS('свод практик'!$BX$6:$BX$277,'свод практик'!$J$6:$J$277,'строго ИБ'!CU$1,'свод практик'!$B$6:$B$277,"ИБ")</f>
        <v>497</v>
      </c>
    </row>
    <row r="117" spans="1:99" ht="42" customHeight="1">
      <c r="A117" s="799"/>
      <c r="B117" s="803"/>
      <c r="C117" s="806"/>
      <c r="D117" s="439" t="s">
        <v>4949</v>
      </c>
      <c r="E117" s="439"/>
      <c r="F117" s="482" t="s">
        <v>5241</v>
      </c>
      <c r="G117" s="451" t="s">
        <v>5788</v>
      </c>
      <c r="H117" s="442" t="s">
        <v>60</v>
      </c>
      <c r="I117" s="443" t="s">
        <v>4956</v>
      </c>
      <c r="J117" s="443"/>
      <c r="K117" s="2"/>
      <c r="L117" s="400"/>
      <c r="M117" s="401">
        <v>0.18969698164540741</v>
      </c>
      <c r="N117" s="617">
        <f>N115/N114</f>
        <v>0.59935241356209756</v>
      </c>
      <c r="O117" s="609">
        <f t="shared" ref="O117:BZ117" si="74">O115/O114</f>
        <v>0.28125</v>
      </c>
      <c r="P117" s="609" t="e">
        <f t="shared" si="74"/>
        <v>#DIV/0!</v>
      </c>
      <c r="Q117" s="609">
        <f t="shared" si="74"/>
        <v>0.31079607415485277</v>
      </c>
      <c r="R117" s="609">
        <f t="shared" si="74"/>
        <v>0.97619047619047616</v>
      </c>
      <c r="S117" s="609">
        <f t="shared" si="74"/>
        <v>0.19801980198019803</v>
      </c>
      <c r="T117" s="609">
        <f t="shared" si="74"/>
        <v>0.48</v>
      </c>
      <c r="U117" s="609">
        <f t="shared" si="74"/>
        <v>0.94645006016847177</v>
      </c>
      <c r="V117" s="609">
        <f t="shared" si="74"/>
        <v>0.96296296296296291</v>
      </c>
      <c r="W117" s="609">
        <f t="shared" si="74"/>
        <v>1</v>
      </c>
      <c r="X117" s="609" t="e">
        <f t="shared" si="74"/>
        <v>#DIV/0!</v>
      </c>
      <c r="Y117" s="609" t="e">
        <f t="shared" si="74"/>
        <v>#DIV/0!</v>
      </c>
      <c r="Z117" s="609">
        <f t="shared" si="74"/>
        <v>1</v>
      </c>
      <c r="AA117" s="609">
        <f t="shared" si="74"/>
        <v>0.96693476318141203</v>
      </c>
      <c r="AB117" s="609" t="e">
        <f t="shared" si="74"/>
        <v>#DIV/0!</v>
      </c>
      <c r="AC117" s="609" t="e">
        <f t="shared" si="74"/>
        <v>#DIV/0!</v>
      </c>
      <c r="AD117" s="609" t="e">
        <f t="shared" si="74"/>
        <v>#DIV/0!</v>
      </c>
      <c r="AE117" s="609" t="e">
        <f t="shared" si="74"/>
        <v>#DIV/0!</v>
      </c>
      <c r="AF117" s="609" t="e">
        <f t="shared" si="74"/>
        <v>#DIV/0!</v>
      </c>
      <c r="AG117" s="609" t="e">
        <f t="shared" si="74"/>
        <v>#DIV/0!</v>
      </c>
      <c r="AH117" s="609" t="e">
        <f t="shared" si="74"/>
        <v>#DIV/0!</v>
      </c>
      <c r="AI117" s="609" t="e">
        <f t="shared" si="74"/>
        <v>#DIV/0!</v>
      </c>
      <c r="AJ117" s="609" t="e">
        <f t="shared" si="74"/>
        <v>#DIV/0!</v>
      </c>
      <c r="AK117" s="609">
        <f t="shared" si="74"/>
        <v>1</v>
      </c>
      <c r="AL117" s="609">
        <f t="shared" si="74"/>
        <v>6</v>
      </c>
      <c r="AM117" s="609" t="e">
        <f t="shared" si="74"/>
        <v>#DIV/0!</v>
      </c>
      <c r="AN117" s="609" t="e">
        <f t="shared" si="74"/>
        <v>#DIV/0!</v>
      </c>
      <c r="AO117" s="609" t="e">
        <f t="shared" si="74"/>
        <v>#DIV/0!</v>
      </c>
      <c r="AP117" s="609">
        <f t="shared" si="74"/>
        <v>0.43529411764705883</v>
      </c>
      <c r="AQ117" s="609">
        <f t="shared" si="74"/>
        <v>0.91917293233082709</v>
      </c>
      <c r="AR117" s="609">
        <f t="shared" si="74"/>
        <v>0.62085308056872035</v>
      </c>
      <c r="AS117" s="609" t="e">
        <f t="shared" si="74"/>
        <v>#DIV/0!</v>
      </c>
      <c r="AT117" s="609" t="e">
        <f t="shared" si="74"/>
        <v>#DIV/0!</v>
      </c>
      <c r="AU117" s="609">
        <f t="shared" si="74"/>
        <v>0.34989648033126292</v>
      </c>
      <c r="AV117" s="609" t="e">
        <f t="shared" si="74"/>
        <v>#DIV/0!</v>
      </c>
      <c r="AW117" s="609">
        <f t="shared" si="74"/>
        <v>1</v>
      </c>
      <c r="AX117" s="609" t="e">
        <f t="shared" si="74"/>
        <v>#DIV/0!</v>
      </c>
      <c r="AY117" s="609">
        <f t="shared" si="74"/>
        <v>0.47058823529411764</v>
      </c>
      <c r="AZ117" s="609" t="e">
        <f t="shared" si="74"/>
        <v>#DIV/0!</v>
      </c>
      <c r="BA117" s="609" t="e">
        <f t="shared" si="74"/>
        <v>#DIV/0!</v>
      </c>
      <c r="BB117" s="609" t="e">
        <f t="shared" si="74"/>
        <v>#DIV/0!</v>
      </c>
      <c r="BC117" s="609" t="e">
        <f t="shared" si="74"/>
        <v>#DIV/0!</v>
      </c>
      <c r="BD117" s="609" t="e">
        <f t="shared" si="74"/>
        <v>#DIV/0!</v>
      </c>
      <c r="BE117" s="609">
        <f t="shared" si="74"/>
        <v>1</v>
      </c>
      <c r="BF117" s="609">
        <f t="shared" si="74"/>
        <v>1</v>
      </c>
      <c r="BG117" s="609" t="e">
        <f t="shared" si="74"/>
        <v>#DIV/0!</v>
      </c>
      <c r="BH117" s="609" t="e">
        <f t="shared" si="74"/>
        <v>#DIV/0!</v>
      </c>
      <c r="BI117" s="609">
        <f t="shared" si="74"/>
        <v>0.2416452442159383</v>
      </c>
      <c r="BJ117" s="609">
        <f t="shared" si="74"/>
        <v>0.45796460176991149</v>
      </c>
      <c r="BK117" s="609" t="e">
        <f t="shared" si="74"/>
        <v>#DIV/0!</v>
      </c>
      <c r="BL117" s="609">
        <f t="shared" si="74"/>
        <v>1.9</v>
      </c>
      <c r="BM117" s="609">
        <f t="shared" si="74"/>
        <v>1</v>
      </c>
      <c r="BN117" s="609" t="e">
        <f t="shared" si="74"/>
        <v>#DIV/0!</v>
      </c>
      <c r="BO117" s="609" t="e">
        <f t="shared" si="74"/>
        <v>#DIV/0!</v>
      </c>
      <c r="BP117" s="609" t="e">
        <f t="shared" si="74"/>
        <v>#DIV/0!</v>
      </c>
      <c r="BQ117" s="609" t="e">
        <f t="shared" si="74"/>
        <v>#DIV/0!</v>
      </c>
      <c r="BR117" s="609">
        <f t="shared" si="74"/>
        <v>0.1553398058252427</v>
      </c>
      <c r="BS117" s="609" t="e">
        <f t="shared" si="74"/>
        <v>#DIV/0!</v>
      </c>
      <c r="BT117" s="609">
        <f t="shared" si="74"/>
        <v>0.90982194141298101</v>
      </c>
      <c r="BU117" s="609">
        <f t="shared" si="74"/>
        <v>6.8009416688464552E-3</v>
      </c>
      <c r="BV117" s="609">
        <f t="shared" si="74"/>
        <v>0.46242774566473988</v>
      </c>
      <c r="BW117" s="609" t="e">
        <f t="shared" si="74"/>
        <v>#DIV/0!</v>
      </c>
      <c r="BX117" s="609">
        <f t="shared" si="74"/>
        <v>0.49209486166007904</v>
      </c>
      <c r="BY117" s="609">
        <f t="shared" si="74"/>
        <v>7.289293849658314E-2</v>
      </c>
      <c r="BZ117" s="609" t="e">
        <f t="shared" si="74"/>
        <v>#DIV/0!</v>
      </c>
      <c r="CA117" s="609" t="e">
        <f t="shared" ref="CA117:CU117" si="75">CA115/CA114</f>
        <v>#DIV/0!</v>
      </c>
      <c r="CB117" s="609" t="e">
        <f t="shared" si="75"/>
        <v>#DIV/0!</v>
      </c>
      <c r="CC117" s="609">
        <f t="shared" si="75"/>
        <v>24.333333333333332</v>
      </c>
      <c r="CD117" s="609">
        <f t="shared" si="75"/>
        <v>0.36</v>
      </c>
      <c r="CE117" s="609" t="e">
        <f t="shared" si="75"/>
        <v>#DIV/0!</v>
      </c>
      <c r="CF117" s="609">
        <f t="shared" si="75"/>
        <v>1</v>
      </c>
      <c r="CG117" s="609" t="e">
        <f t="shared" si="75"/>
        <v>#DIV/0!</v>
      </c>
      <c r="CH117" s="609">
        <f t="shared" si="75"/>
        <v>1</v>
      </c>
      <c r="CI117" s="609" t="e">
        <f t="shared" si="75"/>
        <v>#DIV/0!</v>
      </c>
      <c r="CJ117" s="609" t="e">
        <f t="shared" si="75"/>
        <v>#DIV/0!</v>
      </c>
      <c r="CK117" s="609">
        <f t="shared" si="75"/>
        <v>0.64341085271317833</v>
      </c>
      <c r="CL117" s="609">
        <f t="shared" si="75"/>
        <v>0.44654088050314467</v>
      </c>
      <c r="CM117" s="609">
        <f t="shared" si="75"/>
        <v>0.47482014388489208</v>
      </c>
      <c r="CN117" s="609" t="e">
        <f t="shared" si="75"/>
        <v>#DIV/0!</v>
      </c>
      <c r="CO117" s="609">
        <f t="shared" si="75"/>
        <v>0.81265206812652069</v>
      </c>
      <c r="CP117" s="609">
        <f t="shared" si="75"/>
        <v>0.15789473684210525</v>
      </c>
      <c r="CQ117" s="609" t="e">
        <f t="shared" si="75"/>
        <v>#DIV/0!</v>
      </c>
      <c r="CR117" s="609">
        <f t="shared" si="75"/>
        <v>0.9878234398782344</v>
      </c>
      <c r="CS117" s="609">
        <f t="shared" si="75"/>
        <v>1</v>
      </c>
      <c r="CT117" s="609">
        <f t="shared" si="75"/>
        <v>0.60629921259842523</v>
      </c>
      <c r="CU117" s="609">
        <f t="shared" si="75"/>
        <v>0.99214145383104124</v>
      </c>
    </row>
    <row r="118" spans="1:99" ht="54.5" customHeight="1">
      <c r="A118" s="799"/>
      <c r="B118" s="803"/>
      <c r="C118" s="806"/>
      <c r="D118" s="439" t="s">
        <v>4949</v>
      </c>
      <c r="E118" s="439">
        <v>95</v>
      </c>
      <c r="F118" s="440" t="s">
        <v>5733</v>
      </c>
      <c r="G118" s="451" t="s">
        <v>5789</v>
      </c>
      <c r="H118" s="442" t="s">
        <v>60</v>
      </c>
      <c r="I118" s="443" t="s">
        <v>4956</v>
      </c>
      <c r="J118" s="443"/>
      <c r="K118" s="2"/>
      <c r="L118" s="400"/>
      <c r="M118" s="401">
        <v>0.74059447100394926</v>
      </c>
      <c r="N118" s="617">
        <f>N116/N115</f>
        <v>0.63903378042722303</v>
      </c>
      <c r="O118" s="609">
        <f t="shared" ref="O118:BZ118" si="76">O116/O115</f>
        <v>0.66666666666666663</v>
      </c>
      <c r="P118" s="609">
        <f t="shared" si="76"/>
        <v>0.53846153846153844</v>
      </c>
      <c r="Q118" s="609">
        <f t="shared" si="76"/>
        <v>0.74736842105263157</v>
      </c>
      <c r="R118" s="609">
        <f t="shared" si="76"/>
        <v>1</v>
      </c>
      <c r="S118" s="609">
        <f t="shared" si="76"/>
        <v>0.25</v>
      </c>
      <c r="T118" s="609">
        <f t="shared" si="76"/>
        <v>1</v>
      </c>
      <c r="U118" s="609">
        <f t="shared" si="76"/>
        <v>0.82644628099173556</v>
      </c>
      <c r="V118" s="609">
        <f t="shared" si="76"/>
        <v>1</v>
      </c>
      <c r="W118" s="609">
        <f t="shared" si="76"/>
        <v>0.61379310344827587</v>
      </c>
      <c r="X118" s="609" t="e">
        <f t="shared" si="76"/>
        <v>#DIV/0!</v>
      </c>
      <c r="Y118" s="609" t="e">
        <f t="shared" si="76"/>
        <v>#DIV/0!</v>
      </c>
      <c r="Z118" s="609">
        <f t="shared" si="76"/>
        <v>0.44497607655502391</v>
      </c>
      <c r="AA118" s="609">
        <f t="shared" si="76"/>
        <v>0.82532347504621073</v>
      </c>
      <c r="AB118" s="609">
        <f t="shared" si="76"/>
        <v>0.33163265306122447</v>
      </c>
      <c r="AC118" s="609" t="e">
        <f t="shared" si="76"/>
        <v>#DIV/0!</v>
      </c>
      <c r="AD118" s="609" t="e">
        <f t="shared" si="76"/>
        <v>#DIV/0!</v>
      </c>
      <c r="AE118" s="609" t="e">
        <f t="shared" si="76"/>
        <v>#DIV/0!</v>
      </c>
      <c r="AF118" s="609" t="e">
        <f t="shared" si="76"/>
        <v>#DIV/0!</v>
      </c>
      <c r="AG118" s="609" t="e">
        <f t="shared" si="76"/>
        <v>#DIV/0!</v>
      </c>
      <c r="AH118" s="609" t="e">
        <f t="shared" si="76"/>
        <v>#DIV/0!</v>
      </c>
      <c r="AI118" s="609" t="e">
        <f t="shared" si="76"/>
        <v>#DIV/0!</v>
      </c>
      <c r="AJ118" s="609" t="e">
        <f t="shared" si="76"/>
        <v>#DIV/0!</v>
      </c>
      <c r="AK118" s="609">
        <f t="shared" si="76"/>
        <v>0.90476190476190477</v>
      </c>
      <c r="AL118" s="609">
        <f t="shared" si="76"/>
        <v>0.96666666666666667</v>
      </c>
      <c r="AM118" s="609" t="e">
        <f t="shared" si="76"/>
        <v>#DIV/0!</v>
      </c>
      <c r="AN118" s="609" t="e">
        <f t="shared" si="76"/>
        <v>#DIV/0!</v>
      </c>
      <c r="AO118" s="609">
        <f t="shared" si="76"/>
        <v>0.84210526315789469</v>
      </c>
      <c r="AP118" s="609">
        <f t="shared" si="76"/>
        <v>0.963963963963964</v>
      </c>
      <c r="AQ118" s="609">
        <f t="shared" si="76"/>
        <v>0.73006134969325154</v>
      </c>
      <c r="AR118" s="609">
        <f t="shared" si="76"/>
        <v>0.70229007633587781</v>
      </c>
      <c r="AS118" s="609" t="e">
        <f t="shared" si="76"/>
        <v>#DIV/0!</v>
      </c>
      <c r="AT118" s="609" t="e">
        <f t="shared" si="76"/>
        <v>#DIV/0!</v>
      </c>
      <c r="AU118" s="609">
        <f t="shared" si="76"/>
        <v>0.72781065088757402</v>
      </c>
      <c r="AV118" s="609" t="e">
        <f t="shared" si="76"/>
        <v>#DIV/0!</v>
      </c>
      <c r="AW118" s="609">
        <f t="shared" si="76"/>
        <v>0.93333333333333335</v>
      </c>
      <c r="AX118" s="609" t="e">
        <f t="shared" si="76"/>
        <v>#DIV/0!</v>
      </c>
      <c r="AY118" s="609">
        <f t="shared" si="76"/>
        <v>1</v>
      </c>
      <c r="AZ118" s="609" t="e">
        <f t="shared" si="76"/>
        <v>#DIV/0!</v>
      </c>
      <c r="BA118" s="609" t="e">
        <f t="shared" si="76"/>
        <v>#DIV/0!</v>
      </c>
      <c r="BB118" s="609">
        <f t="shared" si="76"/>
        <v>0.51190476190476186</v>
      </c>
      <c r="BC118" s="609" t="e">
        <f t="shared" si="76"/>
        <v>#DIV/0!</v>
      </c>
      <c r="BD118" s="609" t="e">
        <f t="shared" si="76"/>
        <v>#DIV/0!</v>
      </c>
      <c r="BE118" s="609">
        <f t="shared" si="76"/>
        <v>0.6</v>
      </c>
      <c r="BF118" s="609">
        <f t="shared" si="76"/>
        <v>0.8571428571428571</v>
      </c>
      <c r="BG118" s="609">
        <f t="shared" si="76"/>
        <v>1</v>
      </c>
      <c r="BH118" s="609">
        <f t="shared" si="76"/>
        <v>0.99833333333333329</v>
      </c>
      <c r="BI118" s="609">
        <f t="shared" si="76"/>
        <v>0.42553191489361702</v>
      </c>
      <c r="BJ118" s="609">
        <f t="shared" si="76"/>
        <v>0.99033816425120769</v>
      </c>
      <c r="BK118" s="609" t="e">
        <f t="shared" si="76"/>
        <v>#DIV/0!</v>
      </c>
      <c r="BL118" s="609">
        <f t="shared" si="76"/>
        <v>0.85964912280701755</v>
      </c>
      <c r="BM118" s="609">
        <f t="shared" si="76"/>
        <v>0.75</v>
      </c>
      <c r="BN118" s="609" t="e">
        <f t="shared" si="76"/>
        <v>#DIV/0!</v>
      </c>
      <c r="BO118" s="609">
        <f t="shared" si="76"/>
        <v>0.42483660130718953</v>
      </c>
      <c r="BP118" s="609" t="e">
        <f t="shared" si="76"/>
        <v>#DIV/0!</v>
      </c>
      <c r="BQ118" s="609" t="e">
        <f t="shared" si="76"/>
        <v>#DIV/0!</v>
      </c>
      <c r="BR118" s="609">
        <f t="shared" si="76"/>
        <v>1</v>
      </c>
      <c r="BS118" s="609">
        <f t="shared" si="76"/>
        <v>0.65480427046263345</v>
      </c>
      <c r="BT118" s="609">
        <f t="shared" si="76"/>
        <v>0.17582070707070707</v>
      </c>
      <c r="BU118" s="609">
        <f t="shared" si="76"/>
        <v>0.32692307692307693</v>
      </c>
      <c r="BV118" s="609">
        <f t="shared" si="76"/>
        <v>0.6875</v>
      </c>
      <c r="BW118" s="609">
        <f t="shared" si="76"/>
        <v>0.78407079646017697</v>
      </c>
      <c r="BX118" s="609">
        <f t="shared" si="76"/>
        <v>0.74698795180722888</v>
      </c>
      <c r="BY118" s="609">
        <f t="shared" si="76"/>
        <v>0.8125</v>
      </c>
      <c r="BZ118" s="609" t="e">
        <f t="shared" si="76"/>
        <v>#DIV/0!</v>
      </c>
      <c r="CA118" s="609" t="e">
        <f t="shared" ref="CA118:CU118" si="77">CA116/CA115</f>
        <v>#DIV/0!</v>
      </c>
      <c r="CB118" s="609" t="e">
        <f t="shared" si="77"/>
        <v>#DIV/0!</v>
      </c>
      <c r="CC118" s="609">
        <f t="shared" si="77"/>
        <v>0.83904109589041098</v>
      </c>
      <c r="CD118" s="609">
        <f t="shared" si="77"/>
        <v>1</v>
      </c>
      <c r="CE118" s="609" t="e">
        <f t="shared" si="77"/>
        <v>#DIV/0!</v>
      </c>
      <c r="CF118" s="609">
        <f t="shared" si="77"/>
        <v>0.86292834890965731</v>
      </c>
      <c r="CG118" s="609">
        <f t="shared" si="77"/>
        <v>0.81818181818181823</v>
      </c>
      <c r="CH118" s="609">
        <f t="shared" si="77"/>
        <v>0.39593114241001565</v>
      </c>
      <c r="CI118" s="609" t="e">
        <f t="shared" si="77"/>
        <v>#DIV/0!</v>
      </c>
      <c r="CJ118" s="609" t="e">
        <f t="shared" si="77"/>
        <v>#DIV/0!</v>
      </c>
      <c r="CK118" s="609">
        <f t="shared" si="77"/>
        <v>0.62650602409638556</v>
      </c>
      <c r="CL118" s="609">
        <f t="shared" si="77"/>
        <v>0.51760563380281688</v>
      </c>
      <c r="CM118" s="609">
        <f t="shared" si="77"/>
        <v>0.62121212121212122</v>
      </c>
      <c r="CN118" s="609" t="e">
        <f t="shared" si="77"/>
        <v>#DIV/0!</v>
      </c>
      <c r="CO118" s="609">
        <f t="shared" si="77"/>
        <v>0.57485029940119758</v>
      </c>
      <c r="CP118" s="609">
        <f t="shared" si="77"/>
        <v>0.16666666666666666</v>
      </c>
      <c r="CQ118" s="609" t="e">
        <f t="shared" si="77"/>
        <v>#DIV/0!</v>
      </c>
      <c r="CR118" s="609">
        <f t="shared" si="77"/>
        <v>1</v>
      </c>
      <c r="CS118" s="609">
        <f t="shared" si="77"/>
        <v>0.94736842105263153</v>
      </c>
      <c r="CT118" s="609">
        <f t="shared" si="77"/>
        <v>0.61038961038961037</v>
      </c>
      <c r="CU118" s="609">
        <f t="shared" si="77"/>
        <v>0.98415841584158414</v>
      </c>
    </row>
    <row r="119" spans="1:99" ht="25.5" customHeight="1" thickBot="1">
      <c r="A119" s="800"/>
      <c r="B119" s="796"/>
      <c r="C119" s="807"/>
      <c r="D119" s="452" t="s">
        <v>4949</v>
      </c>
      <c r="E119" s="452"/>
      <c r="F119" s="522" t="s">
        <v>5241</v>
      </c>
      <c r="G119" s="454" t="s">
        <v>5790</v>
      </c>
      <c r="H119" s="455" t="s">
        <v>60</v>
      </c>
      <c r="I119" s="478" t="s">
        <v>4956</v>
      </c>
      <c r="J119" s="478"/>
      <c r="K119" s="343"/>
      <c r="L119" s="402"/>
      <c r="M119" s="403">
        <v>0.14048853577272638</v>
      </c>
      <c r="N119" s="617">
        <f>N116/N114</f>
        <v>0.38300643864676764</v>
      </c>
      <c r="O119" s="609">
        <f t="shared" ref="O119:BZ119" si="78">O116/O114</f>
        <v>0.1875</v>
      </c>
      <c r="P119" s="609" t="e">
        <f t="shared" si="78"/>
        <v>#DIV/0!</v>
      </c>
      <c r="Q119" s="609">
        <f t="shared" si="78"/>
        <v>0.23227917121046893</v>
      </c>
      <c r="R119" s="609">
        <f t="shared" si="78"/>
        <v>0.97619047619047616</v>
      </c>
      <c r="S119" s="609">
        <f t="shared" si="78"/>
        <v>4.9504950495049507E-2</v>
      </c>
      <c r="T119" s="609">
        <f t="shared" si="78"/>
        <v>0.48</v>
      </c>
      <c r="U119" s="609">
        <f t="shared" si="78"/>
        <v>0.78219013237063784</v>
      </c>
      <c r="V119" s="609">
        <f t="shared" si="78"/>
        <v>0.96296296296296291</v>
      </c>
      <c r="W119" s="609">
        <f t="shared" si="78"/>
        <v>0.61379310344827587</v>
      </c>
      <c r="X119" s="609" t="e">
        <f t="shared" si="78"/>
        <v>#DIV/0!</v>
      </c>
      <c r="Y119" s="609" t="e">
        <f t="shared" si="78"/>
        <v>#DIV/0!</v>
      </c>
      <c r="Z119" s="609">
        <f t="shared" si="78"/>
        <v>0.44497607655502391</v>
      </c>
      <c r="AA119" s="609">
        <f t="shared" si="78"/>
        <v>0.79803395889186779</v>
      </c>
      <c r="AB119" s="609" t="e">
        <f t="shared" si="78"/>
        <v>#DIV/0!</v>
      </c>
      <c r="AC119" s="609" t="e">
        <f t="shared" si="78"/>
        <v>#DIV/0!</v>
      </c>
      <c r="AD119" s="609" t="e">
        <f t="shared" si="78"/>
        <v>#DIV/0!</v>
      </c>
      <c r="AE119" s="609" t="e">
        <f t="shared" si="78"/>
        <v>#DIV/0!</v>
      </c>
      <c r="AF119" s="609" t="e">
        <f t="shared" si="78"/>
        <v>#DIV/0!</v>
      </c>
      <c r="AG119" s="609" t="e">
        <f t="shared" si="78"/>
        <v>#DIV/0!</v>
      </c>
      <c r="AH119" s="609" t="e">
        <f t="shared" si="78"/>
        <v>#DIV/0!</v>
      </c>
      <c r="AI119" s="609" t="e">
        <f t="shared" si="78"/>
        <v>#DIV/0!</v>
      </c>
      <c r="AJ119" s="609" t="e">
        <f t="shared" si="78"/>
        <v>#DIV/0!</v>
      </c>
      <c r="AK119" s="609">
        <f t="shared" si="78"/>
        <v>0.90476190476190477</v>
      </c>
      <c r="AL119" s="609">
        <f t="shared" si="78"/>
        <v>5.8</v>
      </c>
      <c r="AM119" s="609" t="e">
        <f t="shared" si="78"/>
        <v>#DIV/0!</v>
      </c>
      <c r="AN119" s="609" t="e">
        <f t="shared" si="78"/>
        <v>#DIV/0!</v>
      </c>
      <c r="AO119" s="609" t="e">
        <f t="shared" si="78"/>
        <v>#DIV/0!</v>
      </c>
      <c r="AP119" s="609">
        <f t="shared" si="78"/>
        <v>0.41960784313725491</v>
      </c>
      <c r="AQ119" s="609">
        <f t="shared" si="78"/>
        <v>0.67105263157894735</v>
      </c>
      <c r="AR119" s="609">
        <f t="shared" si="78"/>
        <v>0.43601895734597157</v>
      </c>
      <c r="AS119" s="609" t="e">
        <f t="shared" si="78"/>
        <v>#DIV/0!</v>
      </c>
      <c r="AT119" s="609" t="e">
        <f t="shared" si="78"/>
        <v>#DIV/0!</v>
      </c>
      <c r="AU119" s="609">
        <f t="shared" si="78"/>
        <v>0.25465838509316768</v>
      </c>
      <c r="AV119" s="609" t="e">
        <f t="shared" si="78"/>
        <v>#DIV/0!</v>
      </c>
      <c r="AW119" s="609">
        <f t="shared" si="78"/>
        <v>0.93333333333333335</v>
      </c>
      <c r="AX119" s="609" t="e">
        <f t="shared" si="78"/>
        <v>#DIV/0!</v>
      </c>
      <c r="AY119" s="609">
        <f t="shared" si="78"/>
        <v>0.47058823529411764</v>
      </c>
      <c r="AZ119" s="609" t="e">
        <f t="shared" si="78"/>
        <v>#DIV/0!</v>
      </c>
      <c r="BA119" s="609" t="e">
        <f t="shared" si="78"/>
        <v>#DIV/0!</v>
      </c>
      <c r="BB119" s="609" t="e">
        <f t="shared" si="78"/>
        <v>#DIV/0!</v>
      </c>
      <c r="BC119" s="609" t="e">
        <f t="shared" si="78"/>
        <v>#DIV/0!</v>
      </c>
      <c r="BD119" s="609" t="e">
        <f t="shared" si="78"/>
        <v>#DIV/0!</v>
      </c>
      <c r="BE119" s="609">
        <f t="shared" si="78"/>
        <v>0.6</v>
      </c>
      <c r="BF119" s="609">
        <f t="shared" si="78"/>
        <v>0.8571428571428571</v>
      </c>
      <c r="BG119" s="609" t="e">
        <f t="shared" si="78"/>
        <v>#DIV/0!</v>
      </c>
      <c r="BH119" s="609" t="e">
        <f t="shared" si="78"/>
        <v>#DIV/0!</v>
      </c>
      <c r="BI119" s="609">
        <f t="shared" si="78"/>
        <v>0.10282776349614396</v>
      </c>
      <c r="BJ119" s="609">
        <f t="shared" si="78"/>
        <v>0.45353982300884954</v>
      </c>
      <c r="BK119" s="609" t="e">
        <f t="shared" si="78"/>
        <v>#DIV/0!</v>
      </c>
      <c r="BL119" s="609">
        <f t="shared" si="78"/>
        <v>1.6333333333333333</v>
      </c>
      <c r="BM119" s="609">
        <f t="shared" si="78"/>
        <v>0.75</v>
      </c>
      <c r="BN119" s="609" t="e">
        <f t="shared" si="78"/>
        <v>#DIV/0!</v>
      </c>
      <c r="BO119" s="609" t="e">
        <f t="shared" si="78"/>
        <v>#DIV/0!</v>
      </c>
      <c r="BP119" s="609" t="e">
        <f t="shared" si="78"/>
        <v>#DIV/0!</v>
      </c>
      <c r="BQ119" s="609" t="e">
        <f t="shared" si="78"/>
        <v>#DIV/0!</v>
      </c>
      <c r="BR119" s="609">
        <f t="shared" si="78"/>
        <v>0.1553398058252427</v>
      </c>
      <c r="BS119" s="609" t="e">
        <f t="shared" si="78"/>
        <v>#DIV/0!</v>
      </c>
      <c r="BT119" s="609">
        <f t="shared" si="78"/>
        <v>0.15996553704767374</v>
      </c>
      <c r="BU119" s="609">
        <f t="shared" si="78"/>
        <v>2.223384776353649E-3</v>
      </c>
      <c r="BV119" s="609">
        <f t="shared" si="78"/>
        <v>0.31791907514450868</v>
      </c>
      <c r="BW119" s="609" t="e">
        <f t="shared" si="78"/>
        <v>#DIV/0!</v>
      </c>
      <c r="BX119" s="609">
        <f t="shared" si="78"/>
        <v>0.3675889328063241</v>
      </c>
      <c r="BY119" s="609">
        <f t="shared" si="78"/>
        <v>5.9225512528473807E-2</v>
      </c>
      <c r="BZ119" s="609" t="e">
        <f t="shared" si="78"/>
        <v>#DIV/0!</v>
      </c>
      <c r="CA119" s="609" t="e">
        <f t="shared" ref="CA119:CU119" si="79">CA116/CA114</f>
        <v>#DIV/0!</v>
      </c>
      <c r="CB119" s="609" t="e">
        <f t="shared" si="79"/>
        <v>#DIV/0!</v>
      </c>
      <c r="CC119" s="609">
        <f t="shared" si="79"/>
        <v>20.416666666666668</v>
      </c>
      <c r="CD119" s="609">
        <f t="shared" si="79"/>
        <v>0.36</v>
      </c>
      <c r="CE119" s="609" t="e">
        <f t="shared" si="79"/>
        <v>#DIV/0!</v>
      </c>
      <c r="CF119" s="609">
        <f t="shared" si="79"/>
        <v>0.86292834890965731</v>
      </c>
      <c r="CG119" s="609" t="e">
        <f t="shared" si="79"/>
        <v>#DIV/0!</v>
      </c>
      <c r="CH119" s="609">
        <f t="shared" si="79"/>
        <v>0.39593114241001565</v>
      </c>
      <c r="CI119" s="609" t="e">
        <f t="shared" si="79"/>
        <v>#DIV/0!</v>
      </c>
      <c r="CJ119" s="609" t="e">
        <f t="shared" si="79"/>
        <v>#DIV/0!</v>
      </c>
      <c r="CK119" s="609">
        <f t="shared" si="79"/>
        <v>0.40310077519379844</v>
      </c>
      <c r="CL119" s="609">
        <f t="shared" si="79"/>
        <v>0.23113207547169812</v>
      </c>
      <c r="CM119" s="609">
        <f t="shared" si="79"/>
        <v>0.29496402877697842</v>
      </c>
      <c r="CN119" s="609" t="e">
        <f t="shared" si="79"/>
        <v>#DIV/0!</v>
      </c>
      <c r="CO119" s="609">
        <f t="shared" si="79"/>
        <v>0.46715328467153283</v>
      </c>
      <c r="CP119" s="609">
        <f t="shared" si="79"/>
        <v>2.6315789473684209E-2</v>
      </c>
      <c r="CQ119" s="609" t="e">
        <f t="shared" si="79"/>
        <v>#DIV/0!</v>
      </c>
      <c r="CR119" s="609">
        <f t="shared" si="79"/>
        <v>0.9878234398782344</v>
      </c>
      <c r="CS119" s="609">
        <f t="shared" si="79"/>
        <v>0.94736842105263153</v>
      </c>
      <c r="CT119" s="609">
        <f t="shared" si="79"/>
        <v>0.37007874015748032</v>
      </c>
      <c r="CU119" s="609">
        <f t="shared" si="79"/>
        <v>0.97642436149312373</v>
      </c>
    </row>
    <row r="120" spans="1:99" ht="38.5" customHeight="1">
      <c r="A120" s="819">
        <v>28</v>
      </c>
      <c r="B120" s="816" t="s">
        <v>4990</v>
      </c>
      <c r="C120" s="814" t="s">
        <v>5232</v>
      </c>
      <c r="D120" s="433" t="s">
        <v>4949</v>
      </c>
      <c r="E120" s="433">
        <v>96</v>
      </c>
      <c r="F120" s="434" t="s">
        <v>5233</v>
      </c>
      <c r="G120" s="435" t="s">
        <v>5791</v>
      </c>
      <c r="H120" s="436" t="s">
        <v>5234</v>
      </c>
      <c r="I120" s="437" t="s">
        <v>4961</v>
      </c>
      <c r="J120" s="438"/>
      <c r="K120" s="336"/>
      <c r="L120" s="397"/>
      <c r="M120" s="404">
        <v>15262.207</v>
      </c>
      <c r="N120" s="618"/>
      <c r="O120" s="413">
        <f>SUMIFS('свод практик'!$CV$6:$CV$277,'свод практик'!$J$6:$J$277,'строго ИБ'!O$1,'свод практик'!$B$6:$B$277,"ИБ")</f>
        <v>15.726000000000001</v>
      </c>
      <c r="P120" s="413">
        <f>SUMIFS('свод практик'!$CV$6:$CV$277,'свод практик'!$J$6:$J$277,'строго ИБ'!P$1,'свод практик'!$B$6:$B$277,"ИБ")</f>
        <v>36.200000000000003</v>
      </c>
      <c r="Q120" s="413">
        <f>SUMIFS('свод практик'!$CV$6:$CV$277,'свод практик'!$J$6:$J$277,'строго ИБ'!Q$1,'свод практик'!$B$6:$B$277,"ИБ")</f>
        <v>176.52199999999999</v>
      </c>
      <c r="R120" s="413">
        <f>SUMIFS('свод практик'!$CV$6:$CV$277,'свод практик'!$J$6:$J$277,'строго ИБ'!R$1,'свод практик'!$B$6:$B$277,"ИБ")</f>
        <v>82.293000000000006</v>
      </c>
      <c r="S120" s="413">
        <f>SUMIFS('свод практик'!$CV$6:$CV$277,'свод практик'!$J$6:$J$277,'строго ИБ'!S$1,'свод практик'!$B$6:$B$277,"ИБ")</f>
        <v>355.5</v>
      </c>
      <c r="T120" s="413">
        <f>SUMIFS('свод практик'!$CV$6:$CV$277,'свод практик'!$J$6:$J$277,'строго ИБ'!T$1,'свод практик'!$B$6:$B$277,"ИБ")</f>
        <v>23.577999999999999</v>
      </c>
      <c r="U120" s="413">
        <f>SUMIFS('свод практик'!$CV$6:$CV$277,'свод практик'!$J$6:$J$277,'строго ИБ'!U$1,'свод практик'!$B$6:$B$277,"ИБ")</f>
        <v>8794.8260000000009</v>
      </c>
      <c r="V120" s="413">
        <f>SUMIFS('свод практик'!$CV$6:$CV$277,'свод практик'!$J$6:$J$277,'строго ИБ'!V$1,'свод практик'!$B$6:$B$277,"ИБ")</f>
        <v>126.6</v>
      </c>
      <c r="W120" s="413">
        <f>SUMIFS('свод практик'!$CV$6:$CV$277,'свод практик'!$J$6:$J$277,'строго ИБ'!W$1,'свод практик'!$B$6:$B$277,"ИБ")</f>
        <v>215</v>
      </c>
      <c r="X120" s="413">
        <f>SUMIFS('свод практик'!$CV$6:$CV$277,'свод практик'!$J$6:$J$277,'строго ИБ'!X$1,'свод практик'!$B$6:$B$277,"ИБ")</f>
        <v>0</v>
      </c>
      <c r="Y120" s="413">
        <f>SUMIFS('свод практик'!$CV$6:$CV$277,'свод практик'!$J$6:$J$277,'строго ИБ'!Y$1,'свод практик'!$B$6:$B$277,"ИБ")</f>
        <v>0</v>
      </c>
      <c r="Z120" s="413">
        <f>SUMIFS('свод практик'!$CV$6:$CV$277,'свод практик'!$J$6:$J$277,'строго ИБ'!Z$1,'свод практик'!$B$6:$B$277,"ИБ")</f>
        <v>2051.029</v>
      </c>
      <c r="AA120" s="413">
        <f>SUMIFS('свод практик'!$CV$6:$CV$277,'свод практик'!$J$6:$J$277,'строго ИБ'!AA$1,'свод практик'!$B$6:$B$277,"ИБ")</f>
        <v>659.548</v>
      </c>
      <c r="AB120" s="413">
        <f>SUMIFS('свод практик'!$CV$6:$CV$277,'свод практик'!$J$6:$J$277,'строго ИБ'!AB$1,'свод практик'!$B$6:$B$277,"ИБ")</f>
        <v>380.774</v>
      </c>
      <c r="AC120" s="413">
        <f>SUMIFS('свод практик'!$CV$6:$CV$277,'свод практик'!$J$6:$J$277,'строго ИБ'!AC$1,'свод практик'!$B$6:$B$277,"ИБ")</f>
        <v>0</v>
      </c>
      <c r="AD120" s="413">
        <f>SUMIFS('свод практик'!$CV$6:$CV$277,'свод практик'!$J$6:$J$277,'строго ИБ'!AD$1,'свод практик'!$B$6:$B$277,"ИБ")</f>
        <v>0</v>
      </c>
      <c r="AE120" s="413">
        <f>SUMIFS('свод практик'!$CV$6:$CV$277,'свод практик'!$J$6:$J$277,'строго ИБ'!AE$1,'свод практик'!$B$6:$B$277,"ИБ")</f>
        <v>0</v>
      </c>
      <c r="AF120" s="413">
        <f>SUMIFS('свод практик'!$CV$6:$CV$277,'свод практик'!$J$6:$J$277,'строго ИБ'!AF$1,'свод практик'!$B$6:$B$277,"ИБ")</f>
        <v>0</v>
      </c>
      <c r="AG120" s="413">
        <f>SUMIFS('свод практик'!$CV$6:$CV$277,'свод практик'!$J$6:$J$277,'строго ИБ'!AG$1,'свод практик'!$B$6:$B$277,"ИБ")</f>
        <v>0</v>
      </c>
      <c r="AH120" s="413">
        <f>SUMIFS('свод практик'!$CV$6:$CV$277,'свод практик'!$J$6:$J$277,'строго ИБ'!AH$1,'свод практик'!$B$6:$B$277,"ИБ")</f>
        <v>0</v>
      </c>
      <c r="AI120" s="413">
        <f>SUMIFS('свод практик'!$CV$6:$CV$277,'свод практик'!$J$6:$J$277,'строго ИБ'!AI$1,'свод практик'!$B$6:$B$277,"ИБ")</f>
        <v>0</v>
      </c>
      <c r="AJ120" s="413">
        <f>SUMIFS('свод практик'!$CV$6:$CV$277,'свод практик'!$J$6:$J$277,'строго ИБ'!AJ$1,'свод практик'!$B$6:$B$277,"ИБ")</f>
        <v>0</v>
      </c>
      <c r="AK120" s="413">
        <f>SUMIFS('свод практик'!$CV$6:$CV$277,'свод практик'!$J$6:$J$277,'строго ИБ'!AK$1,'свод практик'!$B$6:$B$277,"ИБ")</f>
        <v>5.4989999999999997</v>
      </c>
      <c r="AL120" s="413">
        <f>SUMIFS('свод практик'!$CV$6:$CV$277,'свод практик'!$J$6:$J$277,'строго ИБ'!AL$1,'свод практик'!$B$6:$B$277,"ИБ")</f>
        <v>380.803</v>
      </c>
      <c r="AM120" s="413">
        <f>SUMIFS('свод практик'!$CV$6:$CV$277,'свод практик'!$J$6:$J$277,'строго ИБ'!AM$1,'свод практик'!$B$6:$B$277,"ИБ")</f>
        <v>0</v>
      </c>
      <c r="AN120" s="413">
        <f>SUMIFS('свод практик'!$CV$6:$CV$277,'свод практик'!$J$6:$J$277,'строго ИБ'!AN$1,'свод практик'!$B$6:$B$277,"ИБ")</f>
        <v>0</v>
      </c>
      <c r="AO120" s="413">
        <f>SUMIFS('свод практик'!$CV$6:$CV$277,'свод практик'!$J$6:$J$277,'строго ИБ'!AO$1,'свод практик'!$B$6:$B$277,"ИБ")</f>
        <v>405.5</v>
      </c>
      <c r="AP120" s="413">
        <f>SUMIFS('свод практик'!$CV$6:$CV$277,'свод практик'!$J$6:$J$277,'строго ИБ'!AP$1,'свод практик'!$B$6:$B$277,"ИБ")</f>
        <v>414.04</v>
      </c>
      <c r="AQ120" s="413">
        <f>SUMIFS('свод практик'!$CV$6:$CV$277,'свод практик'!$J$6:$J$277,'строго ИБ'!AQ$1,'свод практик'!$B$6:$B$277,"ИБ")</f>
        <v>594.85299999999995</v>
      </c>
      <c r="AR120" s="413">
        <f>SUMIFS('свод практик'!$CV$6:$CV$277,'свод практик'!$J$6:$J$277,'строго ИБ'!AR$1,'свод практик'!$B$6:$B$277,"ИБ")</f>
        <v>518.58600000000001</v>
      </c>
      <c r="AS120" s="413">
        <f>SUMIFS('свод практик'!$CV$6:$CV$277,'свод практик'!$J$6:$J$277,'строго ИБ'!AS$1,'свод практик'!$B$6:$B$277,"ИБ")</f>
        <v>0</v>
      </c>
      <c r="AT120" s="413">
        <f>SUMIFS('свод практик'!$CV$6:$CV$277,'свод практик'!$J$6:$J$277,'строго ИБ'!AT$1,'свод практик'!$B$6:$B$277,"ИБ")</f>
        <v>0</v>
      </c>
      <c r="AU120" s="413">
        <f>SUMIFS('свод практик'!$CV$6:$CV$277,'свод практик'!$J$6:$J$277,'строго ИБ'!AU$1,'свод практик'!$B$6:$B$277,"ИБ")</f>
        <v>182.38200000000001</v>
      </c>
      <c r="AV120" s="413">
        <f>SUMIFS('свод практик'!$CV$6:$CV$277,'свод практик'!$J$6:$J$277,'строго ИБ'!AV$1,'свод практик'!$B$6:$B$277,"ИБ")</f>
        <v>0</v>
      </c>
      <c r="AW120" s="413">
        <f>SUMIFS('свод практик'!$CV$6:$CV$277,'свод практик'!$J$6:$J$277,'строго ИБ'!AW$1,'свод практик'!$B$6:$B$277,"ИБ")</f>
        <v>170</v>
      </c>
      <c r="AX120" s="413">
        <f>SUMIFS('свод практик'!$CV$6:$CV$277,'свод практик'!$J$6:$J$277,'строго ИБ'!AX$1,'свод практик'!$B$6:$B$277,"ИБ")</f>
        <v>0</v>
      </c>
      <c r="AY120" s="413">
        <f>SUMIFS('свод практик'!$CV$6:$CV$277,'свод практик'!$J$6:$J$277,'строго ИБ'!AY$1,'свод практик'!$B$6:$B$277,"ИБ")</f>
        <v>5000</v>
      </c>
      <c r="AZ120" s="413">
        <f>SUMIFS('свод практик'!$CV$6:$CV$277,'свод практик'!$J$6:$J$277,'строго ИБ'!AZ$1,'свод практик'!$B$6:$B$277,"ИБ")</f>
        <v>0</v>
      </c>
      <c r="BA120" s="413">
        <f>SUMIFS('свод практик'!$CV$6:$CV$277,'свод практик'!$J$6:$J$277,'строго ИБ'!BA$1,'свод практик'!$B$6:$B$277,"ИБ")</f>
        <v>0</v>
      </c>
      <c r="BB120" s="413">
        <f>SUMIFS('свод практик'!$CV$6:$CV$277,'свод практик'!$J$6:$J$277,'строго ИБ'!BB$1,'свод практик'!$B$6:$B$277,"ИБ")</f>
        <v>460.995</v>
      </c>
      <c r="BC120" s="413">
        <f>SUMIFS('свод практик'!$CV$6:$CV$277,'свод практик'!$J$6:$J$277,'строго ИБ'!BC$1,'свод практик'!$B$6:$B$277,"ИБ")</f>
        <v>0</v>
      </c>
      <c r="BD120" s="413">
        <f>SUMIFS('свод практик'!$CV$6:$CV$277,'свод практик'!$J$6:$J$277,'строго ИБ'!BD$1,'свод практик'!$B$6:$B$277,"ИБ")</f>
        <v>0</v>
      </c>
      <c r="BE120" s="413">
        <f>SUMIFS('свод практик'!$CV$6:$CV$277,'свод практик'!$J$6:$J$277,'строго ИБ'!BE$1,'свод практик'!$B$6:$B$277,"ИБ")</f>
        <v>12</v>
      </c>
      <c r="BF120" s="413">
        <f>SUMIFS('свод практик'!$CV$6:$CV$277,'свод практик'!$J$6:$J$277,'строго ИБ'!BF$1,'свод практик'!$B$6:$B$277,"ИБ")</f>
        <v>143.97999999999999</v>
      </c>
      <c r="BG120" s="413">
        <f>SUMIFS('свод практик'!$CV$6:$CV$277,'свод практик'!$J$6:$J$277,'строго ИБ'!BG$1,'свод практик'!$B$6:$B$277,"ИБ")</f>
        <v>19.193999999999999</v>
      </c>
      <c r="BH120" s="413">
        <f>SUMIFS('свод практик'!$CV$6:$CV$277,'свод практик'!$J$6:$J$277,'строго ИБ'!BH$1,'свод практик'!$B$6:$B$277,"ИБ")</f>
        <v>2254.8000000000002</v>
      </c>
      <c r="BI120" s="413">
        <f>SUMIFS('свод практик'!$CV$6:$CV$277,'свод практик'!$J$6:$J$277,'строго ИБ'!BI$1,'свод практик'!$B$6:$B$277,"ИБ")</f>
        <v>124.333</v>
      </c>
      <c r="BJ120" s="413">
        <f>SUMIFS('свод практик'!$CV$6:$CV$277,'свод практик'!$J$6:$J$277,'строго ИБ'!BJ$1,'свод практик'!$B$6:$B$277,"ИБ")</f>
        <v>361</v>
      </c>
      <c r="BK120" s="413">
        <f>SUMIFS('свод практик'!$CV$6:$CV$277,'свод практик'!$J$6:$J$277,'строго ИБ'!BK$1,'свод практик'!$B$6:$B$277,"ИБ")</f>
        <v>0</v>
      </c>
      <c r="BL120" s="413">
        <f>SUMIFS('свод практик'!$CV$6:$CV$277,'свод практик'!$J$6:$J$277,'строго ИБ'!BL$1,'свод практик'!$B$6:$B$277,"ИБ")</f>
        <v>164.96400000000003</v>
      </c>
      <c r="BM120" s="413">
        <f>SUMIFS('свод практик'!$CV$6:$CV$277,'свод практик'!$J$6:$J$277,'строго ИБ'!BM$1,'свод практик'!$B$6:$B$277,"ИБ")</f>
        <v>104</v>
      </c>
      <c r="BN120" s="413">
        <f>SUMIFS('свод практик'!$CV$6:$CV$277,'свод практик'!$J$6:$J$277,'строго ИБ'!BN$1,'свод практик'!$B$6:$B$277,"ИБ")</f>
        <v>0</v>
      </c>
      <c r="BO120" s="413">
        <f>SUMIFS('свод практик'!$CV$6:$CV$277,'свод практик'!$J$6:$J$277,'строго ИБ'!BO$1,'свод практик'!$B$6:$B$277,"ИБ")</f>
        <v>0</v>
      </c>
      <c r="BP120" s="413">
        <f>SUMIFS('свод практик'!$CV$6:$CV$277,'свод практик'!$J$6:$J$277,'строго ИБ'!BP$1,'свод практик'!$B$6:$B$277,"ИБ")</f>
        <v>0</v>
      </c>
      <c r="BQ120" s="413">
        <f>SUMIFS('свод практик'!$CV$6:$CV$277,'свод практик'!$J$6:$J$277,'строго ИБ'!BQ$1,'свод практик'!$B$6:$B$277,"ИБ")</f>
        <v>0</v>
      </c>
      <c r="BR120" s="413">
        <f>SUMIFS('свод практик'!$CV$6:$CV$277,'свод практик'!$J$6:$J$277,'строго ИБ'!BR$1,'свод практик'!$B$6:$B$277,"ИБ")</f>
        <v>64.831999999999994</v>
      </c>
      <c r="BS120" s="413">
        <f>SUMIFS('свод практик'!$CV$6:$CV$277,'свод практик'!$J$6:$J$277,'строго ИБ'!BS$1,'свод практик'!$B$6:$B$277,"ИБ")</f>
        <v>410</v>
      </c>
      <c r="BT120" s="413">
        <f>SUMIFS('свод практик'!$CV$6:$CV$277,'свод практик'!$J$6:$J$277,'строго ИБ'!BT$1,'свод практик'!$B$6:$B$277,"ИБ")</f>
        <v>1972.6479999999999</v>
      </c>
      <c r="BU120" s="413">
        <f>SUMIFS('свод практик'!$CV$6:$CV$277,'свод практик'!$J$6:$J$277,'строго ИБ'!BU$1,'свод практик'!$B$6:$B$277,"ИБ")</f>
        <v>382.63195000000002</v>
      </c>
      <c r="BV120" s="413">
        <f>SUMIFS('свод практик'!$CV$6:$CV$277,'свод практик'!$J$6:$J$277,'строго ИБ'!BV$1,'свод практик'!$B$6:$B$277,"ИБ")</f>
        <v>403.66899999999998</v>
      </c>
      <c r="BW120" s="413">
        <f>SUMIFS('свод практик'!$CV$6:$CV$277,'свод практик'!$J$6:$J$277,'строго ИБ'!BW$1,'свод практик'!$B$6:$B$277,"ИБ")</f>
        <v>926.4</v>
      </c>
      <c r="BX120" s="413">
        <f>SUMIFS('свод практик'!$CV$6:$CV$277,'свод практик'!$J$6:$J$277,'строго ИБ'!BX$1,'свод практик'!$B$6:$B$277,"ИБ")</f>
        <v>167357</v>
      </c>
      <c r="BY120" s="413">
        <f>SUMIFS('свод практик'!$CV$6:$CV$277,'свод практик'!$J$6:$J$277,'строго ИБ'!BY$1,'свод практик'!$B$6:$B$277,"ИБ")</f>
        <v>115.16800000000001</v>
      </c>
      <c r="BZ120" s="413">
        <f>SUMIFS('свод практик'!$CV$6:$CV$277,'свод практик'!$J$6:$J$277,'строго ИБ'!BZ$1,'свод практик'!$B$6:$B$277,"ИБ")</f>
        <v>0</v>
      </c>
      <c r="CA120" s="413">
        <f>SUMIFS('свод практик'!$CV$6:$CV$277,'свод практик'!$J$6:$J$277,'строго ИБ'!CA$1,'свод практик'!$B$6:$B$277,"ИБ")</f>
        <v>0</v>
      </c>
      <c r="CB120" s="413">
        <f>SUMIFS('свод практик'!$CV$6:$CV$277,'свод практик'!$J$6:$J$277,'строго ИБ'!CB$1,'свод практик'!$B$6:$B$277,"ИБ")</f>
        <v>0</v>
      </c>
      <c r="CC120" s="413">
        <f>SUMIFS('свод практик'!$CV$6:$CV$277,'свод практик'!$J$6:$J$277,'строго ИБ'!CC$1,'свод практик'!$B$6:$B$277,"ИБ")</f>
        <v>1989.623</v>
      </c>
      <c r="CD120" s="413">
        <f>SUMIFS('свод практик'!$CV$6:$CV$277,'свод практик'!$J$6:$J$277,'строго ИБ'!CD$1,'свод практик'!$B$6:$B$277,"ИБ")</f>
        <v>279.39999999999998</v>
      </c>
      <c r="CE120" s="413">
        <f>SUMIFS('свод практик'!$CV$6:$CV$277,'свод практик'!$J$6:$J$277,'строго ИБ'!CE$1,'свод практик'!$B$6:$B$277,"ИБ")</f>
        <v>0</v>
      </c>
      <c r="CF120" s="413">
        <f>SUMIFS('свод практик'!$CV$6:$CV$277,'свод практик'!$J$6:$J$277,'строго ИБ'!CF$1,'свод практик'!$B$6:$B$277,"ИБ")</f>
        <v>398</v>
      </c>
      <c r="CG120" s="413">
        <f>SUMIFS('свод практик'!$CV$6:$CV$277,'свод практик'!$J$6:$J$277,'строго ИБ'!CG$1,'свод практик'!$B$6:$B$277,"ИБ")</f>
        <v>98.611000000000004</v>
      </c>
      <c r="CH120" s="413">
        <f>SUMIFS('свод практик'!$CV$6:$CV$277,'свод практик'!$J$6:$J$277,'строго ИБ'!CH$1,'свод практик'!$B$6:$B$277,"ИБ")</f>
        <v>276</v>
      </c>
      <c r="CI120" s="413">
        <f>SUMIFS('свод практик'!$CV$6:$CV$277,'свод практик'!$J$6:$J$277,'строго ИБ'!CI$1,'свод практик'!$B$6:$B$277,"ИБ")</f>
        <v>0</v>
      </c>
      <c r="CJ120" s="413">
        <f>SUMIFS('свод практик'!$CV$6:$CV$277,'свод практик'!$J$6:$J$277,'строго ИБ'!CJ$1,'свод практик'!$B$6:$B$277,"ИБ")</f>
        <v>0</v>
      </c>
      <c r="CK120" s="413">
        <f>SUMIFS('свод практик'!$CV$6:$CV$277,'свод практик'!$J$6:$J$277,'строго ИБ'!CK$1,'свод практик'!$B$6:$B$277,"ИБ")</f>
        <v>351.19400000000002</v>
      </c>
      <c r="CL120" s="413">
        <f>SUMIFS('свод практик'!$CV$6:$CV$277,'свод практик'!$J$6:$J$277,'строго ИБ'!CL$1,'свод практик'!$B$6:$B$277,"ИБ")</f>
        <v>991.78399999999999</v>
      </c>
      <c r="CM120" s="413">
        <f>SUMIFS('свод практик'!$CV$6:$CV$277,'свод практик'!$J$6:$J$277,'строго ИБ'!CM$1,'свод практик'!$B$6:$B$277,"ИБ")</f>
        <v>146</v>
      </c>
      <c r="CN120" s="413">
        <f>SUMIFS('свод практик'!$CV$6:$CV$277,'свод практик'!$J$6:$J$277,'строго ИБ'!CN$1,'свод практик'!$B$6:$B$277,"ИБ")</f>
        <v>0</v>
      </c>
      <c r="CO120" s="413">
        <f>SUMIFS('свод практик'!$CV$6:$CV$277,'свод практик'!$J$6:$J$277,'строго ИБ'!CO$1,'свод практик'!$B$6:$B$277,"ИБ")</f>
        <v>14907.208999999999</v>
      </c>
      <c r="CP120" s="413">
        <f>SUMIFS('свод практик'!$CV$6:$CV$277,'свод практик'!$J$6:$J$277,'строго ИБ'!CP$1,'свод практик'!$B$6:$B$277,"ИБ")</f>
        <v>18.149999999999999</v>
      </c>
      <c r="CQ120" s="413">
        <f>SUMIFS('свод практик'!$CV$6:$CV$277,'свод практик'!$J$6:$J$277,'строго ИБ'!CQ$1,'свод практик'!$B$6:$B$277,"ИБ")</f>
        <v>0</v>
      </c>
      <c r="CR120" s="413">
        <f>SUMIFS('свод практик'!$CV$6:$CV$277,'свод практик'!$J$6:$J$277,'строго ИБ'!CR$1,'свод практик'!$B$6:$B$277,"ИБ")</f>
        <v>560.60400000000004</v>
      </c>
      <c r="CS120" s="413">
        <f>SUMIFS('свод практик'!$CV$6:$CV$277,'свод практик'!$J$6:$J$277,'строго ИБ'!CS$1,'свод практик'!$B$6:$B$277,"ИБ")</f>
        <v>15.824999999999999</v>
      </c>
      <c r="CT120" s="413">
        <f>SUMIFS('свод практик'!$CV$6:$CV$277,'свод практик'!$J$6:$J$277,'строго ИБ'!CT$1,'свод практик'!$B$6:$B$277,"ИБ")</f>
        <v>1248.9759999999999</v>
      </c>
      <c r="CU120" s="413">
        <f>SUMIFS('свод практик'!$CV$6:$CV$277,'свод практик'!$J$6:$J$277,'строго ИБ'!CU$1,'свод практик'!$B$6:$B$277,"ИБ")</f>
        <v>901.5</v>
      </c>
    </row>
    <row r="121" spans="1:99" ht="47" customHeight="1" thickBot="1">
      <c r="A121" s="800"/>
      <c r="B121" s="796"/>
      <c r="C121" s="796"/>
      <c r="D121" s="433" t="s">
        <v>4949</v>
      </c>
      <c r="E121" s="433">
        <v>97</v>
      </c>
      <c r="F121" s="434" t="s">
        <v>5235</v>
      </c>
      <c r="G121" s="435" t="s">
        <v>5792</v>
      </c>
      <c r="H121" s="436" t="s">
        <v>60</v>
      </c>
      <c r="I121" s="437" t="s">
        <v>4956</v>
      </c>
      <c r="J121" s="438"/>
      <c r="K121" s="336"/>
      <c r="L121" s="405"/>
      <c r="M121" s="406">
        <v>0.18801096154821459</v>
      </c>
      <c r="N121" s="616">
        <f>AVERAGE(O121:CU121)</f>
        <v>0.33589055694227887</v>
      </c>
      <c r="O121" s="606">
        <f>O120/O123</f>
        <v>3.42677098699481E-2</v>
      </c>
      <c r="P121" s="606">
        <f t="shared" ref="P121:BY121" si="80">P120/P123</f>
        <v>0.16490224303493015</v>
      </c>
      <c r="Q121" s="606">
        <f t="shared" si="80"/>
        <v>7.5923996003411626E-2</v>
      </c>
      <c r="R121" s="606">
        <f t="shared" si="80"/>
        <v>0.1039553118356179</v>
      </c>
      <c r="S121" s="606">
        <f t="shared" si="80"/>
        <v>0.31175268146768426</v>
      </c>
      <c r="T121" s="606">
        <f t="shared" si="80"/>
        <v>2.3346311207576017E-2</v>
      </c>
      <c r="U121" s="606">
        <v>1</v>
      </c>
      <c r="V121" s="606">
        <f t="shared" si="80"/>
        <v>8.1767944382296773E-2</v>
      </c>
      <c r="W121" s="606">
        <f t="shared" si="80"/>
        <v>0.17971494701752597</v>
      </c>
      <c r="X121" s="606">
        <f t="shared" si="80"/>
        <v>0</v>
      </c>
      <c r="Y121" s="606">
        <f t="shared" si="80"/>
        <v>0</v>
      </c>
      <c r="Z121" s="606">
        <f t="shared" si="80"/>
        <v>0.82065057344698777</v>
      </c>
      <c r="AA121" s="606">
        <f t="shared" si="80"/>
        <v>0.56658353943332029</v>
      </c>
      <c r="AB121" s="606">
        <f t="shared" si="80"/>
        <v>0.16370243846444538</v>
      </c>
      <c r="AC121" s="606"/>
      <c r="AD121" s="606"/>
      <c r="AE121" s="606"/>
      <c r="AF121" s="606"/>
      <c r="AG121" s="606"/>
      <c r="AH121" s="606"/>
      <c r="AI121" s="606"/>
      <c r="AJ121" s="606">
        <f t="shared" si="80"/>
        <v>0</v>
      </c>
      <c r="AK121" s="606">
        <f t="shared" si="80"/>
        <v>2.0225016642698726E-2</v>
      </c>
      <c r="AL121" s="606">
        <f t="shared" si="80"/>
        <v>0.37854008735777522</v>
      </c>
      <c r="AM121" s="606"/>
      <c r="AN121" s="606"/>
      <c r="AO121" s="606">
        <f t="shared" si="80"/>
        <v>0.65821511960223222</v>
      </c>
      <c r="AP121" s="606">
        <f t="shared" si="80"/>
        <v>0.15530062208018966</v>
      </c>
      <c r="AQ121" s="606">
        <f t="shared" si="80"/>
        <v>0.46940276424239785</v>
      </c>
      <c r="AR121" s="606">
        <f t="shared" si="80"/>
        <v>0.62831949234291584</v>
      </c>
      <c r="AS121" s="606"/>
      <c r="AT121" s="606"/>
      <c r="AU121" s="606">
        <f t="shared" si="80"/>
        <v>6.354463545332284E-2</v>
      </c>
      <c r="AV121" s="606"/>
      <c r="AW121" s="606">
        <f t="shared" si="80"/>
        <v>0.15377323332645879</v>
      </c>
      <c r="AX121" s="606"/>
      <c r="AY121" s="606">
        <v>1</v>
      </c>
      <c r="AZ121" s="606"/>
      <c r="BA121" s="606"/>
      <c r="BB121" s="606">
        <f t="shared" si="80"/>
        <v>0.67755518974690621</v>
      </c>
      <c r="BC121" s="606"/>
      <c r="BD121" s="606"/>
      <c r="BE121" s="606">
        <f t="shared" si="80"/>
        <v>1.5696010139622551E-3</v>
      </c>
      <c r="BF121" s="606">
        <f t="shared" si="80"/>
        <v>0.19333181412500922</v>
      </c>
      <c r="BG121" s="606">
        <f t="shared" si="80"/>
        <v>0.43652490334318855</v>
      </c>
      <c r="BH121" s="606">
        <f t="shared" si="80"/>
        <v>0.70269588021634366</v>
      </c>
      <c r="BI121" s="606">
        <f t="shared" si="80"/>
        <v>0.20777504433098562</v>
      </c>
      <c r="BJ121" s="606">
        <f t="shared" si="80"/>
        <v>0.12912331705998009</v>
      </c>
      <c r="BK121" s="606"/>
      <c r="BL121" s="606">
        <f t="shared" si="80"/>
        <v>8.4168698636322592E-2</v>
      </c>
      <c r="BM121" s="606">
        <f t="shared" si="80"/>
        <v>0.14121167766262088</v>
      </c>
      <c r="BN121" s="606"/>
      <c r="BO121" s="606"/>
      <c r="BP121" s="606"/>
      <c r="BQ121" s="606"/>
      <c r="BR121" s="606">
        <f t="shared" si="80"/>
        <v>1.54359295354769E-2</v>
      </c>
      <c r="BS121" s="606">
        <f t="shared" si="80"/>
        <v>0.36887355014700962</v>
      </c>
      <c r="BT121" s="606">
        <f t="shared" si="80"/>
        <v>0.62007899323700955</v>
      </c>
      <c r="BU121" s="606">
        <f t="shared" si="80"/>
        <v>7.0976364766534905E-2</v>
      </c>
      <c r="BV121" s="606">
        <f t="shared" si="80"/>
        <v>0.16602635156116649</v>
      </c>
      <c r="BW121" s="606">
        <f t="shared" si="80"/>
        <v>0.95554114794426781</v>
      </c>
      <c r="BX121" s="606">
        <v>1</v>
      </c>
      <c r="BY121" s="606">
        <f t="shared" si="80"/>
        <v>2.6701350972250241E-2</v>
      </c>
      <c r="BZ121" s="606"/>
      <c r="CA121" s="606"/>
      <c r="CB121" s="606"/>
      <c r="CC121" s="606">
        <f t="shared" ref="CC121:CU121" si="81">CC120/CC123</f>
        <v>0.71072991146699593</v>
      </c>
      <c r="CD121" s="606"/>
      <c r="CE121" s="606"/>
      <c r="CF121" s="606">
        <f t="shared" si="81"/>
        <v>0.31462276493331653</v>
      </c>
      <c r="CG121" s="606">
        <f t="shared" si="81"/>
        <v>9.1445682978957624E-2</v>
      </c>
      <c r="CH121" s="606">
        <f t="shared" si="81"/>
        <v>0.18743989698955227</v>
      </c>
      <c r="CI121" s="606"/>
      <c r="CJ121" s="606"/>
      <c r="CK121" s="606">
        <f t="shared" si="81"/>
        <v>0.23347994777193035</v>
      </c>
      <c r="CL121" s="606">
        <f t="shared" si="81"/>
        <v>0.80363659935824727</v>
      </c>
      <c r="CM121" s="606">
        <f t="shared" si="81"/>
        <v>0.11072702232838466</v>
      </c>
      <c r="CN121" s="606"/>
      <c r="CO121" s="606"/>
      <c r="CP121" s="606">
        <f t="shared" si="81"/>
        <v>5.228948727780929E-3</v>
      </c>
      <c r="CQ121" s="606"/>
      <c r="CR121" s="606">
        <f t="shared" si="81"/>
        <v>0.45928334334980614</v>
      </c>
      <c r="CS121" s="606">
        <f t="shared" si="81"/>
        <v>0.31665832916458225</v>
      </c>
      <c r="CT121" s="606">
        <v>1</v>
      </c>
      <c r="CU121" s="606">
        <f t="shared" si="81"/>
        <v>0.71746858936045421</v>
      </c>
    </row>
    <row r="122" spans="1:99" ht="43.5" customHeight="1" thickBot="1">
      <c r="A122" s="523"/>
      <c r="B122" s="524"/>
      <c r="C122" s="524"/>
      <c r="D122" s="432" t="s">
        <v>4949</v>
      </c>
      <c r="E122" s="432">
        <v>97</v>
      </c>
      <c r="F122" s="525" t="s">
        <v>5236</v>
      </c>
      <c r="G122" s="526" t="s">
        <v>5793</v>
      </c>
      <c r="H122" s="527" t="s">
        <v>60</v>
      </c>
      <c r="I122" s="528" t="s">
        <v>4956</v>
      </c>
      <c r="J122" s="529"/>
      <c r="K122" s="407"/>
      <c r="L122" s="408"/>
      <c r="M122" s="409">
        <v>0.10394433786052845</v>
      </c>
    </row>
    <row r="123" spans="1:99" ht="45.5" customHeight="1">
      <c r="A123" s="530" t="s">
        <v>5237</v>
      </c>
      <c r="B123" s="508"/>
      <c r="C123" s="371" t="s">
        <v>5238</v>
      </c>
      <c r="D123" s="445" t="s">
        <v>4949</v>
      </c>
      <c r="E123" s="445">
        <v>98</v>
      </c>
      <c r="F123" s="446" t="s">
        <v>5239</v>
      </c>
      <c r="G123" s="531" t="s">
        <v>5794</v>
      </c>
      <c r="H123" s="448" t="s">
        <v>5234</v>
      </c>
      <c r="I123" s="449" t="s">
        <v>5240</v>
      </c>
      <c r="J123" s="450"/>
      <c r="K123" s="340"/>
      <c r="L123" s="410"/>
      <c r="M123" s="411">
        <v>81177.219000000026</v>
      </c>
      <c r="N123" s="265">
        <v>122757.18281999996</v>
      </c>
      <c r="O123" s="413">
        <v>458.91598999999997</v>
      </c>
      <c r="P123" s="413">
        <v>219.524</v>
      </c>
      <c r="Q123" s="413">
        <v>2324.9830000000002</v>
      </c>
      <c r="R123" s="413">
        <v>791.61900000000003</v>
      </c>
      <c r="S123" s="413">
        <v>1140.327</v>
      </c>
      <c r="T123" s="413">
        <v>1009.924</v>
      </c>
      <c r="U123" s="413">
        <v>4044.578</v>
      </c>
      <c r="V123" s="413">
        <v>1548.2840000000001</v>
      </c>
      <c r="W123" s="413">
        <v>1196.3389999999999</v>
      </c>
      <c r="X123" s="413">
        <v>984.60499000000004</v>
      </c>
      <c r="Y123" s="413">
        <v>1362.11</v>
      </c>
      <c r="Z123" s="413">
        <v>2499.2719999999999</v>
      </c>
      <c r="AA123" s="413">
        <v>1164.079</v>
      </c>
      <c r="AB123" s="413">
        <v>2326.0129999999999</v>
      </c>
      <c r="AE123" s="413">
        <v>1062.742</v>
      </c>
      <c r="AH123" s="413">
        <v>2394.4780000000001</v>
      </c>
      <c r="AI123" s="413">
        <v>867.28498999999999</v>
      </c>
      <c r="AJ123" s="413">
        <v>1007.349</v>
      </c>
      <c r="AK123" s="413">
        <v>271.89100000000002</v>
      </c>
      <c r="AL123" s="413">
        <v>1005.978</v>
      </c>
      <c r="AO123" s="413">
        <v>616.05998999999997</v>
      </c>
      <c r="AP123" s="413">
        <v>2666.0549999999998</v>
      </c>
      <c r="AQ123" s="413">
        <v>1267.2550000000001</v>
      </c>
      <c r="AR123" s="413">
        <v>825.35398999999995</v>
      </c>
      <c r="AS123" s="413">
        <v>635.32599000000005</v>
      </c>
      <c r="AT123" s="413">
        <v>5661.848</v>
      </c>
      <c r="AU123" s="413">
        <v>2870.14</v>
      </c>
      <c r="AV123" s="413">
        <v>830.93398999999999</v>
      </c>
      <c r="AW123" s="413">
        <v>1105.5239999999999</v>
      </c>
      <c r="AY123" s="413">
        <v>1861.8699899999999</v>
      </c>
      <c r="AZ123" s="413">
        <v>1141.703</v>
      </c>
      <c r="BA123" s="413">
        <v>140.69199</v>
      </c>
      <c r="BB123" s="413">
        <v>680.38</v>
      </c>
      <c r="BE123" s="413">
        <v>7645.2550000000001</v>
      </c>
      <c r="BF123" s="413">
        <v>744.72999000000004</v>
      </c>
      <c r="BG123" s="413">
        <v>43.97</v>
      </c>
      <c r="BH123" s="413">
        <v>3208.7849999999999</v>
      </c>
      <c r="BI123" s="413">
        <v>598.40198999999996</v>
      </c>
      <c r="BJ123" s="413">
        <v>2795.777</v>
      </c>
      <c r="BK123" s="413">
        <v>1935.43</v>
      </c>
      <c r="BL123" s="413">
        <v>1959.921</v>
      </c>
      <c r="BM123" s="413">
        <v>736.48299999999995</v>
      </c>
      <c r="BN123" s="413">
        <v>1311.8330000000001</v>
      </c>
      <c r="BO123" s="413">
        <v>2605.0300000000002</v>
      </c>
      <c r="BQ123" s="413">
        <v>627.88298999999995</v>
      </c>
      <c r="BR123" s="413">
        <v>4200.0709999999999</v>
      </c>
      <c r="BS123" s="413">
        <v>1111.492</v>
      </c>
      <c r="BT123" s="413">
        <v>3181.2849999999999</v>
      </c>
      <c r="BU123" s="413">
        <v>5390.9769999999999</v>
      </c>
      <c r="BV123" s="413">
        <v>2431.355</v>
      </c>
      <c r="BW123" s="413">
        <v>969.50298999999995</v>
      </c>
      <c r="BX123" s="413">
        <v>488.94799</v>
      </c>
      <c r="BY123" s="413">
        <v>4313.1899999999996</v>
      </c>
      <c r="CB123" s="413">
        <v>938.62599</v>
      </c>
      <c r="CC123" s="413">
        <v>2799.4079999999999</v>
      </c>
      <c r="CD123" s="413">
        <v>1011.357</v>
      </c>
      <c r="CE123" s="413">
        <v>3900.7579999999998</v>
      </c>
      <c r="CF123" s="413">
        <v>1265.0070000000001</v>
      </c>
      <c r="CG123" s="413">
        <v>1078.35599</v>
      </c>
      <c r="CH123" s="413">
        <v>1472.472</v>
      </c>
      <c r="CJ123" s="413">
        <v>3740.252</v>
      </c>
      <c r="CK123" s="413">
        <v>1504.172</v>
      </c>
      <c r="CL123" s="413">
        <v>1234.1199999999999</v>
      </c>
      <c r="CM123" s="413">
        <v>1318.55799</v>
      </c>
      <c r="CO123" s="413">
        <v>1669.2360000000001</v>
      </c>
      <c r="CP123" s="413">
        <v>3471.0610000000001</v>
      </c>
      <c r="CR123" s="413">
        <v>1220.60599</v>
      </c>
      <c r="CS123" s="413">
        <v>49.975000000000001</v>
      </c>
      <c r="CT123" s="413">
        <v>542.96100000000001</v>
      </c>
      <c r="CU123" s="413">
        <v>1256.501</v>
      </c>
    </row>
    <row r="124" spans="1:99" ht="55.5" customHeight="1" thickBot="1">
      <c r="A124" s="532"/>
      <c r="B124" s="532"/>
      <c r="C124" s="533"/>
      <c r="D124" s="534"/>
      <c r="E124" s="534"/>
      <c r="F124" s="522" t="s">
        <v>5241</v>
      </c>
      <c r="G124" s="535" t="s">
        <v>5795</v>
      </c>
      <c r="H124" s="455" t="s">
        <v>5234</v>
      </c>
      <c r="I124" s="478" t="s">
        <v>5240</v>
      </c>
      <c r="J124" s="456"/>
      <c r="K124" s="343"/>
      <c r="L124" s="395"/>
      <c r="M124" s="412">
        <v>146830.576</v>
      </c>
      <c r="N124" s="580">
        <v>146764.655</v>
      </c>
    </row>
  </sheetData>
  <mergeCells count="78">
    <mergeCell ref="A24:A26"/>
    <mergeCell ref="B24:B25"/>
    <mergeCell ref="A36:A43"/>
    <mergeCell ref="B36:B42"/>
    <mergeCell ref="C36:C43"/>
    <mergeCell ref="A47:A48"/>
    <mergeCell ref="B47:B48"/>
    <mergeCell ref="C47:C48"/>
    <mergeCell ref="A49:A50"/>
    <mergeCell ref="B49:B50"/>
    <mergeCell ref="C49:C50"/>
    <mergeCell ref="A51:A52"/>
    <mergeCell ref="B51:B52"/>
    <mergeCell ref="C51:C52"/>
    <mergeCell ref="A53:A54"/>
    <mergeCell ref="B53:B54"/>
    <mergeCell ref="C53:C54"/>
    <mergeCell ref="A55:A56"/>
    <mergeCell ref="B55:B56"/>
    <mergeCell ref="C55:C56"/>
    <mergeCell ref="A57:A58"/>
    <mergeCell ref="B57:B58"/>
    <mergeCell ref="C57:C58"/>
    <mergeCell ref="A60:A61"/>
    <mergeCell ref="B60:B61"/>
    <mergeCell ref="C60:C61"/>
    <mergeCell ref="G89:G90"/>
    <mergeCell ref="G67:G68"/>
    <mergeCell ref="G69:G70"/>
    <mergeCell ref="G71:G72"/>
    <mergeCell ref="A63:A64"/>
    <mergeCell ref="A65:A66"/>
    <mergeCell ref="B65:B66"/>
    <mergeCell ref="C65:C66"/>
    <mergeCell ref="C67:C106"/>
    <mergeCell ref="A17:A19"/>
    <mergeCell ref="B17:B19"/>
    <mergeCell ref="C17:C19"/>
    <mergeCell ref="A20:A21"/>
    <mergeCell ref="C20:C21"/>
    <mergeCell ref="A3:A9"/>
    <mergeCell ref="B3:B9"/>
    <mergeCell ref="C3:C9"/>
    <mergeCell ref="A10:A15"/>
    <mergeCell ref="B10:B15"/>
    <mergeCell ref="C10:C15"/>
    <mergeCell ref="A120:A121"/>
    <mergeCell ref="B120:B121"/>
    <mergeCell ref="C120:C121"/>
    <mergeCell ref="G83:G84"/>
    <mergeCell ref="G85:G86"/>
    <mergeCell ref="G87:G88"/>
    <mergeCell ref="A111:A113"/>
    <mergeCell ref="B111:B113"/>
    <mergeCell ref="C111:C113"/>
    <mergeCell ref="G91:G92"/>
    <mergeCell ref="G93:G94"/>
    <mergeCell ref="G95:G96"/>
    <mergeCell ref="G97:G98"/>
    <mergeCell ref="G99:G100"/>
    <mergeCell ref="G101:G102"/>
    <mergeCell ref="G103:G104"/>
    <mergeCell ref="K20:N21"/>
    <mergeCell ref="C109:C110"/>
    <mergeCell ref="A115:A119"/>
    <mergeCell ref="B115:B119"/>
    <mergeCell ref="C115:C119"/>
    <mergeCell ref="G105:G106"/>
    <mergeCell ref="A109:A110"/>
    <mergeCell ref="B109:B110"/>
    <mergeCell ref="G73:G74"/>
    <mergeCell ref="G75:G76"/>
    <mergeCell ref="G77:G78"/>
    <mergeCell ref="G79:G80"/>
    <mergeCell ref="G81:G82"/>
    <mergeCell ref="C24:C26"/>
    <mergeCell ref="A67:A106"/>
    <mergeCell ref="B67:B10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1:K94"/>
  <sheetViews>
    <sheetView topLeftCell="B1" zoomScale="50" zoomScaleNormal="50" workbookViewId="0">
      <selection activeCell="J29" sqref="J29"/>
    </sheetView>
  </sheetViews>
  <sheetFormatPr baseColWidth="10" defaultColWidth="48.83203125" defaultRowHeight="18"/>
  <cols>
    <col min="1" max="3" width="48.83203125" style="289"/>
    <col min="4" max="4" width="23.6640625" style="289" customWidth="1"/>
    <col min="5" max="5" width="25.5" style="289" customWidth="1"/>
    <col min="6" max="6" width="24.5" style="289" customWidth="1"/>
    <col min="7" max="8" width="21.33203125" style="289" customWidth="1"/>
    <col min="9" max="9" width="23.33203125" style="289" customWidth="1"/>
    <col min="10" max="10" width="20.5" style="289" customWidth="1"/>
    <col min="11" max="11" width="21.33203125" style="289" customWidth="1"/>
    <col min="12" max="16384" width="48.83203125" style="289"/>
  </cols>
  <sheetData>
    <row r="1" spans="3:8" ht="19" thickBot="1"/>
    <row r="2" spans="3:8" ht="18.5" customHeight="1" thickBot="1">
      <c r="C2" s="837" t="s">
        <v>5800</v>
      </c>
      <c r="D2" s="838"/>
      <c r="E2" s="838"/>
      <c r="F2" s="838"/>
      <c r="G2" s="838"/>
      <c r="H2" s="839"/>
    </row>
    <row r="3" spans="3:8" ht="20" thickBot="1">
      <c r="C3" s="626" t="s">
        <v>5471</v>
      </c>
      <c r="D3" s="627">
        <v>2015</v>
      </c>
      <c r="E3" s="627">
        <v>2016</v>
      </c>
      <c r="F3" s="627">
        <v>2017</v>
      </c>
      <c r="G3" s="628">
        <v>2018</v>
      </c>
      <c r="H3" s="635">
        <v>2019</v>
      </c>
    </row>
    <row r="4" spans="3:8" ht="20" thickBot="1">
      <c r="C4" s="629" t="s">
        <v>5670</v>
      </c>
      <c r="D4" s="630" t="s">
        <v>5497</v>
      </c>
      <c r="E4" s="630" t="s">
        <v>5497</v>
      </c>
      <c r="F4" s="630" t="s">
        <v>5497</v>
      </c>
      <c r="G4" s="631">
        <v>50723</v>
      </c>
      <c r="H4" s="235">
        <f>'строго ИБ'!N114</f>
        <v>26869</v>
      </c>
    </row>
    <row r="5" spans="3:8" ht="77" thickBot="1">
      <c r="C5" s="629" t="s">
        <v>5671</v>
      </c>
      <c r="D5" s="632">
        <v>4237</v>
      </c>
      <c r="E5" s="632">
        <v>13531</v>
      </c>
      <c r="F5" s="633">
        <v>8160</v>
      </c>
      <c r="G5" s="631">
        <v>9622</v>
      </c>
      <c r="H5" s="235">
        <f>'строго ИБ'!N115</f>
        <v>16104</v>
      </c>
    </row>
    <row r="6" spans="3:8" ht="39" thickBot="1">
      <c r="C6" s="629" t="s">
        <v>5672</v>
      </c>
      <c r="D6" s="632">
        <v>2657</v>
      </c>
      <c r="E6" s="632">
        <v>9461</v>
      </c>
      <c r="F6" s="633">
        <v>4319</v>
      </c>
      <c r="G6" s="631">
        <v>7126</v>
      </c>
      <c r="H6" s="235">
        <f>'строго ИБ'!N116</f>
        <v>10291</v>
      </c>
    </row>
    <row r="7" spans="3:8" ht="58" thickBot="1">
      <c r="C7" s="629" t="s">
        <v>5796</v>
      </c>
      <c r="D7" s="632" t="s">
        <v>5476</v>
      </c>
      <c r="E7" s="632">
        <v>8732</v>
      </c>
      <c r="F7" s="633">
        <v>4253</v>
      </c>
      <c r="G7" s="631">
        <v>6809</v>
      </c>
      <c r="H7" s="235">
        <f>'строго ИБ'!N107</f>
        <v>10275</v>
      </c>
    </row>
    <row r="8" spans="3:8" ht="20" thickBot="1">
      <c r="C8" s="629" t="s">
        <v>5674</v>
      </c>
      <c r="D8" s="632" t="s">
        <v>5476</v>
      </c>
      <c r="E8" s="632">
        <v>729</v>
      </c>
      <c r="F8" s="633">
        <v>208</v>
      </c>
      <c r="G8" s="630" t="s">
        <v>5497</v>
      </c>
      <c r="H8" s="630" t="s">
        <v>5497</v>
      </c>
    </row>
    <row r="9" spans="3:8">
      <c r="F9" s="619"/>
      <c r="G9" s="619"/>
    </row>
    <row r="10" spans="3:8">
      <c r="F10" s="620"/>
      <c r="G10" s="620"/>
    </row>
    <row r="12" spans="3:8" ht="19" thickBot="1"/>
    <row r="13" spans="3:8" ht="18.5" customHeight="1" thickBot="1">
      <c r="C13" s="837" t="s">
        <v>5801</v>
      </c>
      <c r="D13" s="838"/>
      <c r="E13" s="838"/>
      <c r="F13" s="838"/>
      <c r="G13" s="838"/>
      <c r="H13" s="839"/>
    </row>
    <row r="14" spans="3:8" ht="20" thickBot="1">
      <c r="C14" s="626" t="s">
        <v>5471</v>
      </c>
      <c r="D14" s="636">
        <v>2015</v>
      </c>
      <c r="E14" s="636">
        <v>2016</v>
      </c>
      <c r="F14" s="637">
        <v>2017</v>
      </c>
      <c r="G14" s="245">
        <v>2018</v>
      </c>
      <c r="H14" s="635">
        <v>2019</v>
      </c>
    </row>
    <row r="15" spans="3:8" ht="20" thickBot="1">
      <c r="C15" s="638" t="s">
        <v>5472</v>
      </c>
      <c r="D15" s="639">
        <v>2394.98</v>
      </c>
      <c r="E15" s="639">
        <v>6995.6</v>
      </c>
      <c r="F15" s="640">
        <v>5132.4735419999997</v>
      </c>
      <c r="G15" s="641">
        <v>8024.578731999999</v>
      </c>
      <c r="H15" s="645">
        <f>'строго ИБ'!N44</f>
        <v>12505.367325629999</v>
      </c>
    </row>
    <row r="16" spans="3:8" ht="58" thickBot="1">
      <c r="C16" s="629" t="s">
        <v>5473</v>
      </c>
      <c r="D16" s="642">
        <v>1375.84</v>
      </c>
      <c r="E16" s="642">
        <v>5132.6000000000004</v>
      </c>
      <c r="F16" s="643">
        <v>3374.4411190000001</v>
      </c>
      <c r="G16" s="255">
        <v>5115.879825</v>
      </c>
      <c r="H16" s="285">
        <f>'строго ИБ'!N47</f>
        <v>8238.6538357200006</v>
      </c>
    </row>
    <row r="17" spans="3:9" ht="39" thickBot="1">
      <c r="C17" s="638" t="s">
        <v>5474</v>
      </c>
      <c r="D17" s="639">
        <v>1019.14</v>
      </c>
      <c r="E17" s="639">
        <v>1863</v>
      </c>
      <c r="F17" s="644">
        <v>1760.0426819999998</v>
      </c>
      <c r="G17" s="641">
        <v>2907.6841632199998</v>
      </c>
      <c r="H17" s="646">
        <f>SUM(H18:H22)</f>
        <v>4265.7587400100001</v>
      </c>
      <c r="I17" s="620"/>
    </row>
    <row r="18" spans="3:9" ht="58" thickBot="1">
      <c r="C18" s="629" t="s">
        <v>5475</v>
      </c>
      <c r="D18" s="642" t="s">
        <v>5476</v>
      </c>
      <c r="E18" s="642">
        <v>22.3</v>
      </c>
      <c r="F18" s="643">
        <v>206.8</v>
      </c>
      <c r="G18" s="255">
        <v>211.21100000000001</v>
      </c>
      <c r="H18" s="285">
        <f>'строго ИБ'!N60</f>
        <v>499.09999999999997</v>
      </c>
    </row>
    <row r="19" spans="3:9" ht="58" thickBot="1">
      <c r="C19" s="629" t="s">
        <v>5477</v>
      </c>
      <c r="D19" s="642">
        <v>614.91</v>
      </c>
      <c r="E19" s="642">
        <v>1137</v>
      </c>
      <c r="F19" s="254">
        <v>920.76004400000011</v>
      </c>
      <c r="G19" s="255">
        <v>1619.9866565199998</v>
      </c>
      <c r="H19" s="285">
        <f>'строго ИБ'!N49</f>
        <v>2485.3305085000006</v>
      </c>
    </row>
    <row r="20" spans="3:9" ht="58" thickBot="1">
      <c r="C20" s="629" t="s">
        <v>5478</v>
      </c>
      <c r="D20" s="642">
        <v>205.45</v>
      </c>
      <c r="E20" s="642">
        <v>478.1</v>
      </c>
      <c r="F20" s="643">
        <v>393.290617</v>
      </c>
      <c r="G20" s="255">
        <v>597.33428329999992</v>
      </c>
      <c r="H20" s="285">
        <f>'строго ИБ'!N51</f>
        <v>677.97053509</v>
      </c>
    </row>
    <row r="21" spans="3:9" ht="58" thickBot="1">
      <c r="C21" s="629" t="s">
        <v>5479</v>
      </c>
      <c r="D21" s="642">
        <v>182.07</v>
      </c>
      <c r="E21" s="642">
        <v>218.9</v>
      </c>
      <c r="F21" s="643">
        <v>234.09202099999999</v>
      </c>
      <c r="G21" s="255">
        <v>400.91322339999988</v>
      </c>
      <c r="H21" s="285">
        <f>'строго ИБ'!N53</f>
        <v>502.57869642000003</v>
      </c>
    </row>
    <row r="22" spans="3:9" ht="20" thickBot="1">
      <c r="C22" s="629" t="s">
        <v>5480</v>
      </c>
      <c r="D22" s="642">
        <v>16.71</v>
      </c>
      <c r="E22" s="642">
        <v>6.7</v>
      </c>
      <c r="F22" s="643">
        <v>5.0999999999999996</v>
      </c>
      <c r="G22" s="255">
        <v>78.239000000000019</v>
      </c>
      <c r="H22" s="285">
        <f>'строго ИБ'!N55</f>
        <v>100.779</v>
      </c>
    </row>
    <row r="23" spans="3:9">
      <c r="C23" s="621"/>
      <c r="D23" s="294"/>
      <c r="E23" s="294"/>
      <c r="F23" s="647"/>
      <c r="G23" s="647"/>
    </row>
    <row r="24" spans="3:9">
      <c r="D24" s="625"/>
      <c r="E24" s="625"/>
      <c r="F24" s="625"/>
      <c r="G24" s="625"/>
    </row>
    <row r="25" spans="3:9">
      <c r="D25" s="294"/>
      <c r="E25" s="294"/>
      <c r="F25" s="625"/>
      <c r="G25" s="625"/>
    </row>
    <row r="26" spans="3:9" ht="19" thickBot="1"/>
    <row r="27" spans="3:9" ht="18.5" customHeight="1" thickBot="1">
      <c r="C27" s="836" t="s">
        <v>5804</v>
      </c>
      <c r="D27" s="836"/>
      <c r="E27" s="836"/>
      <c r="F27" s="836"/>
      <c r="G27" s="836"/>
      <c r="H27" s="836"/>
    </row>
    <row r="28" spans="3:9" ht="20" thickBot="1">
      <c r="C28" s="243" t="s">
        <v>5471</v>
      </c>
      <c r="D28" s="636">
        <v>2015</v>
      </c>
      <c r="E28" s="636">
        <v>2016</v>
      </c>
      <c r="F28" s="637">
        <v>2017</v>
      </c>
      <c r="G28" s="245">
        <v>2018</v>
      </c>
      <c r="H28" s="235">
        <v>2019</v>
      </c>
    </row>
    <row r="29" spans="3:9" ht="20" thickBot="1">
      <c r="C29" s="638" t="s">
        <v>5472</v>
      </c>
      <c r="D29" s="648">
        <v>1</v>
      </c>
      <c r="E29" s="648">
        <v>1</v>
      </c>
      <c r="F29" s="648">
        <v>1.0003916744983778</v>
      </c>
      <c r="G29" s="648">
        <v>0.99987354553878904</v>
      </c>
      <c r="H29" s="653">
        <f>SUM(H30,H31)</f>
        <v>0.99992365279042705</v>
      </c>
    </row>
    <row r="30" spans="3:9" ht="58" thickBot="1">
      <c r="C30" s="629" t="s">
        <v>5473</v>
      </c>
      <c r="D30" s="649">
        <v>0.57446826278298768</v>
      </c>
      <c r="E30" s="649">
        <v>0.73368974784150043</v>
      </c>
      <c r="F30" s="649">
        <v>0.65746878018684585</v>
      </c>
      <c r="G30" s="262">
        <v>0.63752627967860287</v>
      </c>
      <c r="H30" s="655">
        <f>'строго ИБ'!N48</f>
        <v>0.65880942328137104</v>
      </c>
    </row>
    <row r="31" spans="3:9" ht="39" thickBot="1">
      <c r="C31" s="638" t="s">
        <v>5474</v>
      </c>
      <c r="D31" s="651">
        <v>0.42553173721701226</v>
      </c>
      <c r="E31" s="651">
        <v>0.26631025215849963</v>
      </c>
      <c r="F31" s="654">
        <v>0.34292289431153195</v>
      </c>
      <c r="G31" s="654">
        <v>0.36234726586018623</v>
      </c>
      <c r="H31" s="656">
        <f>SUM(H32:H36)</f>
        <v>0.34111422950905601</v>
      </c>
    </row>
    <row r="32" spans="3:9" ht="58" thickBot="1">
      <c r="C32" s="629" t="s">
        <v>5475</v>
      </c>
      <c r="D32" s="652" t="s">
        <v>5476</v>
      </c>
      <c r="E32" s="649">
        <v>3.1877179941677625E-3</v>
      </c>
      <c r="F32" s="649">
        <v>4.0292462943591734E-2</v>
      </c>
      <c r="G32" s="262">
        <v>2.6320509406648818E-2</v>
      </c>
      <c r="H32" s="655">
        <f>'строго ИБ'!N61</f>
        <v>3.9910862832240407E-2</v>
      </c>
    </row>
    <row r="33" spans="3:9" ht="58" thickBot="1">
      <c r="C33" s="629" t="s">
        <v>5477</v>
      </c>
      <c r="D33" s="649">
        <v>0.25674953444287635</v>
      </c>
      <c r="E33" s="649">
        <v>0.16253073360397963</v>
      </c>
      <c r="F33" s="262">
        <v>0.17939888758612135</v>
      </c>
      <c r="G33" s="262">
        <v>0.20187809362003029</v>
      </c>
      <c r="H33" s="655">
        <f>'строго ИБ'!N50</f>
        <v>0.19874110402229181</v>
      </c>
    </row>
    <row r="34" spans="3:9" ht="58" thickBot="1">
      <c r="C34" s="629" t="s">
        <v>5478</v>
      </c>
      <c r="D34" s="649">
        <v>8.5783597357806746E-2</v>
      </c>
      <c r="E34" s="649">
        <v>6.8342958431013776E-2</v>
      </c>
      <c r="F34" s="649">
        <v>7.6627889804327026E-2</v>
      </c>
      <c r="G34" s="262">
        <v>7.4438086191114458E-2</v>
      </c>
      <c r="H34" s="655">
        <f>'строго ИБ'!N52</f>
        <v>5.4214363915603338E-2</v>
      </c>
    </row>
    <row r="35" spans="3:9" ht="58" thickBot="1">
      <c r="C35" s="629" t="s">
        <v>5479</v>
      </c>
      <c r="D35" s="649">
        <v>7.6021511661892791E-2</v>
      </c>
      <c r="E35" s="649">
        <v>3.1291097261135568E-2</v>
      </c>
      <c r="F35" s="649">
        <v>4.5609981051900374E-2</v>
      </c>
      <c r="G35" s="262">
        <v>4.996065672597353E-2</v>
      </c>
      <c r="H35" s="655">
        <f>'строго ИБ'!N54</f>
        <v>4.0189039100831131E-2</v>
      </c>
    </row>
    <row r="36" spans="3:9" ht="20" thickBot="1">
      <c r="C36" s="629" t="s">
        <v>5480</v>
      </c>
      <c r="D36" s="649">
        <v>6.9770937544363634E-3</v>
      </c>
      <c r="E36" s="649">
        <v>9.5774486820287034E-4</v>
      </c>
      <c r="F36" s="649">
        <v>9.9367292559147881E-4</v>
      </c>
      <c r="G36" s="262">
        <v>9.7499199164191117E-3</v>
      </c>
      <c r="H36" s="655">
        <f>'строго ИБ'!N56</f>
        <v>8.0588596380892739E-3</v>
      </c>
    </row>
    <row r="37" spans="3:9">
      <c r="C37" s="622"/>
      <c r="D37" s="623"/>
      <c r="E37" s="623"/>
      <c r="F37" s="623"/>
      <c r="G37" s="619"/>
    </row>
    <row r="38" spans="3:9">
      <c r="D38" s="620"/>
      <c r="E38" s="620"/>
      <c r="F38" s="620"/>
      <c r="G38" s="620"/>
    </row>
    <row r="39" spans="3:9">
      <c r="F39" s="625"/>
      <c r="G39" s="620"/>
    </row>
    <row r="40" spans="3:9" ht="19" thickBot="1">
      <c r="E40" s="624"/>
    </row>
    <row r="41" spans="3:9" ht="18.5" customHeight="1" thickBot="1">
      <c r="C41" s="836" t="s">
        <v>5802</v>
      </c>
      <c r="D41" s="836"/>
      <c r="E41" s="836"/>
      <c r="F41" s="836"/>
      <c r="G41" s="836"/>
      <c r="H41" s="836"/>
    </row>
    <row r="42" spans="3:9" ht="20" thickBot="1">
      <c r="C42" s="626" t="s">
        <v>5471</v>
      </c>
      <c r="D42" s="636">
        <v>2015</v>
      </c>
      <c r="E42" s="636">
        <v>2016</v>
      </c>
      <c r="F42" s="637">
        <v>2017</v>
      </c>
      <c r="G42" s="245">
        <v>2018</v>
      </c>
      <c r="H42" s="635">
        <v>2019</v>
      </c>
    </row>
    <row r="43" spans="3:9" ht="20" thickBot="1">
      <c r="C43" s="248" t="s">
        <v>5472</v>
      </c>
      <c r="D43" s="253">
        <v>2394.98</v>
      </c>
      <c r="E43" s="253">
        <v>6995.6</v>
      </c>
      <c r="F43" s="254">
        <v>5132.4735419999997</v>
      </c>
      <c r="G43" s="255">
        <v>8024.578731999999</v>
      </c>
      <c r="H43" s="657">
        <f>'строго ИБ'!N44</f>
        <v>12505.367325629999</v>
      </c>
      <c r="I43" s="625"/>
    </row>
    <row r="44" spans="3:9" ht="39" thickBot="1">
      <c r="C44" s="638" t="s">
        <v>5481</v>
      </c>
      <c r="D44" s="641">
        <v>1990.75</v>
      </c>
      <c r="E44" s="641">
        <v>6291.9000000000005</v>
      </c>
      <c r="F44" s="641">
        <v>4502.0011630000008</v>
      </c>
      <c r="G44" s="641">
        <v>6947.0774815200002</v>
      </c>
      <c r="H44" s="658">
        <f>SUM(H45:H47)</f>
        <v>11223.084344220002</v>
      </c>
    </row>
    <row r="45" spans="3:9" ht="39" thickBot="1">
      <c r="C45" s="629" t="s">
        <v>5482</v>
      </c>
      <c r="D45" s="642" t="s">
        <v>5476</v>
      </c>
      <c r="E45" s="642">
        <v>22.3</v>
      </c>
      <c r="F45" s="643">
        <v>206.8</v>
      </c>
      <c r="G45" s="255">
        <v>211.21100000000001</v>
      </c>
      <c r="H45" s="659">
        <f>'строго ИБ'!N60</f>
        <v>499.09999999999997</v>
      </c>
    </row>
    <row r="46" spans="3:9" ht="58" thickBot="1">
      <c r="C46" s="629" t="s">
        <v>5483</v>
      </c>
      <c r="D46" s="642">
        <v>1375.84</v>
      </c>
      <c r="E46" s="642">
        <v>5132.6000000000004</v>
      </c>
      <c r="F46" s="643">
        <v>3374.4411190000001</v>
      </c>
      <c r="G46" s="255">
        <v>5115.879825</v>
      </c>
      <c r="H46" s="659">
        <f>'строго ИБ'!N47</f>
        <v>8238.6538357200006</v>
      </c>
    </row>
    <row r="47" spans="3:9" ht="58" thickBot="1">
      <c r="C47" s="629" t="s">
        <v>5484</v>
      </c>
      <c r="D47" s="642">
        <v>614.91</v>
      </c>
      <c r="E47" s="642">
        <v>1137</v>
      </c>
      <c r="F47" s="254">
        <v>920.76004400000011</v>
      </c>
      <c r="G47" s="255">
        <v>1619.9866565199998</v>
      </c>
      <c r="H47" s="659">
        <f>'строго ИБ'!N49</f>
        <v>2485.3305085000006</v>
      </c>
    </row>
    <row r="48" spans="3:9" ht="58" thickBot="1">
      <c r="C48" s="638" t="s">
        <v>5485</v>
      </c>
      <c r="D48" s="641">
        <v>404.22999999999996</v>
      </c>
      <c r="E48" s="641">
        <v>703.7</v>
      </c>
      <c r="F48" s="641">
        <v>632.48263800000007</v>
      </c>
      <c r="G48" s="641">
        <v>1076.4865066999998</v>
      </c>
      <c r="H48" s="658">
        <f>SUM(H49:H51)</f>
        <v>1281.32823151</v>
      </c>
      <c r="I48" s="620"/>
    </row>
    <row r="49" spans="3:9" ht="58" thickBot="1">
      <c r="C49" s="629" t="s">
        <v>5486</v>
      </c>
      <c r="D49" s="642">
        <v>205.45</v>
      </c>
      <c r="E49" s="642">
        <v>478.1</v>
      </c>
      <c r="F49" s="643">
        <v>393.290617</v>
      </c>
      <c r="G49" s="255">
        <v>597.33428329999992</v>
      </c>
      <c r="H49" s="659">
        <f>'строго ИБ'!N51</f>
        <v>677.97053509</v>
      </c>
    </row>
    <row r="50" spans="3:9" ht="58" thickBot="1">
      <c r="C50" s="629" t="s">
        <v>5487</v>
      </c>
      <c r="D50" s="642">
        <v>182.07</v>
      </c>
      <c r="E50" s="642">
        <v>218.9</v>
      </c>
      <c r="F50" s="643">
        <v>234.09202099999999</v>
      </c>
      <c r="G50" s="255">
        <v>400.91322339999988</v>
      </c>
      <c r="H50" s="659">
        <f>'строго ИБ'!N53</f>
        <v>502.57869642000003</v>
      </c>
    </row>
    <row r="51" spans="3:9" ht="20" thickBot="1">
      <c r="C51" s="629" t="s">
        <v>5488</v>
      </c>
      <c r="D51" s="642">
        <v>16.71</v>
      </c>
      <c r="E51" s="642">
        <v>6.7</v>
      </c>
      <c r="F51" s="643">
        <v>5.0999999999999996</v>
      </c>
      <c r="G51" s="255">
        <v>78.239000000000019</v>
      </c>
      <c r="H51" s="659">
        <f>'строго ИБ'!N55</f>
        <v>100.779</v>
      </c>
    </row>
    <row r="52" spans="3:9">
      <c r="C52" s="621"/>
      <c r="D52" s="294"/>
      <c r="E52" s="294"/>
      <c r="F52" s="647"/>
      <c r="G52" s="647"/>
    </row>
    <row r="53" spans="3:9">
      <c r="D53" s="625"/>
      <c r="E53" s="625"/>
      <c r="F53" s="625"/>
      <c r="G53" s="625"/>
    </row>
    <row r="54" spans="3:9">
      <c r="D54" s="294"/>
      <c r="E54" s="294"/>
      <c r="F54" s="625"/>
      <c r="G54" s="625"/>
    </row>
    <row r="55" spans="3:9" ht="19" thickBot="1">
      <c r="E55" s="624"/>
    </row>
    <row r="56" spans="3:9" ht="41.5" customHeight="1" thickBot="1">
      <c r="C56" s="837" t="s">
        <v>5803</v>
      </c>
      <c r="D56" s="838"/>
      <c r="E56" s="838"/>
      <c r="F56" s="838"/>
      <c r="G56" s="838"/>
      <c r="H56" s="839"/>
    </row>
    <row r="57" spans="3:9" ht="20" thickBot="1">
      <c r="C57" s="626" t="s">
        <v>5471</v>
      </c>
      <c r="D57" s="636">
        <v>2015</v>
      </c>
      <c r="E57" s="636">
        <v>2016</v>
      </c>
      <c r="F57" s="637">
        <v>2017</v>
      </c>
      <c r="G57" s="245">
        <v>2018</v>
      </c>
      <c r="H57" s="635">
        <v>2019</v>
      </c>
    </row>
    <row r="58" spans="3:9" ht="20" thickBot="1">
      <c r="C58" s="248" t="s">
        <v>5472</v>
      </c>
      <c r="D58" s="249">
        <v>1</v>
      </c>
      <c r="E58" s="249">
        <v>1</v>
      </c>
      <c r="F58" s="249">
        <v>1.0003916744983778</v>
      </c>
      <c r="G58" s="249">
        <v>0.99987354553878915</v>
      </c>
      <c r="H58" s="260">
        <f>SUM(H59,H63)</f>
        <v>0.99992365279042705</v>
      </c>
      <c r="I58" s="625"/>
    </row>
    <row r="59" spans="3:9" ht="39" thickBot="1">
      <c r="C59" s="638" t="s">
        <v>5481</v>
      </c>
      <c r="D59" s="660">
        <v>0.83121779722586409</v>
      </c>
      <c r="E59" s="660">
        <v>0.89940819943964778</v>
      </c>
      <c r="F59" s="660">
        <v>0.87716013071655896</v>
      </c>
      <c r="G59" s="660">
        <v>0.86572488270528203</v>
      </c>
      <c r="H59" s="653">
        <f>SUM(H60:H62)</f>
        <v>0.89746139013590331</v>
      </c>
    </row>
    <row r="60" spans="3:9" ht="39" thickBot="1">
      <c r="C60" s="629" t="s">
        <v>5482</v>
      </c>
      <c r="D60" s="661" t="s">
        <v>5476</v>
      </c>
      <c r="E60" s="661">
        <v>3.1877179941677625E-3</v>
      </c>
      <c r="F60" s="661">
        <v>4.0292462943591734E-2</v>
      </c>
      <c r="G60" s="661">
        <v>2.6320509406648818E-2</v>
      </c>
      <c r="H60" s="650">
        <f>'строго ИБ'!N61</f>
        <v>3.9910862832240407E-2</v>
      </c>
    </row>
    <row r="61" spans="3:9" ht="58" thickBot="1">
      <c r="C61" s="629" t="s">
        <v>5483</v>
      </c>
      <c r="D61" s="661">
        <v>0.57446826278298768</v>
      </c>
      <c r="E61" s="661">
        <v>0.73368974784150043</v>
      </c>
      <c r="F61" s="661">
        <v>0.65746878018684585</v>
      </c>
      <c r="G61" s="661">
        <v>0.63752627967860287</v>
      </c>
      <c r="H61" s="650">
        <f>'строго ИБ'!N48</f>
        <v>0.65880942328137104</v>
      </c>
    </row>
    <row r="62" spans="3:9" ht="58" thickBot="1">
      <c r="C62" s="629" t="s">
        <v>5484</v>
      </c>
      <c r="D62" s="661">
        <v>0.25674953444287635</v>
      </c>
      <c r="E62" s="661">
        <v>0.16253073360397963</v>
      </c>
      <c r="F62" s="249">
        <v>0.17939888758612135</v>
      </c>
      <c r="G62" s="661">
        <v>0.20187809362003029</v>
      </c>
      <c r="H62" s="650">
        <f>'строго ИБ'!N50</f>
        <v>0.19874110402229181</v>
      </c>
    </row>
    <row r="63" spans="3:9" ht="58" thickBot="1">
      <c r="C63" s="638" t="s">
        <v>5485</v>
      </c>
      <c r="D63" s="660">
        <v>0.16878220277413589</v>
      </c>
      <c r="E63" s="660">
        <v>0.1005918005603522</v>
      </c>
      <c r="F63" s="660">
        <v>0.12323154378181887</v>
      </c>
      <c r="G63" s="660">
        <v>0.1341486628335071</v>
      </c>
      <c r="H63" s="653">
        <f>SUM(H64:H66)</f>
        <v>0.10246226265452374</v>
      </c>
      <c r="I63" s="620"/>
    </row>
    <row r="64" spans="3:9" ht="58" thickBot="1">
      <c r="C64" s="629" t="s">
        <v>5486</v>
      </c>
      <c r="D64" s="661">
        <v>8.5783597357806746E-2</v>
      </c>
      <c r="E64" s="661">
        <v>6.8342958431013776E-2</v>
      </c>
      <c r="F64" s="661">
        <v>7.6627889804327026E-2</v>
      </c>
      <c r="G64" s="661">
        <v>7.4438086191114458E-2</v>
      </c>
      <c r="H64" s="650">
        <f>'строго ИБ'!N52</f>
        <v>5.4214363915603338E-2</v>
      </c>
    </row>
    <row r="65" spans="3:11" ht="58" thickBot="1">
      <c r="C65" s="629" t="s">
        <v>5487</v>
      </c>
      <c r="D65" s="661">
        <v>7.6021511661892791E-2</v>
      </c>
      <c r="E65" s="661">
        <v>3.1291097261135568E-2</v>
      </c>
      <c r="F65" s="661">
        <v>4.5609981051900374E-2</v>
      </c>
      <c r="G65" s="661">
        <v>4.996065672597353E-2</v>
      </c>
      <c r="H65" s="650">
        <f>'строго ИБ'!N54</f>
        <v>4.0189039100831131E-2</v>
      </c>
    </row>
    <row r="66" spans="3:11" ht="20" thickBot="1">
      <c r="C66" s="629" t="s">
        <v>5488</v>
      </c>
      <c r="D66" s="661">
        <v>6.9770937544363634E-3</v>
      </c>
      <c r="E66" s="661">
        <v>9.5774486820287034E-4</v>
      </c>
      <c r="F66" s="661">
        <v>9.9367292559147881E-4</v>
      </c>
      <c r="G66" s="661">
        <v>9.7499199164191117E-3</v>
      </c>
      <c r="H66" s="650">
        <f>'строго ИБ'!N56</f>
        <v>8.0588596380892739E-3</v>
      </c>
    </row>
    <row r="67" spans="3:11">
      <c r="C67" s="621"/>
      <c r="D67" s="294"/>
      <c r="E67" s="294"/>
      <c r="F67" s="647"/>
      <c r="G67" s="647"/>
    </row>
    <row r="68" spans="3:11">
      <c r="D68" s="625"/>
      <c r="E68" s="625"/>
      <c r="F68" s="625"/>
      <c r="G68" s="625"/>
    </row>
    <row r="69" spans="3:11">
      <c r="D69" s="294"/>
      <c r="E69" s="294"/>
      <c r="F69" s="625"/>
      <c r="G69" s="625"/>
    </row>
    <row r="70" spans="3:11" ht="19" thickBot="1"/>
    <row r="71" spans="3:11" ht="18.5" customHeight="1" thickBot="1">
      <c r="C71" s="837" t="s">
        <v>5798</v>
      </c>
      <c r="D71" s="838"/>
      <c r="E71" s="838"/>
      <c r="F71" s="838"/>
      <c r="G71" s="838"/>
      <c r="H71" s="838"/>
      <c r="I71" s="838"/>
      <c r="J71" s="838"/>
      <c r="K71" s="839"/>
    </row>
    <row r="72" spans="3:11" ht="20" thickBot="1">
      <c r="C72" s="627" t="s">
        <v>5490</v>
      </c>
      <c r="D72" s="841" t="s">
        <v>5491</v>
      </c>
      <c r="E72" s="841"/>
      <c r="F72" s="841" t="s">
        <v>5492</v>
      </c>
      <c r="G72" s="841"/>
      <c r="H72" s="842" t="s">
        <v>5493</v>
      </c>
      <c r="I72" s="842"/>
      <c r="J72" s="840" t="s">
        <v>5505</v>
      </c>
      <c r="K72" s="840"/>
    </row>
    <row r="73" spans="3:11" ht="20" thickBot="1">
      <c r="C73" s="627"/>
      <c r="D73" s="662" t="s">
        <v>5494</v>
      </c>
      <c r="E73" s="634" t="s">
        <v>5495</v>
      </c>
      <c r="F73" s="662" t="s">
        <v>5494</v>
      </c>
      <c r="G73" s="634" t="s">
        <v>5495</v>
      </c>
      <c r="H73" s="662" t="s">
        <v>5494</v>
      </c>
      <c r="I73" s="326" t="s">
        <v>5495</v>
      </c>
      <c r="J73" s="662" t="s">
        <v>5494</v>
      </c>
      <c r="K73" s="326" t="s">
        <v>5495</v>
      </c>
    </row>
    <row r="74" spans="3:11" ht="20" thickBot="1">
      <c r="C74" s="663" t="s">
        <v>19</v>
      </c>
      <c r="D74" s="664">
        <v>1016</v>
      </c>
      <c r="E74" s="665">
        <v>11</v>
      </c>
      <c r="F74" s="664">
        <v>454</v>
      </c>
      <c r="G74" s="666">
        <v>0.1067481777568775</v>
      </c>
      <c r="H74" s="664">
        <v>712</v>
      </c>
      <c r="I74" s="666">
        <v>0.10456748421207225</v>
      </c>
      <c r="J74" s="664">
        <f>'строго ИБ'!N67</f>
        <v>808</v>
      </c>
      <c r="K74" s="666">
        <f>J74/$J$94</f>
        <v>7.86374695863747E-2</v>
      </c>
    </row>
    <row r="75" spans="3:11" ht="39" thickBot="1">
      <c r="C75" s="663" t="s">
        <v>20</v>
      </c>
      <c r="D75" s="664">
        <v>1344</v>
      </c>
      <c r="E75" s="665">
        <v>14.5</v>
      </c>
      <c r="F75" s="664">
        <v>634</v>
      </c>
      <c r="G75" s="666">
        <v>0.1490712438278862</v>
      </c>
      <c r="H75" s="664">
        <v>1120</v>
      </c>
      <c r="I75" s="666">
        <v>0.1644881774122485</v>
      </c>
      <c r="J75" s="664">
        <f>'строго ИБ'!N69</f>
        <v>1518</v>
      </c>
      <c r="K75" s="666">
        <f t="shared" ref="K75:K93" si="0">J75/$J$94</f>
        <v>0.14773722627737226</v>
      </c>
    </row>
    <row r="76" spans="3:11" ht="20" thickBot="1">
      <c r="C76" s="663" t="s">
        <v>21</v>
      </c>
      <c r="D76" s="664">
        <v>805</v>
      </c>
      <c r="E76" s="665">
        <v>8.6999999999999993</v>
      </c>
      <c r="F76" s="664">
        <v>171</v>
      </c>
      <c r="G76" s="666">
        <v>4.0206912767458268E-2</v>
      </c>
      <c r="H76" s="664">
        <v>348</v>
      </c>
      <c r="I76" s="666">
        <v>5.1108826553091499E-2</v>
      </c>
      <c r="J76" s="664">
        <f>'строго ИБ'!N71</f>
        <v>561</v>
      </c>
      <c r="K76" s="666">
        <f t="shared" si="0"/>
        <v>5.4598540145985398E-2</v>
      </c>
    </row>
    <row r="77" spans="3:11" ht="20" thickBot="1">
      <c r="C77" s="663" t="s">
        <v>22</v>
      </c>
      <c r="D77" s="664">
        <v>257</v>
      </c>
      <c r="E77" s="665">
        <v>2.8</v>
      </c>
      <c r="F77" s="664">
        <v>64</v>
      </c>
      <c r="G77" s="666">
        <v>1.5048201269691983E-2</v>
      </c>
      <c r="H77" s="664">
        <v>89</v>
      </c>
      <c r="I77" s="666">
        <v>1.3070935526509031E-2</v>
      </c>
      <c r="J77" s="664">
        <f>'строго ИБ'!N73</f>
        <v>143</v>
      </c>
      <c r="K77" s="666">
        <f t="shared" si="0"/>
        <v>1.3917274939172749E-2</v>
      </c>
    </row>
    <row r="78" spans="3:11" ht="39" thickBot="1">
      <c r="C78" s="663" t="s">
        <v>5496</v>
      </c>
      <c r="D78" s="664">
        <v>19</v>
      </c>
      <c r="E78" s="665">
        <v>0.2</v>
      </c>
      <c r="F78" s="664">
        <v>9</v>
      </c>
      <c r="G78" s="666">
        <v>2.1161533035504352E-3</v>
      </c>
      <c r="H78" s="664">
        <v>7</v>
      </c>
      <c r="I78" s="666">
        <v>1.0280511088265531E-3</v>
      </c>
      <c r="J78" s="664">
        <f>'строго ИБ'!N75</f>
        <v>11</v>
      </c>
      <c r="K78" s="666">
        <f t="shared" si="0"/>
        <v>1.0705596107055961E-3</v>
      </c>
    </row>
    <row r="79" spans="3:11" ht="20" thickBot="1">
      <c r="C79" s="663" t="s">
        <v>23</v>
      </c>
      <c r="D79" s="664">
        <v>191</v>
      </c>
      <c r="E79" s="665">
        <v>2.1</v>
      </c>
      <c r="F79" s="664">
        <v>96</v>
      </c>
      <c r="G79" s="666">
        <v>2.2572301904537972E-2</v>
      </c>
      <c r="H79" s="664">
        <v>166</v>
      </c>
      <c r="I79" s="666">
        <v>2.4379497723601116E-2</v>
      </c>
      <c r="J79" s="664">
        <f>'строго ИБ'!N77</f>
        <v>419</v>
      </c>
      <c r="K79" s="666">
        <f t="shared" si="0"/>
        <v>4.0778588807785891E-2</v>
      </c>
    </row>
    <row r="80" spans="3:11" ht="20" thickBot="1">
      <c r="C80" s="663" t="s">
        <v>24</v>
      </c>
      <c r="D80" s="664" t="s">
        <v>5497</v>
      </c>
      <c r="E80" s="667" t="s">
        <v>5497</v>
      </c>
      <c r="F80" s="664" t="s">
        <v>5497</v>
      </c>
      <c r="G80" s="667" t="s">
        <v>5497</v>
      </c>
      <c r="H80" s="664">
        <v>391</v>
      </c>
      <c r="I80" s="666">
        <v>5.7423997650168895E-2</v>
      </c>
      <c r="J80" s="664">
        <f>'строго ИБ'!N79</f>
        <v>775</v>
      </c>
      <c r="K80" s="666">
        <f t="shared" si="0"/>
        <v>7.5425790754257913E-2</v>
      </c>
    </row>
    <row r="81" spans="3:11" ht="58" thickBot="1">
      <c r="C81" s="663" t="s">
        <v>5799</v>
      </c>
      <c r="D81" s="664">
        <v>1082</v>
      </c>
      <c r="E81" s="665">
        <v>11.7</v>
      </c>
      <c r="F81" s="664">
        <v>842</v>
      </c>
      <c r="G81" s="666">
        <v>0.19797789795438514</v>
      </c>
      <c r="H81" s="664">
        <v>592</v>
      </c>
      <c r="I81" s="666">
        <v>8.6943750917902782E-2</v>
      </c>
      <c r="J81" s="664">
        <f>'строго ИБ'!N81</f>
        <v>687</v>
      </c>
      <c r="K81" s="666">
        <f t="shared" si="0"/>
        <v>6.6861313868613145E-2</v>
      </c>
    </row>
    <row r="82" spans="3:11" ht="20" thickBot="1">
      <c r="C82" s="663" t="s">
        <v>26</v>
      </c>
      <c r="D82" s="664">
        <v>425</v>
      </c>
      <c r="E82" s="665">
        <v>4.5999999999999996</v>
      </c>
      <c r="F82" s="664">
        <v>288</v>
      </c>
      <c r="G82" s="666">
        <v>6.7716905713613926E-2</v>
      </c>
      <c r="H82" s="664">
        <v>522</v>
      </c>
      <c r="I82" s="666">
        <v>7.6663239829637242E-2</v>
      </c>
      <c r="J82" s="664">
        <f>'строго ИБ'!N83</f>
        <v>745</v>
      </c>
      <c r="K82" s="666">
        <f t="shared" si="0"/>
        <v>7.250608272506083E-2</v>
      </c>
    </row>
    <row r="83" spans="3:11" ht="39" thickBot="1">
      <c r="C83" s="663" t="s">
        <v>5166</v>
      </c>
      <c r="D83" s="664" t="s">
        <v>5497</v>
      </c>
      <c r="E83" s="667" t="s">
        <v>5497</v>
      </c>
      <c r="F83" s="664" t="s">
        <v>5497</v>
      </c>
      <c r="G83" s="667" t="s">
        <v>5497</v>
      </c>
      <c r="H83" s="664">
        <v>426</v>
      </c>
      <c r="I83" s="666">
        <v>6.2564253194301658E-2</v>
      </c>
      <c r="J83" s="664">
        <f>'строго ИБ'!N85</f>
        <v>976</v>
      </c>
      <c r="K83" s="666">
        <f t="shared" si="0"/>
        <v>9.4987834549878344E-2</v>
      </c>
    </row>
    <row r="84" spans="3:11" ht="20" thickBot="1">
      <c r="C84" s="663" t="s">
        <v>28</v>
      </c>
      <c r="D84" s="664">
        <v>819</v>
      </c>
      <c r="E84" s="665">
        <v>8.8000000000000007</v>
      </c>
      <c r="F84" s="664">
        <v>361</v>
      </c>
      <c r="G84" s="666">
        <v>8.488126028685633E-2</v>
      </c>
      <c r="H84" s="664">
        <v>634</v>
      </c>
      <c r="I84" s="666">
        <v>9.3112057570862092E-2</v>
      </c>
      <c r="J84" s="664">
        <f>'строго ИБ'!N87</f>
        <v>970</v>
      </c>
      <c r="K84" s="666">
        <f t="shared" si="0"/>
        <v>9.4403892944038933E-2</v>
      </c>
    </row>
    <row r="85" spans="3:11" ht="39" thickBot="1">
      <c r="C85" s="663" t="s">
        <v>5498</v>
      </c>
      <c r="D85" s="664">
        <v>1673</v>
      </c>
      <c r="E85" s="665">
        <v>18.100000000000001</v>
      </c>
      <c r="F85" s="664">
        <v>803</v>
      </c>
      <c r="G85" s="666">
        <v>0.18880790030566658</v>
      </c>
      <c r="H85" s="664">
        <v>758</v>
      </c>
      <c r="I85" s="666">
        <v>0.11132324864150389</v>
      </c>
      <c r="J85" s="664">
        <f>'строго ИБ'!N89</f>
        <v>1207</v>
      </c>
      <c r="K85" s="666">
        <f t="shared" si="0"/>
        <v>0.11746958637469586</v>
      </c>
    </row>
    <row r="86" spans="3:11" ht="20" thickBot="1">
      <c r="C86" s="663" t="s">
        <v>5499</v>
      </c>
      <c r="D86" s="664">
        <v>341</v>
      </c>
      <c r="E86" s="665">
        <v>3.7</v>
      </c>
      <c r="F86" s="664">
        <v>172</v>
      </c>
      <c r="G86" s="666">
        <v>4.0442040912297202E-2</v>
      </c>
      <c r="H86" s="664">
        <v>392</v>
      </c>
      <c r="I86" s="666">
        <v>5.7570862094286974E-2</v>
      </c>
      <c r="J86" s="664">
        <f>'строго ИБ'!N91</f>
        <v>554</v>
      </c>
      <c r="K86" s="666">
        <f t="shared" si="0"/>
        <v>5.3917274939172748E-2</v>
      </c>
    </row>
    <row r="87" spans="3:11" ht="39" thickBot="1">
      <c r="C87" s="663" t="s">
        <v>5500</v>
      </c>
      <c r="D87" s="664">
        <v>491</v>
      </c>
      <c r="E87" s="665">
        <v>5.3</v>
      </c>
      <c r="F87" s="664">
        <v>32</v>
      </c>
      <c r="G87" s="666">
        <v>7.5241006348459915E-3</v>
      </c>
      <c r="H87" s="664">
        <v>44</v>
      </c>
      <c r="I87" s="666">
        <v>6.462035541195477E-3</v>
      </c>
      <c r="J87" s="664">
        <f>'строго ИБ'!N93</f>
        <v>307</v>
      </c>
      <c r="K87" s="666">
        <f t="shared" si="0"/>
        <v>2.9878345498783456E-2</v>
      </c>
    </row>
    <row r="88" spans="3:11" ht="39" thickBot="1">
      <c r="C88" s="663" t="s">
        <v>33</v>
      </c>
      <c r="D88" s="664">
        <v>425</v>
      </c>
      <c r="E88" s="665">
        <v>4.5999999999999996</v>
      </c>
      <c r="F88" s="664">
        <v>10</v>
      </c>
      <c r="G88" s="666">
        <v>2.3512814483893723E-3</v>
      </c>
      <c r="H88" s="664">
        <v>19</v>
      </c>
      <c r="I88" s="666">
        <v>2.7904244382435011E-3</v>
      </c>
      <c r="J88" s="664">
        <f>'строго ИБ'!N95</f>
        <v>23</v>
      </c>
      <c r="K88" s="666">
        <f t="shared" si="0"/>
        <v>2.2384428223844281E-3</v>
      </c>
    </row>
    <row r="89" spans="3:11" ht="58" thickBot="1">
      <c r="C89" s="663" t="s">
        <v>5501</v>
      </c>
      <c r="D89" s="664" t="s">
        <v>5497</v>
      </c>
      <c r="E89" s="667" t="s">
        <v>5497</v>
      </c>
      <c r="F89" s="664">
        <v>115</v>
      </c>
      <c r="G89" s="666">
        <v>2.703973665647778E-2</v>
      </c>
      <c r="H89" s="664">
        <v>284</v>
      </c>
      <c r="I89" s="666">
        <v>4.1709502129534441E-2</v>
      </c>
      <c r="J89" s="664">
        <f>'строго ИБ'!N97</f>
        <v>151</v>
      </c>
      <c r="K89" s="666">
        <f t="shared" si="0"/>
        <v>1.4695863746958637E-2</v>
      </c>
    </row>
    <row r="90" spans="3:11" ht="39" thickBot="1">
      <c r="C90" s="663" t="s">
        <v>5502</v>
      </c>
      <c r="D90" s="664" t="s">
        <v>5497</v>
      </c>
      <c r="E90" s="667" t="s">
        <v>5497</v>
      </c>
      <c r="F90" s="664">
        <v>1</v>
      </c>
      <c r="G90" s="666">
        <v>2.3512814483893723E-4</v>
      </c>
      <c r="H90" s="664">
        <v>3</v>
      </c>
      <c r="I90" s="666">
        <v>4.4059333235423704E-4</v>
      </c>
      <c r="J90" s="664">
        <f>'строго ИБ'!N99</f>
        <v>21</v>
      </c>
      <c r="K90" s="666">
        <f t="shared" si="0"/>
        <v>2.0437956204379564E-3</v>
      </c>
    </row>
    <row r="91" spans="3:11" ht="39" thickBot="1">
      <c r="C91" s="663" t="s">
        <v>37</v>
      </c>
      <c r="D91" s="664" t="s">
        <v>5497</v>
      </c>
      <c r="E91" s="667" t="s">
        <v>5497</v>
      </c>
      <c r="F91" s="664">
        <v>12</v>
      </c>
      <c r="G91" s="666">
        <v>2.8215377380672465E-3</v>
      </c>
      <c r="H91" s="664">
        <v>202</v>
      </c>
      <c r="I91" s="666">
        <v>2.9666617711851962E-2</v>
      </c>
      <c r="J91" s="664">
        <f>'строго ИБ'!N101</f>
        <v>245</v>
      </c>
      <c r="K91" s="666">
        <f t="shared" si="0"/>
        <v>2.3844282238442822E-2</v>
      </c>
    </row>
    <row r="92" spans="3:11" ht="58" thickBot="1">
      <c r="C92" s="663" t="s">
        <v>39</v>
      </c>
      <c r="D92" s="664" t="s">
        <v>5497</v>
      </c>
      <c r="E92" s="667" t="s">
        <v>5497</v>
      </c>
      <c r="F92" s="664" t="s">
        <v>5497</v>
      </c>
      <c r="G92" s="667" t="s">
        <v>5497</v>
      </c>
      <c r="H92" s="664">
        <v>6</v>
      </c>
      <c r="I92" s="666">
        <v>8.8118666470847408E-4</v>
      </c>
      <c r="J92" s="664">
        <f>'строго ИБ'!N103</f>
        <v>18</v>
      </c>
      <c r="K92" s="666">
        <f t="shared" si="0"/>
        <v>1.7518248175182481E-3</v>
      </c>
    </row>
    <row r="93" spans="3:11" ht="20" thickBot="1">
      <c r="C93" s="629" t="s">
        <v>5503</v>
      </c>
      <c r="D93" s="664">
        <v>372</v>
      </c>
      <c r="E93" s="665">
        <v>4</v>
      </c>
      <c r="F93" s="664">
        <v>189</v>
      </c>
      <c r="G93" s="666">
        <v>4.4439219374559136E-2</v>
      </c>
      <c r="H93" s="664">
        <v>94</v>
      </c>
      <c r="I93" s="666">
        <v>1.3805257747099427E-2</v>
      </c>
      <c r="J93" s="664">
        <f>'строго ИБ'!N105</f>
        <v>136</v>
      </c>
      <c r="K93" s="666">
        <f t="shared" si="0"/>
        <v>1.3236009732360098E-2</v>
      </c>
    </row>
    <row r="94" spans="3:11" ht="20" thickBot="1">
      <c r="C94" s="626" t="s">
        <v>5504</v>
      </c>
      <c r="D94" s="662" t="s">
        <v>5797</v>
      </c>
      <c r="E94" s="668">
        <v>1</v>
      </c>
      <c r="F94" s="669">
        <v>4253</v>
      </c>
      <c r="G94" s="670">
        <v>0.99999999999999978</v>
      </c>
      <c r="H94" s="669">
        <v>6809</v>
      </c>
      <c r="I94" s="670">
        <v>0.99999999999999989</v>
      </c>
      <c r="J94" s="669">
        <f>SUM(J74:J93)</f>
        <v>10275</v>
      </c>
      <c r="K94" s="670">
        <v>0.99999999999999989</v>
      </c>
    </row>
  </sheetData>
  <mergeCells count="10">
    <mergeCell ref="J72:K72"/>
    <mergeCell ref="C71:K71"/>
    <mergeCell ref="D72:E72"/>
    <mergeCell ref="F72:G72"/>
    <mergeCell ref="H72:I72"/>
    <mergeCell ref="C41:H41"/>
    <mergeCell ref="C56:H56"/>
    <mergeCell ref="C2:H2"/>
    <mergeCell ref="C13:H13"/>
    <mergeCell ref="C27:H2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K516"/>
  <sheetViews>
    <sheetView zoomScale="70" zoomScaleNormal="70" workbookViewId="0">
      <pane xSplit="4" ySplit="2" topLeftCell="E3" activePane="bottomRight" state="frozen"/>
      <selection pane="topRight" activeCell="E1" sqref="E1"/>
      <selection pane="bottomLeft" activeCell="A3" sqref="A3"/>
      <selection pane="bottomRight" activeCell="F39" sqref="F39"/>
    </sheetView>
  </sheetViews>
  <sheetFormatPr baseColWidth="10" defaultColWidth="8.83203125" defaultRowHeight="15"/>
  <cols>
    <col min="1" max="1" width="47" customWidth="1"/>
    <col min="2" max="2" width="12.6640625" customWidth="1"/>
    <col min="3" max="3" width="12.1640625" customWidth="1"/>
    <col min="4" max="4" width="8.6640625" style="675"/>
  </cols>
  <sheetData>
    <row r="1" spans="1:89" ht="16" thickBot="1">
      <c r="E1" s="135" t="s">
        <v>5385</v>
      </c>
      <c r="F1" s="136" t="s">
        <v>5386</v>
      </c>
      <c r="G1" s="137" t="s">
        <v>5388</v>
      </c>
      <c r="H1" s="137" t="s">
        <v>5389</v>
      </c>
      <c r="I1" s="136" t="s">
        <v>5390</v>
      </c>
      <c r="J1" s="136" t="s">
        <v>5391</v>
      </c>
      <c r="K1" s="136" t="s">
        <v>5392</v>
      </c>
      <c r="L1" s="132" t="s">
        <v>5394</v>
      </c>
      <c r="M1" s="132" t="s">
        <v>5395</v>
      </c>
      <c r="N1" s="132" t="s">
        <v>5393</v>
      </c>
      <c r="O1" s="132" t="s">
        <v>5396</v>
      </c>
      <c r="P1" s="671" t="s">
        <v>5398</v>
      </c>
      <c r="Q1" s="671" t="s">
        <v>5397</v>
      </c>
      <c r="R1" s="671" t="s">
        <v>5399</v>
      </c>
      <c r="S1" s="158" t="s">
        <v>5400</v>
      </c>
      <c r="T1" s="158" t="s">
        <v>5401</v>
      </c>
      <c r="U1" s="671" t="s">
        <v>5402</v>
      </c>
      <c r="V1" s="158" t="s">
        <v>5403</v>
      </c>
      <c r="W1" s="158" t="s">
        <v>5404</v>
      </c>
      <c r="X1" s="671" t="s">
        <v>5405</v>
      </c>
      <c r="Y1" s="671" t="s">
        <v>5406</v>
      </c>
      <c r="Z1" s="132" t="s">
        <v>5407</v>
      </c>
      <c r="AA1" s="132" t="s">
        <v>5408</v>
      </c>
      <c r="AB1" s="132" t="s">
        <v>5409</v>
      </c>
      <c r="AC1" s="164" t="s">
        <v>5410</v>
      </c>
      <c r="AD1" s="164" t="s">
        <v>5411</v>
      </c>
      <c r="AE1" s="132" t="s">
        <v>5412</v>
      </c>
      <c r="AF1" s="132" t="s">
        <v>5413</v>
      </c>
      <c r="AG1" s="132" t="s">
        <v>5414</v>
      </c>
      <c r="AH1" s="132" t="s">
        <v>5415</v>
      </c>
      <c r="AI1" s="132" t="s">
        <v>5416</v>
      </c>
      <c r="AJ1" s="132" t="s">
        <v>5417</v>
      </c>
      <c r="AK1" s="132" t="s">
        <v>5418</v>
      </c>
      <c r="AL1" s="132" t="s">
        <v>5419</v>
      </c>
      <c r="AM1" s="132" t="s">
        <v>5420</v>
      </c>
      <c r="AN1" s="164" t="s">
        <v>5421</v>
      </c>
      <c r="AO1" s="132" t="s">
        <v>5422</v>
      </c>
      <c r="AP1" s="132" t="s">
        <v>5423</v>
      </c>
      <c r="AQ1" s="164" t="s">
        <v>5424</v>
      </c>
      <c r="AR1" s="132" t="s">
        <v>5425</v>
      </c>
      <c r="AS1" s="164" t="s">
        <v>5426</v>
      </c>
      <c r="AT1" s="164" t="s">
        <v>5427</v>
      </c>
      <c r="AU1" s="132" t="s">
        <v>5428</v>
      </c>
      <c r="AV1" s="132" t="s">
        <v>5429</v>
      </c>
      <c r="AW1" s="132" t="s">
        <v>5430</v>
      </c>
      <c r="AX1" s="132" t="s">
        <v>5431</v>
      </c>
      <c r="AY1" s="132" t="s">
        <v>5432</v>
      </c>
      <c r="AZ1" s="132" t="s">
        <v>5433</v>
      </c>
      <c r="BA1" s="132" t="s">
        <v>5434</v>
      </c>
      <c r="BB1" s="132" t="s">
        <v>5435</v>
      </c>
      <c r="BC1" s="132" t="s">
        <v>5436</v>
      </c>
      <c r="BD1" s="132" t="s">
        <v>5437</v>
      </c>
      <c r="BE1" s="132" t="s">
        <v>5438</v>
      </c>
      <c r="BF1" s="164" t="s">
        <v>5439</v>
      </c>
      <c r="BG1" s="132" t="s">
        <v>5440</v>
      </c>
      <c r="BH1" s="132" t="s">
        <v>5441</v>
      </c>
      <c r="BI1" s="132" t="s">
        <v>5442</v>
      </c>
      <c r="BJ1" s="132" t="s">
        <v>5443</v>
      </c>
      <c r="BK1" s="132" t="s">
        <v>5444</v>
      </c>
      <c r="BL1" s="132" t="s">
        <v>5445</v>
      </c>
      <c r="BM1" s="132" t="s">
        <v>5446</v>
      </c>
      <c r="BN1" s="132" t="s">
        <v>5447</v>
      </c>
      <c r="BO1" s="132" t="s">
        <v>5448</v>
      </c>
      <c r="BP1" s="164" t="s">
        <v>5449</v>
      </c>
      <c r="BQ1" s="164" t="s">
        <v>5450</v>
      </c>
      <c r="BR1" s="132" t="s">
        <v>5451</v>
      </c>
      <c r="BS1" s="132" t="s">
        <v>5452</v>
      </c>
      <c r="BT1" s="132" t="s">
        <v>5453</v>
      </c>
      <c r="BU1" s="132" t="s">
        <v>5454</v>
      </c>
      <c r="BV1" s="132" t="s">
        <v>5455</v>
      </c>
      <c r="BW1" s="132" t="s">
        <v>5456</v>
      </c>
      <c r="BX1" s="132" t="s">
        <v>5457</v>
      </c>
      <c r="BY1" s="164" t="s">
        <v>5458</v>
      </c>
      <c r="BZ1" s="132" t="s">
        <v>5459</v>
      </c>
      <c r="CA1" s="132" t="s">
        <v>5460</v>
      </c>
      <c r="CB1" s="132" t="s">
        <v>5461</v>
      </c>
      <c r="CC1" s="132" t="s">
        <v>5462</v>
      </c>
      <c r="CD1" s="164" t="s">
        <v>5463</v>
      </c>
      <c r="CE1" s="132" t="s">
        <v>5464</v>
      </c>
      <c r="CF1" s="132" t="s">
        <v>5465</v>
      </c>
      <c r="CG1" s="164" t="s">
        <v>5466</v>
      </c>
      <c r="CH1" s="132" t="s">
        <v>5467</v>
      </c>
      <c r="CI1" s="132" t="s">
        <v>5468</v>
      </c>
      <c r="CJ1" s="132" t="s">
        <v>5469</v>
      </c>
      <c r="CK1" s="132" t="s">
        <v>5470</v>
      </c>
    </row>
    <row r="2" spans="1:89" ht="71" thickBot="1">
      <c r="D2" s="675">
        <v>2019</v>
      </c>
      <c r="E2" s="112" t="s">
        <v>192</v>
      </c>
      <c r="F2" s="112" t="s">
        <v>5387</v>
      </c>
      <c r="G2" s="112" t="s">
        <v>194</v>
      </c>
      <c r="H2" s="112" t="s">
        <v>195</v>
      </c>
      <c r="I2" s="112" t="s">
        <v>196</v>
      </c>
      <c r="J2" s="112" t="s">
        <v>197</v>
      </c>
      <c r="K2" s="112" t="s">
        <v>198</v>
      </c>
      <c r="L2" s="112" t="s">
        <v>199</v>
      </c>
      <c r="M2" s="112" t="s">
        <v>200</v>
      </c>
      <c r="N2" s="112" t="s">
        <v>201</v>
      </c>
      <c r="O2" s="112" t="s">
        <v>202</v>
      </c>
      <c r="P2" s="112" t="s">
        <v>203</v>
      </c>
      <c r="Q2" s="112" t="s">
        <v>204</v>
      </c>
      <c r="R2" s="112" t="s">
        <v>205</v>
      </c>
      <c r="S2" s="159" t="s">
        <v>206</v>
      </c>
      <c r="T2" s="159" t="s">
        <v>207</v>
      </c>
      <c r="U2" s="112" t="s">
        <v>208</v>
      </c>
      <c r="V2" s="159" t="s">
        <v>209</v>
      </c>
      <c r="W2" s="159" t="s">
        <v>210</v>
      </c>
      <c r="X2" s="112" t="s">
        <v>211</v>
      </c>
      <c r="Y2" s="112" t="s">
        <v>212</v>
      </c>
      <c r="Z2" s="112" t="s">
        <v>213</v>
      </c>
      <c r="AA2" s="112" t="s">
        <v>214</v>
      </c>
      <c r="AB2" s="105" t="s">
        <v>215</v>
      </c>
      <c r="AC2" s="165" t="s">
        <v>216</v>
      </c>
      <c r="AD2" s="165" t="s">
        <v>217</v>
      </c>
      <c r="AE2" s="105" t="s">
        <v>218</v>
      </c>
      <c r="AF2" s="105" t="s">
        <v>219</v>
      </c>
      <c r="AG2" s="105" t="s">
        <v>220</v>
      </c>
      <c r="AH2" s="105" t="s">
        <v>221</v>
      </c>
      <c r="AI2" s="105" t="s">
        <v>222</v>
      </c>
      <c r="AJ2" s="105" t="s">
        <v>223</v>
      </c>
      <c r="AK2" s="105" t="s">
        <v>224</v>
      </c>
      <c r="AL2" s="105" t="s">
        <v>225</v>
      </c>
      <c r="AM2" s="105" t="s">
        <v>226</v>
      </c>
      <c r="AN2" s="165" t="s">
        <v>227</v>
      </c>
      <c r="AO2" s="105" t="s">
        <v>228</v>
      </c>
      <c r="AP2" s="105" t="s">
        <v>229</v>
      </c>
      <c r="AQ2" s="165" t="s">
        <v>230</v>
      </c>
      <c r="AR2" s="105" t="s">
        <v>231</v>
      </c>
      <c r="AS2" s="165" t="s">
        <v>232</v>
      </c>
      <c r="AT2" s="165" t="s">
        <v>233</v>
      </c>
      <c r="AU2" s="105" t="s">
        <v>234</v>
      </c>
      <c r="AV2" s="105" t="s">
        <v>235</v>
      </c>
      <c r="AW2" s="105" t="s">
        <v>236</v>
      </c>
      <c r="AX2" s="105" t="s">
        <v>237</v>
      </c>
      <c r="AY2" s="105" t="s">
        <v>238</v>
      </c>
      <c r="AZ2" s="105" t="s">
        <v>239</v>
      </c>
      <c r="BA2" s="105" t="s">
        <v>240</v>
      </c>
      <c r="BB2" s="105" t="s">
        <v>241</v>
      </c>
      <c r="BC2" s="105" t="s">
        <v>242</v>
      </c>
      <c r="BD2" s="105" t="s">
        <v>243</v>
      </c>
      <c r="BE2" s="105" t="s">
        <v>244</v>
      </c>
      <c r="BF2" s="165" t="s">
        <v>245</v>
      </c>
      <c r="BG2" s="105" t="s">
        <v>246</v>
      </c>
      <c r="BH2" s="105" t="s">
        <v>247</v>
      </c>
      <c r="BI2" s="105" t="s">
        <v>248</v>
      </c>
      <c r="BJ2" s="105" t="s">
        <v>249</v>
      </c>
      <c r="BK2" s="105" t="s">
        <v>250</v>
      </c>
      <c r="BL2" s="105" t="s">
        <v>251</v>
      </c>
      <c r="BM2" s="105" t="s">
        <v>252</v>
      </c>
      <c r="BN2" s="105" t="s">
        <v>253</v>
      </c>
      <c r="BO2" s="105" t="s">
        <v>254</v>
      </c>
      <c r="BP2" s="165" t="s">
        <v>255</v>
      </c>
      <c r="BQ2" s="165" t="s">
        <v>256</v>
      </c>
      <c r="BR2" s="105" t="s">
        <v>257</v>
      </c>
      <c r="BS2" s="105" t="s">
        <v>258</v>
      </c>
      <c r="BT2" s="105" t="s">
        <v>259</v>
      </c>
      <c r="BU2" s="105" t="s">
        <v>260</v>
      </c>
      <c r="BV2" s="105" t="s">
        <v>261</v>
      </c>
      <c r="BW2" s="105" t="s">
        <v>262</v>
      </c>
      <c r="BX2" s="105" t="s">
        <v>263</v>
      </c>
      <c r="BY2" s="165" t="s">
        <v>264</v>
      </c>
      <c r="BZ2" s="105" t="s">
        <v>265</v>
      </c>
      <c r="CA2" s="105" t="s">
        <v>266</v>
      </c>
      <c r="CB2" s="105" t="s">
        <v>267</v>
      </c>
      <c r="CC2" s="105" t="s">
        <v>268</v>
      </c>
      <c r="CD2" s="165" t="s">
        <v>269</v>
      </c>
      <c r="CE2" s="105" t="s">
        <v>270</v>
      </c>
      <c r="CF2" s="105" t="s">
        <v>271</v>
      </c>
      <c r="CG2" s="165" t="s">
        <v>272</v>
      </c>
      <c r="CH2" s="105" t="s">
        <v>273</v>
      </c>
      <c r="CI2" s="105" t="s">
        <v>274</v>
      </c>
      <c r="CJ2" s="105" t="s">
        <v>275</v>
      </c>
      <c r="CK2" s="105" t="s">
        <v>276</v>
      </c>
    </row>
    <row r="4" spans="1:89" ht="47" customHeight="1">
      <c r="A4" s="672" t="s">
        <v>5853</v>
      </c>
      <c r="B4" s="436" t="s">
        <v>4958</v>
      </c>
      <c r="C4" s="674" t="s">
        <v>4961</v>
      </c>
      <c r="D4" s="675">
        <f>SUM(E4:CK4)</f>
        <v>69</v>
      </c>
      <c r="E4">
        <f>COUNTIFS('свод практик'!$J$6:$J$277,E$1,'свод практик'!$B$6:$B$277,"смежная")</f>
        <v>0</v>
      </c>
      <c r="F4" s="104">
        <f>COUNTIFS('свод практик'!$J$6:$J$277,F$1,'свод практик'!$B$6:$B$277,"смежная")</f>
        <v>2</v>
      </c>
      <c r="G4" s="104">
        <f>COUNTIFS('свод практик'!$J$6:$J$277,G$1,'свод практик'!$B$6:$B$277,"смежная")</f>
        <v>0</v>
      </c>
      <c r="H4" s="104">
        <f>COUNTIFS('свод практик'!$J$6:$J$277,H$1,'свод практик'!$B$6:$B$277,"смежная")</f>
        <v>0</v>
      </c>
      <c r="I4" s="104">
        <f>COUNTIFS('свод практик'!$J$6:$J$277,I$1,'свод практик'!$B$6:$B$277,"смежная")</f>
        <v>1</v>
      </c>
      <c r="J4" s="104">
        <f>COUNTIFS('свод практик'!$J$6:$J$277,J$1,'свод практик'!$B$6:$B$277,"смежная")</f>
        <v>1</v>
      </c>
      <c r="K4" s="104">
        <f>COUNTIFS('свод практик'!$J$6:$J$277,K$1,'свод практик'!$B$6:$B$277,"смежная")</f>
        <v>1</v>
      </c>
      <c r="L4" s="104">
        <f>COUNTIFS('свод практик'!$J$6:$J$277,L$1,'свод практик'!$B$6:$B$277,"смежная")</f>
        <v>3</v>
      </c>
      <c r="M4" s="104">
        <f>COUNTIFS('свод практик'!$J$6:$J$277,M$1,'свод практик'!$B$6:$B$277,"смежная")</f>
        <v>0</v>
      </c>
      <c r="N4" s="104">
        <f>COUNTIFS('свод практик'!$J$6:$J$277,N$1,'свод практик'!$B$6:$B$277,"смежная")</f>
        <v>1</v>
      </c>
      <c r="O4" s="104">
        <f>COUNTIFS('свод практик'!$J$6:$J$277,O$1,'свод практик'!$B$6:$B$277,"смежная")</f>
        <v>3</v>
      </c>
      <c r="P4" s="104">
        <f>COUNTIFS('свод практик'!$J$6:$J$277,P$1,'свод практик'!$B$6:$B$277,"смежная")</f>
        <v>0</v>
      </c>
      <c r="Q4" s="104">
        <f>COUNTIFS('свод практик'!$J$6:$J$277,Q$1,'свод практик'!$B$6:$B$277,"смежная")</f>
        <v>0</v>
      </c>
      <c r="R4" s="104">
        <f>COUNTIFS('свод практик'!$J$6:$J$277,R$1,'свод практик'!$B$6:$B$277,"смежная")</f>
        <v>2</v>
      </c>
      <c r="S4" s="104">
        <f>COUNTIFS('свод практик'!$J$6:$J$277,S$1,'свод практик'!$B$6:$B$277,"смежная")</f>
        <v>0</v>
      </c>
      <c r="T4" s="104">
        <f>COUNTIFS('свод практик'!$J$6:$J$277,T$1,'свод практик'!$B$6:$B$277,"смежная")</f>
        <v>0</v>
      </c>
      <c r="U4" s="104">
        <f>COUNTIFS('свод практик'!$J$6:$J$277,U$1,'свод практик'!$B$6:$B$277,"смежная")</f>
        <v>1</v>
      </c>
      <c r="V4" s="104">
        <f>COUNTIFS('свод практик'!$J$6:$J$277,V$1,'свод практик'!$B$6:$B$277,"смежная")</f>
        <v>0</v>
      </c>
      <c r="W4" s="104">
        <f>COUNTIFS('свод практик'!$J$6:$J$277,W$1,'свод практик'!$B$6:$B$277,"смежная")</f>
        <v>0</v>
      </c>
      <c r="X4" s="104">
        <f>COUNTIFS('свод практик'!$J$6:$J$277,X$1,'свод практик'!$B$6:$B$277,"смежная")</f>
        <v>1</v>
      </c>
      <c r="Y4" s="104">
        <f>COUNTIFS('свод практик'!$J$6:$J$277,Y$1,'свод практик'!$B$6:$B$277,"смежная")</f>
        <v>1</v>
      </c>
      <c r="Z4" s="104">
        <f>COUNTIFS('свод практик'!$J$6:$J$277,Z$1,'свод практик'!$B$6:$B$277,"смежная")</f>
        <v>2</v>
      </c>
      <c r="AA4" s="104">
        <f>COUNTIFS('свод практик'!$J$6:$J$277,AA$1,'свод практик'!$B$6:$B$277,"смежная")</f>
        <v>0</v>
      </c>
      <c r="AB4" s="104">
        <f>COUNTIFS('свод практик'!$J$6:$J$277,AB$1,'свод практик'!$B$6:$B$277,"смежная")</f>
        <v>0</v>
      </c>
      <c r="AC4" s="104">
        <f>COUNTIFS('свод практик'!$J$6:$J$277,AC$1,'свод практик'!$B$6:$B$277,"смежная")</f>
        <v>0</v>
      </c>
      <c r="AD4" s="104">
        <f>COUNTIFS('свод практик'!$J$6:$J$277,AD$1,'свод практик'!$B$6:$B$277,"смежная")</f>
        <v>0</v>
      </c>
      <c r="AE4" s="104">
        <f>COUNTIFS('свод практик'!$J$6:$J$277,AE$1,'свод практик'!$B$6:$B$277,"смежная")</f>
        <v>1</v>
      </c>
      <c r="AF4" s="104">
        <f>COUNTIFS('свод практик'!$J$6:$J$277,AF$1,'свод практик'!$B$6:$B$277,"смежная")</f>
        <v>0</v>
      </c>
      <c r="AG4" s="104">
        <f>COUNTIFS('свод практик'!$J$6:$J$277,AG$1,'свод практик'!$B$6:$B$277,"смежная")</f>
        <v>1</v>
      </c>
      <c r="AH4" s="104">
        <f>COUNTIFS('свод практик'!$J$6:$J$277,AH$1,'свод практик'!$B$6:$B$277,"смежная")</f>
        <v>0</v>
      </c>
      <c r="AI4" s="104">
        <f>COUNTIFS('свод практик'!$J$6:$J$277,AI$1,'свод практик'!$B$6:$B$277,"смежная")</f>
        <v>3</v>
      </c>
      <c r="AJ4" s="104">
        <f>COUNTIFS('свод практик'!$J$6:$J$277,AJ$1,'свод практик'!$B$6:$B$277,"смежная")</f>
        <v>1</v>
      </c>
      <c r="AK4" s="104">
        <f>COUNTIFS('свод практик'!$J$6:$J$277,AK$1,'свод практик'!$B$6:$B$277,"смежная")</f>
        <v>0</v>
      </c>
      <c r="AL4" s="104">
        <f>COUNTIFS('свод практик'!$J$6:$J$277,AL$1,'свод практик'!$B$6:$B$277,"смежная")</f>
        <v>3</v>
      </c>
      <c r="AM4" s="104">
        <f>COUNTIFS('свод практик'!$J$6:$J$277,AM$1,'свод практик'!$B$6:$B$277,"смежная")</f>
        <v>2</v>
      </c>
      <c r="AN4" s="104">
        <f>COUNTIFS('свод практик'!$J$6:$J$277,AN$1,'свод практик'!$B$6:$B$277,"смежная")</f>
        <v>0</v>
      </c>
      <c r="AO4" s="104">
        <f>COUNTIFS('свод практик'!$J$6:$J$277,AO$1,'свод практик'!$B$6:$B$277,"смежная")</f>
        <v>2</v>
      </c>
      <c r="AP4" s="104">
        <f>COUNTIFS('свод практик'!$J$6:$J$277,AP$1,'свод практик'!$B$6:$B$277,"смежная")</f>
        <v>2</v>
      </c>
      <c r="AQ4" s="104">
        <f>COUNTIFS('свод практик'!$J$6:$J$277,AQ$1,'свод практик'!$B$6:$B$277,"смежная")</f>
        <v>0</v>
      </c>
      <c r="AR4" s="104">
        <f>COUNTIFS('свод практик'!$J$6:$J$277,AR$1,'свод практик'!$B$6:$B$277,"смежная")</f>
        <v>0</v>
      </c>
      <c r="AS4" s="104">
        <f>COUNTIFS('свод практик'!$J$6:$J$277,AS$1,'свод практик'!$B$6:$B$277,"смежная")</f>
        <v>0</v>
      </c>
      <c r="AT4" s="104">
        <f>COUNTIFS('свод практик'!$J$6:$J$277,AT$1,'свод практик'!$B$6:$B$277,"смежная")</f>
        <v>0</v>
      </c>
      <c r="AU4" s="104">
        <f>COUNTIFS('свод практик'!$J$6:$J$277,AU$1,'свод практик'!$B$6:$B$277,"смежная")</f>
        <v>0</v>
      </c>
      <c r="AV4" s="104">
        <f>COUNTIFS('свод практик'!$J$6:$J$277,AV$1,'свод практик'!$B$6:$B$277,"смежная")</f>
        <v>0</v>
      </c>
      <c r="AW4" s="104">
        <f>COUNTIFS('свод практик'!$J$6:$J$277,AW$1,'свод практик'!$B$6:$B$277,"смежная")</f>
        <v>0</v>
      </c>
      <c r="AX4" s="104">
        <f>COUNTIFS('свод практик'!$J$6:$J$277,AX$1,'свод практик'!$B$6:$B$277,"смежная")</f>
        <v>0</v>
      </c>
      <c r="AY4" s="104">
        <f>COUNTIFS('свод практик'!$J$6:$J$277,AY$1,'свод практик'!$B$6:$B$277,"смежная")</f>
        <v>4</v>
      </c>
      <c r="AZ4" s="104">
        <f>COUNTIFS('свод практик'!$J$6:$J$277,AZ$1,'свод практик'!$B$6:$B$277,"смежная")</f>
        <v>0</v>
      </c>
      <c r="BA4" s="104">
        <f>COUNTIFS('свод практик'!$J$6:$J$277,BA$1,'свод практик'!$B$6:$B$277,"смежная")</f>
        <v>1</v>
      </c>
      <c r="BB4" s="104">
        <f>COUNTIFS('свод практик'!$J$6:$J$277,BB$1,'свод практик'!$B$6:$B$277,"смежная")</f>
        <v>0</v>
      </c>
      <c r="BC4" s="104">
        <f>COUNTIFS('свод практик'!$J$6:$J$277,BC$1,'свод практик'!$B$6:$B$277,"смежная")</f>
        <v>1</v>
      </c>
      <c r="BD4" s="104">
        <f>COUNTIFS('свод практик'!$J$6:$J$277,BD$1,'свод практик'!$B$6:$B$277,"смежная")</f>
        <v>2</v>
      </c>
      <c r="BE4" s="104">
        <f>COUNTIFS('свод практик'!$J$6:$J$277,BE$1,'свод практик'!$B$6:$B$277,"смежная")</f>
        <v>0</v>
      </c>
      <c r="BF4" s="104">
        <f>COUNTIFS('свод практик'!$J$6:$J$277,BF$1,'свод практик'!$B$6:$B$277,"смежная")</f>
        <v>0</v>
      </c>
      <c r="BG4" s="104">
        <f>COUNTIFS('свод практик'!$J$6:$J$277,BG$1,'свод практик'!$B$6:$B$277,"смежная")</f>
        <v>1</v>
      </c>
      <c r="BH4" s="104">
        <f>COUNTIFS('свод практик'!$J$6:$J$277,BH$1,'свод практик'!$B$6:$B$277,"смежная")</f>
        <v>1</v>
      </c>
      <c r="BI4" s="104">
        <f>COUNTIFS('свод практик'!$J$6:$J$277,BI$1,'свод практик'!$B$6:$B$277,"смежная")</f>
        <v>1</v>
      </c>
      <c r="BJ4" s="104">
        <f>COUNTIFS('свод практик'!$J$6:$J$277,BJ$1,'свод практик'!$B$6:$B$277,"смежная")</f>
        <v>5</v>
      </c>
      <c r="BK4" s="104">
        <f>COUNTIFS('свод практик'!$J$6:$J$277,BK$1,'свод практик'!$B$6:$B$277,"смежная")</f>
        <v>0</v>
      </c>
      <c r="BL4" s="104">
        <f>COUNTIFS('свод практик'!$J$6:$J$277,BL$1,'свод практик'!$B$6:$B$277,"смежная")</f>
        <v>0</v>
      </c>
      <c r="BM4" s="104">
        <f>COUNTIFS('свод практик'!$J$6:$J$277,BM$1,'свод практик'!$B$6:$B$277,"смежная")</f>
        <v>0</v>
      </c>
      <c r="BN4" s="104">
        <f>COUNTIFS('свод практик'!$J$6:$J$277,BN$1,'свод практик'!$B$6:$B$277,"смежная")</f>
        <v>0</v>
      </c>
      <c r="BO4" s="104">
        <f>COUNTIFS('свод практик'!$J$6:$J$277,BO$1,'свод практик'!$B$6:$B$277,"смежная")</f>
        <v>2</v>
      </c>
      <c r="BP4" s="104">
        <f>COUNTIFS('свод практик'!$J$6:$J$277,BP$1,'свод практик'!$B$6:$B$277,"смежная")</f>
        <v>0</v>
      </c>
      <c r="BQ4" s="104">
        <f>COUNTIFS('свод практик'!$J$6:$J$277,BQ$1,'свод практик'!$B$6:$B$277,"смежная")</f>
        <v>0</v>
      </c>
      <c r="BR4" s="104">
        <f>COUNTIFS('свод практик'!$J$6:$J$277,BR$1,'свод практик'!$B$6:$B$277,"смежная")</f>
        <v>1</v>
      </c>
      <c r="BS4" s="104">
        <f>COUNTIFS('свод практик'!$J$6:$J$277,BS$1,'свод практик'!$B$6:$B$277,"смежная")</f>
        <v>1</v>
      </c>
      <c r="BT4" s="104">
        <f>COUNTIFS('свод практик'!$J$6:$J$277,BT$1,'свод практик'!$B$6:$B$277,"смежная")</f>
        <v>1</v>
      </c>
      <c r="BU4" s="104">
        <f>COUNTIFS('свод практик'!$J$6:$J$277,BU$1,'свод практик'!$B$6:$B$277,"смежная")</f>
        <v>3</v>
      </c>
      <c r="BV4" s="104">
        <f>COUNTIFS('свод практик'!$J$6:$J$277,BV$1,'свод практик'!$B$6:$B$277,"смежная")</f>
        <v>0</v>
      </c>
      <c r="BW4" s="104">
        <f>COUNTIFS('свод практик'!$J$6:$J$277,BW$1,'свод практик'!$B$6:$B$277,"смежная")</f>
        <v>0</v>
      </c>
      <c r="BX4" s="104">
        <f>COUNTIFS('свод практик'!$J$6:$J$277,BX$1,'свод практик'!$B$6:$B$277,"смежная")</f>
        <v>0</v>
      </c>
      <c r="BY4" s="104">
        <f>COUNTIFS('свод практик'!$J$6:$J$277,BY$1,'свод практик'!$B$6:$B$277,"смежная")</f>
        <v>0</v>
      </c>
      <c r="BZ4" s="104">
        <f>COUNTIFS('свод практик'!$J$6:$J$277,BZ$1,'свод практик'!$B$6:$B$277,"смежная")</f>
        <v>2</v>
      </c>
      <c r="CA4" s="104">
        <f>COUNTIFS('свод практик'!$J$6:$J$277,CA$1,'свод практик'!$B$6:$B$277,"смежная")</f>
        <v>0</v>
      </c>
      <c r="CB4" s="104">
        <f>COUNTIFS('свод практик'!$J$6:$J$277,CB$1,'свод практик'!$B$6:$B$277,"смежная")</f>
        <v>0</v>
      </c>
      <c r="CC4" s="104">
        <f>COUNTIFS('свод практик'!$J$6:$J$277,CC$1,'свод практик'!$B$6:$B$277,"смежная")</f>
        <v>1</v>
      </c>
      <c r="CD4" s="104">
        <f>COUNTIFS('свод практик'!$J$6:$J$277,CD$1,'свод практик'!$B$6:$B$277,"смежная")</f>
        <v>0</v>
      </c>
      <c r="CE4" s="104">
        <f>COUNTIFS('свод практик'!$J$6:$J$277,CE$1,'свод практик'!$B$6:$B$277,"смежная")</f>
        <v>6</v>
      </c>
      <c r="CF4" s="104">
        <f>COUNTIFS('свод практик'!$J$6:$J$277,CF$1,'свод практик'!$B$6:$B$277,"смежная")</f>
        <v>1</v>
      </c>
      <c r="CG4" s="104">
        <f>COUNTIFS('свод практик'!$J$6:$J$277,CG$1,'свод практик'!$B$6:$B$277,"смежная")</f>
        <v>0</v>
      </c>
      <c r="CH4" s="104">
        <f>COUNTIFS('свод практик'!$J$6:$J$277,CH$1,'свод практик'!$B$6:$B$277,"смежная")</f>
        <v>1</v>
      </c>
      <c r="CI4" s="104">
        <f>COUNTIFS('свод практик'!$J$6:$J$277,CI$1,'свод практик'!$B$6:$B$277,"смежная")</f>
        <v>0</v>
      </c>
      <c r="CJ4" s="104">
        <f>COUNTIFS('свод практик'!$J$6:$J$277,CJ$1,'свод практик'!$B$6:$B$277,"смежная")</f>
        <v>0</v>
      </c>
      <c r="CK4" s="104">
        <f>COUNTIFS('свод практик'!$J$6:$J$277,CK$1,'свод практик'!$B$6:$B$277,"смежная")</f>
        <v>0</v>
      </c>
    </row>
    <row r="5" spans="1:89" ht="28" customHeight="1">
      <c r="A5" s="844" t="s">
        <v>5854</v>
      </c>
      <c r="B5" s="844"/>
      <c r="C5" s="844"/>
    </row>
    <row r="6" spans="1:89">
      <c r="A6" s="676" t="s">
        <v>5340</v>
      </c>
      <c r="D6" s="675">
        <f>SUM(E6:CK6)</f>
        <v>1</v>
      </c>
      <c r="E6">
        <f>COUNTIFS('свод практик'!$J$6:$J$277,E$1,'свод практик'!$C$6:$C$277,"инициативные комиссии")</f>
        <v>0</v>
      </c>
      <c r="F6" s="104">
        <f>COUNTIFS('свод практик'!$J$6:$J$277,F$1,'свод практик'!$C$6:$C$277,"инициативные комиссии")</f>
        <v>0</v>
      </c>
      <c r="G6" s="104">
        <f>COUNTIFS('свод практик'!$J$6:$J$277,G$1,'свод практик'!$C$6:$C$277,"инициативные комиссии")</f>
        <v>0</v>
      </c>
      <c r="H6" s="104">
        <f>COUNTIFS('свод практик'!$J$6:$J$277,H$1,'свод практик'!$C$6:$C$277,"инициативные комиссии")</f>
        <v>0</v>
      </c>
      <c r="I6" s="104">
        <f>COUNTIFS('свод практик'!$J$6:$J$277,I$1,'свод практик'!$C$6:$C$277,"инициативные комиссии")</f>
        <v>0</v>
      </c>
      <c r="J6" s="104">
        <f>COUNTIFS('свод практик'!$J$6:$J$277,J$1,'свод практик'!$C$6:$C$277,"инициативные комиссии")</f>
        <v>0</v>
      </c>
      <c r="K6" s="104">
        <f>COUNTIFS('свод практик'!$J$6:$J$277,K$1,'свод практик'!$C$6:$C$277,"инициативные комиссии")</f>
        <v>0</v>
      </c>
      <c r="L6" s="104">
        <f>COUNTIFS('свод практик'!$J$6:$J$277,L$1,'свод практик'!$C$6:$C$277,"инициативные комиссии")</f>
        <v>0</v>
      </c>
      <c r="M6" s="104">
        <f>COUNTIFS('свод практик'!$J$6:$J$277,M$1,'свод практик'!$C$6:$C$277,"инициативные комиссии")</f>
        <v>0</v>
      </c>
      <c r="N6" s="104">
        <f>COUNTIFS('свод практик'!$J$6:$J$277,N$1,'свод практик'!$C$6:$C$277,"инициативные комиссии")</f>
        <v>0</v>
      </c>
      <c r="O6" s="104">
        <f>COUNTIFS('свод практик'!$J$6:$J$277,O$1,'свод практик'!$C$6:$C$277,"инициативные комиссии")</f>
        <v>0</v>
      </c>
      <c r="P6" s="104">
        <f>COUNTIFS('свод практик'!$J$6:$J$277,P$1,'свод практик'!$C$6:$C$277,"инициативные комиссии")</f>
        <v>0</v>
      </c>
      <c r="Q6" s="104">
        <f>COUNTIFS('свод практик'!$J$6:$J$277,Q$1,'свод практик'!$C$6:$C$277,"инициативные комиссии")</f>
        <v>0</v>
      </c>
      <c r="R6" s="104">
        <f>COUNTIFS('свод практик'!$J$6:$J$277,R$1,'свод практик'!$C$6:$C$277,"инициативные комиссии")</f>
        <v>0</v>
      </c>
      <c r="S6" s="104">
        <f>COUNTIFS('свод практик'!$J$6:$J$277,S$1,'свод практик'!$C$6:$C$277,"инициативные комиссии")</f>
        <v>0</v>
      </c>
      <c r="T6" s="104">
        <f>COUNTIFS('свод практик'!$J$6:$J$277,T$1,'свод практик'!$C$6:$C$277,"инициативные комиссии")</f>
        <v>0</v>
      </c>
      <c r="U6" s="104">
        <f>COUNTIFS('свод практик'!$J$6:$J$277,U$1,'свод практик'!$C$6:$C$277,"инициативные комиссии")</f>
        <v>0</v>
      </c>
      <c r="V6" s="104">
        <f>COUNTIFS('свод практик'!$J$6:$J$277,V$1,'свод практик'!$C$6:$C$277,"инициативные комиссии")</f>
        <v>0</v>
      </c>
      <c r="W6" s="104">
        <f>COUNTIFS('свод практик'!$J$6:$J$277,W$1,'свод практик'!$C$6:$C$277,"инициативные комиссии")</f>
        <v>0</v>
      </c>
      <c r="X6" s="104">
        <f>COUNTIFS('свод практик'!$J$6:$J$277,X$1,'свод практик'!$C$6:$C$277,"инициативные комиссии")</f>
        <v>0</v>
      </c>
      <c r="Y6" s="104">
        <f>COUNTIFS('свод практик'!$J$6:$J$277,Y$1,'свод практик'!$C$6:$C$277,"инициативные комиссии")</f>
        <v>0</v>
      </c>
      <c r="Z6" s="104">
        <f>COUNTIFS('свод практик'!$J$6:$J$277,Z$1,'свод практик'!$C$6:$C$277,"инициативные комиссии")</f>
        <v>0</v>
      </c>
      <c r="AA6" s="104">
        <f>COUNTIFS('свод практик'!$J$6:$J$277,AA$1,'свод практик'!$C$6:$C$277,"инициативные комиссии")</f>
        <v>0</v>
      </c>
      <c r="AB6" s="104">
        <f>COUNTIFS('свод практик'!$J$6:$J$277,AB$1,'свод практик'!$C$6:$C$277,"инициативные комиссии")</f>
        <v>0</v>
      </c>
      <c r="AC6" s="104">
        <f>COUNTIFS('свод практик'!$J$6:$J$277,AC$1,'свод практик'!$C$6:$C$277,"инициативные комиссии")</f>
        <v>0</v>
      </c>
      <c r="AD6" s="104">
        <f>COUNTIFS('свод практик'!$J$6:$J$277,AD$1,'свод практик'!$C$6:$C$277,"инициативные комиссии")</f>
        <v>0</v>
      </c>
      <c r="AE6" s="104">
        <f>COUNTIFS('свод практик'!$J$6:$J$277,AE$1,'свод практик'!$C$6:$C$277,"инициативные комиссии")</f>
        <v>0</v>
      </c>
      <c r="AF6" s="104">
        <f>COUNTIFS('свод практик'!$J$6:$J$277,AF$1,'свод практик'!$C$6:$C$277,"инициативные комиссии")</f>
        <v>0</v>
      </c>
      <c r="AG6" s="104">
        <f>COUNTIFS('свод практик'!$J$6:$J$277,AG$1,'свод практик'!$C$6:$C$277,"инициативные комиссии")</f>
        <v>0</v>
      </c>
      <c r="AH6" s="104">
        <f>COUNTIFS('свод практик'!$J$6:$J$277,AH$1,'свод практик'!$C$6:$C$277,"инициативные комиссии")</f>
        <v>0</v>
      </c>
      <c r="AI6" s="104">
        <f>COUNTIFS('свод практик'!$J$6:$J$277,AI$1,'свод практик'!$C$6:$C$277,"инициативные комиссии")</f>
        <v>0</v>
      </c>
      <c r="AJ6" s="104">
        <f>COUNTIFS('свод практик'!$J$6:$J$277,AJ$1,'свод практик'!$C$6:$C$277,"инициативные комиссии")</f>
        <v>0</v>
      </c>
      <c r="AK6" s="104">
        <f>COUNTIFS('свод практик'!$J$6:$J$277,AK$1,'свод практик'!$C$6:$C$277,"инициативные комиссии")</f>
        <v>0</v>
      </c>
      <c r="AL6" s="104">
        <f>COUNTIFS('свод практик'!$J$6:$J$277,AL$1,'свод практик'!$C$6:$C$277,"инициативные комиссии")</f>
        <v>0</v>
      </c>
      <c r="AM6" s="104">
        <f>COUNTIFS('свод практик'!$J$6:$J$277,AM$1,'свод практик'!$C$6:$C$277,"инициативные комиссии")</f>
        <v>0</v>
      </c>
      <c r="AN6" s="104">
        <f>COUNTIFS('свод практик'!$J$6:$J$277,AN$1,'свод практик'!$C$6:$C$277,"инициативные комиссии")</f>
        <v>0</v>
      </c>
      <c r="AO6" s="104">
        <f>COUNTIFS('свод практик'!$J$6:$J$277,AO$1,'свод практик'!$C$6:$C$277,"инициативные комиссии")</f>
        <v>1</v>
      </c>
      <c r="AP6" s="104">
        <f>COUNTIFS('свод практик'!$J$6:$J$277,AP$1,'свод практик'!$C$6:$C$277,"инициативные комиссии")</f>
        <v>0</v>
      </c>
      <c r="AQ6" s="104">
        <f>COUNTIFS('свод практик'!$J$6:$J$277,AQ$1,'свод практик'!$C$6:$C$277,"инициативные комиссии")</f>
        <v>0</v>
      </c>
      <c r="AR6" s="104">
        <f>COUNTIFS('свод практик'!$J$6:$J$277,AR$1,'свод практик'!$C$6:$C$277,"инициативные комиссии")</f>
        <v>0</v>
      </c>
      <c r="AS6" s="104">
        <f>COUNTIFS('свод практик'!$J$6:$J$277,AS$1,'свод практик'!$C$6:$C$277,"инициативные комиссии")</f>
        <v>0</v>
      </c>
      <c r="AT6" s="104">
        <f>COUNTIFS('свод практик'!$J$6:$J$277,AT$1,'свод практик'!$C$6:$C$277,"инициативные комиссии")</f>
        <v>0</v>
      </c>
      <c r="AU6" s="104">
        <f>COUNTIFS('свод практик'!$J$6:$J$277,AU$1,'свод практик'!$C$6:$C$277,"инициативные комиссии")</f>
        <v>0</v>
      </c>
      <c r="AV6" s="104">
        <f>COUNTIFS('свод практик'!$J$6:$J$277,AV$1,'свод практик'!$C$6:$C$277,"инициативные комиссии")</f>
        <v>0</v>
      </c>
      <c r="AW6" s="104">
        <f>COUNTIFS('свод практик'!$J$6:$J$277,AW$1,'свод практик'!$C$6:$C$277,"инициативные комиссии")</f>
        <v>0</v>
      </c>
      <c r="AX6" s="104">
        <f>COUNTIFS('свод практик'!$J$6:$J$277,AX$1,'свод практик'!$C$6:$C$277,"инициативные комиссии")</f>
        <v>0</v>
      </c>
      <c r="AY6" s="104">
        <f>COUNTIFS('свод практик'!$J$6:$J$277,AY$1,'свод практик'!$C$6:$C$277,"инициативные комиссии")</f>
        <v>0</v>
      </c>
      <c r="AZ6" s="104">
        <f>COUNTIFS('свод практик'!$J$6:$J$277,AZ$1,'свод практик'!$C$6:$C$277,"инициативные комиссии")</f>
        <v>0</v>
      </c>
      <c r="BA6" s="104">
        <f>COUNTIFS('свод практик'!$J$6:$J$277,BA$1,'свод практик'!$C$6:$C$277,"инициативные комиссии")</f>
        <v>0</v>
      </c>
      <c r="BB6" s="104">
        <f>COUNTIFS('свод практик'!$J$6:$J$277,BB$1,'свод практик'!$C$6:$C$277,"инициативные комиссии")</f>
        <v>0</v>
      </c>
      <c r="BC6" s="104">
        <f>COUNTIFS('свод практик'!$J$6:$J$277,BC$1,'свод практик'!$C$6:$C$277,"инициативные комиссии")</f>
        <v>0</v>
      </c>
      <c r="BD6" s="104">
        <f>COUNTIFS('свод практик'!$J$6:$J$277,BD$1,'свод практик'!$C$6:$C$277,"инициативные комиссии")</f>
        <v>0</v>
      </c>
      <c r="BE6" s="104">
        <f>COUNTIFS('свод практик'!$J$6:$J$277,BE$1,'свод практик'!$C$6:$C$277,"инициативные комиссии")</f>
        <v>0</v>
      </c>
      <c r="BF6" s="104">
        <f>COUNTIFS('свод практик'!$J$6:$J$277,BF$1,'свод практик'!$C$6:$C$277,"инициативные комиссии")</f>
        <v>0</v>
      </c>
      <c r="BG6" s="104">
        <f>COUNTIFS('свод практик'!$J$6:$J$277,BG$1,'свод практик'!$C$6:$C$277,"инициативные комиссии")</f>
        <v>0</v>
      </c>
      <c r="BH6" s="104">
        <f>COUNTIFS('свод практик'!$J$6:$J$277,BH$1,'свод практик'!$C$6:$C$277,"инициативные комиссии")</f>
        <v>0</v>
      </c>
      <c r="BI6" s="104">
        <f>COUNTIFS('свод практик'!$J$6:$J$277,BI$1,'свод практик'!$C$6:$C$277,"инициативные комиссии")</f>
        <v>0</v>
      </c>
      <c r="BJ6" s="104">
        <f>COUNTIFS('свод практик'!$J$6:$J$277,BJ$1,'свод практик'!$C$6:$C$277,"инициативные комиссии")</f>
        <v>0</v>
      </c>
      <c r="BK6" s="104">
        <f>COUNTIFS('свод практик'!$J$6:$J$277,BK$1,'свод практик'!$C$6:$C$277,"инициативные комиссии")</f>
        <v>0</v>
      </c>
      <c r="BL6" s="104">
        <f>COUNTIFS('свод практик'!$J$6:$J$277,BL$1,'свод практик'!$C$6:$C$277,"инициативные комиссии")</f>
        <v>0</v>
      </c>
      <c r="BM6" s="104">
        <f>COUNTIFS('свод практик'!$J$6:$J$277,BM$1,'свод практик'!$C$6:$C$277,"инициативные комиссии")</f>
        <v>0</v>
      </c>
      <c r="BN6" s="104">
        <f>COUNTIFS('свод практик'!$J$6:$J$277,BN$1,'свод практик'!$C$6:$C$277,"инициативные комиссии")</f>
        <v>0</v>
      </c>
      <c r="BO6" s="104">
        <f>COUNTIFS('свод практик'!$J$6:$J$277,BO$1,'свод практик'!$C$6:$C$277,"инициативные комиссии")</f>
        <v>0</v>
      </c>
      <c r="BP6" s="104">
        <f>COUNTIFS('свод практик'!$J$6:$J$277,BP$1,'свод практик'!$C$6:$C$277,"инициативные комиссии")</f>
        <v>0</v>
      </c>
      <c r="BQ6" s="104">
        <f>COUNTIFS('свод практик'!$J$6:$J$277,BQ$1,'свод практик'!$C$6:$C$277,"инициативные комиссии")</f>
        <v>0</v>
      </c>
      <c r="BR6" s="104">
        <f>COUNTIFS('свод практик'!$J$6:$J$277,BR$1,'свод практик'!$C$6:$C$277,"инициативные комиссии")</f>
        <v>0</v>
      </c>
      <c r="BS6" s="104">
        <f>COUNTIFS('свод практик'!$J$6:$J$277,BS$1,'свод практик'!$C$6:$C$277,"инициативные комиссии")</f>
        <v>0</v>
      </c>
      <c r="BT6" s="104">
        <f>COUNTIFS('свод практик'!$J$6:$J$277,BT$1,'свод практик'!$C$6:$C$277,"инициативные комиссии")</f>
        <v>0</v>
      </c>
      <c r="BU6" s="104">
        <f>COUNTIFS('свод практик'!$J$6:$J$277,BU$1,'свод практик'!$C$6:$C$277,"инициативные комиссии")</f>
        <v>0</v>
      </c>
      <c r="BV6" s="104">
        <f>COUNTIFS('свод практик'!$J$6:$J$277,BV$1,'свод практик'!$C$6:$C$277,"инициативные комиссии")</f>
        <v>0</v>
      </c>
      <c r="BW6" s="104">
        <f>COUNTIFS('свод практик'!$J$6:$J$277,BW$1,'свод практик'!$C$6:$C$277,"инициативные комиссии")</f>
        <v>0</v>
      </c>
      <c r="BX6" s="104">
        <f>COUNTIFS('свод практик'!$J$6:$J$277,BX$1,'свод практик'!$C$6:$C$277,"инициативные комиссии")</f>
        <v>0</v>
      </c>
      <c r="BY6" s="104">
        <f>COUNTIFS('свод практик'!$J$6:$J$277,BY$1,'свод практик'!$C$6:$C$277,"инициативные комиссии")</f>
        <v>0</v>
      </c>
      <c r="BZ6" s="104">
        <f>COUNTIFS('свод практик'!$J$6:$J$277,BZ$1,'свод практик'!$C$6:$C$277,"инициативные комиссии")</f>
        <v>0</v>
      </c>
      <c r="CA6" s="104">
        <f>COUNTIFS('свод практик'!$J$6:$J$277,CA$1,'свод практик'!$C$6:$C$277,"инициативные комиссии")</f>
        <v>0</v>
      </c>
      <c r="CB6" s="104">
        <f>COUNTIFS('свод практик'!$J$6:$J$277,CB$1,'свод практик'!$C$6:$C$277,"инициативные комиссии")</f>
        <v>0</v>
      </c>
      <c r="CC6" s="104">
        <f>COUNTIFS('свод практик'!$J$6:$J$277,CC$1,'свод практик'!$C$6:$C$277,"инициативные комиссии")</f>
        <v>0</v>
      </c>
      <c r="CD6" s="104">
        <f>COUNTIFS('свод практик'!$J$6:$J$277,CD$1,'свод практик'!$C$6:$C$277,"инициативные комиссии")</f>
        <v>0</v>
      </c>
      <c r="CE6" s="104">
        <f>COUNTIFS('свод практик'!$J$6:$J$277,CE$1,'свод практик'!$C$6:$C$277,"инициативные комиссии")</f>
        <v>0</v>
      </c>
      <c r="CF6" s="104">
        <f>COUNTIFS('свод практик'!$J$6:$J$277,CF$1,'свод практик'!$C$6:$C$277,"инициативные комиссии")</f>
        <v>0</v>
      </c>
      <c r="CG6" s="104">
        <f>COUNTIFS('свод практик'!$J$6:$J$277,CG$1,'свод практик'!$C$6:$C$277,"инициативные комиссии")</f>
        <v>0</v>
      </c>
      <c r="CH6" s="104">
        <f>COUNTIFS('свод практик'!$J$6:$J$277,CH$1,'свод практик'!$C$6:$C$277,"инициативные комиссии")</f>
        <v>0</v>
      </c>
      <c r="CI6" s="104">
        <f>COUNTIFS('свод практик'!$J$6:$J$277,CI$1,'свод практик'!$C$6:$C$277,"инициативные комиссии")</f>
        <v>0</v>
      </c>
      <c r="CJ6" s="104">
        <f>COUNTIFS('свод практик'!$J$6:$J$277,CJ$1,'свод практик'!$C$6:$C$277,"инициативные комиссии")</f>
        <v>0</v>
      </c>
      <c r="CK6" s="104">
        <f>COUNTIFS('свод практик'!$J$6:$J$277,CK$1,'свод практик'!$C$6:$C$277,"инициативные комиссии")</f>
        <v>0</v>
      </c>
    </row>
    <row r="7" spans="1:89">
      <c r="A7" s="676" t="s">
        <v>5330</v>
      </c>
      <c r="D7" s="675">
        <f>SUM(E7:CK7)</f>
        <v>4</v>
      </c>
      <c r="E7">
        <f>COUNTIFS('свод практик'!$J$6:$J$277,E$1,'свод практик'!$C$6:$C$277,"иное")</f>
        <v>0</v>
      </c>
      <c r="F7" s="104">
        <f>COUNTIFS('свод практик'!$J$6:$J$277,F$1,'свод практик'!$C$6:$C$277,"иное")</f>
        <v>0</v>
      </c>
      <c r="G7" s="104">
        <f>COUNTIFS('свод практик'!$J$6:$J$277,G$1,'свод практик'!$C$6:$C$277,"иное")</f>
        <v>0</v>
      </c>
      <c r="H7" s="104">
        <f>COUNTIFS('свод практик'!$J$6:$J$277,H$1,'свод практик'!$C$6:$C$277,"иное")</f>
        <v>0</v>
      </c>
      <c r="I7" s="104">
        <f>COUNTIFS('свод практик'!$J$6:$J$277,I$1,'свод практик'!$C$6:$C$277,"иное")</f>
        <v>0</v>
      </c>
      <c r="J7" s="104">
        <f>COUNTIFS('свод практик'!$J$6:$J$277,J$1,'свод практик'!$C$6:$C$277,"иное")</f>
        <v>0</v>
      </c>
      <c r="K7" s="104">
        <f>COUNTIFS('свод практик'!$J$6:$J$277,K$1,'свод практик'!$C$6:$C$277,"иное")</f>
        <v>0</v>
      </c>
      <c r="L7" s="104">
        <f>COUNTIFS('свод практик'!$J$6:$J$277,L$1,'свод практик'!$C$6:$C$277,"иное")</f>
        <v>0</v>
      </c>
      <c r="M7" s="104">
        <f>COUNTIFS('свод практик'!$J$6:$J$277,M$1,'свод практик'!$C$6:$C$277,"иное")</f>
        <v>0</v>
      </c>
      <c r="N7" s="104">
        <f>COUNTIFS('свод практик'!$J$6:$J$277,N$1,'свод практик'!$C$6:$C$277,"иное")</f>
        <v>0</v>
      </c>
      <c r="O7" s="104">
        <f>COUNTIFS('свод практик'!$J$6:$J$277,O$1,'свод практик'!$C$6:$C$277,"иное")</f>
        <v>0</v>
      </c>
      <c r="P7" s="104">
        <f>COUNTIFS('свод практик'!$J$6:$J$277,P$1,'свод практик'!$C$6:$C$277,"иное")</f>
        <v>0</v>
      </c>
      <c r="Q7" s="104">
        <f>COUNTIFS('свод практик'!$J$6:$J$277,Q$1,'свод практик'!$C$6:$C$277,"иное")</f>
        <v>0</v>
      </c>
      <c r="R7" s="104">
        <f>COUNTIFS('свод практик'!$J$6:$J$277,R$1,'свод практик'!$C$6:$C$277,"иное")</f>
        <v>0</v>
      </c>
      <c r="S7" s="104">
        <f>COUNTIFS('свод практик'!$J$6:$J$277,S$1,'свод практик'!$C$6:$C$277,"иное")</f>
        <v>0</v>
      </c>
      <c r="T7" s="104">
        <f>COUNTIFS('свод практик'!$J$6:$J$277,T$1,'свод практик'!$C$6:$C$277,"иное")</f>
        <v>0</v>
      </c>
      <c r="U7" s="104">
        <f>COUNTIFS('свод практик'!$J$6:$J$277,U$1,'свод практик'!$C$6:$C$277,"иное")</f>
        <v>1</v>
      </c>
      <c r="V7" s="104">
        <f>COUNTIFS('свод практик'!$J$6:$J$277,V$1,'свод практик'!$C$6:$C$277,"иное")</f>
        <v>0</v>
      </c>
      <c r="W7" s="104">
        <f>COUNTIFS('свод практик'!$J$6:$J$277,W$1,'свод практик'!$C$6:$C$277,"иное")</f>
        <v>0</v>
      </c>
      <c r="X7" s="104">
        <f>COUNTIFS('свод практик'!$J$6:$J$277,X$1,'свод практик'!$C$6:$C$277,"иное")</f>
        <v>0</v>
      </c>
      <c r="Y7" s="104">
        <f>COUNTIFS('свод практик'!$J$6:$J$277,Y$1,'свод практик'!$C$6:$C$277,"иное")</f>
        <v>0</v>
      </c>
      <c r="Z7" s="104">
        <f>COUNTIFS('свод практик'!$J$6:$J$277,Z$1,'свод практик'!$C$6:$C$277,"иное")</f>
        <v>0</v>
      </c>
      <c r="AA7" s="104">
        <f>COUNTIFS('свод практик'!$J$6:$J$277,AA$1,'свод практик'!$C$6:$C$277,"иное")</f>
        <v>0</v>
      </c>
      <c r="AB7" s="104">
        <f>COUNTIFS('свод практик'!$J$6:$J$277,AB$1,'свод практик'!$C$6:$C$277,"иное")</f>
        <v>0</v>
      </c>
      <c r="AC7" s="104">
        <f>COUNTIFS('свод практик'!$J$6:$J$277,AC$1,'свод практик'!$C$6:$C$277,"иное")</f>
        <v>0</v>
      </c>
      <c r="AD7" s="104">
        <f>COUNTIFS('свод практик'!$J$6:$J$277,AD$1,'свод практик'!$C$6:$C$277,"иное")</f>
        <v>0</v>
      </c>
      <c r="AE7" s="104">
        <f>COUNTIFS('свод практик'!$J$6:$J$277,AE$1,'свод практик'!$C$6:$C$277,"иное")</f>
        <v>0</v>
      </c>
      <c r="AF7" s="104">
        <f>COUNTIFS('свод практик'!$J$6:$J$277,AF$1,'свод практик'!$C$6:$C$277,"иное")</f>
        <v>0</v>
      </c>
      <c r="AG7" s="104">
        <f>COUNTIFS('свод практик'!$J$6:$J$277,AG$1,'свод практик'!$C$6:$C$277,"иное")</f>
        <v>0</v>
      </c>
      <c r="AH7" s="104">
        <f>COUNTIFS('свод практик'!$J$6:$J$277,AH$1,'свод практик'!$C$6:$C$277,"иное")</f>
        <v>0</v>
      </c>
      <c r="AI7" s="104">
        <f>COUNTIFS('свод практик'!$J$6:$J$277,AI$1,'свод практик'!$C$6:$C$277,"иное")</f>
        <v>0</v>
      </c>
      <c r="AJ7" s="104">
        <f>COUNTIFS('свод практик'!$J$6:$J$277,AJ$1,'свод практик'!$C$6:$C$277,"иное")</f>
        <v>1</v>
      </c>
      <c r="AK7" s="104">
        <f>COUNTIFS('свод практик'!$J$6:$J$277,AK$1,'свод практик'!$C$6:$C$277,"иное")</f>
        <v>0</v>
      </c>
      <c r="AL7" s="104">
        <f>COUNTIFS('свод практик'!$J$6:$J$277,AL$1,'свод практик'!$C$6:$C$277,"иное")</f>
        <v>0</v>
      </c>
      <c r="AM7" s="104">
        <f>COUNTIFS('свод практик'!$J$6:$J$277,AM$1,'свод практик'!$C$6:$C$277,"иное")</f>
        <v>0</v>
      </c>
      <c r="AN7" s="104">
        <f>COUNTIFS('свод практик'!$J$6:$J$277,AN$1,'свод практик'!$C$6:$C$277,"иное")</f>
        <v>0</v>
      </c>
      <c r="AO7" s="104">
        <f>COUNTIFS('свод практик'!$J$6:$J$277,AO$1,'свод практик'!$C$6:$C$277,"иное")</f>
        <v>0</v>
      </c>
      <c r="AP7" s="104">
        <f>COUNTIFS('свод практик'!$J$6:$J$277,AP$1,'свод практик'!$C$6:$C$277,"иное")</f>
        <v>0</v>
      </c>
      <c r="AQ7" s="104">
        <f>COUNTIFS('свод практик'!$J$6:$J$277,AQ$1,'свод практик'!$C$6:$C$277,"иное")</f>
        <v>0</v>
      </c>
      <c r="AR7" s="104">
        <f>COUNTIFS('свод практик'!$J$6:$J$277,AR$1,'свод практик'!$C$6:$C$277,"иное")</f>
        <v>0</v>
      </c>
      <c r="AS7" s="104">
        <f>COUNTIFS('свод практик'!$J$6:$J$277,AS$1,'свод практик'!$C$6:$C$277,"иное")</f>
        <v>0</v>
      </c>
      <c r="AT7" s="104">
        <f>COUNTIFS('свод практик'!$J$6:$J$277,AT$1,'свод практик'!$C$6:$C$277,"иное")</f>
        <v>0</v>
      </c>
      <c r="AU7" s="104">
        <f>COUNTIFS('свод практик'!$J$6:$J$277,AU$1,'свод практик'!$C$6:$C$277,"иное")</f>
        <v>0</v>
      </c>
      <c r="AV7" s="104">
        <f>COUNTIFS('свод практик'!$J$6:$J$277,AV$1,'свод практик'!$C$6:$C$277,"иное")</f>
        <v>0</v>
      </c>
      <c r="AW7" s="104">
        <f>COUNTIFS('свод практик'!$J$6:$J$277,AW$1,'свод практик'!$C$6:$C$277,"иное")</f>
        <v>0</v>
      </c>
      <c r="AX7" s="104">
        <f>COUNTIFS('свод практик'!$J$6:$J$277,AX$1,'свод практик'!$C$6:$C$277,"иное")</f>
        <v>0</v>
      </c>
      <c r="AY7" s="104">
        <f>COUNTIFS('свод практик'!$J$6:$J$277,AY$1,'свод практик'!$C$6:$C$277,"иное")</f>
        <v>0</v>
      </c>
      <c r="AZ7" s="104">
        <f>COUNTIFS('свод практик'!$J$6:$J$277,AZ$1,'свод практик'!$C$6:$C$277,"иное")</f>
        <v>0</v>
      </c>
      <c r="BA7" s="104">
        <f>COUNTIFS('свод практик'!$J$6:$J$277,BA$1,'свод практик'!$C$6:$C$277,"иное")</f>
        <v>0</v>
      </c>
      <c r="BB7" s="104">
        <f>COUNTIFS('свод практик'!$J$6:$J$277,BB$1,'свод практик'!$C$6:$C$277,"иное")</f>
        <v>0</v>
      </c>
      <c r="BC7" s="104">
        <f>COUNTIFS('свод практик'!$J$6:$J$277,BC$1,'свод практик'!$C$6:$C$277,"иное")</f>
        <v>0</v>
      </c>
      <c r="BD7" s="104">
        <f>COUNTIFS('свод практик'!$J$6:$J$277,BD$1,'свод практик'!$C$6:$C$277,"иное")</f>
        <v>0</v>
      </c>
      <c r="BE7" s="104">
        <f>COUNTIFS('свод практик'!$J$6:$J$277,BE$1,'свод практик'!$C$6:$C$277,"иное")</f>
        <v>0</v>
      </c>
      <c r="BF7" s="104">
        <f>COUNTIFS('свод практик'!$J$6:$J$277,BF$1,'свод практик'!$C$6:$C$277,"иное")</f>
        <v>0</v>
      </c>
      <c r="BG7" s="104">
        <f>COUNTIFS('свод практик'!$J$6:$J$277,BG$1,'свод практик'!$C$6:$C$277,"иное")</f>
        <v>0</v>
      </c>
      <c r="BH7" s="104">
        <f>COUNTIFS('свод практик'!$J$6:$J$277,BH$1,'свод практик'!$C$6:$C$277,"иное")</f>
        <v>1</v>
      </c>
      <c r="BI7" s="104">
        <f>COUNTIFS('свод практик'!$J$6:$J$277,BI$1,'свод практик'!$C$6:$C$277,"иное")</f>
        <v>0</v>
      </c>
      <c r="BJ7" s="104">
        <f>COUNTIFS('свод практик'!$J$6:$J$277,BJ$1,'свод практик'!$C$6:$C$277,"иное")</f>
        <v>1</v>
      </c>
      <c r="BK7" s="104">
        <f>COUNTIFS('свод практик'!$J$6:$J$277,BK$1,'свод практик'!$C$6:$C$277,"иное")</f>
        <v>0</v>
      </c>
      <c r="BL7" s="104">
        <f>COUNTIFS('свод практик'!$J$6:$J$277,BL$1,'свод практик'!$C$6:$C$277,"иное")</f>
        <v>0</v>
      </c>
      <c r="BM7" s="104">
        <f>COUNTIFS('свод практик'!$J$6:$J$277,BM$1,'свод практик'!$C$6:$C$277,"иное")</f>
        <v>0</v>
      </c>
      <c r="BN7" s="104">
        <f>COUNTIFS('свод практик'!$J$6:$J$277,BN$1,'свод практик'!$C$6:$C$277,"иное")</f>
        <v>0</v>
      </c>
      <c r="BO7" s="104">
        <f>COUNTIFS('свод практик'!$J$6:$J$277,BO$1,'свод практик'!$C$6:$C$277,"иное")</f>
        <v>0</v>
      </c>
      <c r="BP7" s="104">
        <f>COUNTIFS('свод практик'!$J$6:$J$277,BP$1,'свод практик'!$C$6:$C$277,"иное")</f>
        <v>0</v>
      </c>
      <c r="BQ7" s="104">
        <f>COUNTIFS('свод практик'!$J$6:$J$277,BQ$1,'свод практик'!$C$6:$C$277,"иное")</f>
        <v>0</v>
      </c>
      <c r="BR7" s="104">
        <f>COUNTIFS('свод практик'!$J$6:$J$277,BR$1,'свод практик'!$C$6:$C$277,"иное")</f>
        <v>0</v>
      </c>
      <c r="BS7" s="104">
        <f>COUNTIFS('свод практик'!$J$6:$J$277,BS$1,'свод практик'!$C$6:$C$277,"иное")</f>
        <v>0</v>
      </c>
      <c r="BT7" s="104">
        <f>COUNTIFS('свод практик'!$J$6:$J$277,BT$1,'свод практик'!$C$6:$C$277,"иное")</f>
        <v>0</v>
      </c>
      <c r="BU7" s="104">
        <f>COUNTIFS('свод практик'!$J$6:$J$277,BU$1,'свод практик'!$C$6:$C$277,"иное")</f>
        <v>0</v>
      </c>
      <c r="BV7" s="104">
        <f>COUNTIFS('свод практик'!$J$6:$J$277,BV$1,'свод практик'!$C$6:$C$277,"иное")</f>
        <v>0</v>
      </c>
      <c r="BW7" s="104">
        <f>COUNTIFS('свод практик'!$J$6:$J$277,BW$1,'свод практик'!$C$6:$C$277,"иное")</f>
        <v>0</v>
      </c>
      <c r="BX7" s="104">
        <f>COUNTIFS('свод практик'!$J$6:$J$277,BX$1,'свод практик'!$C$6:$C$277,"иное")</f>
        <v>0</v>
      </c>
      <c r="BY7" s="104">
        <f>COUNTIFS('свод практик'!$J$6:$J$277,BY$1,'свод практик'!$C$6:$C$277,"иное")</f>
        <v>0</v>
      </c>
      <c r="BZ7" s="104">
        <f>COUNTIFS('свод практик'!$J$6:$J$277,BZ$1,'свод практик'!$C$6:$C$277,"иное")</f>
        <v>0</v>
      </c>
      <c r="CA7" s="104">
        <f>COUNTIFS('свод практик'!$J$6:$J$277,CA$1,'свод практик'!$C$6:$C$277,"иное")</f>
        <v>0</v>
      </c>
      <c r="CB7" s="104">
        <f>COUNTIFS('свод практик'!$J$6:$J$277,CB$1,'свод практик'!$C$6:$C$277,"иное")</f>
        <v>0</v>
      </c>
      <c r="CC7" s="104">
        <f>COUNTIFS('свод практик'!$J$6:$J$277,CC$1,'свод практик'!$C$6:$C$277,"иное")</f>
        <v>0</v>
      </c>
      <c r="CD7" s="104">
        <f>COUNTIFS('свод практик'!$J$6:$J$277,CD$1,'свод практик'!$C$6:$C$277,"иное")</f>
        <v>0</v>
      </c>
      <c r="CE7" s="104">
        <f>COUNTIFS('свод практик'!$J$6:$J$277,CE$1,'свод практик'!$C$6:$C$277,"иное")</f>
        <v>0</v>
      </c>
      <c r="CF7" s="104">
        <f>COUNTIFS('свод практик'!$J$6:$J$277,CF$1,'свод практик'!$C$6:$C$277,"иное")</f>
        <v>0</v>
      </c>
      <c r="CG7" s="104">
        <f>COUNTIFS('свод практик'!$J$6:$J$277,CG$1,'свод практик'!$C$6:$C$277,"иное")</f>
        <v>0</v>
      </c>
      <c r="CH7" s="104">
        <f>COUNTIFS('свод практик'!$J$6:$J$277,CH$1,'свод практик'!$C$6:$C$277,"иное")</f>
        <v>0</v>
      </c>
      <c r="CI7" s="104">
        <f>COUNTIFS('свод практик'!$J$6:$J$277,CI$1,'свод практик'!$C$6:$C$277,"иное")</f>
        <v>0</v>
      </c>
      <c r="CJ7" s="104">
        <f>COUNTIFS('свод практик'!$J$6:$J$277,CJ$1,'свод практик'!$C$6:$C$277,"иное")</f>
        <v>0</v>
      </c>
      <c r="CK7" s="104">
        <f>COUNTIFS('свод практик'!$J$6:$J$277,CK$1,'свод практик'!$C$6:$C$277,"иное")</f>
        <v>0</v>
      </c>
    </row>
    <row r="8" spans="1:89">
      <c r="A8" s="676" t="s">
        <v>5360</v>
      </c>
      <c r="D8" s="675">
        <f t="shared" ref="D8:D67" si="0">SUM(E8:CK8)</f>
        <v>1</v>
      </c>
      <c r="E8">
        <f>COUNTIFS('свод практик'!$J$6:$J$277,E$1,'свод практик'!$C$6:$C$277,"иное (50/50)")</f>
        <v>0</v>
      </c>
      <c r="F8" s="104">
        <f>COUNTIFS('свод практик'!$J$6:$J$277,F$1,'свод практик'!$C$6:$C$277,"иное (50/50)")</f>
        <v>0</v>
      </c>
      <c r="G8" s="104">
        <f>COUNTIFS('свод практик'!$J$6:$J$277,G$1,'свод практик'!$C$6:$C$277,"иное (50/50)")</f>
        <v>0</v>
      </c>
      <c r="H8" s="104">
        <f>COUNTIFS('свод практик'!$J$6:$J$277,H$1,'свод практик'!$C$6:$C$277,"иное (50/50)")</f>
        <v>0</v>
      </c>
      <c r="I8" s="104">
        <f>COUNTIFS('свод практик'!$J$6:$J$277,I$1,'свод практик'!$C$6:$C$277,"иное (50/50)")</f>
        <v>0</v>
      </c>
      <c r="J8" s="104">
        <f>COUNTIFS('свод практик'!$J$6:$J$277,J$1,'свод практик'!$C$6:$C$277,"иное (50/50)")</f>
        <v>0</v>
      </c>
      <c r="K8" s="104">
        <f>COUNTIFS('свод практик'!$J$6:$J$277,K$1,'свод практик'!$C$6:$C$277,"иное (50/50)")</f>
        <v>0</v>
      </c>
      <c r="L8" s="104">
        <f>COUNTIFS('свод практик'!$J$6:$J$277,L$1,'свод практик'!$C$6:$C$277,"иное (50/50)")</f>
        <v>0</v>
      </c>
      <c r="M8" s="104">
        <f>COUNTIFS('свод практик'!$J$6:$J$277,M$1,'свод практик'!$C$6:$C$277,"иное (50/50)")</f>
        <v>0</v>
      </c>
      <c r="N8" s="104">
        <f>COUNTIFS('свод практик'!$J$6:$J$277,N$1,'свод практик'!$C$6:$C$277,"иное (50/50)")</f>
        <v>0</v>
      </c>
      <c r="O8" s="104">
        <f>COUNTIFS('свод практик'!$J$6:$J$277,O$1,'свод практик'!$C$6:$C$277,"иное (50/50)")</f>
        <v>0</v>
      </c>
      <c r="P8" s="104">
        <f>COUNTIFS('свод практик'!$J$6:$J$277,P$1,'свод практик'!$C$6:$C$277,"иное (50/50)")</f>
        <v>0</v>
      </c>
      <c r="Q8" s="104">
        <f>COUNTIFS('свод практик'!$J$6:$J$277,Q$1,'свод практик'!$C$6:$C$277,"иное (50/50)")</f>
        <v>0</v>
      </c>
      <c r="R8" s="104">
        <f>COUNTIFS('свод практик'!$J$6:$J$277,R$1,'свод практик'!$C$6:$C$277,"иное (50/50)")</f>
        <v>0</v>
      </c>
      <c r="S8" s="104">
        <f>COUNTIFS('свод практик'!$J$6:$J$277,S$1,'свод практик'!$C$6:$C$277,"иное (50/50)")</f>
        <v>0</v>
      </c>
      <c r="T8" s="104">
        <f>COUNTIFS('свод практик'!$J$6:$J$277,T$1,'свод практик'!$C$6:$C$277,"иное (50/50)")</f>
        <v>0</v>
      </c>
      <c r="U8" s="104">
        <f>COUNTIFS('свод практик'!$J$6:$J$277,U$1,'свод практик'!$C$6:$C$277,"иное (50/50)")</f>
        <v>0</v>
      </c>
      <c r="V8" s="104">
        <f>COUNTIFS('свод практик'!$J$6:$J$277,V$1,'свод практик'!$C$6:$C$277,"иное (50/50)")</f>
        <v>0</v>
      </c>
      <c r="W8" s="104">
        <f>COUNTIFS('свод практик'!$J$6:$J$277,W$1,'свод практик'!$C$6:$C$277,"иное (50/50)")</f>
        <v>0</v>
      </c>
      <c r="X8" s="104">
        <f>COUNTIFS('свод практик'!$J$6:$J$277,X$1,'свод практик'!$C$6:$C$277,"иное (50/50)")</f>
        <v>0</v>
      </c>
      <c r="Y8" s="104">
        <f>COUNTIFS('свод практик'!$J$6:$J$277,Y$1,'свод практик'!$C$6:$C$277,"иное (50/50)")</f>
        <v>0</v>
      </c>
      <c r="Z8" s="104">
        <f>COUNTIFS('свод практик'!$J$6:$J$277,Z$1,'свод практик'!$C$6:$C$277,"иное (50/50)")</f>
        <v>0</v>
      </c>
      <c r="AA8" s="104">
        <f>COUNTIFS('свод практик'!$J$6:$J$277,AA$1,'свод практик'!$C$6:$C$277,"иное (50/50)")</f>
        <v>0</v>
      </c>
      <c r="AB8" s="104">
        <f>COUNTIFS('свод практик'!$J$6:$J$277,AB$1,'свод практик'!$C$6:$C$277,"иное (50/50)")</f>
        <v>0</v>
      </c>
      <c r="AC8" s="104">
        <f>COUNTIFS('свод практик'!$J$6:$J$277,AC$1,'свод практик'!$C$6:$C$277,"иное (50/50)")</f>
        <v>0</v>
      </c>
      <c r="AD8" s="104">
        <f>COUNTIFS('свод практик'!$J$6:$J$277,AD$1,'свод практик'!$C$6:$C$277,"иное (50/50)")</f>
        <v>0</v>
      </c>
      <c r="AE8" s="104">
        <f>COUNTIFS('свод практик'!$J$6:$J$277,AE$1,'свод практик'!$C$6:$C$277,"иное (50/50)")</f>
        <v>0</v>
      </c>
      <c r="AF8" s="104">
        <f>COUNTIFS('свод практик'!$J$6:$J$277,AF$1,'свод практик'!$C$6:$C$277,"иное (50/50)")</f>
        <v>0</v>
      </c>
      <c r="AG8" s="104">
        <f>COUNTIFS('свод практик'!$J$6:$J$277,AG$1,'свод практик'!$C$6:$C$277,"иное (50/50)")</f>
        <v>0</v>
      </c>
      <c r="AH8" s="104">
        <f>COUNTIFS('свод практик'!$J$6:$J$277,AH$1,'свод практик'!$C$6:$C$277,"иное (50/50)")</f>
        <v>0</v>
      </c>
      <c r="AI8" s="104">
        <f>COUNTIFS('свод практик'!$J$6:$J$277,AI$1,'свод практик'!$C$6:$C$277,"иное (50/50)")</f>
        <v>0</v>
      </c>
      <c r="AJ8" s="104">
        <f>COUNTIFS('свод практик'!$J$6:$J$277,AJ$1,'свод практик'!$C$6:$C$277,"иное (50/50)")</f>
        <v>0</v>
      </c>
      <c r="AK8" s="104">
        <f>COUNTIFS('свод практик'!$J$6:$J$277,AK$1,'свод практик'!$C$6:$C$277,"иное (50/50)")</f>
        <v>0</v>
      </c>
      <c r="AL8" s="104">
        <f>COUNTIFS('свод практик'!$J$6:$J$277,AL$1,'свод практик'!$C$6:$C$277,"иное (50/50)")</f>
        <v>0</v>
      </c>
      <c r="AM8" s="104">
        <f>COUNTIFS('свод практик'!$J$6:$J$277,AM$1,'свод практик'!$C$6:$C$277,"иное (50/50)")</f>
        <v>0</v>
      </c>
      <c r="AN8" s="104">
        <f>COUNTIFS('свод практик'!$J$6:$J$277,AN$1,'свод практик'!$C$6:$C$277,"иное (50/50)")</f>
        <v>0</v>
      </c>
      <c r="AO8" s="104">
        <f>COUNTIFS('свод практик'!$J$6:$J$277,AO$1,'свод практик'!$C$6:$C$277,"иное (50/50)")</f>
        <v>0</v>
      </c>
      <c r="AP8" s="104">
        <f>COUNTIFS('свод практик'!$J$6:$J$277,AP$1,'свод практик'!$C$6:$C$277,"иное (50/50)")</f>
        <v>0</v>
      </c>
      <c r="AQ8" s="104">
        <f>COUNTIFS('свод практик'!$J$6:$J$277,AQ$1,'свод практик'!$C$6:$C$277,"иное (50/50)")</f>
        <v>0</v>
      </c>
      <c r="AR8" s="104">
        <f>COUNTIFS('свод практик'!$J$6:$J$277,AR$1,'свод практик'!$C$6:$C$277,"иное (50/50)")</f>
        <v>0</v>
      </c>
      <c r="AS8" s="104">
        <f>COUNTIFS('свод практик'!$J$6:$J$277,AS$1,'свод практик'!$C$6:$C$277,"иное (50/50)")</f>
        <v>0</v>
      </c>
      <c r="AT8" s="104">
        <f>COUNTIFS('свод практик'!$J$6:$J$277,AT$1,'свод практик'!$C$6:$C$277,"иное (50/50)")</f>
        <v>0</v>
      </c>
      <c r="AU8" s="104">
        <f>COUNTIFS('свод практик'!$J$6:$J$277,AU$1,'свод практик'!$C$6:$C$277,"иное (50/50)")</f>
        <v>0</v>
      </c>
      <c r="AV8" s="104">
        <f>COUNTIFS('свод практик'!$J$6:$J$277,AV$1,'свод практик'!$C$6:$C$277,"иное (50/50)")</f>
        <v>0</v>
      </c>
      <c r="AW8" s="104">
        <f>COUNTIFS('свод практик'!$J$6:$J$277,AW$1,'свод практик'!$C$6:$C$277,"иное (50/50)")</f>
        <v>0</v>
      </c>
      <c r="AX8" s="104">
        <f>COUNTIFS('свод практик'!$J$6:$J$277,AX$1,'свод практик'!$C$6:$C$277,"иное (50/50)")</f>
        <v>0</v>
      </c>
      <c r="AY8" s="104">
        <f>COUNTIFS('свод практик'!$J$6:$J$277,AY$1,'свод практик'!$C$6:$C$277,"иное (50/50)")</f>
        <v>0</v>
      </c>
      <c r="AZ8" s="104">
        <f>COUNTIFS('свод практик'!$J$6:$J$277,AZ$1,'свод практик'!$C$6:$C$277,"иное (50/50)")</f>
        <v>0</v>
      </c>
      <c r="BA8" s="104">
        <f>COUNTIFS('свод практик'!$J$6:$J$277,BA$1,'свод практик'!$C$6:$C$277,"иное (50/50)")</f>
        <v>0</v>
      </c>
      <c r="BB8" s="104">
        <f>COUNTIFS('свод практик'!$J$6:$J$277,BB$1,'свод практик'!$C$6:$C$277,"иное (50/50)")</f>
        <v>0</v>
      </c>
      <c r="BC8" s="104">
        <f>COUNTIFS('свод практик'!$J$6:$J$277,BC$1,'свод практик'!$C$6:$C$277,"иное (50/50)")</f>
        <v>0</v>
      </c>
      <c r="BD8" s="104">
        <f>COUNTIFS('свод практик'!$J$6:$J$277,BD$1,'свод практик'!$C$6:$C$277,"иное (50/50)")</f>
        <v>0</v>
      </c>
      <c r="BE8" s="104">
        <f>COUNTIFS('свод практик'!$J$6:$J$277,BE$1,'свод практик'!$C$6:$C$277,"иное (50/50)")</f>
        <v>0</v>
      </c>
      <c r="BF8" s="104">
        <f>COUNTIFS('свод практик'!$J$6:$J$277,BF$1,'свод практик'!$C$6:$C$277,"иное (50/50)")</f>
        <v>0</v>
      </c>
      <c r="BG8" s="104">
        <f>COUNTIFS('свод практик'!$J$6:$J$277,BG$1,'свод практик'!$C$6:$C$277,"иное (50/50)")</f>
        <v>0</v>
      </c>
      <c r="BH8" s="104">
        <f>COUNTIFS('свод практик'!$J$6:$J$277,BH$1,'свод практик'!$C$6:$C$277,"иное (50/50)")</f>
        <v>0</v>
      </c>
      <c r="BI8" s="104">
        <f>COUNTIFS('свод практик'!$J$6:$J$277,BI$1,'свод практик'!$C$6:$C$277,"иное (50/50)")</f>
        <v>0</v>
      </c>
      <c r="BJ8" s="104">
        <f>COUNTIFS('свод практик'!$J$6:$J$277,BJ$1,'свод практик'!$C$6:$C$277,"иное (50/50)")</f>
        <v>0</v>
      </c>
      <c r="BK8" s="104">
        <f>COUNTIFS('свод практик'!$J$6:$J$277,BK$1,'свод практик'!$C$6:$C$277,"иное (50/50)")</f>
        <v>0</v>
      </c>
      <c r="BL8" s="104">
        <f>COUNTIFS('свод практик'!$J$6:$J$277,BL$1,'свод практик'!$C$6:$C$277,"иное (50/50)")</f>
        <v>0</v>
      </c>
      <c r="BM8" s="104">
        <f>COUNTIFS('свод практик'!$J$6:$J$277,BM$1,'свод практик'!$C$6:$C$277,"иное (50/50)")</f>
        <v>0</v>
      </c>
      <c r="BN8" s="104">
        <f>COUNTIFS('свод практик'!$J$6:$J$277,BN$1,'свод практик'!$C$6:$C$277,"иное (50/50)")</f>
        <v>0</v>
      </c>
      <c r="BO8" s="104">
        <f>COUNTIFS('свод практик'!$J$6:$J$277,BO$1,'свод практик'!$C$6:$C$277,"иное (50/50)")</f>
        <v>0</v>
      </c>
      <c r="BP8" s="104">
        <f>COUNTIFS('свод практик'!$J$6:$J$277,BP$1,'свод практик'!$C$6:$C$277,"иное (50/50)")</f>
        <v>0</v>
      </c>
      <c r="BQ8" s="104">
        <f>COUNTIFS('свод практик'!$J$6:$J$277,BQ$1,'свод практик'!$C$6:$C$277,"иное (50/50)")</f>
        <v>0</v>
      </c>
      <c r="BR8" s="104">
        <f>COUNTIFS('свод практик'!$J$6:$J$277,BR$1,'свод практик'!$C$6:$C$277,"иное (50/50)")</f>
        <v>0</v>
      </c>
      <c r="BS8" s="104">
        <f>COUNTIFS('свод практик'!$J$6:$J$277,BS$1,'свод практик'!$C$6:$C$277,"иное (50/50)")</f>
        <v>0</v>
      </c>
      <c r="BT8" s="104">
        <f>COUNTIFS('свод практик'!$J$6:$J$277,BT$1,'свод практик'!$C$6:$C$277,"иное (50/50)")</f>
        <v>0</v>
      </c>
      <c r="BU8" s="104">
        <f>COUNTIFS('свод практик'!$J$6:$J$277,BU$1,'свод практик'!$C$6:$C$277,"иное (50/50)")</f>
        <v>0</v>
      </c>
      <c r="BV8" s="104">
        <f>COUNTIFS('свод практик'!$J$6:$J$277,BV$1,'свод практик'!$C$6:$C$277,"иное (50/50)")</f>
        <v>0</v>
      </c>
      <c r="BW8" s="104">
        <f>COUNTIFS('свод практик'!$J$6:$J$277,BW$1,'свод практик'!$C$6:$C$277,"иное (50/50)")</f>
        <v>0</v>
      </c>
      <c r="BX8" s="104">
        <f>COUNTIFS('свод практик'!$J$6:$J$277,BX$1,'свод практик'!$C$6:$C$277,"иное (50/50)")</f>
        <v>0</v>
      </c>
      <c r="BY8" s="104">
        <f>COUNTIFS('свод практик'!$J$6:$J$277,BY$1,'свод практик'!$C$6:$C$277,"иное (50/50)")</f>
        <v>0</v>
      </c>
      <c r="BZ8" s="104">
        <f>COUNTIFS('свод практик'!$J$6:$J$277,BZ$1,'свод практик'!$C$6:$C$277,"иное (50/50)")</f>
        <v>0</v>
      </c>
      <c r="CA8" s="104">
        <f>COUNTIFS('свод практик'!$J$6:$J$277,CA$1,'свод практик'!$C$6:$C$277,"иное (50/50)")</f>
        <v>0</v>
      </c>
      <c r="CB8" s="104">
        <f>COUNTIFS('свод практик'!$J$6:$J$277,CB$1,'свод практик'!$C$6:$C$277,"иное (50/50)")</f>
        <v>0</v>
      </c>
      <c r="CC8" s="104">
        <f>COUNTIFS('свод практик'!$J$6:$J$277,CC$1,'свод практик'!$C$6:$C$277,"иное (50/50)")</f>
        <v>0</v>
      </c>
      <c r="CD8" s="104">
        <f>COUNTIFS('свод практик'!$J$6:$J$277,CD$1,'свод практик'!$C$6:$C$277,"иное (50/50)")</f>
        <v>0</v>
      </c>
      <c r="CE8" s="104">
        <f>COUNTIFS('свод практик'!$J$6:$J$277,CE$1,'свод практик'!$C$6:$C$277,"иное (50/50)")</f>
        <v>1</v>
      </c>
      <c r="CF8" s="104">
        <f>COUNTIFS('свод практик'!$J$6:$J$277,CF$1,'свод практик'!$C$6:$C$277,"иное (50/50)")</f>
        <v>0</v>
      </c>
      <c r="CG8" s="104">
        <f>COUNTIFS('свод практик'!$J$6:$J$277,CG$1,'свод практик'!$C$6:$C$277,"иное (50/50)")</f>
        <v>0</v>
      </c>
      <c r="CH8" s="104">
        <f>COUNTIFS('свод практик'!$J$6:$J$277,CH$1,'свод практик'!$C$6:$C$277,"иное (50/50)")</f>
        <v>0</v>
      </c>
      <c r="CI8" s="104">
        <f>COUNTIFS('свод практик'!$J$6:$J$277,CI$1,'свод практик'!$C$6:$C$277,"иное (50/50)")</f>
        <v>0</v>
      </c>
      <c r="CJ8" s="104">
        <f>COUNTIFS('свод практик'!$J$6:$J$277,CJ$1,'свод практик'!$C$6:$C$277,"иное (50/50)")</f>
        <v>0</v>
      </c>
      <c r="CK8" s="104">
        <f>COUNTIFS('свод практик'!$J$6:$J$277,CK$1,'свод практик'!$C$6:$C$277,"иное (50/50)")</f>
        <v>0</v>
      </c>
    </row>
    <row r="9" spans="1:89">
      <c r="A9" s="676" t="s">
        <v>5359</v>
      </c>
      <c r="D9" s="675">
        <f t="shared" si="0"/>
        <v>1</v>
      </c>
      <c r="E9">
        <f>COUNTIFS('свод практик'!$J$6:$J$277,E$1,'свод практик'!$C$6:$C$277,"иное (молодежная политика)")</f>
        <v>0</v>
      </c>
      <c r="F9" s="104">
        <f>COUNTIFS('свод практик'!$J$6:$J$277,F$1,'свод практик'!$C$6:$C$277,"иное (молодежная политика)")</f>
        <v>0</v>
      </c>
      <c r="G9" s="104">
        <f>COUNTIFS('свод практик'!$J$6:$J$277,G$1,'свод практик'!$C$6:$C$277,"иное (молодежная политика)")</f>
        <v>0</v>
      </c>
      <c r="H9" s="104">
        <f>COUNTIFS('свод практик'!$J$6:$J$277,H$1,'свод практик'!$C$6:$C$277,"иное (молодежная политика)")</f>
        <v>0</v>
      </c>
      <c r="I9" s="104">
        <f>COUNTIFS('свод практик'!$J$6:$J$277,I$1,'свод практик'!$C$6:$C$277,"иное (молодежная политика)")</f>
        <v>0</v>
      </c>
      <c r="J9" s="104">
        <f>COUNTIFS('свод практик'!$J$6:$J$277,J$1,'свод практик'!$C$6:$C$277,"иное (молодежная политика)")</f>
        <v>0</v>
      </c>
      <c r="K9" s="104">
        <f>COUNTIFS('свод практик'!$J$6:$J$277,K$1,'свод практик'!$C$6:$C$277,"иное (молодежная политика)")</f>
        <v>0</v>
      </c>
      <c r="L9" s="104">
        <f>COUNTIFS('свод практик'!$J$6:$J$277,L$1,'свод практик'!$C$6:$C$277,"иное (молодежная политика)")</f>
        <v>0</v>
      </c>
      <c r="M9" s="104">
        <f>COUNTIFS('свод практик'!$J$6:$J$277,M$1,'свод практик'!$C$6:$C$277,"иное (молодежная политика)")</f>
        <v>0</v>
      </c>
      <c r="N9" s="104">
        <f>COUNTIFS('свод практик'!$J$6:$J$277,N$1,'свод практик'!$C$6:$C$277,"иное (молодежная политика)")</f>
        <v>0</v>
      </c>
      <c r="O9" s="104">
        <f>COUNTIFS('свод практик'!$J$6:$J$277,O$1,'свод практик'!$C$6:$C$277,"иное (молодежная политика)")</f>
        <v>0</v>
      </c>
      <c r="P9" s="104">
        <f>COUNTIFS('свод практик'!$J$6:$J$277,P$1,'свод практик'!$C$6:$C$277,"иное (молодежная политика)")</f>
        <v>0</v>
      </c>
      <c r="Q9" s="104">
        <f>COUNTIFS('свод практик'!$J$6:$J$277,Q$1,'свод практик'!$C$6:$C$277,"иное (молодежная политика)")</f>
        <v>0</v>
      </c>
      <c r="R9" s="104">
        <f>COUNTIFS('свод практик'!$J$6:$J$277,R$1,'свод практик'!$C$6:$C$277,"иное (молодежная политика)")</f>
        <v>0</v>
      </c>
      <c r="S9" s="104">
        <f>COUNTIFS('свод практик'!$J$6:$J$277,S$1,'свод практик'!$C$6:$C$277,"иное (молодежная политика)")</f>
        <v>0</v>
      </c>
      <c r="T9" s="104">
        <f>COUNTIFS('свод практик'!$J$6:$J$277,T$1,'свод практик'!$C$6:$C$277,"иное (молодежная политика)")</f>
        <v>0</v>
      </c>
      <c r="U9" s="104">
        <f>COUNTIFS('свод практик'!$J$6:$J$277,U$1,'свод практик'!$C$6:$C$277,"иное (молодежная политика)")</f>
        <v>0</v>
      </c>
      <c r="V9" s="104">
        <f>COUNTIFS('свод практик'!$J$6:$J$277,V$1,'свод практик'!$C$6:$C$277,"иное (молодежная политика)")</f>
        <v>0</v>
      </c>
      <c r="W9" s="104">
        <f>COUNTIFS('свод практик'!$J$6:$J$277,W$1,'свод практик'!$C$6:$C$277,"иное (молодежная политика)")</f>
        <v>0</v>
      </c>
      <c r="X9" s="104">
        <f>COUNTIFS('свод практик'!$J$6:$J$277,X$1,'свод практик'!$C$6:$C$277,"иное (молодежная политика)")</f>
        <v>0</v>
      </c>
      <c r="Y9" s="104">
        <f>COUNTIFS('свод практик'!$J$6:$J$277,Y$1,'свод практик'!$C$6:$C$277,"иное (молодежная политика)")</f>
        <v>0</v>
      </c>
      <c r="Z9" s="104">
        <f>COUNTIFS('свод практик'!$J$6:$J$277,Z$1,'свод практик'!$C$6:$C$277,"иное (молодежная политика)")</f>
        <v>0</v>
      </c>
      <c r="AA9" s="104">
        <f>COUNTIFS('свод практик'!$J$6:$J$277,AA$1,'свод практик'!$C$6:$C$277,"иное (молодежная политика)")</f>
        <v>0</v>
      </c>
      <c r="AB9" s="104">
        <f>COUNTIFS('свод практик'!$J$6:$J$277,AB$1,'свод практик'!$C$6:$C$277,"иное (молодежная политика)")</f>
        <v>0</v>
      </c>
      <c r="AC9" s="104">
        <f>COUNTIFS('свод практик'!$J$6:$J$277,AC$1,'свод практик'!$C$6:$C$277,"иное (молодежная политика)")</f>
        <v>0</v>
      </c>
      <c r="AD9" s="104">
        <f>COUNTIFS('свод практик'!$J$6:$J$277,AD$1,'свод практик'!$C$6:$C$277,"иное (молодежная политика)")</f>
        <v>0</v>
      </c>
      <c r="AE9" s="104">
        <f>COUNTIFS('свод практик'!$J$6:$J$277,AE$1,'свод практик'!$C$6:$C$277,"иное (молодежная политика)")</f>
        <v>0</v>
      </c>
      <c r="AF9" s="104">
        <f>COUNTIFS('свод практик'!$J$6:$J$277,AF$1,'свод практик'!$C$6:$C$277,"иное (молодежная политика)")</f>
        <v>0</v>
      </c>
      <c r="AG9" s="104">
        <f>COUNTIFS('свод практик'!$J$6:$J$277,AG$1,'свод практик'!$C$6:$C$277,"иное (молодежная политика)")</f>
        <v>0</v>
      </c>
      <c r="AH9" s="104">
        <f>COUNTIFS('свод практик'!$J$6:$J$277,AH$1,'свод практик'!$C$6:$C$277,"иное (молодежная политика)")</f>
        <v>0</v>
      </c>
      <c r="AI9" s="104">
        <f>COUNTIFS('свод практик'!$J$6:$J$277,AI$1,'свод практик'!$C$6:$C$277,"иное (молодежная политика)")</f>
        <v>0</v>
      </c>
      <c r="AJ9" s="104">
        <f>COUNTIFS('свод практик'!$J$6:$J$277,AJ$1,'свод практик'!$C$6:$C$277,"иное (молодежная политика)")</f>
        <v>0</v>
      </c>
      <c r="AK9" s="104">
        <f>COUNTIFS('свод практик'!$J$6:$J$277,AK$1,'свод практик'!$C$6:$C$277,"иное (молодежная политика)")</f>
        <v>0</v>
      </c>
      <c r="AL9" s="104">
        <f>COUNTIFS('свод практик'!$J$6:$J$277,AL$1,'свод практик'!$C$6:$C$277,"иное (молодежная политика)")</f>
        <v>0</v>
      </c>
      <c r="AM9" s="104">
        <f>COUNTIFS('свод практик'!$J$6:$J$277,AM$1,'свод практик'!$C$6:$C$277,"иное (молодежная политика)")</f>
        <v>0</v>
      </c>
      <c r="AN9" s="104">
        <f>COUNTIFS('свод практик'!$J$6:$J$277,AN$1,'свод практик'!$C$6:$C$277,"иное (молодежная политика)")</f>
        <v>0</v>
      </c>
      <c r="AO9" s="104">
        <f>COUNTIFS('свод практик'!$J$6:$J$277,AO$1,'свод практик'!$C$6:$C$277,"иное (молодежная политика)")</f>
        <v>0</v>
      </c>
      <c r="AP9" s="104">
        <f>COUNTIFS('свод практик'!$J$6:$J$277,AP$1,'свод практик'!$C$6:$C$277,"иное (молодежная политика)")</f>
        <v>0</v>
      </c>
      <c r="AQ9" s="104">
        <f>COUNTIFS('свод практик'!$J$6:$J$277,AQ$1,'свод практик'!$C$6:$C$277,"иное (молодежная политика)")</f>
        <v>0</v>
      </c>
      <c r="AR9" s="104">
        <f>COUNTIFS('свод практик'!$J$6:$J$277,AR$1,'свод практик'!$C$6:$C$277,"иное (молодежная политика)")</f>
        <v>0</v>
      </c>
      <c r="AS9" s="104">
        <f>COUNTIFS('свод практик'!$J$6:$J$277,AS$1,'свод практик'!$C$6:$C$277,"иное (молодежная политика)")</f>
        <v>0</v>
      </c>
      <c r="AT9" s="104">
        <f>COUNTIFS('свод практик'!$J$6:$J$277,AT$1,'свод практик'!$C$6:$C$277,"иное (молодежная политика)")</f>
        <v>0</v>
      </c>
      <c r="AU9" s="104">
        <f>COUNTIFS('свод практик'!$J$6:$J$277,AU$1,'свод практик'!$C$6:$C$277,"иное (молодежная политика)")</f>
        <v>0</v>
      </c>
      <c r="AV9" s="104">
        <f>COUNTIFS('свод практик'!$J$6:$J$277,AV$1,'свод практик'!$C$6:$C$277,"иное (молодежная политика)")</f>
        <v>0</v>
      </c>
      <c r="AW9" s="104">
        <f>COUNTIFS('свод практик'!$J$6:$J$277,AW$1,'свод практик'!$C$6:$C$277,"иное (молодежная политика)")</f>
        <v>0</v>
      </c>
      <c r="AX9" s="104">
        <f>COUNTIFS('свод практик'!$J$6:$J$277,AX$1,'свод практик'!$C$6:$C$277,"иное (молодежная политика)")</f>
        <v>0</v>
      </c>
      <c r="AY9" s="104">
        <f>COUNTIFS('свод практик'!$J$6:$J$277,AY$1,'свод практик'!$C$6:$C$277,"иное (молодежная политика)")</f>
        <v>0</v>
      </c>
      <c r="AZ9" s="104">
        <f>COUNTIFS('свод практик'!$J$6:$J$277,AZ$1,'свод практик'!$C$6:$C$277,"иное (молодежная политика)")</f>
        <v>0</v>
      </c>
      <c r="BA9" s="104">
        <f>COUNTIFS('свод практик'!$J$6:$J$277,BA$1,'свод практик'!$C$6:$C$277,"иное (молодежная политика)")</f>
        <v>0</v>
      </c>
      <c r="BB9" s="104">
        <f>COUNTIFS('свод практик'!$J$6:$J$277,BB$1,'свод практик'!$C$6:$C$277,"иное (молодежная политика)")</f>
        <v>0</v>
      </c>
      <c r="BC9" s="104">
        <f>COUNTIFS('свод практик'!$J$6:$J$277,BC$1,'свод практик'!$C$6:$C$277,"иное (молодежная политика)")</f>
        <v>0</v>
      </c>
      <c r="BD9" s="104">
        <f>COUNTIFS('свод практик'!$J$6:$J$277,BD$1,'свод практик'!$C$6:$C$277,"иное (молодежная политика)")</f>
        <v>0</v>
      </c>
      <c r="BE9" s="104">
        <f>COUNTIFS('свод практик'!$J$6:$J$277,BE$1,'свод практик'!$C$6:$C$277,"иное (молодежная политика)")</f>
        <v>0</v>
      </c>
      <c r="BF9" s="104">
        <f>COUNTIFS('свод практик'!$J$6:$J$277,BF$1,'свод практик'!$C$6:$C$277,"иное (молодежная политика)")</f>
        <v>0</v>
      </c>
      <c r="BG9" s="104">
        <f>COUNTIFS('свод практик'!$J$6:$J$277,BG$1,'свод практик'!$C$6:$C$277,"иное (молодежная политика)")</f>
        <v>0</v>
      </c>
      <c r="BH9" s="104">
        <f>COUNTIFS('свод практик'!$J$6:$J$277,BH$1,'свод практик'!$C$6:$C$277,"иное (молодежная политика)")</f>
        <v>0</v>
      </c>
      <c r="BI9" s="104">
        <f>COUNTIFS('свод практик'!$J$6:$J$277,BI$1,'свод практик'!$C$6:$C$277,"иное (молодежная политика)")</f>
        <v>0</v>
      </c>
      <c r="BJ9" s="104">
        <f>COUNTIFS('свод практик'!$J$6:$J$277,BJ$1,'свод практик'!$C$6:$C$277,"иное (молодежная политика)")</f>
        <v>0</v>
      </c>
      <c r="BK9" s="104">
        <f>COUNTIFS('свод практик'!$J$6:$J$277,BK$1,'свод практик'!$C$6:$C$277,"иное (молодежная политика)")</f>
        <v>0</v>
      </c>
      <c r="BL9" s="104">
        <f>COUNTIFS('свод практик'!$J$6:$J$277,BL$1,'свод практик'!$C$6:$C$277,"иное (молодежная политика)")</f>
        <v>0</v>
      </c>
      <c r="BM9" s="104">
        <f>COUNTIFS('свод практик'!$J$6:$J$277,BM$1,'свод практик'!$C$6:$C$277,"иное (молодежная политика)")</f>
        <v>0</v>
      </c>
      <c r="BN9" s="104">
        <f>COUNTIFS('свод практик'!$J$6:$J$277,BN$1,'свод практик'!$C$6:$C$277,"иное (молодежная политика)")</f>
        <v>0</v>
      </c>
      <c r="BO9" s="104">
        <f>COUNTIFS('свод практик'!$J$6:$J$277,BO$1,'свод практик'!$C$6:$C$277,"иное (молодежная политика)")</f>
        <v>0</v>
      </c>
      <c r="BP9" s="104">
        <f>COUNTIFS('свод практик'!$J$6:$J$277,BP$1,'свод практик'!$C$6:$C$277,"иное (молодежная политика)")</f>
        <v>0</v>
      </c>
      <c r="BQ9" s="104">
        <f>COUNTIFS('свод практик'!$J$6:$J$277,BQ$1,'свод практик'!$C$6:$C$277,"иное (молодежная политика)")</f>
        <v>0</v>
      </c>
      <c r="BR9" s="104">
        <f>COUNTIFS('свод практик'!$J$6:$J$277,BR$1,'свод практик'!$C$6:$C$277,"иное (молодежная политика)")</f>
        <v>0</v>
      </c>
      <c r="BS9" s="104">
        <f>COUNTIFS('свод практик'!$J$6:$J$277,BS$1,'свод практик'!$C$6:$C$277,"иное (молодежная политика)")</f>
        <v>0</v>
      </c>
      <c r="BT9" s="104">
        <f>COUNTIFS('свод практик'!$J$6:$J$277,BT$1,'свод практик'!$C$6:$C$277,"иное (молодежная политика)")</f>
        <v>0</v>
      </c>
      <c r="BU9" s="104">
        <f>COUNTIFS('свод практик'!$J$6:$J$277,BU$1,'свод практик'!$C$6:$C$277,"иное (молодежная политика)")</f>
        <v>0</v>
      </c>
      <c r="BV9" s="104">
        <f>COUNTIFS('свод практик'!$J$6:$J$277,BV$1,'свод практик'!$C$6:$C$277,"иное (молодежная политика)")</f>
        <v>0</v>
      </c>
      <c r="BW9" s="104">
        <f>COUNTIFS('свод практик'!$J$6:$J$277,BW$1,'свод практик'!$C$6:$C$277,"иное (молодежная политика)")</f>
        <v>0</v>
      </c>
      <c r="BX9" s="104">
        <f>COUNTIFS('свод практик'!$J$6:$J$277,BX$1,'свод практик'!$C$6:$C$277,"иное (молодежная политика)")</f>
        <v>0</v>
      </c>
      <c r="BY9" s="104">
        <f>COUNTIFS('свод практик'!$J$6:$J$277,BY$1,'свод практик'!$C$6:$C$277,"иное (молодежная политика)")</f>
        <v>0</v>
      </c>
      <c r="BZ9" s="104">
        <f>COUNTIFS('свод практик'!$J$6:$J$277,BZ$1,'свод практик'!$C$6:$C$277,"иное (молодежная политика)")</f>
        <v>0</v>
      </c>
      <c r="CA9" s="104">
        <f>COUNTIFS('свод практик'!$J$6:$J$277,CA$1,'свод практик'!$C$6:$C$277,"иное (молодежная политика)")</f>
        <v>0</v>
      </c>
      <c r="CB9" s="104">
        <f>COUNTIFS('свод практик'!$J$6:$J$277,CB$1,'свод практик'!$C$6:$C$277,"иное (молодежная политика)")</f>
        <v>0</v>
      </c>
      <c r="CC9" s="104">
        <f>COUNTIFS('свод практик'!$J$6:$J$277,CC$1,'свод практик'!$C$6:$C$277,"иное (молодежная политика)")</f>
        <v>0</v>
      </c>
      <c r="CD9" s="104">
        <f>COUNTIFS('свод практик'!$J$6:$J$277,CD$1,'свод практик'!$C$6:$C$277,"иное (молодежная политика)")</f>
        <v>0</v>
      </c>
      <c r="CE9" s="104">
        <f>COUNTIFS('свод практик'!$J$6:$J$277,CE$1,'свод практик'!$C$6:$C$277,"иное (молодежная политика)")</f>
        <v>1</v>
      </c>
      <c r="CF9" s="104">
        <f>COUNTIFS('свод практик'!$J$6:$J$277,CF$1,'свод практик'!$C$6:$C$277,"иное (молодежная политика)")</f>
        <v>0</v>
      </c>
      <c r="CG9" s="104">
        <f>COUNTIFS('свод практик'!$J$6:$J$277,CG$1,'свод практик'!$C$6:$C$277,"иное (молодежная политика)")</f>
        <v>0</v>
      </c>
      <c r="CH9" s="104">
        <f>COUNTIFS('свод практик'!$J$6:$J$277,CH$1,'свод практик'!$C$6:$C$277,"иное (молодежная политика)")</f>
        <v>0</v>
      </c>
      <c r="CI9" s="104">
        <f>COUNTIFS('свод практик'!$J$6:$J$277,CI$1,'свод практик'!$C$6:$C$277,"иное (молодежная политика)")</f>
        <v>0</v>
      </c>
      <c r="CJ9" s="104">
        <f>COUNTIFS('свод практик'!$J$6:$J$277,CJ$1,'свод практик'!$C$6:$C$277,"иное (молодежная политика)")</f>
        <v>0</v>
      </c>
      <c r="CK9" s="104">
        <f>COUNTIFS('свод практик'!$J$6:$J$277,CK$1,'свод практик'!$C$6:$C$277,"иное (молодежная политика)")</f>
        <v>0</v>
      </c>
    </row>
    <row r="10" spans="1:89">
      <c r="A10" s="676" t="s">
        <v>5855</v>
      </c>
      <c r="D10" s="675">
        <f t="shared" si="0"/>
        <v>1</v>
      </c>
      <c r="E10">
        <f>COUNTIFS('свод практик'!$J$6:$J$277,E$1,'свод практик'!$C$6:$C$277,"иное (проекты в сфере дошкольного образования)")</f>
        <v>0</v>
      </c>
      <c r="F10" s="104">
        <f>COUNTIFS('свод практик'!$J$6:$J$277,F$1,'свод практик'!$C$6:$C$277,"иное (проекты в сфере дошкольного образования)")</f>
        <v>0</v>
      </c>
      <c r="G10" s="104">
        <f>COUNTIFS('свод практик'!$J$6:$J$277,G$1,'свод практик'!$C$6:$C$277,"иное (проекты в сфере дошкольного образования)")</f>
        <v>0</v>
      </c>
      <c r="H10" s="104">
        <f>COUNTIFS('свод практик'!$J$6:$J$277,H$1,'свод практик'!$C$6:$C$277,"иное (проекты в сфере дошкольного образования)")</f>
        <v>0</v>
      </c>
      <c r="I10" s="104">
        <f>COUNTIFS('свод практик'!$J$6:$J$277,I$1,'свод практик'!$C$6:$C$277,"иное (проекты в сфере дошкольного образования)")</f>
        <v>0</v>
      </c>
      <c r="J10" s="104">
        <f>COUNTIFS('свод практик'!$J$6:$J$277,J$1,'свод практик'!$C$6:$C$277,"иное (проекты в сфере дошкольного образования)")</f>
        <v>0</v>
      </c>
      <c r="K10" s="104">
        <f>COUNTIFS('свод практик'!$J$6:$J$277,K$1,'свод практик'!$C$6:$C$277,"иное (проекты в сфере дошкольного образования)")</f>
        <v>0</v>
      </c>
      <c r="L10" s="104">
        <f>COUNTIFS('свод практик'!$J$6:$J$277,L$1,'свод практик'!$C$6:$C$277,"иное (проекты в сфере дошкольного образования)")</f>
        <v>0</v>
      </c>
      <c r="M10" s="104">
        <f>COUNTIFS('свод практик'!$J$6:$J$277,M$1,'свод практик'!$C$6:$C$277,"иное (проекты в сфере дошкольного образования)")</f>
        <v>0</v>
      </c>
      <c r="N10" s="104">
        <f>COUNTIFS('свод практик'!$J$6:$J$277,N$1,'свод практик'!$C$6:$C$277,"иное (проекты в сфере дошкольного образования)")</f>
        <v>0</v>
      </c>
      <c r="O10" s="104">
        <f>COUNTIFS('свод практик'!$J$6:$J$277,O$1,'свод практик'!$C$6:$C$277,"иное (проекты в сфере дошкольного образования)")</f>
        <v>0</v>
      </c>
      <c r="P10" s="104">
        <f>COUNTIFS('свод практик'!$J$6:$J$277,P$1,'свод практик'!$C$6:$C$277,"иное (проекты в сфере дошкольного образования)")</f>
        <v>0</v>
      </c>
      <c r="Q10" s="104">
        <f>COUNTIFS('свод практик'!$J$6:$J$277,Q$1,'свод практик'!$C$6:$C$277,"иное (проекты в сфере дошкольного образования)")</f>
        <v>0</v>
      </c>
      <c r="R10" s="104">
        <f>COUNTIFS('свод практик'!$J$6:$J$277,R$1,'свод практик'!$C$6:$C$277,"иное (проекты в сфере дошкольного образования)")</f>
        <v>0</v>
      </c>
      <c r="S10" s="104">
        <f>COUNTIFS('свод практик'!$J$6:$J$277,S$1,'свод практик'!$C$6:$C$277,"иное (проекты в сфере дошкольного образования)")</f>
        <v>0</v>
      </c>
      <c r="T10" s="104">
        <f>COUNTIFS('свод практик'!$J$6:$J$277,T$1,'свод практик'!$C$6:$C$277,"иное (проекты в сфере дошкольного образования)")</f>
        <v>0</v>
      </c>
      <c r="U10" s="104">
        <f>COUNTIFS('свод практик'!$J$6:$J$277,U$1,'свод практик'!$C$6:$C$277,"иное (проекты в сфере дошкольного образования)")</f>
        <v>0</v>
      </c>
      <c r="V10" s="104">
        <f>COUNTIFS('свод практик'!$J$6:$J$277,V$1,'свод практик'!$C$6:$C$277,"иное (проекты в сфере дошкольного образования)")</f>
        <v>0</v>
      </c>
      <c r="W10" s="104">
        <f>COUNTIFS('свод практик'!$J$6:$J$277,W$1,'свод практик'!$C$6:$C$277,"иное (проекты в сфере дошкольного образования)")</f>
        <v>0</v>
      </c>
      <c r="X10" s="104">
        <f>COUNTIFS('свод практик'!$J$6:$J$277,X$1,'свод практик'!$C$6:$C$277,"иное (проекты в сфере дошкольного образования)")</f>
        <v>0</v>
      </c>
      <c r="Y10" s="104">
        <f>COUNTIFS('свод практик'!$J$6:$J$277,Y$1,'свод практик'!$C$6:$C$277,"иное (проекты в сфере дошкольного образования)")</f>
        <v>0</v>
      </c>
      <c r="Z10" s="104">
        <f>COUNTIFS('свод практик'!$J$6:$J$277,Z$1,'свод практик'!$C$6:$C$277,"иное (проекты в сфере дошкольного образования)")</f>
        <v>0</v>
      </c>
      <c r="AA10" s="104">
        <f>COUNTIFS('свод практик'!$J$6:$J$277,AA$1,'свод практик'!$C$6:$C$277,"иное (проекты в сфере дошкольного образования)")</f>
        <v>0</v>
      </c>
      <c r="AB10" s="104">
        <f>COUNTIFS('свод практик'!$J$6:$J$277,AB$1,'свод практик'!$C$6:$C$277,"иное (проекты в сфере дошкольного образования)")</f>
        <v>0</v>
      </c>
      <c r="AC10" s="104">
        <f>COUNTIFS('свод практик'!$J$6:$J$277,AC$1,'свод практик'!$C$6:$C$277,"иное (проекты в сфере дошкольного образования)")</f>
        <v>0</v>
      </c>
      <c r="AD10" s="104">
        <f>COUNTIFS('свод практик'!$J$6:$J$277,AD$1,'свод практик'!$C$6:$C$277,"иное (проекты в сфере дошкольного образования)")</f>
        <v>0</v>
      </c>
      <c r="AE10" s="104">
        <f>COUNTIFS('свод практик'!$J$6:$J$277,AE$1,'свод практик'!$C$6:$C$277,"иное (проекты в сфере дошкольного образования)")</f>
        <v>0</v>
      </c>
      <c r="AF10" s="104">
        <f>COUNTIFS('свод практик'!$J$6:$J$277,AF$1,'свод практик'!$C$6:$C$277,"иное (проекты в сфере дошкольного образования)")</f>
        <v>0</v>
      </c>
      <c r="AG10" s="104">
        <f>COUNTIFS('свод практик'!$J$6:$J$277,AG$1,'свод практик'!$C$6:$C$277,"иное (проекты в сфере дошкольного образования)")</f>
        <v>0</v>
      </c>
      <c r="AH10" s="104">
        <f>COUNTIFS('свод практик'!$J$6:$J$277,AH$1,'свод практик'!$C$6:$C$277,"иное (проекты в сфере дошкольного образования)")</f>
        <v>0</v>
      </c>
      <c r="AI10" s="104">
        <f>COUNTIFS('свод практик'!$J$6:$J$277,AI$1,'свод практик'!$C$6:$C$277,"иное (проекты в сфере дошкольного образования)")</f>
        <v>0</v>
      </c>
      <c r="AJ10" s="104">
        <f>COUNTIFS('свод практик'!$J$6:$J$277,AJ$1,'свод практик'!$C$6:$C$277,"иное (проекты в сфере дошкольного образования)")</f>
        <v>0</v>
      </c>
      <c r="AK10" s="104">
        <f>COUNTIFS('свод практик'!$J$6:$J$277,AK$1,'свод практик'!$C$6:$C$277,"иное (проекты в сфере дошкольного образования)")</f>
        <v>0</v>
      </c>
      <c r="AL10" s="104">
        <f>COUNTIFS('свод практик'!$J$6:$J$277,AL$1,'свод практик'!$C$6:$C$277,"иное (проекты в сфере дошкольного образования)")</f>
        <v>0</v>
      </c>
      <c r="AM10" s="104">
        <f>COUNTIFS('свод практик'!$J$6:$J$277,AM$1,'свод практик'!$C$6:$C$277,"иное (проекты в сфере дошкольного образования)")</f>
        <v>0</v>
      </c>
      <c r="AN10" s="104">
        <f>COUNTIFS('свод практик'!$J$6:$J$277,AN$1,'свод практик'!$C$6:$C$277,"иное (проекты в сфере дошкольного образования)")</f>
        <v>0</v>
      </c>
      <c r="AO10" s="104">
        <f>COUNTIFS('свод практик'!$J$6:$J$277,AO$1,'свод практик'!$C$6:$C$277,"иное (проекты в сфере дошкольного образования)")</f>
        <v>0</v>
      </c>
      <c r="AP10" s="104">
        <f>COUNTIFS('свод практик'!$J$6:$J$277,AP$1,'свод практик'!$C$6:$C$277,"иное (проекты в сфере дошкольного образования)")</f>
        <v>0</v>
      </c>
      <c r="AQ10" s="104">
        <f>COUNTIFS('свод практик'!$J$6:$J$277,AQ$1,'свод практик'!$C$6:$C$277,"иное (проекты в сфере дошкольного образования)")</f>
        <v>0</v>
      </c>
      <c r="AR10" s="104">
        <f>COUNTIFS('свод практик'!$J$6:$J$277,AR$1,'свод практик'!$C$6:$C$277,"иное (проекты в сфере дошкольного образования)")</f>
        <v>0</v>
      </c>
      <c r="AS10" s="104">
        <f>COUNTIFS('свод практик'!$J$6:$J$277,AS$1,'свод практик'!$C$6:$C$277,"иное (проекты в сфере дошкольного образования)")</f>
        <v>0</v>
      </c>
      <c r="AT10" s="104">
        <f>COUNTIFS('свод практик'!$J$6:$J$277,AT$1,'свод практик'!$C$6:$C$277,"иное (проекты в сфере дошкольного образования)")</f>
        <v>0</v>
      </c>
      <c r="AU10" s="104">
        <f>COUNTIFS('свод практик'!$J$6:$J$277,AU$1,'свод практик'!$C$6:$C$277,"иное (проекты в сфере дошкольного образования)")</f>
        <v>0</v>
      </c>
      <c r="AV10" s="104">
        <f>COUNTIFS('свод практик'!$J$6:$J$277,AV$1,'свод практик'!$C$6:$C$277,"иное (проекты в сфере дошкольного образования)")</f>
        <v>0</v>
      </c>
      <c r="AW10" s="104">
        <f>COUNTIFS('свод практик'!$J$6:$J$277,AW$1,'свод практик'!$C$6:$C$277,"иное (проекты в сфере дошкольного образования)")</f>
        <v>0</v>
      </c>
      <c r="AX10" s="104">
        <f>COUNTIFS('свод практик'!$J$6:$J$277,AX$1,'свод практик'!$C$6:$C$277,"иное (проекты в сфере дошкольного образования)")</f>
        <v>0</v>
      </c>
      <c r="AY10" s="104">
        <f>COUNTIFS('свод практик'!$J$6:$J$277,AY$1,'свод практик'!$C$6:$C$277,"иное (проекты в сфере дошкольного образования)")</f>
        <v>0</v>
      </c>
      <c r="AZ10" s="104">
        <f>COUNTIFS('свод практик'!$J$6:$J$277,AZ$1,'свод практик'!$C$6:$C$277,"иное (проекты в сфере дошкольного образования)")</f>
        <v>0</v>
      </c>
      <c r="BA10" s="104">
        <f>COUNTIFS('свод практик'!$J$6:$J$277,BA$1,'свод практик'!$C$6:$C$277,"иное (проекты в сфере дошкольного образования)")</f>
        <v>0</v>
      </c>
      <c r="BB10" s="104">
        <f>COUNTIFS('свод практик'!$J$6:$J$277,BB$1,'свод практик'!$C$6:$C$277,"иное (проекты в сфере дошкольного образования)")</f>
        <v>0</v>
      </c>
      <c r="BC10" s="104">
        <f>COUNTIFS('свод практик'!$J$6:$J$277,BC$1,'свод практик'!$C$6:$C$277,"иное (проекты в сфере дошкольного образования)")</f>
        <v>0</v>
      </c>
      <c r="BD10" s="104">
        <f>COUNTIFS('свод практик'!$J$6:$J$277,BD$1,'свод практик'!$C$6:$C$277,"иное (проекты в сфере дошкольного образования)")</f>
        <v>0</v>
      </c>
      <c r="BE10" s="104">
        <f>COUNTIFS('свод практик'!$J$6:$J$277,BE$1,'свод практик'!$C$6:$C$277,"иное (проекты в сфере дошкольного образования)")</f>
        <v>0</v>
      </c>
      <c r="BF10" s="104">
        <f>COUNTIFS('свод практик'!$J$6:$J$277,BF$1,'свод практик'!$C$6:$C$277,"иное (проекты в сфере дошкольного образования)")</f>
        <v>0</v>
      </c>
      <c r="BG10" s="104">
        <f>COUNTIFS('свод практик'!$J$6:$J$277,BG$1,'свод практик'!$C$6:$C$277,"иное (проекты в сфере дошкольного образования)")</f>
        <v>0</v>
      </c>
      <c r="BH10" s="104">
        <f>COUNTIFS('свод практик'!$J$6:$J$277,BH$1,'свод практик'!$C$6:$C$277,"иное (проекты в сфере дошкольного образования)")</f>
        <v>0</v>
      </c>
      <c r="BI10" s="104">
        <f>COUNTIFS('свод практик'!$J$6:$J$277,BI$1,'свод практик'!$C$6:$C$277,"иное (проекты в сфере дошкольного образования)")</f>
        <v>0</v>
      </c>
      <c r="BJ10" s="104">
        <f>COUNTIFS('свод практик'!$J$6:$J$277,BJ$1,'свод практик'!$C$6:$C$277,"иное (проекты в сфере дошкольного образования)")</f>
        <v>0</v>
      </c>
      <c r="BK10" s="104">
        <f>COUNTIFS('свод практик'!$J$6:$J$277,BK$1,'свод практик'!$C$6:$C$277,"иное (проекты в сфере дошкольного образования)")</f>
        <v>0</v>
      </c>
      <c r="BL10" s="104">
        <f>COUNTIFS('свод практик'!$J$6:$J$277,BL$1,'свод практик'!$C$6:$C$277,"иное (проекты в сфере дошкольного образования)")</f>
        <v>0</v>
      </c>
      <c r="BM10" s="104">
        <f>COUNTIFS('свод практик'!$J$6:$J$277,BM$1,'свод практик'!$C$6:$C$277,"иное (проекты в сфере дошкольного образования)")</f>
        <v>0</v>
      </c>
      <c r="BN10" s="104">
        <f>COUNTIFS('свод практик'!$J$6:$J$277,BN$1,'свод практик'!$C$6:$C$277,"иное (проекты в сфере дошкольного образования)")</f>
        <v>0</v>
      </c>
      <c r="BO10" s="104">
        <f>COUNTIFS('свод практик'!$J$6:$J$277,BO$1,'свод практик'!$C$6:$C$277,"иное (проекты в сфере дошкольного образования)")</f>
        <v>0</v>
      </c>
      <c r="BP10" s="104">
        <f>COUNTIFS('свод практик'!$J$6:$J$277,BP$1,'свод практик'!$C$6:$C$277,"иное (проекты в сфере дошкольного образования)")</f>
        <v>0</v>
      </c>
      <c r="BQ10" s="104">
        <f>COUNTIFS('свод практик'!$J$6:$J$277,BQ$1,'свод практик'!$C$6:$C$277,"иное (проекты в сфере дошкольного образования)")</f>
        <v>0</v>
      </c>
      <c r="BR10" s="104">
        <f>COUNTIFS('свод практик'!$J$6:$J$277,BR$1,'свод практик'!$C$6:$C$277,"иное (проекты в сфере дошкольного образования)")</f>
        <v>0</v>
      </c>
      <c r="BS10" s="104">
        <f>COUNTIFS('свод практик'!$J$6:$J$277,BS$1,'свод практик'!$C$6:$C$277,"иное (проекты в сфере дошкольного образования)")</f>
        <v>0</v>
      </c>
      <c r="BT10" s="104">
        <f>COUNTIFS('свод практик'!$J$6:$J$277,BT$1,'свод практик'!$C$6:$C$277,"иное (проекты в сфере дошкольного образования)")</f>
        <v>0</v>
      </c>
      <c r="BU10" s="104">
        <f>COUNTIFS('свод практик'!$J$6:$J$277,BU$1,'свод практик'!$C$6:$C$277,"иное (проекты в сфере дошкольного образования)")</f>
        <v>0</v>
      </c>
      <c r="BV10" s="104">
        <f>COUNTIFS('свод практик'!$J$6:$J$277,BV$1,'свод практик'!$C$6:$C$277,"иное (проекты в сфере дошкольного образования)")</f>
        <v>0</v>
      </c>
      <c r="BW10" s="104">
        <f>COUNTIFS('свод практик'!$J$6:$J$277,BW$1,'свод практик'!$C$6:$C$277,"иное (проекты в сфере дошкольного образования)")</f>
        <v>0</v>
      </c>
      <c r="BX10" s="104">
        <f>COUNTIFS('свод практик'!$J$6:$J$277,BX$1,'свод практик'!$C$6:$C$277,"иное (проекты в сфере дошкольного образования)")</f>
        <v>0</v>
      </c>
      <c r="BY10" s="104">
        <f>COUNTIFS('свод практик'!$J$6:$J$277,BY$1,'свод практик'!$C$6:$C$277,"иное (проекты в сфере дошкольного образования)")</f>
        <v>0</v>
      </c>
      <c r="BZ10" s="104">
        <f>COUNTIFS('свод практик'!$J$6:$J$277,BZ$1,'свод практик'!$C$6:$C$277,"иное (проекты в сфере дошкольного образования)")</f>
        <v>0</v>
      </c>
      <c r="CA10" s="104">
        <f>COUNTIFS('свод практик'!$J$6:$J$277,CA$1,'свод практик'!$C$6:$C$277,"иное (проекты в сфере дошкольного образования)")</f>
        <v>0</v>
      </c>
      <c r="CB10" s="104">
        <f>COUNTIFS('свод практик'!$J$6:$J$277,CB$1,'свод практик'!$C$6:$C$277,"иное (проекты в сфере дошкольного образования)")</f>
        <v>0</v>
      </c>
      <c r="CC10" s="104">
        <f>COUNTIFS('свод практик'!$J$6:$J$277,CC$1,'свод практик'!$C$6:$C$277,"иное (проекты в сфере дошкольного образования)")</f>
        <v>0</v>
      </c>
      <c r="CD10" s="104">
        <f>COUNTIFS('свод практик'!$J$6:$J$277,CD$1,'свод практик'!$C$6:$C$277,"иное (проекты в сфере дошкольного образования)")</f>
        <v>0</v>
      </c>
      <c r="CE10" s="104">
        <f>COUNTIFS('свод практик'!$J$6:$J$277,CE$1,'свод практик'!$C$6:$C$277,"иное (проекты в сфере дошкольного образования)")</f>
        <v>1</v>
      </c>
      <c r="CF10" s="104">
        <f>COUNTIFS('свод практик'!$J$6:$J$277,CF$1,'свод практик'!$C$6:$C$277,"иное (проекты в сфере дошкольного образования)")</f>
        <v>0</v>
      </c>
      <c r="CG10" s="104">
        <f>COUNTIFS('свод практик'!$J$6:$J$277,CG$1,'свод практик'!$C$6:$C$277,"иное (проекты в сфере дошкольного образования)")</f>
        <v>0</v>
      </c>
      <c r="CH10" s="104">
        <f>COUNTIFS('свод практик'!$J$6:$J$277,CH$1,'свод практик'!$C$6:$C$277,"иное (проекты в сфере дошкольного образования)")</f>
        <v>0</v>
      </c>
      <c r="CI10" s="104">
        <f>COUNTIFS('свод практик'!$J$6:$J$277,CI$1,'свод практик'!$C$6:$C$277,"иное (проекты в сфере дошкольного образования)")</f>
        <v>0</v>
      </c>
      <c r="CJ10" s="104">
        <f>COUNTIFS('свод практик'!$J$6:$J$277,CJ$1,'свод практик'!$C$6:$C$277,"иное (проекты в сфере дошкольного образования)")</f>
        <v>0</v>
      </c>
      <c r="CK10" s="104">
        <f>COUNTIFS('свод практик'!$J$6:$J$277,CK$1,'свод практик'!$C$6:$C$277,"иное (проекты в сфере дошкольного образования)")</f>
        <v>0</v>
      </c>
    </row>
    <row r="11" spans="1:89">
      <c r="A11" s="676" t="s">
        <v>5338</v>
      </c>
      <c r="D11" s="675">
        <f t="shared" si="0"/>
        <v>1</v>
      </c>
      <c r="E11">
        <f>COUNTIFS('свод практик'!$J$6:$J$277,E$1,'свод практик'!$C$6:$C$277,"иное (спортплощадки)")</f>
        <v>0</v>
      </c>
      <c r="F11" s="104">
        <f>COUNTIFS('свод практик'!$J$6:$J$277,F$1,'свод практик'!$C$6:$C$277,"иное (спортплощадки)")</f>
        <v>0</v>
      </c>
      <c r="G11" s="104">
        <f>COUNTIFS('свод практик'!$J$6:$J$277,G$1,'свод практик'!$C$6:$C$277,"иное (спортплощадки)")</f>
        <v>0</v>
      </c>
      <c r="H11" s="104">
        <f>COUNTIFS('свод практик'!$J$6:$J$277,H$1,'свод практик'!$C$6:$C$277,"иное (спортплощадки)")</f>
        <v>0</v>
      </c>
      <c r="I11" s="104">
        <f>COUNTIFS('свод практик'!$J$6:$J$277,I$1,'свод практик'!$C$6:$C$277,"иное (спортплощадки)")</f>
        <v>0</v>
      </c>
      <c r="J11" s="104">
        <f>COUNTIFS('свод практик'!$J$6:$J$277,J$1,'свод практик'!$C$6:$C$277,"иное (спортплощадки)")</f>
        <v>0</v>
      </c>
      <c r="K11" s="104">
        <f>COUNTIFS('свод практик'!$J$6:$J$277,K$1,'свод практик'!$C$6:$C$277,"иное (спортплощадки)")</f>
        <v>0</v>
      </c>
      <c r="L11" s="104">
        <f>COUNTIFS('свод практик'!$J$6:$J$277,L$1,'свод практик'!$C$6:$C$277,"иное (спортплощадки)")</f>
        <v>0</v>
      </c>
      <c r="M11" s="104">
        <f>COUNTIFS('свод практик'!$J$6:$J$277,M$1,'свод практик'!$C$6:$C$277,"иное (спортплощадки)")</f>
        <v>0</v>
      </c>
      <c r="N11" s="104">
        <f>COUNTIFS('свод практик'!$J$6:$J$277,N$1,'свод практик'!$C$6:$C$277,"иное (спортплощадки)")</f>
        <v>0</v>
      </c>
      <c r="O11" s="104">
        <f>COUNTIFS('свод практик'!$J$6:$J$277,O$1,'свод практик'!$C$6:$C$277,"иное (спортплощадки)")</f>
        <v>0</v>
      </c>
      <c r="P11" s="104">
        <f>COUNTIFS('свод практик'!$J$6:$J$277,P$1,'свод практик'!$C$6:$C$277,"иное (спортплощадки)")</f>
        <v>0</v>
      </c>
      <c r="Q11" s="104">
        <f>COUNTIFS('свод практик'!$J$6:$J$277,Q$1,'свод практик'!$C$6:$C$277,"иное (спортплощадки)")</f>
        <v>0</v>
      </c>
      <c r="R11" s="104">
        <f>COUNTIFS('свод практик'!$J$6:$J$277,R$1,'свод практик'!$C$6:$C$277,"иное (спортплощадки)")</f>
        <v>0</v>
      </c>
      <c r="S11" s="104">
        <f>COUNTIFS('свод практик'!$J$6:$J$277,S$1,'свод практик'!$C$6:$C$277,"иное (спортплощадки)")</f>
        <v>0</v>
      </c>
      <c r="T11" s="104">
        <f>COUNTIFS('свод практик'!$J$6:$J$277,T$1,'свод практик'!$C$6:$C$277,"иное (спортплощадки)")</f>
        <v>0</v>
      </c>
      <c r="U11" s="104">
        <f>COUNTIFS('свод практик'!$J$6:$J$277,U$1,'свод практик'!$C$6:$C$277,"иное (спортплощадки)")</f>
        <v>0</v>
      </c>
      <c r="V11" s="104">
        <f>COUNTIFS('свод практик'!$J$6:$J$277,V$1,'свод практик'!$C$6:$C$277,"иное (спортплощадки)")</f>
        <v>0</v>
      </c>
      <c r="W11" s="104">
        <f>COUNTIFS('свод практик'!$J$6:$J$277,W$1,'свод практик'!$C$6:$C$277,"иное (спортплощадки)")</f>
        <v>0</v>
      </c>
      <c r="X11" s="104">
        <f>COUNTIFS('свод практик'!$J$6:$J$277,X$1,'свод практик'!$C$6:$C$277,"иное (спортплощадки)")</f>
        <v>0</v>
      </c>
      <c r="Y11" s="104">
        <f>COUNTIFS('свод практик'!$J$6:$J$277,Y$1,'свод практик'!$C$6:$C$277,"иное (спортплощадки)")</f>
        <v>0</v>
      </c>
      <c r="Z11" s="104">
        <f>COUNTIFS('свод практик'!$J$6:$J$277,Z$1,'свод практик'!$C$6:$C$277,"иное (спортплощадки)")</f>
        <v>0</v>
      </c>
      <c r="AA11" s="104">
        <f>COUNTIFS('свод практик'!$J$6:$J$277,AA$1,'свод практик'!$C$6:$C$277,"иное (спортплощадки)")</f>
        <v>0</v>
      </c>
      <c r="AB11" s="104">
        <f>COUNTIFS('свод практик'!$J$6:$J$277,AB$1,'свод практик'!$C$6:$C$277,"иное (спортплощадки)")</f>
        <v>0</v>
      </c>
      <c r="AC11" s="104">
        <f>COUNTIFS('свод практик'!$J$6:$J$277,AC$1,'свод практик'!$C$6:$C$277,"иное (спортплощадки)")</f>
        <v>0</v>
      </c>
      <c r="AD11" s="104">
        <f>COUNTIFS('свод практик'!$J$6:$J$277,AD$1,'свод практик'!$C$6:$C$277,"иное (спортплощадки)")</f>
        <v>0</v>
      </c>
      <c r="AE11" s="104">
        <f>COUNTIFS('свод практик'!$J$6:$J$277,AE$1,'свод практик'!$C$6:$C$277,"иное (спортплощадки)")</f>
        <v>0</v>
      </c>
      <c r="AF11" s="104">
        <f>COUNTIFS('свод практик'!$J$6:$J$277,AF$1,'свод практик'!$C$6:$C$277,"иное (спортплощадки)")</f>
        <v>0</v>
      </c>
      <c r="AG11" s="104">
        <f>COUNTIFS('свод практик'!$J$6:$J$277,AG$1,'свод практик'!$C$6:$C$277,"иное (спортплощадки)")</f>
        <v>0</v>
      </c>
      <c r="AH11" s="104">
        <f>COUNTIFS('свод практик'!$J$6:$J$277,AH$1,'свод практик'!$C$6:$C$277,"иное (спортплощадки)")</f>
        <v>0</v>
      </c>
      <c r="AI11" s="104">
        <f>COUNTIFS('свод практик'!$J$6:$J$277,AI$1,'свод практик'!$C$6:$C$277,"иное (спортплощадки)")</f>
        <v>0</v>
      </c>
      <c r="AJ11" s="104">
        <f>COUNTIFS('свод практик'!$J$6:$J$277,AJ$1,'свод практик'!$C$6:$C$277,"иное (спортплощадки)")</f>
        <v>0</v>
      </c>
      <c r="AK11" s="104">
        <f>COUNTIFS('свод практик'!$J$6:$J$277,AK$1,'свод практик'!$C$6:$C$277,"иное (спортплощадки)")</f>
        <v>0</v>
      </c>
      <c r="AL11" s="104">
        <f>COUNTIFS('свод практик'!$J$6:$J$277,AL$1,'свод практик'!$C$6:$C$277,"иное (спортплощадки)")</f>
        <v>1</v>
      </c>
      <c r="AM11" s="104">
        <f>COUNTIFS('свод практик'!$J$6:$J$277,AM$1,'свод практик'!$C$6:$C$277,"иное (спортплощадки)")</f>
        <v>0</v>
      </c>
      <c r="AN11" s="104">
        <f>COUNTIFS('свод практик'!$J$6:$J$277,AN$1,'свод практик'!$C$6:$C$277,"иное (спортплощадки)")</f>
        <v>0</v>
      </c>
      <c r="AO11" s="104">
        <f>COUNTIFS('свод практик'!$J$6:$J$277,AO$1,'свод практик'!$C$6:$C$277,"иное (спортплощадки)")</f>
        <v>0</v>
      </c>
      <c r="AP11" s="104">
        <f>COUNTIFS('свод практик'!$J$6:$J$277,AP$1,'свод практик'!$C$6:$C$277,"иное (спортплощадки)")</f>
        <v>0</v>
      </c>
      <c r="AQ11" s="104">
        <f>COUNTIFS('свод практик'!$J$6:$J$277,AQ$1,'свод практик'!$C$6:$C$277,"иное (спортплощадки)")</f>
        <v>0</v>
      </c>
      <c r="AR11" s="104">
        <f>COUNTIFS('свод практик'!$J$6:$J$277,AR$1,'свод практик'!$C$6:$C$277,"иное (спортплощадки)")</f>
        <v>0</v>
      </c>
      <c r="AS11" s="104">
        <f>COUNTIFS('свод практик'!$J$6:$J$277,AS$1,'свод практик'!$C$6:$C$277,"иное (спортплощадки)")</f>
        <v>0</v>
      </c>
      <c r="AT11" s="104">
        <f>COUNTIFS('свод практик'!$J$6:$J$277,AT$1,'свод практик'!$C$6:$C$277,"иное (спортплощадки)")</f>
        <v>0</v>
      </c>
      <c r="AU11" s="104">
        <f>COUNTIFS('свод практик'!$J$6:$J$277,AU$1,'свод практик'!$C$6:$C$277,"иное (спортплощадки)")</f>
        <v>0</v>
      </c>
      <c r="AV11" s="104">
        <f>COUNTIFS('свод практик'!$J$6:$J$277,AV$1,'свод практик'!$C$6:$C$277,"иное (спортплощадки)")</f>
        <v>0</v>
      </c>
      <c r="AW11" s="104">
        <f>COUNTIFS('свод практик'!$J$6:$J$277,AW$1,'свод практик'!$C$6:$C$277,"иное (спортплощадки)")</f>
        <v>0</v>
      </c>
      <c r="AX11" s="104">
        <f>COUNTIFS('свод практик'!$J$6:$J$277,AX$1,'свод практик'!$C$6:$C$277,"иное (спортплощадки)")</f>
        <v>0</v>
      </c>
      <c r="AY11" s="104">
        <f>COUNTIFS('свод практик'!$J$6:$J$277,AY$1,'свод практик'!$C$6:$C$277,"иное (спортплощадки)")</f>
        <v>0</v>
      </c>
      <c r="AZ11" s="104">
        <f>COUNTIFS('свод практик'!$J$6:$J$277,AZ$1,'свод практик'!$C$6:$C$277,"иное (спортплощадки)")</f>
        <v>0</v>
      </c>
      <c r="BA11" s="104">
        <f>COUNTIFS('свод практик'!$J$6:$J$277,BA$1,'свод практик'!$C$6:$C$277,"иное (спортплощадки)")</f>
        <v>0</v>
      </c>
      <c r="BB11" s="104">
        <f>COUNTIFS('свод практик'!$J$6:$J$277,BB$1,'свод практик'!$C$6:$C$277,"иное (спортплощадки)")</f>
        <v>0</v>
      </c>
      <c r="BC11" s="104">
        <f>COUNTIFS('свод практик'!$J$6:$J$277,BC$1,'свод практик'!$C$6:$C$277,"иное (спортплощадки)")</f>
        <v>0</v>
      </c>
      <c r="BD11" s="104">
        <f>COUNTIFS('свод практик'!$J$6:$J$277,BD$1,'свод практик'!$C$6:$C$277,"иное (спортплощадки)")</f>
        <v>0</v>
      </c>
      <c r="BE11" s="104">
        <f>COUNTIFS('свод практик'!$J$6:$J$277,BE$1,'свод практик'!$C$6:$C$277,"иное (спортплощадки)")</f>
        <v>0</v>
      </c>
      <c r="BF11" s="104">
        <f>COUNTIFS('свод практик'!$J$6:$J$277,BF$1,'свод практик'!$C$6:$C$277,"иное (спортплощадки)")</f>
        <v>0</v>
      </c>
      <c r="BG11" s="104">
        <f>COUNTIFS('свод практик'!$J$6:$J$277,BG$1,'свод практик'!$C$6:$C$277,"иное (спортплощадки)")</f>
        <v>0</v>
      </c>
      <c r="BH11" s="104">
        <f>COUNTIFS('свод практик'!$J$6:$J$277,BH$1,'свод практик'!$C$6:$C$277,"иное (спортплощадки)")</f>
        <v>0</v>
      </c>
      <c r="BI11" s="104">
        <f>COUNTIFS('свод практик'!$J$6:$J$277,BI$1,'свод практик'!$C$6:$C$277,"иное (спортплощадки)")</f>
        <v>0</v>
      </c>
      <c r="BJ11" s="104">
        <f>COUNTIFS('свод практик'!$J$6:$J$277,BJ$1,'свод практик'!$C$6:$C$277,"иное (спортплощадки)")</f>
        <v>0</v>
      </c>
      <c r="BK11" s="104">
        <f>COUNTIFS('свод практик'!$J$6:$J$277,BK$1,'свод практик'!$C$6:$C$277,"иное (спортплощадки)")</f>
        <v>0</v>
      </c>
      <c r="BL11" s="104">
        <f>COUNTIFS('свод практик'!$J$6:$J$277,BL$1,'свод практик'!$C$6:$C$277,"иное (спортплощадки)")</f>
        <v>0</v>
      </c>
      <c r="BM11" s="104">
        <f>COUNTIFS('свод практик'!$J$6:$J$277,BM$1,'свод практик'!$C$6:$C$277,"иное (спортплощадки)")</f>
        <v>0</v>
      </c>
      <c r="BN11" s="104">
        <f>COUNTIFS('свод практик'!$J$6:$J$277,BN$1,'свод практик'!$C$6:$C$277,"иное (спортплощадки)")</f>
        <v>0</v>
      </c>
      <c r="BO11" s="104">
        <f>COUNTIFS('свод практик'!$J$6:$J$277,BO$1,'свод практик'!$C$6:$C$277,"иное (спортплощадки)")</f>
        <v>0</v>
      </c>
      <c r="BP11" s="104">
        <f>COUNTIFS('свод практик'!$J$6:$J$277,BP$1,'свод практик'!$C$6:$C$277,"иное (спортплощадки)")</f>
        <v>0</v>
      </c>
      <c r="BQ11" s="104">
        <f>COUNTIFS('свод практик'!$J$6:$J$277,BQ$1,'свод практик'!$C$6:$C$277,"иное (спортплощадки)")</f>
        <v>0</v>
      </c>
      <c r="BR11" s="104">
        <f>COUNTIFS('свод практик'!$J$6:$J$277,BR$1,'свод практик'!$C$6:$C$277,"иное (спортплощадки)")</f>
        <v>0</v>
      </c>
      <c r="BS11" s="104">
        <f>COUNTIFS('свод практик'!$J$6:$J$277,BS$1,'свод практик'!$C$6:$C$277,"иное (спортплощадки)")</f>
        <v>0</v>
      </c>
      <c r="BT11" s="104">
        <f>COUNTIFS('свод практик'!$J$6:$J$277,BT$1,'свод практик'!$C$6:$C$277,"иное (спортплощадки)")</f>
        <v>0</v>
      </c>
      <c r="BU11" s="104">
        <f>COUNTIFS('свод практик'!$J$6:$J$277,BU$1,'свод практик'!$C$6:$C$277,"иное (спортплощадки)")</f>
        <v>0</v>
      </c>
      <c r="BV11" s="104">
        <f>COUNTIFS('свод практик'!$J$6:$J$277,BV$1,'свод практик'!$C$6:$C$277,"иное (спортплощадки)")</f>
        <v>0</v>
      </c>
      <c r="BW11" s="104">
        <f>COUNTIFS('свод практик'!$J$6:$J$277,BW$1,'свод практик'!$C$6:$C$277,"иное (спортплощадки)")</f>
        <v>0</v>
      </c>
      <c r="BX11" s="104">
        <f>COUNTIFS('свод практик'!$J$6:$J$277,BX$1,'свод практик'!$C$6:$C$277,"иное (спортплощадки)")</f>
        <v>0</v>
      </c>
      <c r="BY11" s="104">
        <f>COUNTIFS('свод практик'!$J$6:$J$277,BY$1,'свод практик'!$C$6:$C$277,"иное (спортплощадки)")</f>
        <v>0</v>
      </c>
      <c r="BZ11" s="104">
        <f>COUNTIFS('свод практик'!$J$6:$J$277,BZ$1,'свод практик'!$C$6:$C$277,"иное (спортплощадки)")</f>
        <v>0</v>
      </c>
      <c r="CA11" s="104">
        <f>COUNTIFS('свод практик'!$J$6:$J$277,CA$1,'свод практик'!$C$6:$C$277,"иное (спортплощадки)")</f>
        <v>0</v>
      </c>
      <c r="CB11" s="104">
        <f>COUNTIFS('свод практик'!$J$6:$J$277,CB$1,'свод практик'!$C$6:$C$277,"иное (спортплощадки)")</f>
        <v>0</v>
      </c>
      <c r="CC11" s="104">
        <f>COUNTIFS('свод практик'!$J$6:$J$277,CC$1,'свод практик'!$C$6:$C$277,"иное (спортплощадки)")</f>
        <v>0</v>
      </c>
      <c r="CD11" s="104">
        <f>COUNTIFS('свод практик'!$J$6:$J$277,CD$1,'свод практик'!$C$6:$C$277,"иное (спортплощадки)")</f>
        <v>0</v>
      </c>
      <c r="CE11" s="104">
        <f>COUNTIFS('свод практик'!$J$6:$J$277,CE$1,'свод практик'!$C$6:$C$277,"иное (спортплощадки)")</f>
        <v>0</v>
      </c>
      <c r="CF11" s="104">
        <f>COUNTIFS('свод практик'!$J$6:$J$277,CF$1,'свод практик'!$C$6:$C$277,"иное (спортплощадки)")</f>
        <v>0</v>
      </c>
      <c r="CG11" s="104">
        <f>COUNTIFS('свод практик'!$J$6:$J$277,CG$1,'свод практик'!$C$6:$C$277,"иное (спортплощадки)")</f>
        <v>0</v>
      </c>
      <c r="CH11" s="104">
        <f>COUNTIFS('свод практик'!$J$6:$J$277,CH$1,'свод практик'!$C$6:$C$277,"иное (спортплощадки)")</f>
        <v>0</v>
      </c>
      <c r="CI11" s="104">
        <f>COUNTIFS('свод практик'!$J$6:$J$277,CI$1,'свод практик'!$C$6:$C$277,"иное (спортплощадки)")</f>
        <v>0</v>
      </c>
      <c r="CJ11" s="104">
        <f>COUNTIFS('свод практик'!$J$6:$J$277,CJ$1,'свод практик'!$C$6:$C$277,"иное (спортплощадки)")</f>
        <v>0</v>
      </c>
      <c r="CK11" s="104">
        <f>COUNTIFS('свод практик'!$J$6:$J$277,CK$1,'свод практик'!$C$6:$C$277,"иное (спортплощадки)")</f>
        <v>0</v>
      </c>
    </row>
    <row r="12" spans="1:89">
      <c r="A12" s="676" t="s">
        <v>5348</v>
      </c>
      <c r="D12" s="675">
        <f t="shared" si="0"/>
        <v>3</v>
      </c>
      <c r="E12">
        <f>COUNTIFS('свод практик'!$J$6:$J$277,E$1,'свод практик'!$C$6:$C$277,"иное: благоустройство")</f>
        <v>0</v>
      </c>
      <c r="F12" s="104">
        <f>COUNTIFS('свод практик'!$J$6:$J$277,F$1,'свод практик'!$C$6:$C$277,"иное: благоустройство")</f>
        <v>0</v>
      </c>
      <c r="G12" s="104">
        <f>COUNTIFS('свод практик'!$J$6:$J$277,G$1,'свод практик'!$C$6:$C$277,"иное: благоустройство")</f>
        <v>0</v>
      </c>
      <c r="H12" s="104">
        <f>COUNTIFS('свод практик'!$J$6:$J$277,H$1,'свод практик'!$C$6:$C$277,"иное: благоустройство")</f>
        <v>0</v>
      </c>
      <c r="I12" s="104">
        <f>COUNTIFS('свод практик'!$J$6:$J$277,I$1,'свод практик'!$C$6:$C$277,"иное: благоустройство")</f>
        <v>0</v>
      </c>
      <c r="J12" s="104">
        <f>COUNTIFS('свод практик'!$J$6:$J$277,J$1,'свод практик'!$C$6:$C$277,"иное: благоустройство")</f>
        <v>0</v>
      </c>
      <c r="K12" s="104">
        <f>COUNTIFS('свод практик'!$J$6:$J$277,K$1,'свод практик'!$C$6:$C$277,"иное: благоустройство")</f>
        <v>0</v>
      </c>
      <c r="L12" s="104">
        <f>COUNTIFS('свод практик'!$J$6:$J$277,L$1,'свод практик'!$C$6:$C$277,"иное: благоустройство")</f>
        <v>0</v>
      </c>
      <c r="M12" s="104">
        <f>COUNTIFS('свод практик'!$J$6:$J$277,M$1,'свод практик'!$C$6:$C$277,"иное: благоустройство")</f>
        <v>0</v>
      </c>
      <c r="N12" s="104">
        <f>COUNTIFS('свод практик'!$J$6:$J$277,N$1,'свод практик'!$C$6:$C$277,"иное: благоустройство")</f>
        <v>0</v>
      </c>
      <c r="O12" s="104">
        <f>COUNTIFS('свод практик'!$J$6:$J$277,O$1,'свод практик'!$C$6:$C$277,"иное: благоустройство")</f>
        <v>0</v>
      </c>
      <c r="P12" s="104">
        <f>COUNTIFS('свод практик'!$J$6:$J$277,P$1,'свод практик'!$C$6:$C$277,"иное: благоустройство")</f>
        <v>0</v>
      </c>
      <c r="Q12" s="104">
        <f>COUNTIFS('свод практик'!$J$6:$J$277,Q$1,'свод практик'!$C$6:$C$277,"иное: благоустройство")</f>
        <v>0</v>
      </c>
      <c r="R12" s="104">
        <f>COUNTIFS('свод практик'!$J$6:$J$277,R$1,'свод практик'!$C$6:$C$277,"иное: благоустройство")</f>
        <v>0</v>
      </c>
      <c r="S12" s="104">
        <f>COUNTIFS('свод практик'!$J$6:$J$277,S$1,'свод практик'!$C$6:$C$277,"иное: благоустройство")</f>
        <v>0</v>
      </c>
      <c r="T12" s="104">
        <f>COUNTIFS('свод практик'!$J$6:$J$277,T$1,'свод практик'!$C$6:$C$277,"иное: благоустройство")</f>
        <v>0</v>
      </c>
      <c r="U12" s="104">
        <f>COUNTIFS('свод практик'!$J$6:$J$277,U$1,'свод практик'!$C$6:$C$277,"иное: благоустройство")</f>
        <v>0</v>
      </c>
      <c r="V12" s="104">
        <f>COUNTIFS('свод практик'!$J$6:$J$277,V$1,'свод практик'!$C$6:$C$277,"иное: благоустройство")</f>
        <v>0</v>
      </c>
      <c r="W12" s="104">
        <f>COUNTIFS('свод практик'!$J$6:$J$277,W$1,'свод практик'!$C$6:$C$277,"иное: благоустройство")</f>
        <v>0</v>
      </c>
      <c r="X12" s="104">
        <f>COUNTIFS('свод практик'!$J$6:$J$277,X$1,'свод практик'!$C$6:$C$277,"иное: благоустройство")</f>
        <v>0</v>
      </c>
      <c r="Y12" s="104">
        <f>COUNTIFS('свод практик'!$J$6:$J$277,Y$1,'свод практик'!$C$6:$C$277,"иное: благоустройство")</f>
        <v>0</v>
      </c>
      <c r="Z12" s="104">
        <f>COUNTIFS('свод практик'!$J$6:$J$277,Z$1,'свод практик'!$C$6:$C$277,"иное: благоустройство")</f>
        <v>0</v>
      </c>
      <c r="AA12" s="104">
        <f>COUNTIFS('свод практик'!$J$6:$J$277,AA$1,'свод практик'!$C$6:$C$277,"иное: благоустройство")</f>
        <v>0</v>
      </c>
      <c r="AB12" s="104">
        <f>COUNTIFS('свод практик'!$J$6:$J$277,AB$1,'свод практик'!$C$6:$C$277,"иное: благоустройство")</f>
        <v>0</v>
      </c>
      <c r="AC12" s="104">
        <f>COUNTIFS('свод практик'!$J$6:$J$277,AC$1,'свод практик'!$C$6:$C$277,"иное: благоустройство")</f>
        <v>0</v>
      </c>
      <c r="AD12" s="104">
        <f>COUNTIFS('свод практик'!$J$6:$J$277,AD$1,'свод практик'!$C$6:$C$277,"иное: благоустройство")</f>
        <v>0</v>
      </c>
      <c r="AE12" s="104">
        <f>COUNTIFS('свод практик'!$J$6:$J$277,AE$1,'свод практик'!$C$6:$C$277,"иное: благоустройство")</f>
        <v>0</v>
      </c>
      <c r="AF12" s="104">
        <f>COUNTIFS('свод практик'!$J$6:$J$277,AF$1,'свод практик'!$C$6:$C$277,"иное: благоустройство")</f>
        <v>0</v>
      </c>
      <c r="AG12" s="104">
        <f>COUNTIFS('свод практик'!$J$6:$J$277,AG$1,'свод практик'!$C$6:$C$277,"иное: благоустройство")</f>
        <v>0</v>
      </c>
      <c r="AH12" s="104">
        <f>COUNTIFS('свод практик'!$J$6:$J$277,AH$1,'свод практик'!$C$6:$C$277,"иное: благоустройство")</f>
        <v>0</v>
      </c>
      <c r="AI12" s="104">
        <f>COUNTIFS('свод практик'!$J$6:$J$277,AI$1,'свод практик'!$C$6:$C$277,"иное: благоустройство")</f>
        <v>0</v>
      </c>
      <c r="AJ12" s="104">
        <f>COUNTIFS('свод практик'!$J$6:$J$277,AJ$1,'свод практик'!$C$6:$C$277,"иное: благоустройство")</f>
        <v>0</v>
      </c>
      <c r="AK12" s="104">
        <f>COUNTIFS('свод практик'!$J$6:$J$277,AK$1,'свод практик'!$C$6:$C$277,"иное: благоустройство")</f>
        <v>0</v>
      </c>
      <c r="AL12" s="104">
        <f>COUNTIFS('свод практик'!$J$6:$J$277,AL$1,'свод практик'!$C$6:$C$277,"иное: благоустройство")</f>
        <v>0</v>
      </c>
      <c r="AM12" s="104">
        <f>COUNTIFS('свод практик'!$J$6:$J$277,AM$1,'свод практик'!$C$6:$C$277,"иное: благоустройство")</f>
        <v>0</v>
      </c>
      <c r="AN12" s="104">
        <f>COUNTIFS('свод практик'!$J$6:$J$277,AN$1,'свод практик'!$C$6:$C$277,"иное: благоустройство")</f>
        <v>0</v>
      </c>
      <c r="AO12" s="104">
        <f>COUNTIFS('свод практик'!$J$6:$J$277,AO$1,'свод практик'!$C$6:$C$277,"иное: благоустройство")</f>
        <v>0</v>
      </c>
      <c r="AP12" s="104">
        <f>COUNTIFS('свод практик'!$J$6:$J$277,AP$1,'свод практик'!$C$6:$C$277,"иное: благоустройство")</f>
        <v>0</v>
      </c>
      <c r="AQ12" s="104">
        <f>COUNTIFS('свод практик'!$J$6:$J$277,AQ$1,'свод практик'!$C$6:$C$277,"иное: благоустройство")</f>
        <v>0</v>
      </c>
      <c r="AR12" s="104">
        <f>COUNTIFS('свод практик'!$J$6:$J$277,AR$1,'свод практик'!$C$6:$C$277,"иное: благоустройство")</f>
        <v>0</v>
      </c>
      <c r="AS12" s="104">
        <f>COUNTIFS('свод практик'!$J$6:$J$277,AS$1,'свод практик'!$C$6:$C$277,"иное: благоустройство")</f>
        <v>0</v>
      </c>
      <c r="AT12" s="104">
        <f>COUNTIFS('свод практик'!$J$6:$J$277,AT$1,'свод практик'!$C$6:$C$277,"иное: благоустройство")</f>
        <v>0</v>
      </c>
      <c r="AU12" s="104">
        <f>COUNTIFS('свод практик'!$J$6:$J$277,AU$1,'свод практик'!$C$6:$C$277,"иное: благоустройство")</f>
        <v>0</v>
      </c>
      <c r="AV12" s="104">
        <f>COUNTIFS('свод практик'!$J$6:$J$277,AV$1,'свод практик'!$C$6:$C$277,"иное: благоустройство")</f>
        <v>0</v>
      </c>
      <c r="AW12" s="104">
        <f>COUNTIFS('свод практик'!$J$6:$J$277,AW$1,'свод практик'!$C$6:$C$277,"иное: благоустройство")</f>
        <v>0</v>
      </c>
      <c r="AX12" s="104">
        <f>COUNTIFS('свод практик'!$J$6:$J$277,AX$1,'свод практик'!$C$6:$C$277,"иное: благоустройство")</f>
        <v>0</v>
      </c>
      <c r="AY12" s="104">
        <f>COUNTIFS('свод практик'!$J$6:$J$277,AY$1,'свод практик'!$C$6:$C$277,"иное: благоустройство")</f>
        <v>0</v>
      </c>
      <c r="AZ12" s="104">
        <f>COUNTIFS('свод практик'!$J$6:$J$277,AZ$1,'свод практик'!$C$6:$C$277,"иное: благоустройство")</f>
        <v>0</v>
      </c>
      <c r="BA12" s="104">
        <f>COUNTIFS('свод практик'!$J$6:$J$277,BA$1,'свод практик'!$C$6:$C$277,"иное: благоустройство")</f>
        <v>0</v>
      </c>
      <c r="BB12" s="104">
        <f>COUNTIFS('свод практик'!$J$6:$J$277,BB$1,'свод практик'!$C$6:$C$277,"иное: благоустройство")</f>
        <v>0</v>
      </c>
      <c r="BC12" s="104">
        <f>COUNTIFS('свод практик'!$J$6:$J$277,BC$1,'свод практик'!$C$6:$C$277,"иное: благоустройство")</f>
        <v>0</v>
      </c>
      <c r="BD12" s="104">
        <f>COUNTIFS('свод практик'!$J$6:$J$277,BD$1,'свод практик'!$C$6:$C$277,"иное: благоустройство")</f>
        <v>0</v>
      </c>
      <c r="BE12" s="104">
        <f>COUNTIFS('свод практик'!$J$6:$J$277,BE$1,'свод практик'!$C$6:$C$277,"иное: благоустройство")</f>
        <v>0</v>
      </c>
      <c r="BF12" s="104">
        <f>COUNTIFS('свод практик'!$J$6:$J$277,BF$1,'свод практик'!$C$6:$C$277,"иное: благоустройство")</f>
        <v>0</v>
      </c>
      <c r="BG12" s="104">
        <f>COUNTIFS('свод практик'!$J$6:$J$277,BG$1,'свод практик'!$C$6:$C$277,"иное: благоустройство")</f>
        <v>0</v>
      </c>
      <c r="BH12" s="104">
        <f>COUNTIFS('свод практик'!$J$6:$J$277,BH$1,'свод практик'!$C$6:$C$277,"иное: благоустройство")</f>
        <v>0</v>
      </c>
      <c r="BI12" s="104">
        <f>COUNTIFS('свод практик'!$J$6:$J$277,BI$1,'свод практик'!$C$6:$C$277,"иное: благоустройство")</f>
        <v>0</v>
      </c>
      <c r="BJ12" s="104">
        <f>COUNTIFS('свод практик'!$J$6:$J$277,BJ$1,'свод практик'!$C$6:$C$277,"иное: благоустройство")</f>
        <v>2</v>
      </c>
      <c r="BK12" s="104">
        <f>COUNTIFS('свод практик'!$J$6:$J$277,BK$1,'свод практик'!$C$6:$C$277,"иное: благоустройство")</f>
        <v>0</v>
      </c>
      <c r="BL12" s="104">
        <f>COUNTIFS('свод практик'!$J$6:$J$277,BL$1,'свод практик'!$C$6:$C$277,"иное: благоустройство")</f>
        <v>0</v>
      </c>
      <c r="BM12" s="104">
        <f>COUNTIFS('свод практик'!$J$6:$J$277,BM$1,'свод практик'!$C$6:$C$277,"иное: благоустройство")</f>
        <v>0</v>
      </c>
      <c r="BN12" s="104">
        <f>COUNTIFS('свод практик'!$J$6:$J$277,BN$1,'свод практик'!$C$6:$C$277,"иное: благоустройство")</f>
        <v>0</v>
      </c>
      <c r="BO12" s="104">
        <f>COUNTIFS('свод практик'!$J$6:$J$277,BO$1,'свод практик'!$C$6:$C$277,"иное: благоустройство")</f>
        <v>0</v>
      </c>
      <c r="BP12" s="104">
        <f>COUNTIFS('свод практик'!$J$6:$J$277,BP$1,'свод практик'!$C$6:$C$277,"иное: благоустройство")</f>
        <v>0</v>
      </c>
      <c r="BQ12" s="104">
        <f>COUNTIFS('свод практик'!$J$6:$J$277,BQ$1,'свод практик'!$C$6:$C$277,"иное: благоустройство")</f>
        <v>0</v>
      </c>
      <c r="BR12" s="104">
        <f>COUNTIFS('свод практик'!$J$6:$J$277,BR$1,'свод практик'!$C$6:$C$277,"иное: благоустройство")</f>
        <v>0</v>
      </c>
      <c r="BS12" s="104">
        <f>COUNTIFS('свод практик'!$J$6:$J$277,BS$1,'свод практик'!$C$6:$C$277,"иное: благоустройство")</f>
        <v>0</v>
      </c>
      <c r="BT12" s="104">
        <f>COUNTIFS('свод практик'!$J$6:$J$277,BT$1,'свод практик'!$C$6:$C$277,"иное: благоустройство")</f>
        <v>0</v>
      </c>
      <c r="BU12" s="104">
        <f>COUNTIFS('свод практик'!$J$6:$J$277,BU$1,'свод практик'!$C$6:$C$277,"иное: благоустройство")</f>
        <v>0</v>
      </c>
      <c r="BV12" s="104">
        <f>COUNTIFS('свод практик'!$J$6:$J$277,BV$1,'свод практик'!$C$6:$C$277,"иное: благоустройство")</f>
        <v>0</v>
      </c>
      <c r="BW12" s="104">
        <f>COUNTIFS('свод практик'!$J$6:$J$277,BW$1,'свод практик'!$C$6:$C$277,"иное: благоустройство")</f>
        <v>0</v>
      </c>
      <c r="BX12" s="104">
        <f>COUNTIFS('свод практик'!$J$6:$J$277,BX$1,'свод практик'!$C$6:$C$277,"иное: благоустройство")</f>
        <v>0</v>
      </c>
      <c r="BY12" s="104">
        <f>COUNTIFS('свод практик'!$J$6:$J$277,BY$1,'свод практик'!$C$6:$C$277,"иное: благоустройство")</f>
        <v>0</v>
      </c>
      <c r="BZ12" s="104">
        <f>COUNTIFS('свод практик'!$J$6:$J$277,BZ$1,'свод практик'!$C$6:$C$277,"иное: благоустройство")</f>
        <v>0</v>
      </c>
      <c r="CA12" s="104">
        <f>COUNTIFS('свод практик'!$J$6:$J$277,CA$1,'свод практик'!$C$6:$C$277,"иное: благоустройство")</f>
        <v>0</v>
      </c>
      <c r="CB12" s="104">
        <f>COUNTIFS('свод практик'!$J$6:$J$277,CB$1,'свод практик'!$C$6:$C$277,"иное: благоустройство")</f>
        <v>0</v>
      </c>
      <c r="CC12" s="104">
        <f>COUNTIFS('свод практик'!$J$6:$J$277,CC$1,'свод практик'!$C$6:$C$277,"иное: благоустройство")</f>
        <v>0</v>
      </c>
      <c r="CD12" s="104">
        <f>COUNTIFS('свод практик'!$J$6:$J$277,CD$1,'свод практик'!$C$6:$C$277,"иное: благоустройство")</f>
        <v>0</v>
      </c>
      <c r="CE12" s="104">
        <f>COUNTIFS('свод практик'!$J$6:$J$277,CE$1,'свод практик'!$C$6:$C$277,"иное: благоустройство")</f>
        <v>0</v>
      </c>
      <c r="CF12" s="104">
        <f>COUNTIFS('свод практик'!$J$6:$J$277,CF$1,'свод практик'!$C$6:$C$277,"иное: благоустройство")</f>
        <v>0</v>
      </c>
      <c r="CG12" s="104">
        <f>COUNTIFS('свод практик'!$J$6:$J$277,CG$1,'свод практик'!$C$6:$C$277,"иное: благоустройство")</f>
        <v>0</v>
      </c>
      <c r="CH12" s="104">
        <f>COUNTIFS('свод практик'!$J$6:$J$277,CH$1,'свод практик'!$C$6:$C$277,"иное: благоустройство")</f>
        <v>1</v>
      </c>
      <c r="CI12" s="104">
        <f>COUNTIFS('свод практик'!$J$6:$J$277,CI$1,'свод практик'!$C$6:$C$277,"иное: благоустройство")</f>
        <v>0</v>
      </c>
      <c r="CJ12" s="104">
        <f>COUNTIFS('свод практик'!$J$6:$J$277,CJ$1,'свод практик'!$C$6:$C$277,"иное: благоустройство")</f>
        <v>0</v>
      </c>
      <c r="CK12" s="104">
        <f>COUNTIFS('свод практик'!$J$6:$J$277,CK$1,'свод практик'!$C$6:$C$277,"иное: благоустройство")</f>
        <v>0</v>
      </c>
    </row>
    <row r="13" spans="1:89">
      <c r="A13" s="676" t="s">
        <v>5336</v>
      </c>
      <c r="D13" s="675">
        <f t="shared" si="0"/>
        <v>2</v>
      </c>
      <c r="E13">
        <f>COUNTIFS('свод практик'!$J$6:$J$277,E$1,'свод практик'!$C$6:$C$277,"Иное: дороги")</f>
        <v>0</v>
      </c>
      <c r="F13" s="104">
        <f>COUNTIFS('свод практик'!$J$6:$J$277,F$1,'свод практик'!$C$6:$C$277,"Иное: дороги")</f>
        <v>0</v>
      </c>
      <c r="G13" s="104">
        <f>COUNTIFS('свод практик'!$J$6:$J$277,G$1,'свод практик'!$C$6:$C$277,"Иное: дороги")</f>
        <v>0</v>
      </c>
      <c r="H13" s="104">
        <f>COUNTIFS('свод практик'!$J$6:$J$277,H$1,'свод практик'!$C$6:$C$277,"Иное: дороги")</f>
        <v>0</v>
      </c>
      <c r="I13" s="104">
        <f>COUNTIFS('свод практик'!$J$6:$J$277,I$1,'свод практик'!$C$6:$C$277,"Иное: дороги")</f>
        <v>0</v>
      </c>
      <c r="J13" s="104">
        <f>COUNTIFS('свод практик'!$J$6:$J$277,J$1,'свод практик'!$C$6:$C$277,"Иное: дороги")</f>
        <v>0</v>
      </c>
      <c r="K13" s="104">
        <f>COUNTIFS('свод практик'!$J$6:$J$277,K$1,'свод практик'!$C$6:$C$277,"Иное: дороги")</f>
        <v>0</v>
      </c>
      <c r="L13" s="104">
        <f>COUNTIFS('свод практик'!$J$6:$J$277,L$1,'свод практик'!$C$6:$C$277,"Иное: дороги")</f>
        <v>0</v>
      </c>
      <c r="M13" s="104">
        <f>COUNTIFS('свод практик'!$J$6:$J$277,M$1,'свод практик'!$C$6:$C$277,"Иное: дороги")</f>
        <v>0</v>
      </c>
      <c r="N13" s="104">
        <f>COUNTIFS('свод практик'!$J$6:$J$277,N$1,'свод практик'!$C$6:$C$277,"Иное: дороги")</f>
        <v>0</v>
      </c>
      <c r="O13" s="104">
        <f>COUNTIFS('свод практик'!$J$6:$J$277,O$1,'свод практик'!$C$6:$C$277,"Иное: дороги")</f>
        <v>0</v>
      </c>
      <c r="P13" s="104">
        <f>COUNTIFS('свод практик'!$J$6:$J$277,P$1,'свод практик'!$C$6:$C$277,"Иное: дороги")</f>
        <v>0</v>
      </c>
      <c r="Q13" s="104">
        <f>COUNTIFS('свод практик'!$J$6:$J$277,Q$1,'свод практик'!$C$6:$C$277,"Иное: дороги")</f>
        <v>0</v>
      </c>
      <c r="R13" s="104">
        <f>COUNTIFS('свод практик'!$J$6:$J$277,R$1,'свод практик'!$C$6:$C$277,"Иное: дороги")</f>
        <v>0</v>
      </c>
      <c r="S13" s="104">
        <f>COUNTIFS('свод практик'!$J$6:$J$277,S$1,'свод практик'!$C$6:$C$277,"Иное: дороги")</f>
        <v>0</v>
      </c>
      <c r="T13" s="104">
        <f>COUNTIFS('свод практик'!$J$6:$J$277,T$1,'свод практик'!$C$6:$C$277,"Иное: дороги")</f>
        <v>0</v>
      </c>
      <c r="U13" s="104">
        <f>COUNTIFS('свод практик'!$J$6:$J$277,U$1,'свод практик'!$C$6:$C$277,"Иное: дороги")</f>
        <v>0</v>
      </c>
      <c r="V13" s="104">
        <f>COUNTIFS('свод практик'!$J$6:$J$277,V$1,'свод практик'!$C$6:$C$277,"Иное: дороги")</f>
        <v>0</v>
      </c>
      <c r="W13" s="104">
        <f>COUNTIFS('свод практик'!$J$6:$J$277,W$1,'свод практик'!$C$6:$C$277,"Иное: дороги")</f>
        <v>0</v>
      </c>
      <c r="X13" s="104">
        <f>COUNTIFS('свод практик'!$J$6:$J$277,X$1,'свод практик'!$C$6:$C$277,"Иное: дороги")</f>
        <v>0</v>
      </c>
      <c r="Y13" s="104">
        <f>COUNTIFS('свод практик'!$J$6:$J$277,Y$1,'свод практик'!$C$6:$C$277,"Иное: дороги")</f>
        <v>0</v>
      </c>
      <c r="Z13" s="104">
        <f>COUNTIFS('свод практик'!$J$6:$J$277,Z$1,'свод практик'!$C$6:$C$277,"Иное: дороги")</f>
        <v>0</v>
      </c>
      <c r="AA13" s="104">
        <f>COUNTIFS('свод практик'!$J$6:$J$277,AA$1,'свод практик'!$C$6:$C$277,"Иное: дороги")</f>
        <v>0</v>
      </c>
      <c r="AB13" s="104">
        <f>COUNTIFS('свод практик'!$J$6:$J$277,AB$1,'свод практик'!$C$6:$C$277,"Иное: дороги")</f>
        <v>0</v>
      </c>
      <c r="AC13" s="104">
        <f>COUNTIFS('свод практик'!$J$6:$J$277,AC$1,'свод практик'!$C$6:$C$277,"Иное: дороги")</f>
        <v>0</v>
      </c>
      <c r="AD13" s="104">
        <f>COUNTIFS('свод практик'!$J$6:$J$277,AD$1,'свод практик'!$C$6:$C$277,"Иное: дороги")</f>
        <v>0</v>
      </c>
      <c r="AE13" s="104">
        <f>COUNTIFS('свод практик'!$J$6:$J$277,AE$1,'свод практик'!$C$6:$C$277,"Иное: дороги")</f>
        <v>0</v>
      </c>
      <c r="AF13" s="104">
        <f>COUNTIFS('свод практик'!$J$6:$J$277,AF$1,'свод практик'!$C$6:$C$277,"Иное: дороги")</f>
        <v>0</v>
      </c>
      <c r="AG13" s="104">
        <f>COUNTIFS('свод практик'!$J$6:$J$277,AG$1,'свод практик'!$C$6:$C$277,"Иное: дороги")</f>
        <v>0</v>
      </c>
      <c r="AH13" s="104">
        <f>COUNTIFS('свод практик'!$J$6:$J$277,AH$1,'свод практик'!$C$6:$C$277,"Иное: дороги")</f>
        <v>0</v>
      </c>
      <c r="AI13" s="104">
        <f>COUNTIFS('свод практик'!$J$6:$J$277,AI$1,'свод практик'!$C$6:$C$277,"Иное: дороги")</f>
        <v>1</v>
      </c>
      <c r="AJ13" s="104">
        <f>COUNTIFS('свод практик'!$J$6:$J$277,AJ$1,'свод практик'!$C$6:$C$277,"Иное: дороги")</f>
        <v>0</v>
      </c>
      <c r="AK13" s="104">
        <f>COUNTIFS('свод практик'!$J$6:$J$277,AK$1,'свод практик'!$C$6:$C$277,"Иное: дороги")</f>
        <v>0</v>
      </c>
      <c r="AL13" s="104">
        <f>COUNTIFS('свод практик'!$J$6:$J$277,AL$1,'свод практик'!$C$6:$C$277,"Иное: дороги")</f>
        <v>0</v>
      </c>
      <c r="AM13" s="104">
        <f>COUNTIFS('свод практик'!$J$6:$J$277,AM$1,'свод практик'!$C$6:$C$277,"Иное: дороги")</f>
        <v>0</v>
      </c>
      <c r="AN13" s="104">
        <f>COUNTIFS('свод практик'!$J$6:$J$277,AN$1,'свод практик'!$C$6:$C$277,"Иное: дороги")</f>
        <v>0</v>
      </c>
      <c r="AO13" s="104">
        <f>COUNTIFS('свод практик'!$J$6:$J$277,AO$1,'свод практик'!$C$6:$C$277,"Иное: дороги")</f>
        <v>0</v>
      </c>
      <c r="AP13" s="104">
        <f>COUNTIFS('свод практик'!$J$6:$J$277,AP$1,'свод практик'!$C$6:$C$277,"Иное: дороги")</f>
        <v>0</v>
      </c>
      <c r="AQ13" s="104">
        <f>COUNTIFS('свод практик'!$J$6:$J$277,AQ$1,'свод практик'!$C$6:$C$277,"Иное: дороги")</f>
        <v>0</v>
      </c>
      <c r="AR13" s="104">
        <f>COUNTIFS('свод практик'!$J$6:$J$277,AR$1,'свод практик'!$C$6:$C$277,"Иное: дороги")</f>
        <v>0</v>
      </c>
      <c r="AS13" s="104">
        <f>COUNTIFS('свод практик'!$J$6:$J$277,AS$1,'свод практик'!$C$6:$C$277,"Иное: дороги")</f>
        <v>0</v>
      </c>
      <c r="AT13" s="104">
        <f>COUNTIFS('свод практик'!$J$6:$J$277,AT$1,'свод практик'!$C$6:$C$277,"Иное: дороги")</f>
        <v>0</v>
      </c>
      <c r="AU13" s="104">
        <f>COUNTIFS('свод практик'!$J$6:$J$277,AU$1,'свод практик'!$C$6:$C$277,"Иное: дороги")</f>
        <v>0</v>
      </c>
      <c r="AV13" s="104">
        <f>COUNTIFS('свод практик'!$J$6:$J$277,AV$1,'свод практик'!$C$6:$C$277,"Иное: дороги")</f>
        <v>0</v>
      </c>
      <c r="AW13" s="104">
        <f>COUNTIFS('свод практик'!$J$6:$J$277,AW$1,'свод практик'!$C$6:$C$277,"Иное: дороги")</f>
        <v>0</v>
      </c>
      <c r="AX13" s="104">
        <f>COUNTIFS('свод практик'!$J$6:$J$277,AX$1,'свод практик'!$C$6:$C$277,"Иное: дороги")</f>
        <v>0</v>
      </c>
      <c r="AY13" s="104">
        <f>COUNTIFS('свод практик'!$J$6:$J$277,AY$1,'свод практик'!$C$6:$C$277,"Иное: дороги")</f>
        <v>1</v>
      </c>
      <c r="AZ13" s="104">
        <f>COUNTIFS('свод практик'!$J$6:$J$277,AZ$1,'свод практик'!$C$6:$C$277,"Иное: дороги")</f>
        <v>0</v>
      </c>
      <c r="BA13" s="104">
        <f>COUNTIFS('свод практик'!$J$6:$J$277,BA$1,'свод практик'!$C$6:$C$277,"Иное: дороги")</f>
        <v>0</v>
      </c>
      <c r="BB13" s="104">
        <f>COUNTIFS('свод практик'!$J$6:$J$277,BB$1,'свод практик'!$C$6:$C$277,"Иное: дороги")</f>
        <v>0</v>
      </c>
      <c r="BC13" s="104">
        <f>COUNTIFS('свод практик'!$J$6:$J$277,BC$1,'свод практик'!$C$6:$C$277,"Иное: дороги")</f>
        <v>0</v>
      </c>
      <c r="BD13" s="104">
        <f>COUNTIFS('свод практик'!$J$6:$J$277,BD$1,'свод практик'!$C$6:$C$277,"Иное: дороги")</f>
        <v>0</v>
      </c>
      <c r="BE13" s="104">
        <f>COUNTIFS('свод практик'!$J$6:$J$277,BE$1,'свод практик'!$C$6:$C$277,"Иное: дороги")</f>
        <v>0</v>
      </c>
      <c r="BF13" s="104">
        <f>COUNTIFS('свод практик'!$J$6:$J$277,BF$1,'свод практик'!$C$6:$C$277,"Иное: дороги")</f>
        <v>0</v>
      </c>
      <c r="BG13" s="104">
        <f>COUNTIFS('свод практик'!$J$6:$J$277,BG$1,'свод практик'!$C$6:$C$277,"Иное: дороги")</f>
        <v>0</v>
      </c>
      <c r="BH13" s="104">
        <f>COUNTIFS('свод практик'!$J$6:$J$277,BH$1,'свод практик'!$C$6:$C$277,"Иное: дороги")</f>
        <v>0</v>
      </c>
      <c r="BI13" s="104">
        <f>COUNTIFS('свод практик'!$J$6:$J$277,BI$1,'свод практик'!$C$6:$C$277,"Иное: дороги")</f>
        <v>0</v>
      </c>
      <c r="BJ13" s="104">
        <f>COUNTIFS('свод практик'!$J$6:$J$277,BJ$1,'свод практик'!$C$6:$C$277,"Иное: дороги")</f>
        <v>0</v>
      </c>
      <c r="BK13" s="104">
        <f>COUNTIFS('свод практик'!$J$6:$J$277,BK$1,'свод практик'!$C$6:$C$277,"Иное: дороги")</f>
        <v>0</v>
      </c>
      <c r="BL13" s="104">
        <f>COUNTIFS('свод практик'!$J$6:$J$277,BL$1,'свод практик'!$C$6:$C$277,"Иное: дороги")</f>
        <v>0</v>
      </c>
      <c r="BM13" s="104">
        <f>COUNTIFS('свод практик'!$J$6:$J$277,BM$1,'свод практик'!$C$6:$C$277,"Иное: дороги")</f>
        <v>0</v>
      </c>
      <c r="BN13" s="104">
        <f>COUNTIFS('свод практик'!$J$6:$J$277,BN$1,'свод практик'!$C$6:$C$277,"Иное: дороги")</f>
        <v>0</v>
      </c>
      <c r="BO13" s="104">
        <f>COUNTIFS('свод практик'!$J$6:$J$277,BO$1,'свод практик'!$C$6:$C$277,"Иное: дороги")</f>
        <v>0</v>
      </c>
      <c r="BP13" s="104">
        <f>COUNTIFS('свод практик'!$J$6:$J$277,BP$1,'свод практик'!$C$6:$C$277,"Иное: дороги")</f>
        <v>0</v>
      </c>
      <c r="BQ13" s="104">
        <f>COUNTIFS('свод практик'!$J$6:$J$277,BQ$1,'свод практик'!$C$6:$C$277,"Иное: дороги")</f>
        <v>0</v>
      </c>
      <c r="BR13" s="104">
        <f>COUNTIFS('свод практик'!$J$6:$J$277,BR$1,'свод практик'!$C$6:$C$277,"Иное: дороги")</f>
        <v>0</v>
      </c>
      <c r="BS13" s="104">
        <f>COUNTIFS('свод практик'!$J$6:$J$277,BS$1,'свод практик'!$C$6:$C$277,"Иное: дороги")</f>
        <v>0</v>
      </c>
      <c r="BT13" s="104">
        <f>COUNTIFS('свод практик'!$J$6:$J$277,BT$1,'свод практик'!$C$6:$C$277,"Иное: дороги")</f>
        <v>0</v>
      </c>
      <c r="BU13" s="104">
        <f>COUNTIFS('свод практик'!$J$6:$J$277,BU$1,'свод практик'!$C$6:$C$277,"Иное: дороги")</f>
        <v>0</v>
      </c>
      <c r="BV13" s="104">
        <f>COUNTIFS('свод практик'!$J$6:$J$277,BV$1,'свод практик'!$C$6:$C$277,"Иное: дороги")</f>
        <v>0</v>
      </c>
      <c r="BW13" s="104">
        <f>COUNTIFS('свод практик'!$J$6:$J$277,BW$1,'свод практик'!$C$6:$C$277,"Иное: дороги")</f>
        <v>0</v>
      </c>
      <c r="BX13" s="104">
        <f>COUNTIFS('свод практик'!$J$6:$J$277,BX$1,'свод практик'!$C$6:$C$277,"Иное: дороги")</f>
        <v>0</v>
      </c>
      <c r="BY13" s="104">
        <f>COUNTIFS('свод практик'!$J$6:$J$277,BY$1,'свод практик'!$C$6:$C$277,"Иное: дороги")</f>
        <v>0</v>
      </c>
      <c r="BZ13" s="104">
        <f>COUNTIFS('свод практик'!$J$6:$J$277,BZ$1,'свод практик'!$C$6:$C$277,"Иное: дороги")</f>
        <v>0</v>
      </c>
      <c r="CA13" s="104">
        <f>COUNTIFS('свод практик'!$J$6:$J$277,CA$1,'свод практик'!$C$6:$C$277,"Иное: дороги")</f>
        <v>0</v>
      </c>
      <c r="CB13" s="104">
        <f>COUNTIFS('свод практик'!$J$6:$J$277,CB$1,'свод практик'!$C$6:$C$277,"Иное: дороги")</f>
        <v>0</v>
      </c>
      <c r="CC13" s="104">
        <f>COUNTIFS('свод практик'!$J$6:$J$277,CC$1,'свод практик'!$C$6:$C$277,"Иное: дороги")</f>
        <v>0</v>
      </c>
      <c r="CD13" s="104">
        <f>COUNTIFS('свод практик'!$J$6:$J$277,CD$1,'свод практик'!$C$6:$C$277,"Иное: дороги")</f>
        <v>0</v>
      </c>
      <c r="CE13" s="104">
        <f>COUNTIFS('свод практик'!$J$6:$J$277,CE$1,'свод практик'!$C$6:$C$277,"Иное: дороги")</f>
        <v>0</v>
      </c>
      <c r="CF13" s="104">
        <f>COUNTIFS('свод практик'!$J$6:$J$277,CF$1,'свод практик'!$C$6:$C$277,"Иное: дороги")</f>
        <v>0</v>
      </c>
      <c r="CG13" s="104">
        <f>COUNTIFS('свод практик'!$J$6:$J$277,CG$1,'свод практик'!$C$6:$C$277,"Иное: дороги")</f>
        <v>0</v>
      </c>
      <c r="CH13" s="104">
        <f>COUNTIFS('свод практик'!$J$6:$J$277,CH$1,'свод практик'!$C$6:$C$277,"Иное: дороги")</f>
        <v>0</v>
      </c>
      <c r="CI13" s="104">
        <f>COUNTIFS('свод практик'!$J$6:$J$277,CI$1,'свод практик'!$C$6:$C$277,"Иное: дороги")</f>
        <v>0</v>
      </c>
      <c r="CJ13" s="104">
        <f>COUNTIFS('свод практик'!$J$6:$J$277,CJ$1,'свод практик'!$C$6:$C$277,"Иное: дороги")</f>
        <v>0</v>
      </c>
      <c r="CK13" s="104">
        <f>COUNTIFS('свод практик'!$J$6:$J$277,CK$1,'свод практик'!$C$6:$C$277,"Иное: дороги")</f>
        <v>0</v>
      </c>
    </row>
    <row r="14" spans="1:89">
      <c r="A14" s="676" t="s">
        <v>5332</v>
      </c>
      <c r="D14" s="675">
        <f t="shared" si="0"/>
        <v>1</v>
      </c>
      <c r="E14">
        <f>COUNTIFS('свод практик'!$J$6:$J$277,E$1,'свод практик'!$C$6:$C$277,"иное: ЖКХ")</f>
        <v>0</v>
      </c>
      <c r="F14" s="104">
        <f>COUNTIFS('свод практик'!$J$6:$J$277,F$1,'свод практик'!$C$6:$C$277,"иное: ЖКХ")</f>
        <v>0</v>
      </c>
      <c r="G14" s="104">
        <f>COUNTIFS('свод практик'!$J$6:$J$277,G$1,'свод практик'!$C$6:$C$277,"иное: ЖКХ")</f>
        <v>0</v>
      </c>
      <c r="H14" s="104">
        <f>COUNTIFS('свод практик'!$J$6:$J$277,H$1,'свод практик'!$C$6:$C$277,"иное: ЖКХ")</f>
        <v>0</v>
      </c>
      <c r="I14" s="104">
        <f>COUNTIFS('свод практик'!$J$6:$J$277,I$1,'свод практик'!$C$6:$C$277,"иное: ЖКХ")</f>
        <v>0</v>
      </c>
      <c r="J14" s="104">
        <f>COUNTIFS('свод практик'!$J$6:$J$277,J$1,'свод практик'!$C$6:$C$277,"иное: ЖКХ")</f>
        <v>0</v>
      </c>
      <c r="K14" s="104">
        <f>COUNTIFS('свод практик'!$J$6:$J$277,K$1,'свод практик'!$C$6:$C$277,"иное: ЖКХ")</f>
        <v>0</v>
      </c>
      <c r="L14" s="104">
        <f>COUNTIFS('свод практик'!$J$6:$J$277,L$1,'свод практик'!$C$6:$C$277,"иное: ЖКХ")</f>
        <v>0</v>
      </c>
      <c r="M14" s="104">
        <f>COUNTIFS('свод практик'!$J$6:$J$277,M$1,'свод практик'!$C$6:$C$277,"иное: ЖКХ")</f>
        <v>0</v>
      </c>
      <c r="N14" s="104">
        <f>COUNTIFS('свод практик'!$J$6:$J$277,N$1,'свод практик'!$C$6:$C$277,"иное: ЖКХ")</f>
        <v>0</v>
      </c>
      <c r="O14" s="104">
        <f>COUNTIFS('свод практик'!$J$6:$J$277,O$1,'свод практик'!$C$6:$C$277,"иное: ЖКХ")</f>
        <v>0</v>
      </c>
      <c r="P14" s="104">
        <f>COUNTIFS('свод практик'!$J$6:$J$277,P$1,'свод практик'!$C$6:$C$277,"иное: ЖКХ")</f>
        <v>0</v>
      </c>
      <c r="Q14" s="104">
        <f>COUNTIFS('свод практик'!$J$6:$J$277,Q$1,'свод практик'!$C$6:$C$277,"иное: ЖКХ")</f>
        <v>0</v>
      </c>
      <c r="R14" s="104">
        <f>COUNTIFS('свод практик'!$J$6:$J$277,R$1,'свод практик'!$C$6:$C$277,"иное: ЖКХ")</f>
        <v>0</v>
      </c>
      <c r="S14" s="104">
        <f>COUNTIFS('свод практик'!$J$6:$J$277,S$1,'свод практик'!$C$6:$C$277,"иное: ЖКХ")</f>
        <v>0</v>
      </c>
      <c r="T14" s="104">
        <f>COUNTIFS('свод практик'!$J$6:$J$277,T$1,'свод практик'!$C$6:$C$277,"иное: ЖКХ")</f>
        <v>0</v>
      </c>
      <c r="U14" s="104">
        <f>COUNTIFS('свод практик'!$J$6:$J$277,U$1,'свод практик'!$C$6:$C$277,"иное: ЖКХ")</f>
        <v>0</v>
      </c>
      <c r="V14" s="104">
        <f>COUNTIFS('свод практик'!$J$6:$J$277,V$1,'свод практик'!$C$6:$C$277,"иное: ЖКХ")</f>
        <v>0</v>
      </c>
      <c r="W14" s="104">
        <f>COUNTIFS('свод практик'!$J$6:$J$277,W$1,'свод практик'!$C$6:$C$277,"иное: ЖКХ")</f>
        <v>0</v>
      </c>
      <c r="X14" s="104">
        <f>COUNTIFS('свод практик'!$J$6:$J$277,X$1,'свод практик'!$C$6:$C$277,"иное: ЖКХ")</f>
        <v>0</v>
      </c>
      <c r="Y14" s="104">
        <f>COUNTIFS('свод практик'!$J$6:$J$277,Y$1,'свод практик'!$C$6:$C$277,"иное: ЖКХ")</f>
        <v>0</v>
      </c>
      <c r="Z14" s="104">
        <f>COUNTIFS('свод практик'!$J$6:$J$277,Z$1,'свод практик'!$C$6:$C$277,"иное: ЖКХ")</f>
        <v>1</v>
      </c>
      <c r="AA14" s="104">
        <f>COUNTIFS('свод практик'!$J$6:$J$277,AA$1,'свод практик'!$C$6:$C$277,"иное: ЖКХ")</f>
        <v>0</v>
      </c>
      <c r="AB14" s="104">
        <f>COUNTIFS('свод практик'!$J$6:$J$277,AB$1,'свод практик'!$C$6:$C$277,"иное: ЖКХ")</f>
        <v>0</v>
      </c>
      <c r="AC14" s="104">
        <f>COUNTIFS('свод практик'!$J$6:$J$277,AC$1,'свод практик'!$C$6:$C$277,"иное: ЖКХ")</f>
        <v>0</v>
      </c>
      <c r="AD14" s="104">
        <f>COUNTIFS('свод практик'!$J$6:$J$277,AD$1,'свод практик'!$C$6:$C$277,"иное: ЖКХ")</f>
        <v>0</v>
      </c>
      <c r="AE14" s="104">
        <f>COUNTIFS('свод практик'!$J$6:$J$277,AE$1,'свод практик'!$C$6:$C$277,"иное: ЖКХ")</f>
        <v>0</v>
      </c>
      <c r="AF14" s="104">
        <f>COUNTIFS('свод практик'!$J$6:$J$277,AF$1,'свод практик'!$C$6:$C$277,"иное: ЖКХ")</f>
        <v>0</v>
      </c>
      <c r="AG14" s="104">
        <f>COUNTIFS('свод практик'!$J$6:$J$277,AG$1,'свод практик'!$C$6:$C$277,"иное: ЖКХ")</f>
        <v>0</v>
      </c>
      <c r="AH14" s="104">
        <f>COUNTIFS('свод практик'!$J$6:$J$277,AH$1,'свод практик'!$C$6:$C$277,"иное: ЖКХ")</f>
        <v>0</v>
      </c>
      <c r="AI14" s="104">
        <f>COUNTIFS('свод практик'!$J$6:$J$277,AI$1,'свод практик'!$C$6:$C$277,"иное: ЖКХ")</f>
        <v>0</v>
      </c>
      <c r="AJ14" s="104">
        <f>COUNTIFS('свод практик'!$J$6:$J$277,AJ$1,'свод практик'!$C$6:$C$277,"иное: ЖКХ")</f>
        <v>0</v>
      </c>
      <c r="AK14" s="104">
        <f>COUNTIFS('свод практик'!$J$6:$J$277,AK$1,'свод практик'!$C$6:$C$277,"иное: ЖКХ")</f>
        <v>0</v>
      </c>
      <c r="AL14" s="104">
        <f>COUNTIFS('свод практик'!$J$6:$J$277,AL$1,'свод практик'!$C$6:$C$277,"иное: ЖКХ")</f>
        <v>0</v>
      </c>
      <c r="AM14" s="104">
        <f>COUNTIFS('свод практик'!$J$6:$J$277,AM$1,'свод практик'!$C$6:$C$277,"иное: ЖКХ")</f>
        <v>0</v>
      </c>
      <c r="AN14" s="104">
        <f>COUNTIFS('свод практик'!$J$6:$J$277,AN$1,'свод практик'!$C$6:$C$277,"иное: ЖКХ")</f>
        <v>0</v>
      </c>
      <c r="AO14" s="104">
        <f>COUNTIFS('свод практик'!$J$6:$J$277,AO$1,'свод практик'!$C$6:$C$277,"иное: ЖКХ")</f>
        <v>0</v>
      </c>
      <c r="AP14" s="104">
        <f>COUNTIFS('свод практик'!$J$6:$J$277,AP$1,'свод практик'!$C$6:$C$277,"иное: ЖКХ")</f>
        <v>0</v>
      </c>
      <c r="AQ14" s="104">
        <f>COUNTIFS('свод практик'!$J$6:$J$277,AQ$1,'свод практик'!$C$6:$C$277,"иное: ЖКХ")</f>
        <v>0</v>
      </c>
      <c r="AR14" s="104">
        <f>COUNTIFS('свод практик'!$J$6:$J$277,AR$1,'свод практик'!$C$6:$C$277,"иное: ЖКХ")</f>
        <v>0</v>
      </c>
      <c r="AS14" s="104">
        <f>COUNTIFS('свод практик'!$J$6:$J$277,AS$1,'свод практик'!$C$6:$C$277,"иное: ЖКХ")</f>
        <v>0</v>
      </c>
      <c r="AT14" s="104">
        <f>COUNTIFS('свод практик'!$J$6:$J$277,AT$1,'свод практик'!$C$6:$C$277,"иное: ЖКХ")</f>
        <v>0</v>
      </c>
      <c r="AU14" s="104">
        <f>COUNTIFS('свод практик'!$J$6:$J$277,AU$1,'свод практик'!$C$6:$C$277,"иное: ЖКХ")</f>
        <v>0</v>
      </c>
      <c r="AV14" s="104">
        <f>COUNTIFS('свод практик'!$J$6:$J$277,AV$1,'свод практик'!$C$6:$C$277,"иное: ЖКХ")</f>
        <v>0</v>
      </c>
      <c r="AW14" s="104">
        <f>COUNTIFS('свод практик'!$J$6:$J$277,AW$1,'свод практик'!$C$6:$C$277,"иное: ЖКХ")</f>
        <v>0</v>
      </c>
      <c r="AX14" s="104">
        <f>COUNTIFS('свод практик'!$J$6:$J$277,AX$1,'свод практик'!$C$6:$C$277,"иное: ЖКХ")</f>
        <v>0</v>
      </c>
      <c r="AY14" s="104">
        <f>COUNTIFS('свод практик'!$J$6:$J$277,AY$1,'свод практик'!$C$6:$C$277,"иное: ЖКХ")</f>
        <v>0</v>
      </c>
      <c r="AZ14" s="104">
        <f>COUNTIFS('свод практик'!$J$6:$J$277,AZ$1,'свод практик'!$C$6:$C$277,"иное: ЖКХ")</f>
        <v>0</v>
      </c>
      <c r="BA14" s="104">
        <f>COUNTIFS('свод практик'!$J$6:$J$277,BA$1,'свод практик'!$C$6:$C$277,"иное: ЖКХ")</f>
        <v>0</v>
      </c>
      <c r="BB14" s="104">
        <f>COUNTIFS('свод практик'!$J$6:$J$277,BB$1,'свод практик'!$C$6:$C$277,"иное: ЖКХ")</f>
        <v>0</v>
      </c>
      <c r="BC14" s="104">
        <f>COUNTIFS('свод практик'!$J$6:$J$277,BC$1,'свод практик'!$C$6:$C$277,"иное: ЖКХ")</f>
        <v>0</v>
      </c>
      <c r="BD14" s="104">
        <f>COUNTIFS('свод практик'!$J$6:$J$277,BD$1,'свод практик'!$C$6:$C$277,"иное: ЖКХ")</f>
        <v>0</v>
      </c>
      <c r="BE14" s="104">
        <f>COUNTIFS('свод практик'!$J$6:$J$277,BE$1,'свод практик'!$C$6:$C$277,"иное: ЖКХ")</f>
        <v>0</v>
      </c>
      <c r="BF14" s="104">
        <f>COUNTIFS('свод практик'!$J$6:$J$277,BF$1,'свод практик'!$C$6:$C$277,"иное: ЖКХ")</f>
        <v>0</v>
      </c>
      <c r="BG14" s="104">
        <f>COUNTIFS('свод практик'!$J$6:$J$277,BG$1,'свод практик'!$C$6:$C$277,"иное: ЖКХ")</f>
        <v>0</v>
      </c>
      <c r="BH14" s="104">
        <f>COUNTIFS('свод практик'!$J$6:$J$277,BH$1,'свод практик'!$C$6:$C$277,"иное: ЖКХ")</f>
        <v>0</v>
      </c>
      <c r="BI14" s="104">
        <f>COUNTIFS('свод практик'!$J$6:$J$277,BI$1,'свод практик'!$C$6:$C$277,"иное: ЖКХ")</f>
        <v>0</v>
      </c>
      <c r="BJ14" s="104">
        <f>COUNTIFS('свод практик'!$J$6:$J$277,BJ$1,'свод практик'!$C$6:$C$277,"иное: ЖКХ")</f>
        <v>0</v>
      </c>
      <c r="BK14" s="104">
        <f>COUNTIFS('свод практик'!$J$6:$J$277,BK$1,'свод практик'!$C$6:$C$277,"иное: ЖКХ")</f>
        <v>0</v>
      </c>
      <c r="BL14" s="104">
        <f>COUNTIFS('свод практик'!$J$6:$J$277,BL$1,'свод практик'!$C$6:$C$277,"иное: ЖКХ")</f>
        <v>0</v>
      </c>
      <c r="BM14" s="104">
        <f>COUNTIFS('свод практик'!$J$6:$J$277,BM$1,'свод практик'!$C$6:$C$277,"иное: ЖКХ")</f>
        <v>0</v>
      </c>
      <c r="BN14" s="104">
        <f>COUNTIFS('свод практик'!$J$6:$J$277,BN$1,'свод практик'!$C$6:$C$277,"иное: ЖКХ")</f>
        <v>0</v>
      </c>
      <c r="BO14" s="104">
        <f>COUNTIFS('свод практик'!$J$6:$J$277,BO$1,'свод практик'!$C$6:$C$277,"иное: ЖКХ")</f>
        <v>0</v>
      </c>
      <c r="BP14" s="104">
        <f>COUNTIFS('свод практик'!$J$6:$J$277,BP$1,'свод практик'!$C$6:$C$277,"иное: ЖКХ")</f>
        <v>0</v>
      </c>
      <c r="BQ14" s="104">
        <f>COUNTIFS('свод практик'!$J$6:$J$277,BQ$1,'свод практик'!$C$6:$C$277,"иное: ЖКХ")</f>
        <v>0</v>
      </c>
      <c r="BR14" s="104">
        <f>COUNTIFS('свод практик'!$J$6:$J$277,BR$1,'свод практик'!$C$6:$C$277,"иное: ЖКХ")</f>
        <v>0</v>
      </c>
      <c r="BS14" s="104">
        <f>COUNTIFS('свод практик'!$J$6:$J$277,BS$1,'свод практик'!$C$6:$C$277,"иное: ЖКХ")</f>
        <v>0</v>
      </c>
      <c r="BT14" s="104">
        <f>COUNTIFS('свод практик'!$J$6:$J$277,BT$1,'свод практик'!$C$6:$C$277,"иное: ЖКХ")</f>
        <v>0</v>
      </c>
      <c r="BU14" s="104">
        <f>COUNTIFS('свод практик'!$J$6:$J$277,BU$1,'свод практик'!$C$6:$C$277,"иное: ЖКХ")</f>
        <v>0</v>
      </c>
      <c r="BV14" s="104">
        <f>COUNTIFS('свод практик'!$J$6:$J$277,BV$1,'свод практик'!$C$6:$C$277,"иное: ЖКХ")</f>
        <v>0</v>
      </c>
      <c r="BW14" s="104">
        <f>COUNTIFS('свод практик'!$J$6:$J$277,BW$1,'свод практик'!$C$6:$C$277,"иное: ЖКХ")</f>
        <v>0</v>
      </c>
      <c r="BX14" s="104">
        <f>COUNTIFS('свод практик'!$J$6:$J$277,BX$1,'свод практик'!$C$6:$C$277,"иное: ЖКХ")</f>
        <v>0</v>
      </c>
      <c r="BY14" s="104">
        <f>COUNTIFS('свод практик'!$J$6:$J$277,BY$1,'свод практик'!$C$6:$C$277,"иное: ЖКХ")</f>
        <v>0</v>
      </c>
      <c r="BZ14" s="104">
        <f>COUNTIFS('свод практик'!$J$6:$J$277,BZ$1,'свод практик'!$C$6:$C$277,"иное: ЖКХ")</f>
        <v>0</v>
      </c>
      <c r="CA14" s="104">
        <f>COUNTIFS('свод практик'!$J$6:$J$277,CA$1,'свод практик'!$C$6:$C$277,"иное: ЖКХ")</f>
        <v>0</v>
      </c>
      <c r="CB14" s="104">
        <f>COUNTIFS('свод практик'!$J$6:$J$277,CB$1,'свод практик'!$C$6:$C$277,"иное: ЖКХ")</f>
        <v>0</v>
      </c>
      <c r="CC14" s="104">
        <f>COUNTIFS('свод практик'!$J$6:$J$277,CC$1,'свод практик'!$C$6:$C$277,"иное: ЖКХ")</f>
        <v>0</v>
      </c>
      <c r="CD14" s="104">
        <f>COUNTIFS('свод практик'!$J$6:$J$277,CD$1,'свод практик'!$C$6:$C$277,"иное: ЖКХ")</f>
        <v>0</v>
      </c>
      <c r="CE14" s="104">
        <f>COUNTIFS('свод практик'!$J$6:$J$277,CE$1,'свод практик'!$C$6:$C$277,"иное: ЖКХ")</f>
        <v>0</v>
      </c>
      <c r="CF14" s="104">
        <f>COUNTIFS('свод практик'!$J$6:$J$277,CF$1,'свод практик'!$C$6:$C$277,"иное: ЖКХ")</f>
        <v>0</v>
      </c>
      <c r="CG14" s="104">
        <f>COUNTIFS('свод практик'!$J$6:$J$277,CG$1,'свод практик'!$C$6:$C$277,"иное: ЖКХ")</f>
        <v>0</v>
      </c>
      <c r="CH14" s="104">
        <f>COUNTIFS('свод практик'!$J$6:$J$277,CH$1,'свод практик'!$C$6:$C$277,"иное: ЖКХ")</f>
        <v>0</v>
      </c>
      <c r="CI14" s="104">
        <f>COUNTIFS('свод практик'!$J$6:$J$277,CI$1,'свод практик'!$C$6:$C$277,"иное: ЖКХ")</f>
        <v>0</v>
      </c>
      <c r="CJ14" s="104">
        <f>COUNTIFS('свод практик'!$J$6:$J$277,CJ$1,'свод практик'!$C$6:$C$277,"иное: ЖКХ")</f>
        <v>0</v>
      </c>
      <c r="CK14" s="104">
        <f>COUNTIFS('свод практик'!$J$6:$J$277,CK$1,'свод практик'!$C$6:$C$277,"иное: ЖКХ")</f>
        <v>0</v>
      </c>
    </row>
    <row r="15" spans="1:89">
      <c r="A15" s="676" t="s">
        <v>5331</v>
      </c>
      <c r="D15" s="675">
        <f t="shared" si="0"/>
        <v>1</v>
      </c>
      <c r="E15">
        <f>COUNTIFS('свод практик'!$J$6:$J$277,E$1,'свод практик'!$C$6:$C$277,"иное: площадки")</f>
        <v>0</v>
      </c>
      <c r="F15" s="104">
        <f>COUNTIFS('свод практик'!$J$6:$J$277,F$1,'свод практик'!$C$6:$C$277,"иное: площадки")</f>
        <v>0</v>
      </c>
      <c r="G15" s="104">
        <f>COUNTIFS('свод практик'!$J$6:$J$277,G$1,'свод практик'!$C$6:$C$277,"иное: площадки")</f>
        <v>0</v>
      </c>
      <c r="H15" s="104">
        <f>COUNTIFS('свод практик'!$J$6:$J$277,H$1,'свод практик'!$C$6:$C$277,"иное: площадки")</f>
        <v>0</v>
      </c>
      <c r="I15" s="104">
        <f>COUNTIFS('свод практик'!$J$6:$J$277,I$1,'свод практик'!$C$6:$C$277,"иное: площадки")</f>
        <v>0</v>
      </c>
      <c r="J15" s="104">
        <f>COUNTIFS('свод практик'!$J$6:$J$277,J$1,'свод практик'!$C$6:$C$277,"иное: площадки")</f>
        <v>0</v>
      </c>
      <c r="K15" s="104">
        <f>COUNTIFS('свод практик'!$J$6:$J$277,K$1,'свод практик'!$C$6:$C$277,"иное: площадки")</f>
        <v>0</v>
      </c>
      <c r="L15" s="104">
        <f>COUNTIFS('свод практик'!$J$6:$J$277,L$1,'свод практик'!$C$6:$C$277,"иное: площадки")</f>
        <v>0</v>
      </c>
      <c r="M15" s="104">
        <f>COUNTIFS('свод практик'!$J$6:$J$277,M$1,'свод практик'!$C$6:$C$277,"иное: площадки")</f>
        <v>0</v>
      </c>
      <c r="N15" s="104">
        <f>COUNTIFS('свод практик'!$J$6:$J$277,N$1,'свод практик'!$C$6:$C$277,"иное: площадки")</f>
        <v>0</v>
      </c>
      <c r="O15" s="104">
        <f>COUNTIFS('свод практик'!$J$6:$J$277,O$1,'свод практик'!$C$6:$C$277,"иное: площадки")</f>
        <v>0</v>
      </c>
      <c r="P15" s="104">
        <f>COUNTIFS('свод практик'!$J$6:$J$277,P$1,'свод практик'!$C$6:$C$277,"иное: площадки")</f>
        <v>0</v>
      </c>
      <c r="Q15" s="104">
        <f>COUNTIFS('свод практик'!$J$6:$J$277,Q$1,'свод практик'!$C$6:$C$277,"иное: площадки")</f>
        <v>0</v>
      </c>
      <c r="R15" s="104">
        <f>COUNTIFS('свод практик'!$J$6:$J$277,R$1,'свод практик'!$C$6:$C$277,"иное: площадки")</f>
        <v>0</v>
      </c>
      <c r="S15" s="104">
        <f>COUNTIFS('свод практик'!$J$6:$J$277,S$1,'свод практик'!$C$6:$C$277,"иное: площадки")</f>
        <v>0</v>
      </c>
      <c r="T15" s="104">
        <f>COUNTIFS('свод практик'!$J$6:$J$277,T$1,'свод практик'!$C$6:$C$277,"иное: площадки")</f>
        <v>0</v>
      </c>
      <c r="U15" s="104">
        <f>COUNTIFS('свод практик'!$J$6:$J$277,U$1,'свод практик'!$C$6:$C$277,"иное: площадки")</f>
        <v>0</v>
      </c>
      <c r="V15" s="104">
        <f>COUNTIFS('свод практик'!$J$6:$J$277,V$1,'свод практик'!$C$6:$C$277,"иное: площадки")</f>
        <v>0</v>
      </c>
      <c r="W15" s="104">
        <f>COUNTIFS('свод практик'!$J$6:$J$277,W$1,'свод практик'!$C$6:$C$277,"иное: площадки")</f>
        <v>0</v>
      </c>
      <c r="X15" s="104">
        <f>COUNTIFS('свод практик'!$J$6:$J$277,X$1,'свод практик'!$C$6:$C$277,"иное: площадки")</f>
        <v>0</v>
      </c>
      <c r="Y15" s="104">
        <f>COUNTIFS('свод практик'!$J$6:$J$277,Y$1,'свод практик'!$C$6:$C$277,"иное: площадки")</f>
        <v>1</v>
      </c>
      <c r="Z15" s="104">
        <f>COUNTIFS('свод практик'!$J$6:$J$277,Z$1,'свод практик'!$C$6:$C$277,"иное: площадки")</f>
        <v>0</v>
      </c>
      <c r="AA15" s="104">
        <f>COUNTIFS('свод практик'!$J$6:$J$277,AA$1,'свод практик'!$C$6:$C$277,"иное: площадки")</f>
        <v>0</v>
      </c>
      <c r="AB15" s="104">
        <f>COUNTIFS('свод практик'!$J$6:$J$277,AB$1,'свод практик'!$C$6:$C$277,"иное: площадки")</f>
        <v>0</v>
      </c>
      <c r="AC15" s="104">
        <f>COUNTIFS('свод практик'!$J$6:$J$277,AC$1,'свод практик'!$C$6:$C$277,"иное: площадки")</f>
        <v>0</v>
      </c>
      <c r="AD15" s="104">
        <f>COUNTIFS('свод практик'!$J$6:$J$277,AD$1,'свод практик'!$C$6:$C$277,"иное: площадки")</f>
        <v>0</v>
      </c>
      <c r="AE15" s="104">
        <f>COUNTIFS('свод практик'!$J$6:$J$277,AE$1,'свод практик'!$C$6:$C$277,"иное: площадки")</f>
        <v>0</v>
      </c>
      <c r="AF15" s="104">
        <f>COUNTIFS('свод практик'!$J$6:$J$277,AF$1,'свод практик'!$C$6:$C$277,"иное: площадки")</f>
        <v>0</v>
      </c>
      <c r="AG15" s="104">
        <f>COUNTIFS('свод практик'!$J$6:$J$277,AG$1,'свод практик'!$C$6:$C$277,"иное: площадки")</f>
        <v>0</v>
      </c>
      <c r="AH15" s="104">
        <f>COUNTIFS('свод практик'!$J$6:$J$277,AH$1,'свод практик'!$C$6:$C$277,"иное: площадки")</f>
        <v>0</v>
      </c>
      <c r="AI15" s="104">
        <f>COUNTIFS('свод практик'!$J$6:$J$277,AI$1,'свод практик'!$C$6:$C$277,"иное: площадки")</f>
        <v>0</v>
      </c>
      <c r="AJ15" s="104">
        <f>COUNTIFS('свод практик'!$J$6:$J$277,AJ$1,'свод практик'!$C$6:$C$277,"иное: площадки")</f>
        <v>0</v>
      </c>
      <c r="AK15" s="104">
        <f>COUNTIFS('свод практик'!$J$6:$J$277,AK$1,'свод практик'!$C$6:$C$277,"иное: площадки")</f>
        <v>0</v>
      </c>
      <c r="AL15" s="104">
        <f>COUNTIFS('свод практик'!$J$6:$J$277,AL$1,'свод практик'!$C$6:$C$277,"иное: площадки")</f>
        <v>0</v>
      </c>
      <c r="AM15" s="104">
        <f>COUNTIFS('свод практик'!$J$6:$J$277,AM$1,'свод практик'!$C$6:$C$277,"иное: площадки")</f>
        <v>0</v>
      </c>
      <c r="AN15" s="104">
        <f>COUNTIFS('свод практик'!$J$6:$J$277,AN$1,'свод практик'!$C$6:$C$277,"иное: площадки")</f>
        <v>0</v>
      </c>
      <c r="AO15" s="104">
        <f>COUNTIFS('свод практик'!$J$6:$J$277,AO$1,'свод практик'!$C$6:$C$277,"иное: площадки")</f>
        <v>0</v>
      </c>
      <c r="AP15" s="104">
        <f>COUNTIFS('свод практик'!$J$6:$J$277,AP$1,'свод практик'!$C$6:$C$277,"иное: площадки")</f>
        <v>0</v>
      </c>
      <c r="AQ15" s="104">
        <f>COUNTIFS('свод практик'!$J$6:$J$277,AQ$1,'свод практик'!$C$6:$C$277,"иное: площадки")</f>
        <v>0</v>
      </c>
      <c r="AR15" s="104">
        <f>COUNTIFS('свод практик'!$J$6:$J$277,AR$1,'свод практик'!$C$6:$C$277,"иное: площадки")</f>
        <v>0</v>
      </c>
      <c r="AS15" s="104">
        <f>COUNTIFS('свод практик'!$J$6:$J$277,AS$1,'свод практик'!$C$6:$C$277,"иное: площадки")</f>
        <v>0</v>
      </c>
      <c r="AT15" s="104">
        <f>COUNTIFS('свод практик'!$J$6:$J$277,AT$1,'свод практик'!$C$6:$C$277,"иное: площадки")</f>
        <v>0</v>
      </c>
      <c r="AU15" s="104">
        <f>COUNTIFS('свод практик'!$J$6:$J$277,AU$1,'свод практик'!$C$6:$C$277,"иное: площадки")</f>
        <v>0</v>
      </c>
      <c r="AV15" s="104">
        <f>COUNTIFS('свод практик'!$J$6:$J$277,AV$1,'свод практик'!$C$6:$C$277,"иное: площадки")</f>
        <v>0</v>
      </c>
      <c r="AW15" s="104">
        <f>COUNTIFS('свод практик'!$J$6:$J$277,AW$1,'свод практик'!$C$6:$C$277,"иное: площадки")</f>
        <v>0</v>
      </c>
      <c r="AX15" s="104">
        <f>COUNTIFS('свод практик'!$J$6:$J$277,AX$1,'свод практик'!$C$6:$C$277,"иное: площадки")</f>
        <v>0</v>
      </c>
      <c r="AY15" s="104">
        <f>COUNTIFS('свод практик'!$J$6:$J$277,AY$1,'свод практик'!$C$6:$C$277,"иное: площадки")</f>
        <v>0</v>
      </c>
      <c r="AZ15" s="104">
        <f>COUNTIFS('свод практик'!$J$6:$J$277,AZ$1,'свод практик'!$C$6:$C$277,"иное: площадки")</f>
        <v>0</v>
      </c>
      <c r="BA15" s="104">
        <f>COUNTIFS('свод практик'!$J$6:$J$277,BA$1,'свод практик'!$C$6:$C$277,"иное: площадки")</f>
        <v>0</v>
      </c>
      <c r="BB15" s="104">
        <f>COUNTIFS('свод практик'!$J$6:$J$277,BB$1,'свод практик'!$C$6:$C$277,"иное: площадки")</f>
        <v>0</v>
      </c>
      <c r="BC15" s="104">
        <f>COUNTIFS('свод практик'!$J$6:$J$277,BC$1,'свод практик'!$C$6:$C$277,"иное: площадки")</f>
        <v>0</v>
      </c>
      <c r="BD15" s="104">
        <f>COUNTIFS('свод практик'!$J$6:$J$277,BD$1,'свод практик'!$C$6:$C$277,"иное: площадки")</f>
        <v>0</v>
      </c>
      <c r="BE15" s="104">
        <f>COUNTIFS('свод практик'!$J$6:$J$277,BE$1,'свод практик'!$C$6:$C$277,"иное: площадки")</f>
        <v>0</v>
      </c>
      <c r="BF15" s="104">
        <f>COUNTIFS('свод практик'!$J$6:$J$277,BF$1,'свод практик'!$C$6:$C$277,"иное: площадки")</f>
        <v>0</v>
      </c>
      <c r="BG15" s="104">
        <f>COUNTIFS('свод практик'!$J$6:$J$277,BG$1,'свод практик'!$C$6:$C$277,"иное: площадки")</f>
        <v>0</v>
      </c>
      <c r="BH15" s="104">
        <f>COUNTIFS('свод практик'!$J$6:$J$277,BH$1,'свод практик'!$C$6:$C$277,"иное: площадки")</f>
        <v>0</v>
      </c>
      <c r="BI15" s="104">
        <f>COUNTIFS('свод практик'!$J$6:$J$277,BI$1,'свод практик'!$C$6:$C$277,"иное: площадки")</f>
        <v>0</v>
      </c>
      <c r="BJ15" s="104">
        <f>COUNTIFS('свод практик'!$J$6:$J$277,BJ$1,'свод практик'!$C$6:$C$277,"иное: площадки")</f>
        <v>0</v>
      </c>
      <c r="BK15" s="104">
        <f>COUNTIFS('свод практик'!$J$6:$J$277,BK$1,'свод практик'!$C$6:$C$277,"иное: площадки")</f>
        <v>0</v>
      </c>
      <c r="BL15" s="104">
        <f>COUNTIFS('свод практик'!$J$6:$J$277,BL$1,'свод практик'!$C$6:$C$277,"иное: площадки")</f>
        <v>0</v>
      </c>
      <c r="BM15" s="104">
        <f>COUNTIFS('свод практик'!$J$6:$J$277,BM$1,'свод практик'!$C$6:$C$277,"иное: площадки")</f>
        <v>0</v>
      </c>
      <c r="BN15" s="104">
        <f>COUNTIFS('свод практик'!$J$6:$J$277,BN$1,'свод практик'!$C$6:$C$277,"иное: площадки")</f>
        <v>0</v>
      </c>
      <c r="BO15" s="104">
        <f>COUNTIFS('свод практик'!$J$6:$J$277,BO$1,'свод практик'!$C$6:$C$277,"иное: площадки")</f>
        <v>0</v>
      </c>
      <c r="BP15" s="104">
        <f>COUNTIFS('свод практик'!$J$6:$J$277,BP$1,'свод практик'!$C$6:$C$277,"иное: площадки")</f>
        <v>0</v>
      </c>
      <c r="BQ15" s="104">
        <f>COUNTIFS('свод практик'!$J$6:$J$277,BQ$1,'свод практик'!$C$6:$C$277,"иное: площадки")</f>
        <v>0</v>
      </c>
      <c r="BR15" s="104">
        <f>COUNTIFS('свод практик'!$J$6:$J$277,BR$1,'свод практик'!$C$6:$C$277,"иное: площадки")</f>
        <v>0</v>
      </c>
      <c r="BS15" s="104">
        <f>COUNTIFS('свод практик'!$J$6:$J$277,BS$1,'свод практик'!$C$6:$C$277,"иное: площадки")</f>
        <v>0</v>
      </c>
      <c r="BT15" s="104">
        <f>COUNTIFS('свод практик'!$J$6:$J$277,BT$1,'свод практик'!$C$6:$C$277,"иное: площадки")</f>
        <v>0</v>
      </c>
      <c r="BU15" s="104">
        <f>COUNTIFS('свод практик'!$J$6:$J$277,BU$1,'свод практик'!$C$6:$C$277,"иное: площадки")</f>
        <v>0</v>
      </c>
      <c r="BV15" s="104">
        <f>COUNTIFS('свод практик'!$J$6:$J$277,BV$1,'свод практик'!$C$6:$C$277,"иное: площадки")</f>
        <v>0</v>
      </c>
      <c r="BW15" s="104">
        <f>COUNTIFS('свод практик'!$J$6:$J$277,BW$1,'свод практик'!$C$6:$C$277,"иное: площадки")</f>
        <v>0</v>
      </c>
      <c r="BX15" s="104">
        <f>COUNTIFS('свод практик'!$J$6:$J$277,BX$1,'свод практик'!$C$6:$C$277,"иное: площадки")</f>
        <v>0</v>
      </c>
      <c r="BY15" s="104">
        <f>COUNTIFS('свод практик'!$J$6:$J$277,BY$1,'свод практик'!$C$6:$C$277,"иное: площадки")</f>
        <v>0</v>
      </c>
      <c r="BZ15" s="104">
        <f>COUNTIFS('свод практик'!$J$6:$J$277,BZ$1,'свод практик'!$C$6:$C$277,"иное: площадки")</f>
        <v>0</v>
      </c>
      <c r="CA15" s="104">
        <f>COUNTIFS('свод практик'!$J$6:$J$277,CA$1,'свод практик'!$C$6:$C$277,"иное: площадки")</f>
        <v>0</v>
      </c>
      <c r="CB15" s="104">
        <f>COUNTIFS('свод практик'!$J$6:$J$277,CB$1,'свод практик'!$C$6:$C$277,"иное: площадки")</f>
        <v>0</v>
      </c>
      <c r="CC15" s="104">
        <f>COUNTIFS('свод практик'!$J$6:$J$277,CC$1,'свод практик'!$C$6:$C$277,"иное: площадки")</f>
        <v>0</v>
      </c>
      <c r="CD15" s="104">
        <f>COUNTIFS('свод практик'!$J$6:$J$277,CD$1,'свод практик'!$C$6:$C$277,"иное: площадки")</f>
        <v>0</v>
      </c>
      <c r="CE15" s="104">
        <f>COUNTIFS('свод практик'!$J$6:$J$277,CE$1,'свод практик'!$C$6:$C$277,"иное: площадки")</f>
        <v>0</v>
      </c>
      <c r="CF15" s="104">
        <f>COUNTIFS('свод практик'!$J$6:$J$277,CF$1,'свод практик'!$C$6:$C$277,"иное: площадки")</f>
        <v>0</v>
      </c>
      <c r="CG15" s="104">
        <f>COUNTIFS('свод практик'!$J$6:$J$277,CG$1,'свод практик'!$C$6:$C$277,"иное: площадки")</f>
        <v>0</v>
      </c>
      <c r="CH15" s="104">
        <f>COUNTIFS('свод практик'!$J$6:$J$277,CH$1,'свод практик'!$C$6:$C$277,"иное: площадки")</f>
        <v>0</v>
      </c>
      <c r="CI15" s="104">
        <f>COUNTIFS('свод практик'!$J$6:$J$277,CI$1,'свод практик'!$C$6:$C$277,"иное: площадки")</f>
        <v>0</v>
      </c>
      <c r="CJ15" s="104">
        <f>COUNTIFS('свод практик'!$J$6:$J$277,CJ$1,'свод практик'!$C$6:$C$277,"иное: площадки")</f>
        <v>0</v>
      </c>
      <c r="CK15" s="104">
        <f>COUNTIFS('свод практик'!$J$6:$J$277,CK$1,'свод практик'!$C$6:$C$277,"иное: площадки")</f>
        <v>0</v>
      </c>
    </row>
    <row r="16" spans="1:89">
      <c r="A16" s="676" t="s">
        <v>5316</v>
      </c>
      <c r="D16" s="675">
        <f t="shared" si="0"/>
        <v>11</v>
      </c>
      <c r="E16">
        <f>COUNTIFS('свод практик'!$J$6:$J$277,E$1,'свод практик'!$C$6:$C$277,"КГС")</f>
        <v>0</v>
      </c>
      <c r="F16" s="104">
        <f>COUNTIFS('свод практик'!$J$6:$J$277,F$1,'свод практик'!$C$6:$C$277,"КГС")</f>
        <v>1</v>
      </c>
      <c r="G16" s="104">
        <f>COUNTIFS('свод практик'!$J$6:$J$277,G$1,'свод практик'!$C$6:$C$277,"КГС")</f>
        <v>0</v>
      </c>
      <c r="H16" s="104">
        <f>COUNTIFS('свод практик'!$J$6:$J$277,H$1,'свод практик'!$C$6:$C$277,"КГС")</f>
        <v>0</v>
      </c>
      <c r="I16" s="104">
        <f>COUNTIFS('свод практик'!$J$6:$J$277,I$1,'свод практик'!$C$6:$C$277,"КГС")</f>
        <v>0</v>
      </c>
      <c r="J16" s="104">
        <f>COUNTIFS('свод практик'!$J$6:$J$277,J$1,'свод практик'!$C$6:$C$277,"КГС")</f>
        <v>0</v>
      </c>
      <c r="K16" s="104">
        <f>COUNTIFS('свод практик'!$J$6:$J$277,K$1,'свод практик'!$C$6:$C$277,"КГС")</f>
        <v>0</v>
      </c>
      <c r="L16" s="104">
        <f>COUNTIFS('свод практик'!$J$6:$J$277,L$1,'свод практик'!$C$6:$C$277,"КГС")</f>
        <v>0</v>
      </c>
      <c r="M16" s="104">
        <f>COUNTIFS('свод практик'!$J$6:$J$277,M$1,'свод практик'!$C$6:$C$277,"КГС")</f>
        <v>0</v>
      </c>
      <c r="N16" s="104">
        <f>COUNTIFS('свод практик'!$J$6:$J$277,N$1,'свод практик'!$C$6:$C$277,"КГС")</f>
        <v>0</v>
      </c>
      <c r="O16" s="104">
        <f>COUNTIFS('свод практик'!$J$6:$J$277,O$1,'свод практик'!$C$6:$C$277,"КГС")</f>
        <v>1</v>
      </c>
      <c r="P16" s="104">
        <f>COUNTIFS('свод практик'!$J$6:$J$277,P$1,'свод практик'!$C$6:$C$277,"КГС")</f>
        <v>0</v>
      </c>
      <c r="Q16" s="104">
        <f>COUNTIFS('свод практик'!$J$6:$J$277,Q$1,'свод практик'!$C$6:$C$277,"КГС")</f>
        <v>0</v>
      </c>
      <c r="R16" s="104">
        <f>COUNTIFS('свод практик'!$J$6:$J$277,R$1,'свод практик'!$C$6:$C$277,"КГС")</f>
        <v>0</v>
      </c>
      <c r="S16" s="104">
        <f>COUNTIFS('свод практик'!$J$6:$J$277,S$1,'свод практик'!$C$6:$C$277,"КГС")</f>
        <v>0</v>
      </c>
      <c r="T16" s="104">
        <f>COUNTIFS('свод практик'!$J$6:$J$277,T$1,'свод практик'!$C$6:$C$277,"КГС")</f>
        <v>0</v>
      </c>
      <c r="U16" s="104">
        <f>COUNTIFS('свод практик'!$J$6:$J$277,U$1,'свод практик'!$C$6:$C$277,"КГС")</f>
        <v>0</v>
      </c>
      <c r="V16" s="104">
        <f>COUNTIFS('свод практик'!$J$6:$J$277,V$1,'свод практик'!$C$6:$C$277,"КГС")</f>
        <v>0</v>
      </c>
      <c r="W16" s="104">
        <f>COUNTIFS('свод практик'!$J$6:$J$277,W$1,'свод практик'!$C$6:$C$277,"КГС")</f>
        <v>0</v>
      </c>
      <c r="X16" s="104">
        <f>COUNTIFS('свод практик'!$J$6:$J$277,X$1,'свод практик'!$C$6:$C$277,"КГС")</f>
        <v>0</v>
      </c>
      <c r="Y16" s="104">
        <f>COUNTIFS('свод практик'!$J$6:$J$277,Y$1,'свод практик'!$C$6:$C$277,"КГС")</f>
        <v>0</v>
      </c>
      <c r="Z16" s="104">
        <f>COUNTIFS('свод практик'!$J$6:$J$277,Z$1,'свод практик'!$C$6:$C$277,"КГС")</f>
        <v>1</v>
      </c>
      <c r="AA16" s="104">
        <f>COUNTIFS('свод практик'!$J$6:$J$277,AA$1,'свод практик'!$C$6:$C$277,"КГС")</f>
        <v>0</v>
      </c>
      <c r="AB16" s="104">
        <f>COUNTIFS('свод практик'!$J$6:$J$277,AB$1,'свод практик'!$C$6:$C$277,"КГС")</f>
        <v>0</v>
      </c>
      <c r="AC16" s="104">
        <f>COUNTIFS('свод практик'!$J$6:$J$277,AC$1,'свод практик'!$C$6:$C$277,"КГС")</f>
        <v>0</v>
      </c>
      <c r="AD16" s="104">
        <f>COUNTIFS('свод практик'!$J$6:$J$277,AD$1,'свод практик'!$C$6:$C$277,"КГС")</f>
        <v>0</v>
      </c>
      <c r="AE16" s="104">
        <f>COUNTIFS('свод практик'!$J$6:$J$277,AE$1,'свод практик'!$C$6:$C$277,"КГС")</f>
        <v>0</v>
      </c>
      <c r="AF16" s="104">
        <f>COUNTIFS('свод практик'!$J$6:$J$277,AF$1,'свод практик'!$C$6:$C$277,"КГС")</f>
        <v>0</v>
      </c>
      <c r="AG16" s="104">
        <f>COUNTIFS('свод практик'!$J$6:$J$277,AG$1,'свод практик'!$C$6:$C$277,"КГС")</f>
        <v>0</v>
      </c>
      <c r="AH16" s="104">
        <f>COUNTIFS('свод практик'!$J$6:$J$277,AH$1,'свод практик'!$C$6:$C$277,"КГС")</f>
        <v>0</v>
      </c>
      <c r="AI16" s="104">
        <f>COUNTIFS('свод практик'!$J$6:$J$277,AI$1,'свод практик'!$C$6:$C$277,"КГС")</f>
        <v>1</v>
      </c>
      <c r="AJ16" s="104">
        <f>COUNTIFS('свод практик'!$J$6:$J$277,AJ$1,'свод практик'!$C$6:$C$277,"КГС")</f>
        <v>0</v>
      </c>
      <c r="AK16" s="104">
        <f>COUNTIFS('свод практик'!$J$6:$J$277,AK$1,'свод практик'!$C$6:$C$277,"КГС")</f>
        <v>0</v>
      </c>
      <c r="AL16" s="104">
        <f>COUNTIFS('свод практик'!$J$6:$J$277,AL$1,'свод практик'!$C$6:$C$277,"КГС")</f>
        <v>1</v>
      </c>
      <c r="AM16" s="104">
        <f>COUNTIFS('свод практик'!$J$6:$J$277,AM$1,'свод практик'!$C$6:$C$277,"КГС")</f>
        <v>1</v>
      </c>
      <c r="AN16" s="104">
        <f>COUNTIFS('свод практик'!$J$6:$J$277,AN$1,'свод практик'!$C$6:$C$277,"КГС")</f>
        <v>0</v>
      </c>
      <c r="AO16" s="104">
        <f>COUNTIFS('свод практик'!$J$6:$J$277,AO$1,'свод практик'!$C$6:$C$277,"КГС")</f>
        <v>0</v>
      </c>
      <c r="AP16" s="104">
        <f>COUNTIFS('свод практик'!$J$6:$J$277,AP$1,'свод практик'!$C$6:$C$277,"КГС")</f>
        <v>0</v>
      </c>
      <c r="AQ16" s="104">
        <f>COUNTIFS('свод практик'!$J$6:$J$277,AQ$1,'свод практик'!$C$6:$C$277,"КГС")</f>
        <v>0</v>
      </c>
      <c r="AR16" s="104">
        <f>COUNTIFS('свод практик'!$J$6:$J$277,AR$1,'свод практик'!$C$6:$C$277,"КГС")</f>
        <v>0</v>
      </c>
      <c r="AS16" s="104">
        <f>COUNTIFS('свод практик'!$J$6:$J$277,AS$1,'свод практик'!$C$6:$C$277,"КГС")</f>
        <v>0</v>
      </c>
      <c r="AT16" s="104">
        <f>COUNTIFS('свод практик'!$J$6:$J$277,AT$1,'свод практик'!$C$6:$C$277,"КГС")</f>
        <v>0</v>
      </c>
      <c r="AU16" s="104">
        <f>COUNTIFS('свод практик'!$J$6:$J$277,AU$1,'свод практик'!$C$6:$C$277,"КГС")</f>
        <v>0</v>
      </c>
      <c r="AV16" s="104">
        <f>COUNTIFS('свод практик'!$J$6:$J$277,AV$1,'свод практик'!$C$6:$C$277,"КГС")</f>
        <v>0</v>
      </c>
      <c r="AW16" s="104">
        <f>COUNTIFS('свод практик'!$J$6:$J$277,AW$1,'свод практик'!$C$6:$C$277,"КГС")</f>
        <v>0</v>
      </c>
      <c r="AX16" s="104">
        <f>COUNTIFS('свод практик'!$J$6:$J$277,AX$1,'свод практик'!$C$6:$C$277,"КГС")</f>
        <v>0</v>
      </c>
      <c r="AY16" s="104">
        <f>COUNTIFS('свод практик'!$J$6:$J$277,AY$1,'свод практик'!$C$6:$C$277,"КГС")</f>
        <v>1</v>
      </c>
      <c r="AZ16" s="104">
        <f>COUNTIFS('свод практик'!$J$6:$J$277,AZ$1,'свод практик'!$C$6:$C$277,"КГС")</f>
        <v>0</v>
      </c>
      <c r="BA16" s="104">
        <f>COUNTIFS('свод практик'!$J$6:$J$277,BA$1,'свод практик'!$C$6:$C$277,"КГС")</f>
        <v>0</v>
      </c>
      <c r="BB16" s="104">
        <f>COUNTIFS('свод практик'!$J$6:$J$277,BB$1,'свод практик'!$C$6:$C$277,"КГС")</f>
        <v>0</v>
      </c>
      <c r="BC16" s="104">
        <f>COUNTIFS('свод практик'!$J$6:$J$277,BC$1,'свод практик'!$C$6:$C$277,"КГС")</f>
        <v>0</v>
      </c>
      <c r="BD16" s="104">
        <f>COUNTIFS('свод практик'!$J$6:$J$277,BD$1,'свод практик'!$C$6:$C$277,"КГС")</f>
        <v>1</v>
      </c>
      <c r="BE16" s="104">
        <f>COUNTIFS('свод практик'!$J$6:$J$277,BE$1,'свод практик'!$C$6:$C$277,"КГС")</f>
        <v>0</v>
      </c>
      <c r="BF16" s="104">
        <f>COUNTIFS('свод практик'!$J$6:$J$277,BF$1,'свод практик'!$C$6:$C$277,"КГС")</f>
        <v>0</v>
      </c>
      <c r="BG16" s="104">
        <f>COUNTIFS('свод практик'!$J$6:$J$277,BG$1,'свод практик'!$C$6:$C$277,"КГС")</f>
        <v>0</v>
      </c>
      <c r="BH16" s="104">
        <f>COUNTIFS('свод практик'!$J$6:$J$277,BH$1,'свод практик'!$C$6:$C$277,"КГС")</f>
        <v>0</v>
      </c>
      <c r="BI16" s="104">
        <f>COUNTIFS('свод практик'!$J$6:$J$277,BI$1,'свод практик'!$C$6:$C$277,"КГС")</f>
        <v>0</v>
      </c>
      <c r="BJ16" s="104">
        <f>COUNTIFS('свод практик'!$J$6:$J$277,BJ$1,'свод практик'!$C$6:$C$277,"КГС")</f>
        <v>0</v>
      </c>
      <c r="BK16" s="104">
        <f>COUNTIFS('свод практик'!$J$6:$J$277,BK$1,'свод практик'!$C$6:$C$277,"КГС")</f>
        <v>0</v>
      </c>
      <c r="BL16" s="104">
        <f>COUNTIFS('свод практик'!$J$6:$J$277,BL$1,'свод практик'!$C$6:$C$277,"КГС")</f>
        <v>0</v>
      </c>
      <c r="BM16" s="104">
        <f>COUNTIFS('свод практик'!$J$6:$J$277,BM$1,'свод практик'!$C$6:$C$277,"КГС")</f>
        <v>0</v>
      </c>
      <c r="BN16" s="104">
        <f>COUNTIFS('свод практик'!$J$6:$J$277,BN$1,'свод практик'!$C$6:$C$277,"КГС")</f>
        <v>0</v>
      </c>
      <c r="BO16" s="104">
        <f>COUNTIFS('свод практик'!$J$6:$J$277,BO$1,'свод практик'!$C$6:$C$277,"КГС")</f>
        <v>1</v>
      </c>
      <c r="BP16" s="104">
        <f>COUNTIFS('свод практик'!$J$6:$J$277,BP$1,'свод практик'!$C$6:$C$277,"КГС")</f>
        <v>0</v>
      </c>
      <c r="BQ16" s="104">
        <f>COUNTIFS('свод практик'!$J$6:$J$277,BQ$1,'свод практик'!$C$6:$C$277,"КГС")</f>
        <v>0</v>
      </c>
      <c r="BR16" s="104">
        <f>COUNTIFS('свод практик'!$J$6:$J$277,BR$1,'свод практик'!$C$6:$C$277,"КГС")</f>
        <v>0</v>
      </c>
      <c r="BS16" s="104">
        <f>COUNTIFS('свод практик'!$J$6:$J$277,BS$1,'свод практик'!$C$6:$C$277,"КГС")</f>
        <v>0</v>
      </c>
      <c r="BT16" s="104">
        <f>COUNTIFS('свод практик'!$J$6:$J$277,BT$1,'свод практик'!$C$6:$C$277,"КГС")</f>
        <v>0</v>
      </c>
      <c r="BU16" s="104">
        <f>COUNTIFS('свод практик'!$J$6:$J$277,BU$1,'свод практик'!$C$6:$C$277,"КГС")</f>
        <v>0</v>
      </c>
      <c r="BV16" s="104">
        <f>COUNTIFS('свод практик'!$J$6:$J$277,BV$1,'свод практик'!$C$6:$C$277,"КГС")</f>
        <v>0</v>
      </c>
      <c r="BW16" s="104">
        <f>COUNTIFS('свод практик'!$J$6:$J$277,BW$1,'свод практик'!$C$6:$C$277,"КГС")</f>
        <v>0</v>
      </c>
      <c r="BX16" s="104">
        <f>COUNTIFS('свод практик'!$J$6:$J$277,BX$1,'свод практик'!$C$6:$C$277,"КГС")</f>
        <v>0</v>
      </c>
      <c r="BY16" s="104">
        <f>COUNTIFS('свод практик'!$J$6:$J$277,BY$1,'свод практик'!$C$6:$C$277,"КГС")</f>
        <v>0</v>
      </c>
      <c r="BZ16" s="104">
        <f>COUNTIFS('свод практик'!$J$6:$J$277,BZ$1,'свод практик'!$C$6:$C$277,"КГС")</f>
        <v>1</v>
      </c>
      <c r="CA16" s="104">
        <f>COUNTIFS('свод практик'!$J$6:$J$277,CA$1,'свод практик'!$C$6:$C$277,"КГС")</f>
        <v>0</v>
      </c>
      <c r="CB16" s="104">
        <f>COUNTIFS('свод практик'!$J$6:$J$277,CB$1,'свод практик'!$C$6:$C$277,"КГС")</f>
        <v>0</v>
      </c>
      <c r="CC16" s="104">
        <f>COUNTIFS('свод практик'!$J$6:$J$277,CC$1,'свод практик'!$C$6:$C$277,"КГС")</f>
        <v>0</v>
      </c>
      <c r="CD16" s="104">
        <f>COUNTIFS('свод практик'!$J$6:$J$277,CD$1,'свод практик'!$C$6:$C$277,"КГС")</f>
        <v>0</v>
      </c>
      <c r="CE16" s="104">
        <f>COUNTIFS('свод практик'!$J$6:$J$277,CE$1,'свод практик'!$C$6:$C$277,"КГС")</f>
        <v>1</v>
      </c>
      <c r="CF16" s="104">
        <f>COUNTIFS('свод практик'!$J$6:$J$277,CF$1,'свод практик'!$C$6:$C$277,"КГС")</f>
        <v>0</v>
      </c>
      <c r="CG16" s="104">
        <f>COUNTIFS('свод практик'!$J$6:$J$277,CG$1,'свод практик'!$C$6:$C$277,"КГС")</f>
        <v>0</v>
      </c>
      <c r="CH16" s="104">
        <f>COUNTIFS('свод практик'!$J$6:$J$277,CH$1,'свод практик'!$C$6:$C$277,"КГС")</f>
        <v>0</v>
      </c>
      <c r="CI16" s="104">
        <f>COUNTIFS('свод практик'!$J$6:$J$277,CI$1,'свод практик'!$C$6:$C$277,"КГС")</f>
        <v>0</v>
      </c>
      <c r="CJ16" s="104">
        <f>COUNTIFS('свод практик'!$J$6:$J$277,CJ$1,'свод практик'!$C$6:$C$277,"КГС")</f>
        <v>0</v>
      </c>
      <c r="CK16" s="104">
        <f>COUNTIFS('свод практик'!$J$6:$J$277,CK$1,'свод практик'!$C$6:$C$277,"КГС")</f>
        <v>0</v>
      </c>
    </row>
    <row r="17" spans="1:89">
      <c r="A17" s="676" t="s">
        <v>5325</v>
      </c>
      <c r="D17" s="675">
        <f t="shared" si="0"/>
        <v>3</v>
      </c>
      <c r="E17">
        <f>COUNTIFS('свод практик'!$J$6:$J$277,E$1,'свод практик'!$C$6:$C$277,"наказы депутатам")</f>
        <v>0</v>
      </c>
      <c r="F17" s="104">
        <f>COUNTIFS('свод практик'!$J$6:$J$277,F$1,'свод практик'!$C$6:$C$277,"наказы депутатам")</f>
        <v>0</v>
      </c>
      <c r="G17" s="104">
        <f>COUNTIFS('свод практик'!$J$6:$J$277,G$1,'свод практик'!$C$6:$C$277,"наказы депутатам")</f>
        <v>0</v>
      </c>
      <c r="H17" s="104">
        <f>COUNTIFS('свод практик'!$J$6:$J$277,H$1,'свод практик'!$C$6:$C$277,"наказы депутатам")</f>
        <v>0</v>
      </c>
      <c r="I17" s="104">
        <f>COUNTIFS('свод практик'!$J$6:$J$277,I$1,'свод практик'!$C$6:$C$277,"наказы депутатам")</f>
        <v>0</v>
      </c>
      <c r="J17" s="104">
        <f>COUNTIFS('свод практик'!$J$6:$J$277,J$1,'свод практик'!$C$6:$C$277,"наказы депутатам")</f>
        <v>0</v>
      </c>
      <c r="K17" s="104">
        <f>COUNTIFS('свод практик'!$J$6:$J$277,K$1,'свод практик'!$C$6:$C$277,"наказы депутатам")</f>
        <v>1</v>
      </c>
      <c r="L17" s="104">
        <f>COUNTIFS('свод практик'!$J$6:$J$277,L$1,'свод практик'!$C$6:$C$277,"наказы депутатам")</f>
        <v>0</v>
      </c>
      <c r="M17" s="104">
        <f>COUNTIFS('свод практик'!$J$6:$J$277,M$1,'свод практик'!$C$6:$C$277,"наказы депутатам")</f>
        <v>0</v>
      </c>
      <c r="N17" s="104">
        <f>COUNTIFS('свод практик'!$J$6:$J$277,N$1,'свод практик'!$C$6:$C$277,"наказы депутатам")</f>
        <v>0</v>
      </c>
      <c r="O17" s="104">
        <f>COUNTIFS('свод практик'!$J$6:$J$277,O$1,'свод практик'!$C$6:$C$277,"наказы депутатам")</f>
        <v>0</v>
      </c>
      <c r="P17" s="104">
        <f>COUNTIFS('свод практик'!$J$6:$J$277,P$1,'свод практик'!$C$6:$C$277,"наказы депутатам")</f>
        <v>0</v>
      </c>
      <c r="Q17" s="104">
        <f>COUNTIFS('свод практик'!$J$6:$J$277,Q$1,'свод практик'!$C$6:$C$277,"наказы депутатам")</f>
        <v>0</v>
      </c>
      <c r="R17" s="104">
        <f>COUNTIFS('свод практик'!$J$6:$J$277,R$1,'свод практик'!$C$6:$C$277,"наказы депутатам")</f>
        <v>0</v>
      </c>
      <c r="S17" s="104">
        <f>COUNTIFS('свод практик'!$J$6:$J$277,S$1,'свод практик'!$C$6:$C$277,"наказы депутатам")</f>
        <v>0</v>
      </c>
      <c r="T17" s="104">
        <f>COUNTIFS('свод практик'!$J$6:$J$277,T$1,'свод практик'!$C$6:$C$277,"наказы депутатам")</f>
        <v>0</v>
      </c>
      <c r="U17" s="104">
        <f>COUNTIFS('свод практик'!$J$6:$J$277,U$1,'свод практик'!$C$6:$C$277,"наказы депутатам")</f>
        <v>0</v>
      </c>
      <c r="V17" s="104">
        <f>COUNTIFS('свод практик'!$J$6:$J$277,V$1,'свод практик'!$C$6:$C$277,"наказы депутатам")</f>
        <v>0</v>
      </c>
      <c r="W17" s="104">
        <f>COUNTIFS('свод практик'!$J$6:$J$277,W$1,'свод практик'!$C$6:$C$277,"наказы депутатам")</f>
        <v>0</v>
      </c>
      <c r="X17" s="104">
        <f>COUNTIFS('свод практик'!$J$6:$J$277,X$1,'свод практик'!$C$6:$C$277,"наказы депутатам")</f>
        <v>1</v>
      </c>
      <c r="Y17" s="104">
        <f>COUNTIFS('свод практик'!$J$6:$J$277,Y$1,'свод практик'!$C$6:$C$277,"наказы депутатам")</f>
        <v>0</v>
      </c>
      <c r="Z17" s="104">
        <f>COUNTIFS('свод практик'!$J$6:$J$277,Z$1,'свод практик'!$C$6:$C$277,"наказы депутатам")</f>
        <v>0</v>
      </c>
      <c r="AA17" s="104">
        <f>COUNTIFS('свод практик'!$J$6:$J$277,AA$1,'свод практик'!$C$6:$C$277,"наказы депутатам")</f>
        <v>0</v>
      </c>
      <c r="AB17" s="104">
        <f>COUNTIFS('свод практик'!$J$6:$J$277,AB$1,'свод практик'!$C$6:$C$277,"наказы депутатам")</f>
        <v>0</v>
      </c>
      <c r="AC17" s="104">
        <f>COUNTIFS('свод практик'!$J$6:$J$277,AC$1,'свод практик'!$C$6:$C$277,"наказы депутатам")</f>
        <v>0</v>
      </c>
      <c r="AD17" s="104">
        <f>COUNTIFS('свод практик'!$J$6:$J$277,AD$1,'свод практик'!$C$6:$C$277,"наказы депутатам")</f>
        <v>0</v>
      </c>
      <c r="AE17" s="104">
        <f>COUNTIFS('свод практик'!$J$6:$J$277,AE$1,'свод практик'!$C$6:$C$277,"наказы депутатам")</f>
        <v>0</v>
      </c>
      <c r="AF17" s="104">
        <f>COUNTIFS('свод практик'!$J$6:$J$277,AF$1,'свод практик'!$C$6:$C$277,"наказы депутатам")</f>
        <v>0</v>
      </c>
      <c r="AG17" s="104">
        <f>COUNTIFS('свод практик'!$J$6:$J$277,AG$1,'свод практик'!$C$6:$C$277,"наказы депутатам")</f>
        <v>0</v>
      </c>
      <c r="AH17" s="104">
        <f>COUNTIFS('свод практик'!$J$6:$J$277,AH$1,'свод практик'!$C$6:$C$277,"наказы депутатам")</f>
        <v>0</v>
      </c>
      <c r="AI17" s="104">
        <f>COUNTIFS('свод практик'!$J$6:$J$277,AI$1,'свод практик'!$C$6:$C$277,"наказы депутатам")</f>
        <v>0</v>
      </c>
      <c r="AJ17" s="104">
        <f>COUNTIFS('свод практик'!$J$6:$J$277,AJ$1,'свод практик'!$C$6:$C$277,"наказы депутатам")</f>
        <v>0</v>
      </c>
      <c r="AK17" s="104">
        <f>COUNTIFS('свод практик'!$J$6:$J$277,AK$1,'свод практик'!$C$6:$C$277,"наказы депутатам")</f>
        <v>0</v>
      </c>
      <c r="AL17" s="104">
        <f>COUNTIFS('свод практик'!$J$6:$J$277,AL$1,'свод практик'!$C$6:$C$277,"наказы депутатам")</f>
        <v>0</v>
      </c>
      <c r="AM17" s="104">
        <f>COUNTIFS('свод практик'!$J$6:$J$277,AM$1,'свод практик'!$C$6:$C$277,"наказы депутатам")</f>
        <v>0</v>
      </c>
      <c r="AN17" s="104">
        <f>COUNTIFS('свод практик'!$J$6:$J$277,AN$1,'свод практик'!$C$6:$C$277,"наказы депутатам")</f>
        <v>0</v>
      </c>
      <c r="AO17" s="104">
        <f>COUNTIFS('свод практик'!$J$6:$J$277,AO$1,'свод практик'!$C$6:$C$277,"наказы депутатам")</f>
        <v>0</v>
      </c>
      <c r="AP17" s="104">
        <f>COUNTIFS('свод практик'!$J$6:$J$277,AP$1,'свод практик'!$C$6:$C$277,"наказы депутатам")</f>
        <v>0</v>
      </c>
      <c r="AQ17" s="104">
        <f>COUNTIFS('свод практик'!$J$6:$J$277,AQ$1,'свод практик'!$C$6:$C$277,"наказы депутатам")</f>
        <v>0</v>
      </c>
      <c r="AR17" s="104">
        <f>COUNTIFS('свод практик'!$J$6:$J$277,AR$1,'свод практик'!$C$6:$C$277,"наказы депутатам")</f>
        <v>0</v>
      </c>
      <c r="AS17" s="104">
        <f>COUNTIFS('свод практик'!$J$6:$J$277,AS$1,'свод практик'!$C$6:$C$277,"наказы депутатам")</f>
        <v>0</v>
      </c>
      <c r="AT17" s="104">
        <f>COUNTIFS('свод практик'!$J$6:$J$277,AT$1,'свод практик'!$C$6:$C$277,"наказы депутатам")</f>
        <v>0</v>
      </c>
      <c r="AU17" s="104">
        <f>COUNTIFS('свод практик'!$J$6:$J$277,AU$1,'свод практик'!$C$6:$C$277,"наказы депутатам")</f>
        <v>0</v>
      </c>
      <c r="AV17" s="104">
        <f>COUNTIFS('свод практик'!$J$6:$J$277,AV$1,'свод практик'!$C$6:$C$277,"наказы депутатам")</f>
        <v>0</v>
      </c>
      <c r="AW17" s="104">
        <f>COUNTIFS('свод практик'!$J$6:$J$277,AW$1,'свод практик'!$C$6:$C$277,"наказы депутатам")</f>
        <v>0</v>
      </c>
      <c r="AX17" s="104">
        <f>COUNTIFS('свод практик'!$J$6:$J$277,AX$1,'свод практик'!$C$6:$C$277,"наказы депутатам")</f>
        <v>0</v>
      </c>
      <c r="AY17" s="104">
        <f>COUNTIFS('свод практик'!$J$6:$J$277,AY$1,'свод практик'!$C$6:$C$277,"наказы депутатам")</f>
        <v>0</v>
      </c>
      <c r="AZ17" s="104">
        <f>COUNTIFS('свод практик'!$J$6:$J$277,AZ$1,'свод практик'!$C$6:$C$277,"наказы депутатам")</f>
        <v>0</v>
      </c>
      <c r="BA17" s="104">
        <f>COUNTIFS('свод практик'!$J$6:$J$277,BA$1,'свод практик'!$C$6:$C$277,"наказы депутатам")</f>
        <v>0</v>
      </c>
      <c r="BB17" s="104">
        <f>COUNTIFS('свод практик'!$J$6:$J$277,BB$1,'свод практик'!$C$6:$C$277,"наказы депутатам")</f>
        <v>0</v>
      </c>
      <c r="BC17" s="104">
        <f>COUNTIFS('свод практик'!$J$6:$J$277,BC$1,'свод практик'!$C$6:$C$277,"наказы депутатам")</f>
        <v>0</v>
      </c>
      <c r="BD17" s="104">
        <f>COUNTIFS('свод практик'!$J$6:$J$277,BD$1,'свод практик'!$C$6:$C$277,"наказы депутатам")</f>
        <v>0</v>
      </c>
      <c r="BE17" s="104">
        <f>COUNTIFS('свод практик'!$J$6:$J$277,BE$1,'свод практик'!$C$6:$C$277,"наказы депутатам")</f>
        <v>0</v>
      </c>
      <c r="BF17" s="104">
        <f>COUNTIFS('свод практик'!$J$6:$J$277,BF$1,'свод практик'!$C$6:$C$277,"наказы депутатам")</f>
        <v>0</v>
      </c>
      <c r="BG17" s="104">
        <f>COUNTIFS('свод практик'!$J$6:$J$277,BG$1,'свод практик'!$C$6:$C$277,"наказы депутатам")</f>
        <v>0</v>
      </c>
      <c r="BH17" s="104">
        <f>COUNTIFS('свод практик'!$J$6:$J$277,BH$1,'свод практик'!$C$6:$C$277,"наказы депутатам")</f>
        <v>0</v>
      </c>
      <c r="BI17" s="104">
        <f>COUNTIFS('свод практик'!$J$6:$J$277,BI$1,'свод практик'!$C$6:$C$277,"наказы депутатам")</f>
        <v>0</v>
      </c>
      <c r="BJ17" s="104">
        <f>COUNTIFS('свод практик'!$J$6:$J$277,BJ$1,'свод практик'!$C$6:$C$277,"наказы депутатам")</f>
        <v>0</v>
      </c>
      <c r="BK17" s="104">
        <f>COUNTIFS('свод практик'!$J$6:$J$277,BK$1,'свод практик'!$C$6:$C$277,"наказы депутатам")</f>
        <v>0</v>
      </c>
      <c r="BL17" s="104">
        <f>COUNTIFS('свод практик'!$J$6:$J$277,BL$1,'свод практик'!$C$6:$C$277,"наказы депутатам")</f>
        <v>0</v>
      </c>
      <c r="BM17" s="104">
        <f>COUNTIFS('свод практик'!$J$6:$J$277,BM$1,'свод практик'!$C$6:$C$277,"наказы депутатам")</f>
        <v>0</v>
      </c>
      <c r="BN17" s="104">
        <f>COUNTIFS('свод практик'!$J$6:$J$277,BN$1,'свод практик'!$C$6:$C$277,"наказы депутатам")</f>
        <v>0</v>
      </c>
      <c r="BO17" s="104">
        <f>COUNTIFS('свод практик'!$J$6:$J$277,BO$1,'свод практик'!$C$6:$C$277,"наказы депутатам")</f>
        <v>0</v>
      </c>
      <c r="BP17" s="104">
        <f>COUNTIFS('свод практик'!$J$6:$J$277,BP$1,'свод практик'!$C$6:$C$277,"наказы депутатам")</f>
        <v>0</v>
      </c>
      <c r="BQ17" s="104">
        <f>COUNTIFS('свод практик'!$J$6:$J$277,BQ$1,'свод практик'!$C$6:$C$277,"наказы депутатам")</f>
        <v>0</v>
      </c>
      <c r="BR17" s="104">
        <f>COUNTIFS('свод практик'!$J$6:$J$277,BR$1,'свод практик'!$C$6:$C$277,"наказы депутатам")</f>
        <v>0</v>
      </c>
      <c r="BS17" s="104">
        <f>COUNTIFS('свод практик'!$J$6:$J$277,BS$1,'свод практик'!$C$6:$C$277,"наказы депутатам")</f>
        <v>0</v>
      </c>
      <c r="BT17" s="104">
        <f>COUNTIFS('свод практик'!$J$6:$J$277,BT$1,'свод практик'!$C$6:$C$277,"наказы депутатам")</f>
        <v>0</v>
      </c>
      <c r="BU17" s="104">
        <f>COUNTIFS('свод практик'!$J$6:$J$277,BU$1,'свод практик'!$C$6:$C$277,"наказы депутатам")</f>
        <v>0</v>
      </c>
      <c r="BV17" s="104">
        <f>COUNTIFS('свод практик'!$J$6:$J$277,BV$1,'свод практик'!$C$6:$C$277,"наказы депутатам")</f>
        <v>0</v>
      </c>
      <c r="BW17" s="104">
        <f>COUNTIFS('свод практик'!$J$6:$J$277,BW$1,'свод практик'!$C$6:$C$277,"наказы депутатам")</f>
        <v>0</v>
      </c>
      <c r="BX17" s="104">
        <f>COUNTIFS('свод практик'!$J$6:$J$277,BX$1,'свод практик'!$C$6:$C$277,"наказы депутатам")</f>
        <v>0</v>
      </c>
      <c r="BY17" s="104">
        <f>COUNTIFS('свод практик'!$J$6:$J$277,BY$1,'свод практик'!$C$6:$C$277,"наказы депутатам")</f>
        <v>0</v>
      </c>
      <c r="BZ17" s="104">
        <f>COUNTIFS('свод практик'!$J$6:$J$277,BZ$1,'свод практик'!$C$6:$C$277,"наказы депутатам")</f>
        <v>0</v>
      </c>
      <c r="CA17" s="104">
        <f>COUNTIFS('свод практик'!$J$6:$J$277,CA$1,'свод практик'!$C$6:$C$277,"наказы депутатам")</f>
        <v>0</v>
      </c>
      <c r="CB17" s="104">
        <f>COUNTIFS('свод практик'!$J$6:$J$277,CB$1,'свод практик'!$C$6:$C$277,"наказы депутатам")</f>
        <v>0</v>
      </c>
      <c r="CC17" s="104">
        <f>COUNTIFS('свод практик'!$J$6:$J$277,CC$1,'свод практик'!$C$6:$C$277,"наказы депутатам")</f>
        <v>0</v>
      </c>
      <c r="CD17" s="104">
        <f>COUNTIFS('свод практик'!$J$6:$J$277,CD$1,'свод практик'!$C$6:$C$277,"наказы депутатам")</f>
        <v>0</v>
      </c>
      <c r="CE17" s="104">
        <f>COUNTIFS('свод практик'!$J$6:$J$277,CE$1,'свод практик'!$C$6:$C$277,"наказы депутатам")</f>
        <v>0</v>
      </c>
      <c r="CF17" s="104">
        <f>COUNTIFS('свод практик'!$J$6:$J$277,CF$1,'свод практик'!$C$6:$C$277,"наказы депутатам")</f>
        <v>1</v>
      </c>
      <c r="CG17" s="104">
        <f>COUNTIFS('свод практик'!$J$6:$J$277,CG$1,'свод практик'!$C$6:$C$277,"наказы депутатам")</f>
        <v>0</v>
      </c>
      <c r="CH17" s="104">
        <f>COUNTIFS('свод практик'!$J$6:$J$277,CH$1,'свод практик'!$C$6:$C$277,"наказы депутатам")</f>
        <v>0</v>
      </c>
      <c r="CI17" s="104">
        <f>COUNTIFS('свод практик'!$J$6:$J$277,CI$1,'свод практик'!$C$6:$C$277,"наказы депутатам")</f>
        <v>0</v>
      </c>
      <c r="CJ17" s="104">
        <f>COUNTIFS('свод практик'!$J$6:$J$277,CJ$1,'свод практик'!$C$6:$C$277,"наказы депутатам")</f>
        <v>0</v>
      </c>
      <c r="CK17" s="104">
        <f>COUNTIFS('свод практик'!$J$6:$J$277,CK$1,'свод практик'!$C$6:$C$277,"наказы депутатам")</f>
        <v>0</v>
      </c>
    </row>
    <row r="18" spans="1:89">
      <c r="A18" s="676" t="s">
        <v>5345</v>
      </c>
      <c r="D18" s="675">
        <f t="shared" si="0"/>
        <v>5</v>
      </c>
      <c r="E18">
        <f>COUNTIFS('свод практик'!$J$6:$J$277,E$1,'свод практик'!$C$6:$C$277,"НКО")</f>
        <v>0</v>
      </c>
      <c r="F18" s="104">
        <f>COUNTIFS('свод практик'!$J$6:$J$277,F$1,'свод практик'!$C$6:$C$277,"НКО")</f>
        <v>0</v>
      </c>
      <c r="G18" s="104">
        <f>COUNTIFS('свод практик'!$J$6:$J$277,G$1,'свод практик'!$C$6:$C$277,"НКО")</f>
        <v>0</v>
      </c>
      <c r="H18" s="104">
        <f>COUNTIFS('свод практик'!$J$6:$J$277,H$1,'свод практик'!$C$6:$C$277,"НКО")</f>
        <v>0</v>
      </c>
      <c r="I18" s="104">
        <f>COUNTIFS('свод практик'!$J$6:$J$277,I$1,'свод практик'!$C$6:$C$277,"НКО")</f>
        <v>0</v>
      </c>
      <c r="J18" s="104">
        <f>COUNTIFS('свод практик'!$J$6:$J$277,J$1,'свод практик'!$C$6:$C$277,"НКО")</f>
        <v>0</v>
      </c>
      <c r="K18" s="104">
        <f>COUNTIFS('свод практик'!$J$6:$J$277,K$1,'свод практик'!$C$6:$C$277,"НКО")</f>
        <v>0</v>
      </c>
      <c r="L18" s="104">
        <f>COUNTIFS('свод практик'!$J$6:$J$277,L$1,'свод практик'!$C$6:$C$277,"НКО")</f>
        <v>0</v>
      </c>
      <c r="M18" s="104">
        <f>COUNTIFS('свод практик'!$J$6:$J$277,M$1,'свод практик'!$C$6:$C$277,"НКО")</f>
        <v>0</v>
      </c>
      <c r="N18" s="104">
        <f>COUNTIFS('свод практик'!$J$6:$J$277,N$1,'свод практик'!$C$6:$C$277,"НКО")</f>
        <v>0</v>
      </c>
      <c r="O18" s="104">
        <f>COUNTIFS('свод практик'!$J$6:$J$277,O$1,'свод практик'!$C$6:$C$277,"НКО")</f>
        <v>0</v>
      </c>
      <c r="P18" s="104">
        <f>COUNTIFS('свод практик'!$J$6:$J$277,P$1,'свод практик'!$C$6:$C$277,"НКО")</f>
        <v>0</v>
      </c>
      <c r="Q18" s="104">
        <f>COUNTIFS('свод практик'!$J$6:$J$277,Q$1,'свод практик'!$C$6:$C$277,"НКО")</f>
        <v>0</v>
      </c>
      <c r="R18" s="104">
        <f>COUNTIFS('свод практик'!$J$6:$J$277,R$1,'свод практик'!$C$6:$C$277,"НКО")</f>
        <v>0</v>
      </c>
      <c r="S18" s="104">
        <f>COUNTIFS('свод практик'!$J$6:$J$277,S$1,'свод практик'!$C$6:$C$277,"НКО")</f>
        <v>0</v>
      </c>
      <c r="T18" s="104">
        <f>COUNTIFS('свод практик'!$J$6:$J$277,T$1,'свод практик'!$C$6:$C$277,"НКО")</f>
        <v>0</v>
      </c>
      <c r="U18" s="104">
        <f>COUNTIFS('свод практик'!$J$6:$J$277,U$1,'свод практик'!$C$6:$C$277,"НКО")</f>
        <v>0</v>
      </c>
      <c r="V18" s="104">
        <f>COUNTIFS('свод практик'!$J$6:$J$277,V$1,'свод практик'!$C$6:$C$277,"НКО")</f>
        <v>0</v>
      </c>
      <c r="W18" s="104">
        <f>COUNTIFS('свод практик'!$J$6:$J$277,W$1,'свод практик'!$C$6:$C$277,"НКО")</f>
        <v>0</v>
      </c>
      <c r="X18" s="104">
        <f>COUNTIFS('свод практик'!$J$6:$J$277,X$1,'свод практик'!$C$6:$C$277,"НКО")</f>
        <v>0</v>
      </c>
      <c r="Y18" s="104">
        <f>COUNTIFS('свод практик'!$J$6:$J$277,Y$1,'свод практик'!$C$6:$C$277,"НКО")</f>
        <v>0</v>
      </c>
      <c r="Z18" s="104">
        <f>COUNTIFS('свод практик'!$J$6:$J$277,Z$1,'свод практик'!$C$6:$C$277,"НКО")</f>
        <v>0</v>
      </c>
      <c r="AA18" s="104">
        <f>COUNTIFS('свод практик'!$J$6:$J$277,AA$1,'свод практик'!$C$6:$C$277,"НКО")</f>
        <v>0</v>
      </c>
      <c r="AB18" s="104">
        <f>COUNTIFS('свод практик'!$J$6:$J$277,AB$1,'свод практик'!$C$6:$C$277,"НКО")</f>
        <v>0</v>
      </c>
      <c r="AC18" s="104">
        <f>COUNTIFS('свод практик'!$J$6:$J$277,AC$1,'свод практик'!$C$6:$C$277,"НКО")</f>
        <v>0</v>
      </c>
      <c r="AD18" s="104">
        <f>COUNTIFS('свод практик'!$J$6:$J$277,AD$1,'свод практик'!$C$6:$C$277,"НКО")</f>
        <v>0</v>
      </c>
      <c r="AE18" s="104">
        <f>COUNTIFS('свод практик'!$J$6:$J$277,AE$1,'свод практик'!$C$6:$C$277,"НКО")</f>
        <v>0</v>
      </c>
      <c r="AF18" s="104">
        <f>COUNTIFS('свод практик'!$J$6:$J$277,AF$1,'свод практик'!$C$6:$C$277,"НКО")</f>
        <v>0</v>
      </c>
      <c r="AG18" s="104">
        <f>COUNTIFS('свод практик'!$J$6:$J$277,AG$1,'свод практик'!$C$6:$C$277,"НКО")</f>
        <v>0</v>
      </c>
      <c r="AH18" s="104">
        <f>COUNTIFS('свод практик'!$J$6:$J$277,AH$1,'свод практик'!$C$6:$C$277,"НКО")</f>
        <v>0</v>
      </c>
      <c r="AI18" s="104">
        <f>COUNTIFS('свод практик'!$J$6:$J$277,AI$1,'свод практик'!$C$6:$C$277,"НКО")</f>
        <v>0</v>
      </c>
      <c r="AJ18" s="104">
        <f>COUNTIFS('свод практик'!$J$6:$J$277,AJ$1,'свод практик'!$C$6:$C$277,"НКО")</f>
        <v>0</v>
      </c>
      <c r="AK18" s="104">
        <f>COUNTIFS('свод практик'!$J$6:$J$277,AK$1,'свод практик'!$C$6:$C$277,"НКО")</f>
        <v>0</v>
      </c>
      <c r="AL18" s="104">
        <f>COUNTIFS('свод практик'!$J$6:$J$277,AL$1,'свод практик'!$C$6:$C$277,"НКО")</f>
        <v>0</v>
      </c>
      <c r="AM18" s="104">
        <f>COUNTIFS('свод практик'!$J$6:$J$277,AM$1,'свод практик'!$C$6:$C$277,"НКО")</f>
        <v>0</v>
      </c>
      <c r="AN18" s="104">
        <f>COUNTIFS('свод практик'!$J$6:$J$277,AN$1,'свод практик'!$C$6:$C$277,"НКО")</f>
        <v>0</v>
      </c>
      <c r="AO18" s="104">
        <f>COUNTIFS('свод практик'!$J$6:$J$277,AO$1,'свод практик'!$C$6:$C$277,"НКО")</f>
        <v>0</v>
      </c>
      <c r="AP18" s="104">
        <f>COUNTIFS('свод практик'!$J$6:$J$277,AP$1,'свод практик'!$C$6:$C$277,"НКО")</f>
        <v>0</v>
      </c>
      <c r="AQ18" s="104">
        <f>COUNTIFS('свод практик'!$J$6:$J$277,AQ$1,'свод практик'!$C$6:$C$277,"НКО")</f>
        <v>0</v>
      </c>
      <c r="AR18" s="104">
        <f>COUNTIFS('свод практик'!$J$6:$J$277,AR$1,'свод практик'!$C$6:$C$277,"НКО")</f>
        <v>0</v>
      </c>
      <c r="AS18" s="104">
        <f>COUNTIFS('свод практик'!$J$6:$J$277,AS$1,'свод практик'!$C$6:$C$277,"НКО")</f>
        <v>0</v>
      </c>
      <c r="AT18" s="104">
        <f>COUNTIFS('свод практик'!$J$6:$J$277,AT$1,'свод практик'!$C$6:$C$277,"НКО")</f>
        <v>0</v>
      </c>
      <c r="AU18" s="104">
        <f>COUNTIFS('свод практик'!$J$6:$J$277,AU$1,'свод практик'!$C$6:$C$277,"НКО")</f>
        <v>0</v>
      </c>
      <c r="AV18" s="104">
        <f>COUNTIFS('свод практик'!$J$6:$J$277,AV$1,'свод практик'!$C$6:$C$277,"НКО")</f>
        <v>0</v>
      </c>
      <c r="AW18" s="104">
        <f>COUNTIFS('свод практик'!$J$6:$J$277,AW$1,'свод практик'!$C$6:$C$277,"НКО")</f>
        <v>0</v>
      </c>
      <c r="AX18" s="104">
        <f>COUNTIFS('свод практик'!$J$6:$J$277,AX$1,'свод практик'!$C$6:$C$277,"НКО")</f>
        <v>0</v>
      </c>
      <c r="AY18" s="104">
        <f>COUNTIFS('свод практик'!$J$6:$J$277,AY$1,'свод практик'!$C$6:$C$277,"НКО")</f>
        <v>0</v>
      </c>
      <c r="AZ18" s="104">
        <f>COUNTIFS('свод практик'!$J$6:$J$277,AZ$1,'свод практик'!$C$6:$C$277,"НКО")</f>
        <v>0</v>
      </c>
      <c r="BA18" s="104">
        <f>COUNTIFS('свод практик'!$J$6:$J$277,BA$1,'свод практик'!$C$6:$C$277,"НКО")</f>
        <v>1</v>
      </c>
      <c r="BB18" s="104">
        <f>COUNTIFS('свод практик'!$J$6:$J$277,BB$1,'свод практик'!$C$6:$C$277,"НКО")</f>
        <v>0</v>
      </c>
      <c r="BC18" s="104">
        <f>COUNTIFS('свод практик'!$J$6:$J$277,BC$1,'свод практик'!$C$6:$C$277,"НКО")</f>
        <v>0</v>
      </c>
      <c r="BD18" s="104">
        <f>COUNTIFS('свод практик'!$J$6:$J$277,BD$1,'свод практик'!$C$6:$C$277,"НКО")</f>
        <v>0</v>
      </c>
      <c r="BE18" s="104">
        <f>COUNTIFS('свод практик'!$J$6:$J$277,BE$1,'свод практик'!$C$6:$C$277,"НКО")</f>
        <v>0</v>
      </c>
      <c r="BF18" s="104">
        <f>COUNTIFS('свод практик'!$J$6:$J$277,BF$1,'свод практик'!$C$6:$C$277,"НКО")</f>
        <v>0</v>
      </c>
      <c r="BG18" s="104">
        <f>COUNTIFS('свод практик'!$J$6:$J$277,BG$1,'свод практик'!$C$6:$C$277,"НКО")</f>
        <v>0</v>
      </c>
      <c r="BH18" s="104">
        <f>COUNTIFS('свод практик'!$J$6:$J$277,BH$1,'свод практик'!$C$6:$C$277,"НКО")</f>
        <v>0</v>
      </c>
      <c r="BI18" s="104">
        <f>COUNTIFS('свод практик'!$J$6:$J$277,BI$1,'свод практик'!$C$6:$C$277,"НКО")</f>
        <v>0</v>
      </c>
      <c r="BJ18" s="104">
        <f>COUNTIFS('свод практик'!$J$6:$J$277,BJ$1,'свод практик'!$C$6:$C$277,"НКО")</f>
        <v>2</v>
      </c>
      <c r="BK18" s="104">
        <f>COUNTIFS('свод практик'!$J$6:$J$277,BK$1,'свод практик'!$C$6:$C$277,"НКО")</f>
        <v>0</v>
      </c>
      <c r="BL18" s="104">
        <f>COUNTIFS('свод практик'!$J$6:$J$277,BL$1,'свод практик'!$C$6:$C$277,"НКО")</f>
        <v>0</v>
      </c>
      <c r="BM18" s="104">
        <f>COUNTIFS('свод практик'!$J$6:$J$277,BM$1,'свод практик'!$C$6:$C$277,"НКО")</f>
        <v>0</v>
      </c>
      <c r="BN18" s="104">
        <f>COUNTIFS('свод практик'!$J$6:$J$277,BN$1,'свод практик'!$C$6:$C$277,"НКО")</f>
        <v>0</v>
      </c>
      <c r="BO18" s="104">
        <f>COUNTIFS('свод практик'!$J$6:$J$277,BO$1,'свод практик'!$C$6:$C$277,"НКО")</f>
        <v>0</v>
      </c>
      <c r="BP18" s="104">
        <f>COUNTIFS('свод практик'!$J$6:$J$277,BP$1,'свод практик'!$C$6:$C$277,"НКО")</f>
        <v>0</v>
      </c>
      <c r="BQ18" s="104">
        <f>COUNTIFS('свод практик'!$J$6:$J$277,BQ$1,'свод практик'!$C$6:$C$277,"НКО")</f>
        <v>0</v>
      </c>
      <c r="BR18" s="104">
        <f>COUNTIFS('свод практик'!$J$6:$J$277,BR$1,'свод практик'!$C$6:$C$277,"НКО")</f>
        <v>0</v>
      </c>
      <c r="BS18" s="104">
        <f>COUNTIFS('свод практик'!$J$6:$J$277,BS$1,'свод практик'!$C$6:$C$277,"НКО")</f>
        <v>0</v>
      </c>
      <c r="BT18" s="104">
        <f>COUNTIFS('свод практик'!$J$6:$J$277,BT$1,'свод практик'!$C$6:$C$277,"НКО")</f>
        <v>0</v>
      </c>
      <c r="BU18" s="104">
        <f>COUNTIFS('свод практик'!$J$6:$J$277,BU$1,'свод практик'!$C$6:$C$277,"НКО")</f>
        <v>2</v>
      </c>
      <c r="BV18" s="104">
        <f>COUNTIFS('свод практик'!$J$6:$J$277,BV$1,'свод практик'!$C$6:$C$277,"НКО")</f>
        <v>0</v>
      </c>
      <c r="BW18" s="104">
        <f>COUNTIFS('свод практик'!$J$6:$J$277,BW$1,'свод практик'!$C$6:$C$277,"НКО")</f>
        <v>0</v>
      </c>
      <c r="BX18" s="104">
        <f>COUNTIFS('свод практик'!$J$6:$J$277,BX$1,'свод практик'!$C$6:$C$277,"НКО")</f>
        <v>0</v>
      </c>
      <c r="BY18" s="104">
        <f>COUNTIFS('свод практик'!$J$6:$J$277,BY$1,'свод практик'!$C$6:$C$277,"НКО")</f>
        <v>0</v>
      </c>
      <c r="BZ18" s="104">
        <f>COUNTIFS('свод практик'!$J$6:$J$277,BZ$1,'свод практик'!$C$6:$C$277,"НКО")</f>
        <v>0</v>
      </c>
      <c r="CA18" s="104">
        <f>COUNTIFS('свод практик'!$J$6:$J$277,CA$1,'свод практик'!$C$6:$C$277,"НКО")</f>
        <v>0</v>
      </c>
      <c r="CB18" s="104">
        <f>COUNTIFS('свод практик'!$J$6:$J$277,CB$1,'свод практик'!$C$6:$C$277,"НКО")</f>
        <v>0</v>
      </c>
      <c r="CC18" s="104">
        <f>COUNTIFS('свод практик'!$J$6:$J$277,CC$1,'свод практик'!$C$6:$C$277,"НКО")</f>
        <v>0</v>
      </c>
      <c r="CD18" s="104">
        <f>COUNTIFS('свод практик'!$J$6:$J$277,CD$1,'свод практик'!$C$6:$C$277,"НКО")</f>
        <v>0</v>
      </c>
      <c r="CE18" s="104">
        <f>COUNTIFS('свод практик'!$J$6:$J$277,CE$1,'свод практик'!$C$6:$C$277,"НКО")</f>
        <v>0</v>
      </c>
      <c r="CF18" s="104">
        <f>COUNTIFS('свод практик'!$J$6:$J$277,CF$1,'свод практик'!$C$6:$C$277,"НКО")</f>
        <v>0</v>
      </c>
      <c r="CG18" s="104">
        <f>COUNTIFS('свод практик'!$J$6:$J$277,CG$1,'свод практик'!$C$6:$C$277,"НКО")</f>
        <v>0</v>
      </c>
      <c r="CH18" s="104">
        <f>COUNTIFS('свод практик'!$J$6:$J$277,CH$1,'свод практик'!$C$6:$C$277,"НКО")</f>
        <v>0</v>
      </c>
      <c r="CI18" s="104">
        <f>COUNTIFS('свод практик'!$J$6:$J$277,CI$1,'свод практик'!$C$6:$C$277,"НКО")</f>
        <v>0</v>
      </c>
      <c r="CJ18" s="104">
        <f>COUNTIFS('свод практик'!$J$6:$J$277,CJ$1,'свод практик'!$C$6:$C$277,"НКО")</f>
        <v>0</v>
      </c>
      <c r="CK18" s="104">
        <f>COUNTIFS('свод практик'!$J$6:$J$277,CK$1,'свод практик'!$C$6:$C$277,"НКО")</f>
        <v>0</v>
      </c>
    </row>
    <row r="19" spans="1:89">
      <c r="A19" s="676" t="s">
        <v>5328</v>
      </c>
      <c r="D19" s="675">
        <f t="shared" si="0"/>
        <v>2</v>
      </c>
      <c r="E19">
        <f>COUNTIFS('свод практик'!$J$6:$J$277,E$1,'свод практик'!$C$6:$C$277,"самообложение (50/50)")</f>
        <v>0</v>
      </c>
      <c r="F19" s="104">
        <f>COUNTIFS('свод практик'!$J$6:$J$277,F$1,'свод практик'!$C$6:$C$277,"самообложение (50/50)")</f>
        <v>0</v>
      </c>
      <c r="G19" s="104">
        <f>COUNTIFS('свод практик'!$J$6:$J$277,G$1,'свод практик'!$C$6:$C$277,"самообложение (50/50)")</f>
        <v>0</v>
      </c>
      <c r="H19" s="104">
        <f>COUNTIFS('свод практик'!$J$6:$J$277,H$1,'свод практик'!$C$6:$C$277,"самообложение (50/50)")</f>
        <v>0</v>
      </c>
      <c r="I19" s="104">
        <f>COUNTIFS('свод практик'!$J$6:$J$277,I$1,'свод практик'!$C$6:$C$277,"самообложение (50/50)")</f>
        <v>0</v>
      </c>
      <c r="J19" s="104">
        <f>COUNTIFS('свод практик'!$J$6:$J$277,J$1,'свод практик'!$C$6:$C$277,"самообложение (50/50)")</f>
        <v>0</v>
      </c>
      <c r="K19" s="104">
        <f>COUNTIFS('свод практик'!$J$6:$J$277,K$1,'свод практик'!$C$6:$C$277,"самообложение (50/50)")</f>
        <v>0</v>
      </c>
      <c r="L19" s="104">
        <f>COUNTIFS('свод практик'!$J$6:$J$277,L$1,'свод практик'!$C$6:$C$277,"самообложение (50/50)")</f>
        <v>0</v>
      </c>
      <c r="M19" s="104">
        <f>COUNTIFS('свод практик'!$J$6:$J$277,M$1,'свод практик'!$C$6:$C$277,"самообложение (50/50)")</f>
        <v>0</v>
      </c>
      <c r="N19" s="104">
        <f>COUNTIFS('свод практик'!$J$6:$J$277,N$1,'свод практик'!$C$6:$C$277,"самообложение (50/50)")</f>
        <v>0</v>
      </c>
      <c r="O19" s="104">
        <f>COUNTIFS('свод практик'!$J$6:$J$277,O$1,'свод практик'!$C$6:$C$277,"самообложение (50/50)")</f>
        <v>1</v>
      </c>
      <c r="P19" s="104">
        <f>COUNTIFS('свод практик'!$J$6:$J$277,P$1,'свод практик'!$C$6:$C$277,"самообложение (50/50)")</f>
        <v>0</v>
      </c>
      <c r="Q19" s="104">
        <f>COUNTIFS('свод практик'!$J$6:$J$277,Q$1,'свод практик'!$C$6:$C$277,"самообложение (50/50)")</f>
        <v>0</v>
      </c>
      <c r="R19" s="104">
        <f>COUNTIFS('свод практик'!$J$6:$J$277,R$1,'свод практик'!$C$6:$C$277,"самообложение (50/50)")</f>
        <v>0</v>
      </c>
      <c r="S19" s="104">
        <f>COUNTIFS('свод практик'!$J$6:$J$277,S$1,'свод практик'!$C$6:$C$277,"самообложение (50/50)")</f>
        <v>0</v>
      </c>
      <c r="T19" s="104">
        <f>COUNTIFS('свод практик'!$J$6:$J$277,T$1,'свод практик'!$C$6:$C$277,"самообложение (50/50)")</f>
        <v>0</v>
      </c>
      <c r="U19" s="104">
        <f>COUNTIFS('свод практик'!$J$6:$J$277,U$1,'свод практик'!$C$6:$C$277,"самообложение (50/50)")</f>
        <v>0</v>
      </c>
      <c r="V19" s="104">
        <f>COUNTIFS('свод практик'!$J$6:$J$277,V$1,'свод практик'!$C$6:$C$277,"самообложение (50/50)")</f>
        <v>0</v>
      </c>
      <c r="W19" s="104">
        <f>COUNTIFS('свод практик'!$J$6:$J$277,W$1,'свод практик'!$C$6:$C$277,"самообложение (50/50)")</f>
        <v>0</v>
      </c>
      <c r="X19" s="104">
        <f>COUNTIFS('свод практик'!$J$6:$J$277,X$1,'свод практик'!$C$6:$C$277,"самообложение (50/50)")</f>
        <v>0</v>
      </c>
      <c r="Y19" s="104">
        <f>COUNTIFS('свод практик'!$J$6:$J$277,Y$1,'свод практик'!$C$6:$C$277,"самообложение (50/50)")</f>
        <v>0</v>
      </c>
      <c r="Z19" s="104">
        <f>COUNTIFS('свод практик'!$J$6:$J$277,Z$1,'свод практик'!$C$6:$C$277,"самообложение (50/50)")</f>
        <v>0</v>
      </c>
      <c r="AA19" s="104">
        <f>COUNTIFS('свод практик'!$J$6:$J$277,AA$1,'свод практик'!$C$6:$C$277,"самообложение (50/50)")</f>
        <v>0</v>
      </c>
      <c r="AB19" s="104">
        <f>COUNTIFS('свод практик'!$J$6:$J$277,AB$1,'свод практик'!$C$6:$C$277,"самообложение (50/50)")</f>
        <v>0</v>
      </c>
      <c r="AC19" s="104">
        <f>COUNTIFS('свод практик'!$J$6:$J$277,AC$1,'свод практик'!$C$6:$C$277,"самообложение (50/50)")</f>
        <v>0</v>
      </c>
      <c r="AD19" s="104">
        <f>COUNTIFS('свод практик'!$J$6:$J$277,AD$1,'свод практик'!$C$6:$C$277,"самообложение (50/50)")</f>
        <v>0</v>
      </c>
      <c r="AE19" s="104">
        <f>COUNTIFS('свод практик'!$J$6:$J$277,AE$1,'свод практик'!$C$6:$C$277,"самообложение (50/50)")</f>
        <v>0</v>
      </c>
      <c r="AF19" s="104">
        <f>COUNTIFS('свод практик'!$J$6:$J$277,AF$1,'свод практик'!$C$6:$C$277,"самообложение (50/50)")</f>
        <v>0</v>
      </c>
      <c r="AG19" s="104">
        <f>COUNTIFS('свод практик'!$J$6:$J$277,AG$1,'свод практик'!$C$6:$C$277,"самообложение (50/50)")</f>
        <v>0</v>
      </c>
      <c r="AH19" s="104">
        <f>COUNTIFS('свод практик'!$J$6:$J$277,AH$1,'свод практик'!$C$6:$C$277,"самообложение (50/50)")</f>
        <v>0</v>
      </c>
      <c r="AI19" s="104">
        <f>COUNTIFS('свод практик'!$J$6:$J$277,AI$1,'свод практик'!$C$6:$C$277,"самообложение (50/50)")</f>
        <v>0</v>
      </c>
      <c r="AJ19" s="104">
        <f>COUNTIFS('свод практик'!$J$6:$J$277,AJ$1,'свод практик'!$C$6:$C$277,"самообложение (50/50)")</f>
        <v>0</v>
      </c>
      <c r="AK19" s="104">
        <f>COUNTIFS('свод практик'!$J$6:$J$277,AK$1,'свод практик'!$C$6:$C$277,"самообложение (50/50)")</f>
        <v>0</v>
      </c>
      <c r="AL19" s="104">
        <f>COUNTIFS('свод практик'!$J$6:$J$277,AL$1,'свод практик'!$C$6:$C$277,"самообложение (50/50)")</f>
        <v>0</v>
      </c>
      <c r="AM19" s="104">
        <f>COUNTIFS('свод практик'!$J$6:$J$277,AM$1,'свод практик'!$C$6:$C$277,"самообложение (50/50)")</f>
        <v>0</v>
      </c>
      <c r="AN19" s="104">
        <f>COUNTIFS('свод практик'!$J$6:$J$277,AN$1,'свод практик'!$C$6:$C$277,"самообложение (50/50)")</f>
        <v>0</v>
      </c>
      <c r="AO19" s="104">
        <f>COUNTIFS('свод практик'!$J$6:$J$277,AO$1,'свод практик'!$C$6:$C$277,"самообложение (50/50)")</f>
        <v>0</v>
      </c>
      <c r="AP19" s="104">
        <f>COUNTIFS('свод практик'!$J$6:$J$277,AP$1,'свод практик'!$C$6:$C$277,"самообложение (50/50)")</f>
        <v>0</v>
      </c>
      <c r="AQ19" s="104">
        <f>COUNTIFS('свод практик'!$J$6:$J$277,AQ$1,'свод практик'!$C$6:$C$277,"самообложение (50/50)")</f>
        <v>0</v>
      </c>
      <c r="AR19" s="104">
        <f>COUNTIFS('свод практик'!$J$6:$J$277,AR$1,'свод практик'!$C$6:$C$277,"самообложение (50/50)")</f>
        <v>0</v>
      </c>
      <c r="AS19" s="104">
        <f>COUNTIFS('свод практик'!$J$6:$J$277,AS$1,'свод практик'!$C$6:$C$277,"самообложение (50/50)")</f>
        <v>0</v>
      </c>
      <c r="AT19" s="104">
        <f>COUNTIFS('свод практик'!$J$6:$J$277,AT$1,'свод практик'!$C$6:$C$277,"самообложение (50/50)")</f>
        <v>0</v>
      </c>
      <c r="AU19" s="104">
        <f>COUNTIFS('свод практик'!$J$6:$J$277,AU$1,'свод практик'!$C$6:$C$277,"самообложение (50/50)")</f>
        <v>0</v>
      </c>
      <c r="AV19" s="104">
        <f>COUNTIFS('свод практик'!$J$6:$J$277,AV$1,'свод практик'!$C$6:$C$277,"самообложение (50/50)")</f>
        <v>0</v>
      </c>
      <c r="AW19" s="104">
        <f>COUNTIFS('свод практик'!$J$6:$J$277,AW$1,'свод практик'!$C$6:$C$277,"самообложение (50/50)")</f>
        <v>0</v>
      </c>
      <c r="AX19" s="104">
        <f>COUNTIFS('свод практик'!$J$6:$J$277,AX$1,'свод практик'!$C$6:$C$277,"самообложение (50/50)")</f>
        <v>0</v>
      </c>
      <c r="AY19" s="104">
        <f>COUNTIFS('свод практик'!$J$6:$J$277,AY$1,'свод практик'!$C$6:$C$277,"самообложение (50/50)")</f>
        <v>0</v>
      </c>
      <c r="AZ19" s="104">
        <f>COUNTIFS('свод практик'!$J$6:$J$277,AZ$1,'свод практик'!$C$6:$C$277,"самообложение (50/50)")</f>
        <v>0</v>
      </c>
      <c r="BA19" s="104">
        <f>COUNTIFS('свод практик'!$J$6:$J$277,BA$1,'свод практик'!$C$6:$C$277,"самообложение (50/50)")</f>
        <v>0</v>
      </c>
      <c r="BB19" s="104">
        <f>COUNTIFS('свод практик'!$J$6:$J$277,BB$1,'свод практик'!$C$6:$C$277,"самообложение (50/50)")</f>
        <v>0</v>
      </c>
      <c r="BC19" s="104">
        <f>COUNTIFS('свод практик'!$J$6:$J$277,BC$1,'свод практик'!$C$6:$C$277,"самообложение (50/50)")</f>
        <v>0</v>
      </c>
      <c r="BD19" s="104">
        <f>COUNTIFS('свод практик'!$J$6:$J$277,BD$1,'свод практик'!$C$6:$C$277,"самообложение (50/50)")</f>
        <v>0</v>
      </c>
      <c r="BE19" s="104">
        <f>COUNTIFS('свод практик'!$J$6:$J$277,BE$1,'свод практик'!$C$6:$C$277,"самообложение (50/50)")</f>
        <v>0</v>
      </c>
      <c r="BF19" s="104">
        <f>COUNTIFS('свод практик'!$J$6:$J$277,BF$1,'свод практик'!$C$6:$C$277,"самообложение (50/50)")</f>
        <v>0</v>
      </c>
      <c r="BG19" s="104">
        <f>COUNTIFS('свод практик'!$J$6:$J$277,BG$1,'свод практик'!$C$6:$C$277,"самообложение (50/50)")</f>
        <v>0</v>
      </c>
      <c r="BH19" s="104">
        <f>COUNTIFS('свод практик'!$J$6:$J$277,BH$1,'свод практик'!$C$6:$C$277,"самообложение (50/50)")</f>
        <v>0</v>
      </c>
      <c r="BI19" s="104">
        <f>COUNTIFS('свод практик'!$J$6:$J$277,BI$1,'свод практик'!$C$6:$C$277,"самообложение (50/50)")</f>
        <v>0</v>
      </c>
      <c r="BJ19" s="104">
        <f>COUNTIFS('свод практик'!$J$6:$J$277,BJ$1,'свод практик'!$C$6:$C$277,"самообложение (50/50)")</f>
        <v>0</v>
      </c>
      <c r="BK19" s="104">
        <f>COUNTIFS('свод практик'!$J$6:$J$277,BK$1,'свод практик'!$C$6:$C$277,"самообложение (50/50)")</f>
        <v>0</v>
      </c>
      <c r="BL19" s="104">
        <f>COUNTIFS('свод практик'!$J$6:$J$277,BL$1,'свод практик'!$C$6:$C$277,"самообложение (50/50)")</f>
        <v>0</v>
      </c>
      <c r="BM19" s="104">
        <f>COUNTIFS('свод практик'!$J$6:$J$277,BM$1,'свод практик'!$C$6:$C$277,"самообложение (50/50)")</f>
        <v>0</v>
      </c>
      <c r="BN19" s="104">
        <f>COUNTIFS('свод практик'!$J$6:$J$277,BN$1,'свод практик'!$C$6:$C$277,"самообложение (50/50)")</f>
        <v>0</v>
      </c>
      <c r="BO19" s="104">
        <f>COUNTIFS('свод практик'!$J$6:$J$277,BO$1,'свод практик'!$C$6:$C$277,"самообложение (50/50)")</f>
        <v>0</v>
      </c>
      <c r="BP19" s="104">
        <f>COUNTIFS('свод практик'!$J$6:$J$277,BP$1,'свод практик'!$C$6:$C$277,"самообложение (50/50)")</f>
        <v>0</v>
      </c>
      <c r="BQ19" s="104">
        <f>COUNTIFS('свод практик'!$J$6:$J$277,BQ$1,'свод практик'!$C$6:$C$277,"самообложение (50/50)")</f>
        <v>0</v>
      </c>
      <c r="BR19" s="104">
        <f>COUNTIFS('свод практик'!$J$6:$J$277,BR$1,'свод практик'!$C$6:$C$277,"самообложение (50/50)")</f>
        <v>0</v>
      </c>
      <c r="BS19" s="104">
        <f>COUNTIFS('свод практик'!$J$6:$J$277,BS$1,'свод практик'!$C$6:$C$277,"самообложение (50/50)")</f>
        <v>1</v>
      </c>
      <c r="BT19" s="104">
        <f>COUNTIFS('свод практик'!$J$6:$J$277,BT$1,'свод практик'!$C$6:$C$277,"самообложение (50/50)")</f>
        <v>0</v>
      </c>
      <c r="BU19" s="104">
        <f>COUNTIFS('свод практик'!$J$6:$J$277,BU$1,'свод практик'!$C$6:$C$277,"самообложение (50/50)")</f>
        <v>0</v>
      </c>
      <c r="BV19" s="104">
        <f>COUNTIFS('свод практик'!$J$6:$J$277,BV$1,'свод практик'!$C$6:$C$277,"самообложение (50/50)")</f>
        <v>0</v>
      </c>
      <c r="BW19" s="104">
        <f>COUNTIFS('свод практик'!$J$6:$J$277,BW$1,'свод практик'!$C$6:$C$277,"самообложение (50/50)")</f>
        <v>0</v>
      </c>
      <c r="BX19" s="104">
        <f>COUNTIFS('свод практик'!$J$6:$J$277,BX$1,'свод практик'!$C$6:$C$277,"самообложение (50/50)")</f>
        <v>0</v>
      </c>
      <c r="BY19" s="104">
        <f>COUNTIFS('свод практик'!$J$6:$J$277,BY$1,'свод практик'!$C$6:$C$277,"самообложение (50/50)")</f>
        <v>0</v>
      </c>
      <c r="BZ19" s="104">
        <f>COUNTIFS('свод практик'!$J$6:$J$277,BZ$1,'свод практик'!$C$6:$C$277,"самообложение (50/50)")</f>
        <v>0</v>
      </c>
      <c r="CA19" s="104">
        <f>COUNTIFS('свод практик'!$J$6:$J$277,CA$1,'свод практик'!$C$6:$C$277,"самообложение (50/50)")</f>
        <v>0</v>
      </c>
      <c r="CB19" s="104">
        <f>COUNTIFS('свод практик'!$J$6:$J$277,CB$1,'свод практик'!$C$6:$C$277,"самообложение (50/50)")</f>
        <v>0</v>
      </c>
      <c r="CC19" s="104">
        <f>COUNTIFS('свод практик'!$J$6:$J$277,CC$1,'свод практик'!$C$6:$C$277,"самообложение (50/50)")</f>
        <v>0</v>
      </c>
      <c r="CD19" s="104">
        <f>COUNTIFS('свод практик'!$J$6:$J$277,CD$1,'свод практик'!$C$6:$C$277,"самообложение (50/50)")</f>
        <v>0</v>
      </c>
      <c r="CE19" s="104">
        <f>COUNTIFS('свод практик'!$J$6:$J$277,CE$1,'свод практик'!$C$6:$C$277,"самообложение (50/50)")</f>
        <v>0</v>
      </c>
      <c r="CF19" s="104">
        <f>COUNTIFS('свод практик'!$J$6:$J$277,CF$1,'свод практик'!$C$6:$C$277,"самообложение (50/50)")</f>
        <v>0</v>
      </c>
      <c r="CG19" s="104">
        <f>COUNTIFS('свод практик'!$J$6:$J$277,CG$1,'свод практик'!$C$6:$C$277,"самообложение (50/50)")</f>
        <v>0</v>
      </c>
      <c r="CH19" s="104">
        <f>COUNTIFS('свод практик'!$J$6:$J$277,CH$1,'свод практик'!$C$6:$C$277,"самообложение (50/50)")</f>
        <v>0</v>
      </c>
      <c r="CI19" s="104">
        <f>COUNTIFS('свод практик'!$J$6:$J$277,CI$1,'свод практик'!$C$6:$C$277,"самообложение (50/50)")</f>
        <v>0</v>
      </c>
      <c r="CJ19" s="104">
        <f>COUNTIFS('свод практик'!$J$6:$J$277,CJ$1,'свод практик'!$C$6:$C$277,"самообложение (50/50)")</f>
        <v>0</v>
      </c>
      <c r="CK19" s="104">
        <f>COUNTIFS('свод практик'!$J$6:$J$277,CK$1,'свод практик'!$C$6:$C$277,"самообложение (50/50)")</f>
        <v>0</v>
      </c>
    </row>
    <row r="20" spans="1:89">
      <c r="A20" s="676" t="s">
        <v>5335</v>
      </c>
      <c r="D20" s="675">
        <f t="shared" si="0"/>
        <v>1</v>
      </c>
      <c r="E20">
        <f>COUNTIFS('свод практик'!$J$6:$J$277,E$1,'свод практик'!$C$6:$C$277,"самообложение (60/40 или 1,5 руб. к 1 руб.)")</f>
        <v>0</v>
      </c>
      <c r="F20" s="104">
        <f>COUNTIFS('свод практик'!$J$6:$J$277,F$1,'свод практик'!$C$6:$C$277,"самообложение (60/40 или 1,5 руб. к 1 руб.)")</f>
        <v>0</v>
      </c>
      <c r="G20" s="104">
        <f>COUNTIFS('свод практик'!$J$6:$J$277,G$1,'свод практик'!$C$6:$C$277,"самообложение (60/40 или 1,5 руб. к 1 руб.)")</f>
        <v>0</v>
      </c>
      <c r="H20" s="104">
        <f>COUNTIFS('свод практик'!$J$6:$J$277,H$1,'свод практик'!$C$6:$C$277,"самообложение (60/40 или 1,5 руб. к 1 руб.)")</f>
        <v>0</v>
      </c>
      <c r="I20" s="104">
        <f>COUNTIFS('свод практик'!$J$6:$J$277,I$1,'свод практик'!$C$6:$C$277,"самообложение (60/40 или 1,5 руб. к 1 руб.)")</f>
        <v>0</v>
      </c>
      <c r="J20" s="104">
        <f>COUNTIFS('свод практик'!$J$6:$J$277,J$1,'свод практик'!$C$6:$C$277,"самообложение (60/40 или 1,5 руб. к 1 руб.)")</f>
        <v>0</v>
      </c>
      <c r="K20" s="104">
        <f>COUNTIFS('свод практик'!$J$6:$J$277,K$1,'свод практик'!$C$6:$C$277,"самообложение (60/40 или 1,5 руб. к 1 руб.)")</f>
        <v>0</v>
      </c>
      <c r="L20" s="104">
        <f>COUNTIFS('свод практик'!$J$6:$J$277,L$1,'свод практик'!$C$6:$C$277,"самообложение (60/40 или 1,5 руб. к 1 руб.)")</f>
        <v>0</v>
      </c>
      <c r="M20" s="104">
        <f>COUNTIFS('свод практик'!$J$6:$J$277,M$1,'свод практик'!$C$6:$C$277,"самообложение (60/40 или 1,5 руб. к 1 руб.)")</f>
        <v>0</v>
      </c>
      <c r="N20" s="104">
        <f>COUNTIFS('свод практик'!$J$6:$J$277,N$1,'свод практик'!$C$6:$C$277,"самообложение (60/40 или 1,5 руб. к 1 руб.)")</f>
        <v>0</v>
      </c>
      <c r="O20" s="104">
        <f>COUNTIFS('свод практик'!$J$6:$J$277,O$1,'свод практик'!$C$6:$C$277,"самообложение (60/40 или 1,5 руб. к 1 руб.)")</f>
        <v>0</v>
      </c>
      <c r="P20" s="104">
        <f>COUNTIFS('свод практик'!$J$6:$J$277,P$1,'свод практик'!$C$6:$C$277,"самообложение (60/40 или 1,5 руб. к 1 руб.)")</f>
        <v>0</v>
      </c>
      <c r="Q20" s="104">
        <f>COUNTIFS('свод практик'!$J$6:$J$277,Q$1,'свод практик'!$C$6:$C$277,"самообложение (60/40 или 1,5 руб. к 1 руб.)")</f>
        <v>0</v>
      </c>
      <c r="R20" s="104">
        <f>COUNTIFS('свод практик'!$J$6:$J$277,R$1,'свод практик'!$C$6:$C$277,"самообложение (60/40 или 1,5 руб. к 1 руб.)")</f>
        <v>0</v>
      </c>
      <c r="S20" s="104">
        <f>COUNTIFS('свод практик'!$J$6:$J$277,S$1,'свод практик'!$C$6:$C$277,"самообложение (60/40 или 1,5 руб. к 1 руб.)")</f>
        <v>0</v>
      </c>
      <c r="T20" s="104">
        <f>COUNTIFS('свод практик'!$J$6:$J$277,T$1,'свод практик'!$C$6:$C$277,"самообложение (60/40 или 1,5 руб. к 1 руб.)")</f>
        <v>0</v>
      </c>
      <c r="U20" s="104">
        <f>COUNTIFS('свод практик'!$J$6:$J$277,U$1,'свод практик'!$C$6:$C$277,"самообложение (60/40 или 1,5 руб. к 1 руб.)")</f>
        <v>0</v>
      </c>
      <c r="V20" s="104">
        <f>COUNTIFS('свод практик'!$J$6:$J$277,V$1,'свод практик'!$C$6:$C$277,"самообложение (60/40 или 1,5 руб. к 1 руб.)")</f>
        <v>0</v>
      </c>
      <c r="W20" s="104">
        <f>COUNTIFS('свод практик'!$J$6:$J$277,W$1,'свод практик'!$C$6:$C$277,"самообложение (60/40 или 1,5 руб. к 1 руб.)")</f>
        <v>0</v>
      </c>
      <c r="X20" s="104">
        <f>COUNTIFS('свод практик'!$J$6:$J$277,X$1,'свод практик'!$C$6:$C$277,"самообложение (60/40 или 1,5 руб. к 1 руб.)")</f>
        <v>0</v>
      </c>
      <c r="Y20" s="104">
        <f>COUNTIFS('свод практик'!$J$6:$J$277,Y$1,'свод практик'!$C$6:$C$277,"самообложение (60/40 или 1,5 руб. к 1 руб.)")</f>
        <v>0</v>
      </c>
      <c r="Z20" s="104">
        <f>COUNTIFS('свод практик'!$J$6:$J$277,Z$1,'свод практик'!$C$6:$C$277,"самообложение (60/40 или 1,5 руб. к 1 руб.)")</f>
        <v>0</v>
      </c>
      <c r="AA20" s="104">
        <f>COUNTIFS('свод практик'!$J$6:$J$277,AA$1,'свод практик'!$C$6:$C$277,"самообложение (60/40 или 1,5 руб. к 1 руб.)")</f>
        <v>0</v>
      </c>
      <c r="AB20" s="104">
        <f>COUNTIFS('свод практик'!$J$6:$J$277,AB$1,'свод практик'!$C$6:$C$277,"самообложение (60/40 или 1,5 руб. к 1 руб.)")</f>
        <v>0</v>
      </c>
      <c r="AC20" s="104">
        <f>COUNTIFS('свод практик'!$J$6:$J$277,AC$1,'свод практик'!$C$6:$C$277,"самообложение (60/40 или 1,5 руб. к 1 руб.)")</f>
        <v>0</v>
      </c>
      <c r="AD20" s="104">
        <f>COUNTIFS('свод практик'!$J$6:$J$277,AD$1,'свод практик'!$C$6:$C$277,"самообложение (60/40 или 1,5 руб. к 1 руб.)")</f>
        <v>0</v>
      </c>
      <c r="AE20" s="104">
        <f>COUNTIFS('свод практик'!$J$6:$J$277,AE$1,'свод практик'!$C$6:$C$277,"самообложение (60/40 или 1,5 руб. к 1 руб.)")</f>
        <v>0</v>
      </c>
      <c r="AF20" s="104">
        <f>COUNTIFS('свод практик'!$J$6:$J$277,AF$1,'свод практик'!$C$6:$C$277,"самообложение (60/40 или 1,5 руб. к 1 руб.)")</f>
        <v>0</v>
      </c>
      <c r="AG20" s="104">
        <f>COUNTIFS('свод практик'!$J$6:$J$277,AG$1,'свод практик'!$C$6:$C$277,"самообложение (60/40 или 1,5 руб. к 1 руб.)")</f>
        <v>1</v>
      </c>
      <c r="AH20" s="104">
        <f>COUNTIFS('свод практик'!$J$6:$J$277,AH$1,'свод практик'!$C$6:$C$277,"самообложение (60/40 или 1,5 руб. к 1 руб.)")</f>
        <v>0</v>
      </c>
      <c r="AI20" s="104">
        <f>COUNTIFS('свод практик'!$J$6:$J$277,AI$1,'свод практик'!$C$6:$C$277,"самообложение (60/40 или 1,5 руб. к 1 руб.)")</f>
        <v>0</v>
      </c>
      <c r="AJ20" s="104">
        <f>COUNTIFS('свод практик'!$J$6:$J$277,AJ$1,'свод практик'!$C$6:$C$277,"самообложение (60/40 или 1,5 руб. к 1 руб.)")</f>
        <v>0</v>
      </c>
      <c r="AK20" s="104">
        <f>COUNTIFS('свод практик'!$J$6:$J$277,AK$1,'свод практик'!$C$6:$C$277,"самообложение (60/40 или 1,5 руб. к 1 руб.)")</f>
        <v>0</v>
      </c>
      <c r="AL20" s="104">
        <f>COUNTIFS('свод практик'!$J$6:$J$277,AL$1,'свод практик'!$C$6:$C$277,"самообложение (60/40 или 1,5 руб. к 1 руб.)")</f>
        <v>0</v>
      </c>
      <c r="AM20" s="104">
        <f>COUNTIFS('свод практик'!$J$6:$J$277,AM$1,'свод практик'!$C$6:$C$277,"самообложение (60/40 или 1,5 руб. к 1 руб.)")</f>
        <v>0</v>
      </c>
      <c r="AN20" s="104">
        <f>COUNTIFS('свод практик'!$J$6:$J$277,AN$1,'свод практик'!$C$6:$C$277,"самообложение (60/40 или 1,5 руб. к 1 руб.)")</f>
        <v>0</v>
      </c>
      <c r="AO20" s="104">
        <f>COUNTIFS('свод практик'!$J$6:$J$277,AO$1,'свод практик'!$C$6:$C$277,"самообложение (60/40 или 1,5 руб. к 1 руб.)")</f>
        <v>0</v>
      </c>
      <c r="AP20" s="104">
        <f>COUNTIFS('свод практик'!$J$6:$J$277,AP$1,'свод практик'!$C$6:$C$277,"самообложение (60/40 или 1,5 руб. к 1 руб.)")</f>
        <v>0</v>
      </c>
      <c r="AQ20" s="104">
        <f>COUNTIFS('свод практик'!$J$6:$J$277,AQ$1,'свод практик'!$C$6:$C$277,"самообложение (60/40 или 1,5 руб. к 1 руб.)")</f>
        <v>0</v>
      </c>
      <c r="AR20" s="104">
        <f>COUNTIFS('свод практик'!$J$6:$J$277,AR$1,'свод практик'!$C$6:$C$277,"самообложение (60/40 или 1,5 руб. к 1 руб.)")</f>
        <v>0</v>
      </c>
      <c r="AS20" s="104">
        <f>COUNTIFS('свод практик'!$J$6:$J$277,AS$1,'свод практик'!$C$6:$C$277,"самообложение (60/40 или 1,5 руб. к 1 руб.)")</f>
        <v>0</v>
      </c>
      <c r="AT20" s="104">
        <f>COUNTIFS('свод практик'!$J$6:$J$277,AT$1,'свод практик'!$C$6:$C$277,"самообложение (60/40 или 1,5 руб. к 1 руб.)")</f>
        <v>0</v>
      </c>
      <c r="AU20" s="104">
        <f>COUNTIFS('свод практик'!$J$6:$J$277,AU$1,'свод практик'!$C$6:$C$277,"самообложение (60/40 или 1,5 руб. к 1 руб.)")</f>
        <v>0</v>
      </c>
      <c r="AV20" s="104">
        <f>COUNTIFS('свод практик'!$J$6:$J$277,AV$1,'свод практик'!$C$6:$C$277,"самообложение (60/40 или 1,5 руб. к 1 руб.)")</f>
        <v>0</v>
      </c>
      <c r="AW20" s="104">
        <f>COUNTIFS('свод практик'!$J$6:$J$277,AW$1,'свод практик'!$C$6:$C$277,"самообложение (60/40 или 1,5 руб. к 1 руб.)")</f>
        <v>0</v>
      </c>
      <c r="AX20" s="104">
        <f>COUNTIFS('свод практик'!$J$6:$J$277,AX$1,'свод практик'!$C$6:$C$277,"самообложение (60/40 или 1,5 руб. к 1 руб.)")</f>
        <v>0</v>
      </c>
      <c r="AY20" s="104">
        <f>COUNTIFS('свод практик'!$J$6:$J$277,AY$1,'свод практик'!$C$6:$C$277,"самообложение (60/40 или 1,5 руб. к 1 руб.)")</f>
        <v>0</v>
      </c>
      <c r="AZ20" s="104">
        <f>COUNTIFS('свод практик'!$J$6:$J$277,AZ$1,'свод практик'!$C$6:$C$277,"самообложение (60/40 или 1,5 руб. к 1 руб.)")</f>
        <v>0</v>
      </c>
      <c r="BA20" s="104">
        <f>COUNTIFS('свод практик'!$J$6:$J$277,BA$1,'свод практик'!$C$6:$C$277,"самообложение (60/40 или 1,5 руб. к 1 руб.)")</f>
        <v>0</v>
      </c>
      <c r="BB20" s="104">
        <f>COUNTIFS('свод практик'!$J$6:$J$277,BB$1,'свод практик'!$C$6:$C$277,"самообложение (60/40 или 1,5 руб. к 1 руб.)")</f>
        <v>0</v>
      </c>
      <c r="BC20" s="104">
        <f>COUNTIFS('свод практик'!$J$6:$J$277,BC$1,'свод практик'!$C$6:$C$277,"самообложение (60/40 или 1,5 руб. к 1 руб.)")</f>
        <v>0</v>
      </c>
      <c r="BD20" s="104">
        <f>COUNTIFS('свод практик'!$J$6:$J$277,BD$1,'свод практик'!$C$6:$C$277,"самообложение (60/40 или 1,5 руб. к 1 руб.)")</f>
        <v>0</v>
      </c>
      <c r="BE20" s="104">
        <f>COUNTIFS('свод практик'!$J$6:$J$277,BE$1,'свод практик'!$C$6:$C$277,"самообложение (60/40 или 1,5 руб. к 1 руб.)")</f>
        <v>0</v>
      </c>
      <c r="BF20" s="104">
        <f>COUNTIFS('свод практик'!$J$6:$J$277,BF$1,'свод практик'!$C$6:$C$277,"самообложение (60/40 или 1,5 руб. к 1 руб.)")</f>
        <v>0</v>
      </c>
      <c r="BG20" s="104">
        <f>COUNTIFS('свод практик'!$J$6:$J$277,BG$1,'свод практик'!$C$6:$C$277,"самообложение (60/40 или 1,5 руб. к 1 руб.)")</f>
        <v>0</v>
      </c>
      <c r="BH20" s="104">
        <f>COUNTIFS('свод практик'!$J$6:$J$277,BH$1,'свод практик'!$C$6:$C$277,"самообложение (60/40 или 1,5 руб. к 1 руб.)")</f>
        <v>0</v>
      </c>
      <c r="BI20" s="104">
        <f>COUNTIFS('свод практик'!$J$6:$J$277,BI$1,'свод практик'!$C$6:$C$277,"самообложение (60/40 или 1,5 руб. к 1 руб.)")</f>
        <v>0</v>
      </c>
      <c r="BJ20" s="104">
        <f>COUNTIFS('свод практик'!$J$6:$J$277,BJ$1,'свод практик'!$C$6:$C$277,"самообложение (60/40 или 1,5 руб. к 1 руб.)")</f>
        <v>0</v>
      </c>
      <c r="BK20" s="104">
        <f>COUNTIFS('свод практик'!$J$6:$J$277,BK$1,'свод практик'!$C$6:$C$277,"самообложение (60/40 или 1,5 руб. к 1 руб.)")</f>
        <v>0</v>
      </c>
      <c r="BL20" s="104">
        <f>COUNTIFS('свод практик'!$J$6:$J$277,BL$1,'свод практик'!$C$6:$C$277,"самообложение (60/40 или 1,5 руб. к 1 руб.)")</f>
        <v>0</v>
      </c>
      <c r="BM20" s="104">
        <f>COUNTIFS('свод практик'!$J$6:$J$277,BM$1,'свод практик'!$C$6:$C$277,"самообложение (60/40 или 1,5 руб. к 1 руб.)")</f>
        <v>0</v>
      </c>
      <c r="BN20" s="104">
        <f>COUNTIFS('свод практик'!$J$6:$J$277,BN$1,'свод практик'!$C$6:$C$277,"самообложение (60/40 или 1,5 руб. к 1 руб.)")</f>
        <v>0</v>
      </c>
      <c r="BO20" s="104">
        <f>COUNTIFS('свод практик'!$J$6:$J$277,BO$1,'свод практик'!$C$6:$C$277,"самообложение (60/40 или 1,5 руб. к 1 руб.)")</f>
        <v>0</v>
      </c>
      <c r="BP20" s="104">
        <f>COUNTIFS('свод практик'!$J$6:$J$277,BP$1,'свод практик'!$C$6:$C$277,"самообложение (60/40 или 1,5 руб. к 1 руб.)")</f>
        <v>0</v>
      </c>
      <c r="BQ20" s="104">
        <f>COUNTIFS('свод практик'!$J$6:$J$277,BQ$1,'свод практик'!$C$6:$C$277,"самообложение (60/40 или 1,5 руб. к 1 руб.)")</f>
        <v>0</v>
      </c>
      <c r="BR20" s="104">
        <f>COUNTIFS('свод практик'!$J$6:$J$277,BR$1,'свод практик'!$C$6:$C$277,"самообложение (60/40 или 1,5 руб. к 1 руб.)")</f>
        <v>0</v>
      </c>
      <c r="BS20" s="104">
        <f>COUNTIFS('свод практик'!$J$6:$J$277,BS$1,'свод практик'!$C$6:$C$277,"самообложение (60/40 или 1,5 руб. к 1 руб.)")</f>
        <v>0</v>
      </c>
      <c r="BT20" s="104">
        <f>COUNTIFS('свод практик'!$J$6:$J$277,BT$1,'свод практик'!$C$6:$C$277,"самообложение (60/40 или 1,5 руб. к 1 руб.)")</f>
        <v>0</v>
      </c>
      <c r="BU20" s="104">
        <f>COUNTIFS('свод практик'!$J$6:$J$277,BU$1,'свод практик'!$C$6:$C$277,"самообложение (60/40 или 1,5 руб. к 1 руб.)")</f>
        <v>0</v>
      </c>
      <c r="BV20" s="104">
        <f>COUNTIFS('свод практик'!$J$6:$J$277,BV$1,'свод практик'!$C$6:$C$277,"самообложение (60/40 или 1,5 руб. к 1 руб.)")</f>
        <v>0</v>
      </c>
      <c r="BW20" s="104">
        <f>COUNTIFS('свод практик'!$J$6:$J$277,BW$1,'свод практик'!$C$6:$C$277,"самообложение (60/40 или 1,5 руб. к 1 руб.)")</f>
        <v>0</v>
      </c>
      <c r="BX20" s="104">
        <f>COUNTIFS('свод практик'!$J$6:$J$277,BX$1,'свод практик'!$C$6:$C$277,"самообложение (60/40 или 1,5 руб. к 1 руб.)")</f>
        <v>0</v>
      </c>
      <c r="BY20" s="104">
        <f>COUNTIFS('свод практик'!$J$6:$J$277,BY$1,'свод практик'!$C$6:$C$277,"самообложение (60/40 или 1,5 руб. к 1 руб.)")</f>
        <v>0</v>
      </c>
      <c r="BZ20" s="104">
        <f>COUNTIFS('свод практик'!$J$6:$J$277,BZ$1,'свод практик'!$C$6:$C$277,"самообложение (60/40 или 1,5 руб. к 1 руб.)")</f>
        <v>0</v>
      </c>
      <c r="CA20" s="104">
        <f>COUNTIFS('свод практик'!$J$6:$J$277,CA$1,'свод практик'!$C$6:$C$277,"самообложение (60/40 или 1,5 руб. к 1 руб.)")</f>
        <v>0</v>
      </c>
      <c r="CB20" s="104">
        <f>COUNTIFS('свод практик'!$J$6:$J$277,CB$1,'свод практик'!$C$6:$C$277,"самообложение (60/40 или 1,5 руб. к 1 руб.)")</f>
        <v>0</v>
      </c>
      <c r="CC20" s="104">
        <f>COUNTIFS('свод практик'!$J$6:$J$277,CC$1,'свод практик'!$C$6:$C$277,"самообложение (60/40 или 1,5 руб. к 1 руб.)")</f>
        <v>0</v>
      </c>
      <c r="CD20" s="104">
        <f>COUNTIFS('свод практик'!$J$6:$J$277,CD$1,'свод практик'!$C$6:$C$277,"самообложение (60/40 или 1,5 руб. к 1 руб.)")</f>
        <v>0</v>
      </c>
      <c r="CE20" s="104">
        <f>COUNTIFS('свод практик'!$J$6:$J$277,CE$1,'свод практик'!$C$6:$C$277,"самообложение (60/40 или 1,5 руб. к 1 руб.)")</f>
        <v>0</v>
      </c>
      <c r="CF20" s="104">
        <f>COUNTIFS('свод практик'!$J$6:$J$277,CF$1,'свод практик'!$C$6:$C$277,"самообложение (60/40 или 1,5 руб. к 1 руб.)")</f>
        <v>0</v>
      </c>
      <c r="CG20" s="104">
        <f>COUNTIFS('свод практик'!$J$6:$J$277,CG$1,'свод практик'!$C$6:$C$277,"самообложение (60/40 или 1,5 руб. к 1 руб.)")</f>
        <v>0</v>
      </c>
      <c r="CH20" s="104">
        <f>COUNTIFS('свод практик'!$J$6:$J$277,CH$1,'свод практик'!$C$6:$C$277,"самообложение (60/40 или 1,5 руб. к 1 руб.)")</f>
        <v>0</v>
      </c>
      <c r="CI20" s="104">
        <f>COUNTIFS('свод практик'!$J$6:$J$277,CI$1,'свод практик'!$C$6:$C$277,"самообложение (60/40 или 1,5 руб. к 1 руб.)")</f>
        <v>0</v>
      </c>
      <c r="CJ20" s="104">
        <f>COUNTIFS('свод практик'!$J$6:$J$277,CJ$1,'свод практик'!$C$6:$C$277,"самообложение (60/40 или 1,5 руб. к 1 руб.)")</f>
        <v>0</v>
      </c>
      <c r="CK20" s="104">
        <f>COUNTIFS('свод практик'!$J$6:$J$277,CK$1,'свод практик'!$C$6:$C$277,"самообложение (60/40 или 1,5 руб. к 1 руб.)")</f>
        <v>0</v>
      </c>
    </row>
    <row r="21" spans="1:89">
      <c r="A21" s="676" t="s">
        <v>5353</v>
      </c>
      <c r="D21" s="675">
        <f t="shared" si="0"/>
        <v>1</v>
      </c>
      <c r="E21">
        <f>COUNTIFS('свод практик'!$J$6:$J$277,E$1,'свод практик'!$C$6:$C$277,"самообложение (80/20 или 5 руб к 1 руб)")</f>
        <v>0</v>
      </c>
      <c r="F21" s="104">
        <f>COUNTIFS('свод практик'!$J$6:$J$277,F$1,'свод практик'!$C$6:$C$277,"самообложение (80/20 или 5 руб к 1 руб)")</f>
        <v>0</v>
      </c>
      <c r="G21" s="104">
        <f>COUNTIFS('свод практик'!$J$6:$J$277,G$1,'свод практик'!$C$6:$C$277,"самообложение (80/20 или 5 руб к 1 руб)")</f>
        <v>0</v>
      </c>
      <c r="H21" s="104">
        <f>COUNTIFS('свод практик'!$J$6:$J$277,H$1,'свод практик'!$C$6:$C$277,"самообложение (80/20 или 5 руб к 1 руб)")</f>
        <v>0</v>
      </c>
      <c r="I21" s="104">
        <f>COUNTIFS('свод практик'!$J$6:$J$277,I$1,'свод практик'!$C$6:$C$277,"самообложение (80/20 или 5 руб к 1 руб)")</f>
        <v>0</v>
      </c>
      <c r="J21" s="104">
        <f>COUNTIFS('свод практик'!$J$6:$J$277,J$1,'свод практик'!$C$6:$C$277,"самообложение (80/20 или 5 руб к 1 руб)")</f>
        <v>0</v>
      </c>
      <c r="K21" s="104">
        <f>COUNTIFS('свод практик'!$J$6:$J$277,K$1,'свод практик'!$C$6:$C$277,"самообложение (80/20 или 5 руб к 1 руб)")</f>
        <v>0</v>
      </c>
      <c r="L21" s="104">
        <f>COUNTIFS('свод практик'!$J$6:$J$277,L$1,'свод практик'!$C$6:$C$277,"самообложение (80/20 или 5 руб к 1 руб)")</f>
        <v>0</v>
      </c>
      <c r="M21" s="104">
        <f>COUNTIFS('свод практик'!$J$6:$J$277,M$1,'свод практик'!$C$6:$C$277,"самообложение (80/20 или 5 руб к 1 руб)")</f>
        <v>0</v>
      </c>
      <c r="N21" s="104">
        <f>COUNTIFS('свод практик'!$J$6:$J$277,N$1,'свод практик'!$C$6:$C$277,"самообложение (80/20 или 5 руб к 1 руб)")</f>
        <v>0</v>
      </c>
      <c r="O21" s="104">
        <f>COUNTIFS('свод практик'!$J$6:$J$277,O$1,'свод практик'!$C$6:$C$277,"самообложение (80/20 или 5 руб к 1 руб)")</f>
        <v>0</v>
      </c>
      <c r="P21" s="104">
        <f>COUNTIFS('свод практик'!$J$6:$J$277,P$1,'свод практик'!$C$6:$C$277,"самообложение (80/20 или 5 руб к 1 руб)")</f>
        <v>0</v>
      </c>
      <c r="Q21" s="104">
        <f>COUNTIFS('свод практик'!$J$6:$J$277,Q$1,'свод практик'!$C$6:$C$277,"самообложение (80/20 или 5 руб к 1 руб)")</f>
        <v>0</v>
      </c>
      <c r="R21" s="104">
        <f>COUNTIFS('свод практик'!$J$6:$J$277,R$1,'свод практик'!$C$6:$C$277,"самообложение (80/20 или 5 руб к 1 руб)")</f>
        <v>0</v>
      </c>
      <c r="S21" s="104">
        <f>COUNTIFS('свод практик'!$J$6:$J$277,S$1,'свод практик'!$C$6:$C$277,"самообложение (80/20 или 5 руб к 1 руб)")</f>
        <v>0</v>
      </c>
      <c r="T21" s="104">
        <f>COUNTIFS('свод практик'!$J$6:$J$277,T$1,'свод практик'!$C$6:$C$277,"самообложение (80/20 или 5 руб к 1 руб)")</f>
        <v>0</v>
      </c>
      <c r="U21" s="104">
        <f>COUNTIFS('свод практик'!$J$6:$J$277,U$1,'свод практик'!$C$6:$C$277,"самообложение (80/20 или 5 руб к 1 руб)")</f>
        <v>0</v>
      </c>
      <c r="V21" s="104">
        <f>COUNTIFS('свод практик'!$J$6:$J$277,V$1,'свод практик'!$C$6:$C$277,"самообложение (80/20 или 5 руб к 1 руб)")</f>
        <v>0</v>
      </c>
      <c r="W21" s="104">
        <f>COUNTIFS('свод практик'!$J$6:$J$277,W$1,'свод практик'!$C$6:$C$277,"самообложение (80/20 или 5 руб к 1 руб)")</f>
        <v>0</v>
      </c>
      <c r="X21" s="104">
        <f>COUNTIFS('свод практик'!$J$6:$J$277,X$1,'свод практик'!$C$6:$C$277,"самообложение (80/20 или 5 руб к 1 руб)")</f>
        <v>0</v>
      </c>
      <c r="Y21" s="104">
        <f>COUNTIFS('свод практик'!$J$6:$J$277,Y$1,'свод практик'!$C$6:$C$277,"самообложение (80/20 или 5 руб к 1 руб)")</f>
        <v>0</v>
      </c>
      <c r="Z21" s="104">
        <f>COUNTIFS('свод практик'!$J$6:$J$277,Z$1,'свод практик'!$C$6:$C$277,"самообложение (80/20 или 5 руб к 1 руб)")</f>
        <v>0</v>
      </c>
      <c r="AA21" s="104">
        <f>COUNTIFS('свод практик'!$J$6:$J$277,AA$1,'свод практик'!$C$6:$C$277,"самообложение (80/20 или 5 руб к 1 руб)")</f>
        <v>0</v>
      </c>
      <c r="AB21" s="104">
        <f>COUNTIFS('свод практик'!$J$6:$J$277,AB$1,'свод практик'!$C$6:$C$277,"самообложение (80/20 или 5 руб к 1 руб)")</f>
        <v>0</v>
      </c>
      <c r="AC21" s="104">
        <f>COUNTIFS('свод практик'!$J$6:$J$277,AC$1,'свод практик'!$C$6:$C$277,"самообложение (80/20 или 5 руб к 1 руб)")</f>
        <v>0</v>
      </c>
      <c r="AD21" s="104">
        <f>COUNTIFS('свод практик'!$J$6:$J$277,AD$1,'свод практик'!$C$6:$C$277,"самообложение (80/20 или 5 руб к 1 руб)")</f>
        <v>0</v>
      </c>
      <c r="AE21" s="104">
        <f>COUNTIFS('свод практик'!$J$6:$J$277,AE$1,'свод практик'!$C$6:$C$277,"самообложение (80/20 или 5 руб к 1 руб)")</f>
        <v>0</v>
      </c>
      <c r="AF21" s="104">
        <f>COUNTIFS('свод практик'!$J$6:$J$277,AF$1,'свод практик'!$C$6:$C$277,"самообложение (80/20 или 5 руб к 1 руб)")</f>
        <v>0</v>
      </c>
      <c r="AG21" s="104">
        <f>COUNTIFS('свод практик'!$J$6:$J$277,AG$1,'свод практик'!$C$6:$C$277,"самообложение (80/20 или 5 руб к 1 руб)")</f>
        <v>0</v>
      </c>
      <c r="AH21" s="104">
        <f>COUNTIFS('свод практик'!$J$6:$J$277,AH$1,'свод практик'!$C$6:$C$277,"самообложение (80/20 или 5 руб к 1 руб)")</f>
        <v>0</v>
      </c>
      <c r="AI21" s="104">
        <f>COUNTIFS('свод практик'!$J$6:$J$277,AI$1,'свод практик'!$C$6:$C$277,"самообложение (80/20 или 5 руб к 1 руб)")</f>
        <v>0</v>
      </c>
      <c r="AJ21" s="104">
        <f>COUNTIFS('свод практик'!$J$6:$J$277,AJ$1,'свод практик'!$C$6:$C$277,"самообложение (80/20 или 5 руб к 1 руб)")</f>
        <v>0</v>
      </c>
      <c r="AK21" s="104">
        <f>COUNTIFS('свод практик'!$J$6:$J$277,AK$1,'свод практик'!$C$6:$C$277,"самообложение (80/20 или 5 руб к 1 руб)")</f>
        <v>0</v>
      </c>
      <c r="AL21" s="104">
        <f>COUNTIFS('свод практик'!$J$6:$J$277,AL$1,'свод практик'!$C$6:$C$277,"самообложение (80/20 или 5 руб к 1 руб)")</f>
        <v>0</v>
      </c>
      <c r="AM21" s="104">
        <f>COUNTIFS('свод практик'!$J$6:$J$277,AM$1,'свод практик'!$C$6:$C$277,"самообложение (80/20 или 5 руб к 1 руб)")</f>
        <v>0</v>
      </c>
      <c r="AN21" s="104">
        <f>COUNTIFS('свод практик'!$J$6:$J$277,AN$1,'свод практик'!$C$6:$C$277,"самообложение (80/20 или 5 руб к 1 руб)")</f>
        <v>0</v>
      </c>
      <c r="AO21" s="104">
        <f>COUNTIFS('свод практик'!$J$6:$J$277,AO$1,'свод практик'!$C$6:$C$277,"самообложение (80/20 или 5 руб к 1 руб)")</f>
        <v>0</v>
      </c>
      <c r="AP21" s="104">
        <f>COUNTIFS('свод практик'!$J$6:$J$277,AP$1,'свод практик'!$C$6:$C$277,"самообложение (80/20 или 5 руб к 1 руб)")</f>
        <v>0</v>
      </c>
      <c r="AQ21" s="104">
        <f>COUNTIFS('свод практик'!$J$6:$J$277,AQ$1,'свод практик'!$C$6:$C$277,"самообложение (80/20 или 5 руб к 1 руб)")</f>
        <v>0</v>
      </c>
      <c r="AR21" s="104">
        <f>COUNTIFS('свод практик'!$J$6:$J$277,AR$1,'свод практик'!$C$6:$C$277,"самообложение (80/20 или 5 руб к 1 руб)")</f>
        <v>0</v>
      </c>
      <c r="AS21" s="104">
        <f>COUNTIFS('свод практик'!$J$6:$J$277,AS$1,'свод практик'!$C$6:$C$277,"самообложение (80/20 или 5 руб к 1 руб)")</f>
        <v>0</v>
      </c>
      <c r="AT21" s="104">
        <f>COUNTIFS('свод практик'!$J$6:$J$277,AT$1,'свод практик'!$C$6:$C$277,"самообложение (80/20 или 5 руб к 1 руб)")</f>
        <v>0</v>
      </c>
      <c r="AU21" s="104">
        <f>COUNTIFS('свод практик'!$J$6:$J$277,AU$1,'свод практик'!$C$6:$C$277,"самообложение (80/20 или 5 руб к 1 руб)")</f>
        <v>0</v>
      </c>
      <c r="AV21" s="104">
        <f>COUNTIFS('свод практик'!$J$6:$J$277,AV$1,'свод практик'!$C$6:$C$277,"самообложение (80/20 или 5 руб к 1 руб)")</f>
        <v>0</v>
      </c>
      <c r="AW21" s="104">
        <f>COUNTIFS('свод практик'!$J$6:$J$277,AW$1,'свод практик'!$C$6:$C$277,"самообложение (80/20 или 5 руб к 1 руб)")</f>
        <v>0</v>
      </c>
      <c r="AX21" s="104">
        <f>COUNTIFS('свод практик'!$J$6:$J$277,AX$1,'свод практик'!$C$6:$C$277,"самообложение (80/20 или 5 руб к 1 руб)")</f>
        <v>0</v>
      </c>
      <c r="AY21" s="104">
        <f>COUNTIFS('свод практик'!$J$6:$J$277,AY$1,'свод практик'!$C$6:$C$277,"самообложение (80/20 или 5 руб к 1 руб)")</f>
        <v>0</v>
      </c>
      <c r="AZ21" s="104">
        <f>COUNTIFS('свод практик'!$J$6:$J$277,AZ$1,'свод практик'!$C$6:$C$277,"самообложение (80/20 или 5 руб к 1 руб)")</f>
        <v>0</v>
      </c>
      <c r="BA21" s="104">
        <f>COUNTIFS('свод практик'!$J$6:$J$277,BA$1,'свод практик'!$C$6:$C$277,"самообложение (80/20 или 5 руб к 1 руб)")</f>
        <v>0</v>
      </c>
      <c r="BB21" s="104">
        <f>COUNTIFS('свод практик'!$J$6:$J$277,BB$1,'свод практик'!$C$6:$C$277,"самообложение (80/20 или 5 руб к 1 руб)")</f>
        <v>0</v>
      </c>
      <c r="BC21" s="104">
        <f>COUNTIFS('свод практик'!$J$6:$J$277,BC$1,'свод практик'!$C$6:$C$277,"самообложение (80/20 или 5 руб к 1 руб)")</f>
        <v>0</v>
      </c>
      <c r="BD21" s="104">
        <f>COUNTIFS('свод практик'!$J$6:$J$277,BD$1,'свод практик'!$C$6:$C$277,"самообложение (80/20 или 5 руб к 1 руб)")</f>
        <v>0</v>
      </c>
      <c r="BE21" s="104">
        <f>COUNTIFS('свод практик'!$J$6:$J$277,BE$1,'свод практик'!$C$6:$C$277,"самообложение (80/20 или 5 руб к 1 руб)")</f>
        <v>0</v>
      </c>
      <c r="BF21" s="104">
        <f>COUNTIFS('свод практик'!$J$6:$J$277,BF$1,'свод практик'!$C$6:$C$277,"самообложение (80/20 или 5 руб к 1 руб)")</f>
        <v>0</v>
      </c>
      <c r="BG21" s="104">
        <f>COUNTIFS('свод практик'!$J$6:$J$277,BG$1,'свод практик'!$C$6:$C$277,"самообложение (80/20 или 5 руб к 1 руб)")</f>
        <v>0</v>
      </c>
      <c r="BH21" s="104">
        <f>COUNTIFS('свод практик'!$J$6:$J$277,BH$1,'свод практик'!$C$6:$C$277,"самообложение (80/20 или 5 руб к 1 руб)")</f>
        <v>0</v>
      </c>
      <c r="BI21" s="104">
        <f>COUNTIFS('свод практик'!$J$6:$J$277,BI$1,'свод практик'!$C$6:$C$277,"самообложение (80/20 или 5 руб к 1 руб)")</f>
        <v>0</v>
      </c>
      <c r="BJ21" s="104">
        <f>COUNTIFS('свод практик'!$J$6:$J$277,BJ$1,'свод практик'!$C$6:$C$277,"самообложение (80/20 или 5 руб к 1 руб)")</f>
        <v>0</v>
      </c>
      <c r="BK21" s="104">
        <f>COUNTIFS('свод практик'!$J$6:$J$277,BK$1,'свод практик'!$C$6:$C$277,"самообложение (80/20 или 5 руб к 1 руб)")</f>
        <v>0</v>
      </c>
      <c r="BL21" s="104">
        <f>COUNTIFS('свод практик'!$J$6:$J$277,BL$1,'свод практик'!$C$6:$C$277,"самообложение (80/20 или 5 руб к 1 руб)")</f>
        <v>0</v>
      </c>
      <c r="BM21" s="104">
        <f>COUNTIFS('свод практик'!$J$6:$J$277,BM$1,'свод практик'!$C$6:$C$277,"самообложение (80/20 или 5 руб к 1 руб)")</f>
        <v>0</v>
      </c>
      <c r="BN21" s="104">
        <f>COUNTIFS('свод практик'!$J$6:$J$277,BN$1,'свод практик'!$C$6:$C$277,"самообложение (80/20 или 5 руб к 1 руб)")</f>
        <v>0</v>
      </c>
      <c r="BO21" s="104">
        <f>COUNTIFS('свод практик'!$J$6:$J$277,BO$1,'свод практик'!$C$6:$C$277,"самообложение (80/20 или 5 руб к 1 руб)")</f>
        <v>0</v>
      </c>
      <c r="BP21" s="104">
        <f>COUNTIFS('свод практик'!$J$6:$J$277,BP$1,'свод практик'!$C$6:$C$277,"самообложение (80/20 или 5 руб к 1 руб)")</f>
        <v>0</v>
      </c>
      <c r="BQ21" s="104">
        <f>COUNTIFS('свод практик'!$J$6:$J$277,BQ$1,'свод практик'!$C$6:$C$277,"самообложение (80/20 или 5 руб к 1 руб)")</f>
        <v>0</v>
      </c>
      <c r="BR21" s="104">
        <f>COUNTIFS('свод практик'!$J$6:$J$277,BR$1,'свод практик'!$C$6:$C$277,"самообложение (80/20 или 5 руб к 1 руб)")</f>
        <v>0</v>
      </c>
      <c r="BS21" s="104">
        <f>COUNTIFS('свод практик'!$J$6:$J$277,BS$1,'свод практик'!$C$6:$C$277,"самообложение (80/20 или 5 руб к 1 руб)")</f>
        <v>0</v>
      </c>
      <c r="BT21" s="104">
        <f>COUNTIFS('свод практик'!$J$6:$J$277,BT$1,'свод практик'!$C$6:$C$277,"самообложение (80/20 или 5 руб к 1 руб)")</f>
        <v>0</v>
      </c>
      <c r="BU21" s="104">
        <f>COUNTIFS('свод практик'!$J$6:$J$277,BU$1,'свод практик'!$C$6:$C$277,"самообложение (80/20 или 5 руб к 1 руб)")</f>
        <v>1</v>
      </c>
      <c r="BV21" s="104">
        <f>COUNTIFS('свод практик'!$J$6:$J$277,BV$1,'свод практик'!$C$6:$C$277,"самообложение (80/20 или 5 руб к 1 руб)")</f>
        <v>0</v>
      </c>
      <c r="BW21" s="104">
        <f>COUNTIFS('свод практик'!$J$6:$J$277,BW$1,'свод практик'!$C$6:$C$277,"самообложение (80/20 или 5 руб к 1 руб)")</f>
        <v>0</v>
      </c>
      <c r="BX21" s="104">
        <f>COUNTIFS('свод практик'!$J$6:$J$277,BX$1,'свод практик'!$C$6:$C$277,"самообложение (80/20 или 5 руб к 1 руб)")</f>
        <v>0</v>
      </c>
      <c r="BY21" s="104">
        <f>COUNTIFS('свод практик'!$J$6:$J$277,BY$1,'свод практик'!$C$6:$C$277,"самообложение (80/20 или 5 руб к 1 руб)")</f>
        <v>0</v>
      </c>
      <c r="BZ21" s="104">
        <f>COUNTIFS('свод практик'!$J$6:$J$277,BZ$1,'свод практик'!$C$6:$C$277,"самообложение (80/20 или 5 руб к 1 руб)")</f>
        <v>0</v>
      </c>
      <c r="CA21" s="104">
        <f>COUNTIFS('свод практик'!$J$6:$J$277,CA$1,'свод практик'!$C$6:$C$277,"самообложение (80/20 или 5 руб к 1 руб)")</f>
        <v>0</v>
      </c>
      <c r="CB21" s="104">
        <f>COUNTIFS('свод практик'!$J$6:$J$277,CB$1,'свод практик'!$C$6:$C$277,"самообложение (80/20 или 5 руб к 1 руб)")</f>
        <v>0</v>
      </c>
      <c r="CC21" s="104">
        <f>COUNTIFS('свод практик'!$J$6:$J$277,CC$1,'свод практик'!$C$6:$C$277,"самообложение (80/20 или 5 руб к 1 руб)")</f>
        <v>0</v>
      </c>
      <c r="CD21" s="104">
        <f>COUNTIFS('свод практик'!$J$6:$J$277,CD$1,'свод практик'!$C$6:$C$277,"самообложение (80/20 или 5 руб к 1 руб)")</f>
        <v>0</v>
      </c>
      <c r="CE21" s="104">
        <f>COUNTIFS('свод практик'!$J$6:$J$277,CE$1,'свод практик'!$C$6:$C$277,"самообложение (80/20 или 5 руб к 1 руб)")</f>
        <v>0</v>
      </c>
      <c r="CF21" s="104">
        <f>COUNTIFS('свод практик'!$J$6:$J$277,CF$1,'свод практик'!$C$6:$C$277,"самообложение (80/20 или 5 руб к 1 руб)")</f>
        <v>0</v>
      </c>
      <c r="CG21" s="104">
        <f>COUNTIFS('свод практик'!$J$6:$J$277,CG$1,'свод практик'!$C$6:$C$277,"самообложение (80/20 или 5 руб к 1 руб)")</f>
        <v>0</v>
      </c>
      <c r="CH21" s="104">
        <f>COUNTIFS('свод практик'!$J$6:$J$277,CH$1,'свод практик'!$C$6:$C$277,"самообложение (80/20 или 5 руб к 1 руб)")</f>
        <v>0</v>
      </c>
      <c r="CI21" s="104">
        <f>COUNTIFS('свод практик'!$J$6:$J$277,CI$1,'свод практик'!$C$6:$C$277,"самообложение (80/20 или 5 руб к 1 руб)")</f>
        <v>0</v>
      </c>
      <c r="CJ21" s="104">
        <f>COUNTIFS('свод практик'!$J$6:$J$277,CJ$1,'свод практик'!$C$6:$C$277,"самообложение (80/20 или 5 руб к 1 руб)")</f>
        <v>0</v>
      </c>
      <c r="CK21" s="104">
        <f>COUNTIFS('свод практик'!$J$6:$J$277,CK$1,'свод практик'!$C$6:$C$277,"самообложение (80/20 или 5 руб к 1 руб)")</f>
        <v>0</v>
      </c>
    </row>
    <row r="22" spans="1:89">
      <c r="A22" s="676" t="s">
        <v>5326</v>
      </c>
      <c r="D22" s="675">
        <f t="shared" si="0"/>
        <v>2</v>
      </c>
      <c r="E22">
        <f>COUNTIFS('свод практик'!$J$6:$J$277,E$1,'свод практик'!$C$6:$C$277,"старосты")</f>
        <v>0</v>
      </c>
      <c r="F22" s="104">
        <f>COUNTIFS('свод практик'!$J$6:$J$277,F$1,'свод практик'!$C$6:$C$277,"старосты")</f>
        <v>0</v>
      </c>
      <c r="G22" s="104">
        <f>COUNTIFS('свод практик'!$J$6:$J$277,G$1,'свод практик'!$C$6:$C$277,"старосты")</f>
        <v>0</v>
      </c>
      <c r="H22" s="104">
        <f>COUNTIFS('свод практик'!$J$6:$J$277,H$1,'свод практик'!$C$6:$C$277,"старосты")</f>
        <v>0</v>
      </c>
      <c r="I22" s="104">
        <f>COUNTIFS('свод практик'!$J$6:$J$277,I$1,'свод практик'!$C$6:$C$277,"старосты")</f>
        <v>0</v>
      </c>
      <c r="J22" s="104">
        <f>COUNTIFS('свод практик'!$J$6:$J$277,J$1,'свод практик'!$C$6:$C$277,"старосты")</f>
        <v>0</v>
      </c>
      <c r="K22" s="104">
        <f>COUNTIFS('свод практик'!$J$6:$J$277,K$1,'свод практик'!$C$6:$C$277,"старосты")</f>
        <v>0</v>
      </c>
      <c r="L22" s="104">
        <f>COUNTIFS('свод практик'!$J$6:$J$277,L$1,'свод практик'!$C$6:$C$277,"старосты")</f>
        <v>1</v>
      </c>
      <c r="M22" s="104">
        <f>COUNTIFS('свод практик'!$J$6:$J$277,M$1,'свод практик'!$C$6:$C$277,"старосты")</f>
        <v>0</v>
      </c>
      <c r="N22" s="104">
        <f>COUNTIFS('свод практик'!$J$6:$J$277,N$1,'свод практик'!$C$6:$C$277,"старосты")</f>
        <v>0</v>
      </c>
      <c r="O22" s="104">
        <f>COUNTIFS('свод практик'!$J$6:$J$277,O$1,'свод практик'!$C$6:$C$277,"старосты")</f>
        <v>0</v>
      </c>
      <c r="P22" s="104">
        <f>COUNTIFS('свод практик'!$J$6:$J$277,P$1,'свод практик'!$C$6:$C$277,"старосты")</f>
        <v>0</v>
      </c>
      <c r="Q22" s="104">
        <f>COUNTIFS('свод практик'!$J$6:$J$277,Q$1,'свод практик'!$C$6:$C$277,"старосты")</f>
        <v>0</v>
      </c>
      <c r="R22" s="104">
        <f>COUNTIFS('свод практик'!$J$6:$J$277,R$1,'свод практик'!$C$6:$C$277,"старосты")</f>
        <v>0</v>
      </c>
      <c r="S22" s="104">
        <f>COUNTIFS('свод практик'!$J$6:$J$277,S$1,'свод практик'!$C$6:$C$277,"старосты")</f>
        <v>0</v>
      </c>
      <c r="T22" s="104">
        <f>COUNTIFS('свод практик'!$J$6:$J$277,T$1,'свод практик'!$C$6:$C$277,"старосты")</f>
        <v>0</v>
      </c>
      <c r="U22" s="104">
        <f>COUNTIFS('свод практик'!$J$6:$J$277,U$1,'свод практик'!$C$6:$C$277,"старосты")</f>
        <v>0</v>
      </c>
      <c r="V22" s="104">
        <f>COUNTIFS('свод практик'!$J$6:$J$277,V$1,'свод практик'!$C$6:$C$277,"старосты")</f>
        <v>0</v>
      </c>
      <c r="W22" s="104">
        <f>COUNTIFS('свод практик'!$J$6:$J$277,W$1,'свод практик'!$C$6:$C$277,"старосты")</f>
        <v>0</v>
      </c>
      <c r="X22" s="104">
        <f>COUNTIFS('свод практик'!$J$6:$J$277,X$1,'свод практик'!$C$6:$C$277,"старосты")</f>
        <v>0</v>
      </c>
      <c r="Y22" s="104">
        <f>COUNTIFS('свод практик'!$J$6:$J$277,Y$1,'свод практик'!$C$6:$C$277,"старосты")</f>
        <v>0</v>
      </c>
      <c r="Z22" s="104">
        <f>COUNTIFS('свод практик'!$J$6:$J$277,Z$1,'свод практик'!$C$6:$C$277,"старосты")</f>
        <v>0</v>
      </c>
      <c r="AA22" s="104">
        <f>COUNTIFS('свод практик'!$J$6:$J$277,AA$1,'свод практик'!$C$6:$C$277,"старосты")</f>
        <v>0</v>
      </c>
      <c r="AB22" s="104">
        <f>COUNTIFS('свод практик'!$J$6:$J$277,AB$1,'свод практик'!$C$6:$C$277,"старосты")</f>
        <v>0</v>
      </c>
      <c r="AC22" s="104">
        <f>COUNTIFS('свод практик'!$J$6:$J$277,AC$1,'свод практик'!$C$6:$C$277,"старосты")</f>
        <v>0</v>
      </c>
      <c r="AD22" s="104">
        <f>COUNTIFS('свод практик'!$J$6:$J$277,AD$1,'свод практик'!$C$6:$C$277,"старосты")</f>
        <v>0</v>
      </c>
      <c r="AE22" s="104">
        <f>COUNTIFS('свод практик'!$J$6:$J$277,AE$1,'свод практик'!$C$6:$C$277,"старосты")</f>
        <v>0</v>
      </c>
      <c r="AF22" s="104">
        <f>COUNTIFS('свод практик'!$J$6:$J$277,AF$1,'свод практик'!$C$6:$C$277,"старосты")</f>
        <v>0</v>
      </c>
      <c r="AG22" s="104">
        <f>COUNTIFS('свод практик'!$J$6:$J$277,AG$1,'свод практик'!$C$6:$C$277,"старосты")</f>
        <v>0</v>
      </c>
      <c r="AH22" s="104">
        <f>COUNTIFS('свод практик'!$J$6:$J$277,AH$1,'свод практик'!$C$6:$C$277,"старосты")</f>
        <v>0</v>
      </c>
      <c r="AI22" s="104">
        <f>COUNTIFS('свод практик'!$J$6:$J$277,AI$1,'свод практик'!$C$6:$C$277,"старосты")</f>
        <v>0</v>
      </c>
      <c r="AJ22" s="104">
        <f>COUNTIFS('свод практик'!$J$6:$J$277,AJ$1,'свод практик'!$C$6:$C$277,"старосты")</f>
        <v>0</v>
      </c>
      <c r="AK22" s="104">
        <f>COUNTIFS('свод практик'!$J$6:$J$277,AK$1,'свод практик'!$C$6:$C$277,"старосты")</f>
        <v>0</v>
      </c>
      <c r="AL22" s="104">
        <f>COUNTIFS('свод практик'!$J$6:$J$277,AL$1,'свод практик'!$C$6:$C$277,"старосты")</f>
        <v>0</v>
      </c>
      <c r="AM22" s="104">
        <f>COUNTIFS('свод практик'!$J$6:$J$277,AM$1,'свод практик'!$C$6:$C$277,"старосты")</f>
        <v>0</v>
      </c>
      <c r="AN22" s="104">
        <f>COUNTIFS('свод практик'!$J$6:$J$277,AN$1,'свод практик'!$C$6:$C$277,"старосты")</f>
        <v>0</v>
      </c>
      <c r="AO22" s="104">
        <f>COUNTIFS('свод практик'!$J$6:$J$277,AO$1,'свод практик'!$C$6:$C$277,"старосты")</f>
        <v>1</v>
      </c>
      <c r="AP22" s="104">
        <f>COUNTIFS('свод практик'!$J$6:$J$277,AP$1,'свод практик'!$C$6:$C$277,"старосты")</f>
        <v>0</v>
      </c>
      <c r="AQ22" s="104">
        <f>COUNTIFS('свод практик'!$J$6:$J$277,AQ$1,'свод практик'!$C$6:$C$277,"старосты")</f>
        <v>0</v>
      </c>
      <c r="AR22" s="104">
        <f>COUNTIFS('свод практик'!$J$6:$J$277,AR$1,'свод практик'!$C$6:$C$277,"старосты")</f>
        <v>0</v>
      </c>
      <c r="AS22" s="104">
        <f>COUNTIFS('свод практик'!$J$6:$J$277,AS$1,'свод практик'!$C$6:$C$277,"старосты")</f>
        <v>0</v>
      </c>
      <c r="AT22" s="104">
        <f>COUNTIFS('свод практик'!$J$6:$J$277,AT$1,'свод практик'!$C$6:$C$277,"старосты")</f>
        <v>0</v>
      </c>
      <c r="AU22" s="104">
        <f>COUNTIFS('свод практик'!$J$6:$J$277,AU$1,'свод практик'!$C$6:$C$277,"старосты")</f>
        <v>0</v>
      </c>
      <c r="AV22" s="104">
        <f>COUNTIFS('свод практик'!$J$6:$J$277,AV$1,'свод практик'!$C$6:$C$277,"старосты")</f>
        <v>0</v>
      </c>
      <c r="AW22" s="104">
        <f>COUNTIFS('свод практик'!$J$6:$J$277,AW$1,'свод практик'!$C$6:$C$277,"старосты")</f>
        <v>0</v>
      </c>
      <c r="AX22" s="104">
        <f>COUNTIFS('свод практик'!$J$6:$J$277,AX$1,'свод практик'!$C$6:$C$277,"старосты")</f>
        <v>0</v>
      </c>
      <c r="AY22" s="104">
        <f>COUNTIFS('свод практик'!$J$6:$J$277,AY$1,'свод практик'!$C$6:$C$277,"старосты")</f>
        <v>0</v>
      </c>
      <c r="AZ22" s="104">
        <f>COUNTIFS('свод практик'!$J$6:$J$277,AZ$1,'свод практик'!$C$6:$C$277,"старосты")</f>
        <v>0</v>
      </c>
      <c r="BA22" s="104">
        <f>COUNTIFS('свод практик'!$J$6:$J$277,BA$1,'свод практик'!$C$6:$C$277,"старосты")</f>
        <v>0</v>
      </c>
      <c r="BB22" s="104">
        <f>COUNTIFS('свод практик'!$J$6:$J$277,BB$1,'свод практик'!$C$6:$C$277,"старосты")</f>
        <v>0</v>
      </c>
      <c r="BC22" s="104">
        <f>COUNTIFS('свод практик'!$J$6:$J$277,BC$1,'свод практик'!$C$6:$C$277,"старосты")</f>
        <v>0</v>
      </c>
      <c r="BD22" s="104">
        <f>COUNTIFS('свод практик'!$J$6:$J$277,BD$1,'свод практик'!$C$6:$C$277,"старосты")</f>
        <v>0</v>
      </c>
      <c r="BE22" s="104">
        <f>COUNTIFS('свод практик'!$J$6:$J$277,BE$1,'свод практик'!$C$6:$C$277,"старосты")</f>
        <v>0</v>
      </c>
      <c r="BF22" s="104">
        <f>COUNTIFS('свод практик'!$J$6:$J$277,BF$1,'свод практик'!$C$6:$C$277,"старосты")</f>
        <v>0</v>
      </c>
      <c r="BG22" s="104">
        <f>COUNTIFS('свод практик'!$J$6:$J$277,BG$1,'свод практик'!$C$6:$C$277,"старосты")</f>
        <v>0</v>
      </c>
      <c r="BH22" s="104">
        <f>COUNTIFS('свод практик'!$J$6:$J$277,BH$1,'свод практик'!$C$6:$C$277,"старосты")</f>
        <v>0</v>
      </c>
      <c r="BI22" s="104">
        <f>COUNTIFS('свод практик'!$J$6:$J$277,BI$1,'свод практик'!$C$6:$C$277,"старосты")</f>
        <v>0</v>
      </c>
      <c r="BJ22" s="104">
        <f>COUNTIFS('свод практик'!$J$6:$J$277,BJ$1,'свод практик'!$C$6:$C$277,"старосты")</f>
        <v>0</v>
      </c>
      <c r="BK22" s="104">
        <f>COUNTIFS('свод практик'!$J$6:$J$277,BK$1,'свод практик'!$C$6:$C$277,"старосты")</f>
        <v>0</v>
      </c>
      <c r="BL22" s="104">
        <f>COUNTIFS('свод практик'!$J$6:$J$277,BL$1,'свод практик'!$C$6:$C$277,"старосты")</f>
        <v>0</v>
      </c>
      <c r="BM22" s="104">
        <f>COUNTIFS('свод практик'!$J$6:$J$277,BM$1,'свод практик'!$C$6:$C$277,"старосты")</f>
        <v>0</v>
      </c>
      <c r="BN22" s="104">
        <f>COUNTIFS('свод практик'!$J$6:$J$277,BN$1,'свод практик'!$C$6:$C$277,"старосты")</f>
        <v>0</v>
      </c>
      <c r="BO22" s="104">
        <f>COUNTIFS('свод практик'!$J$6:$J$277,BO$1,'свод практик'!$C$6:$C$277,"старосты")</f>
        <v>0</v>
      </c>
      <c r="BP22" s="104">
        <f>COUNTIFS('свод практик'!$J$6:$J$277,BP$1,'свод практик'!$C$6:$C$277,"старосты")</f>
        <v>0</v>
      </c>
      <c r="BQ22" s="104">
        <f>COUNTIFS('свод практик'!$J$6:$J$277,BQ$1,'свод практик'!$C$6:$C$277,"старосты")</f>
        <v>0</v>
      </c>
      <c r="BR22" s="104">
        <f>COUNTIFS('свод практик'!$J$6:$J$277,BR$1,'свод практик'!$C$6:$C$277,"старосты")</f>
        <v>0</v>
      </c>
      <c r="BS22" s="104">
        <f>COUNTIFS('свод практик'!$J$6:$J$277,BS$1,'свод практик'!$C$6:$C$277,"старосты")</f>
        <v>0</v>
      </c>
      <c r="BT22" s="104">
        <f>COUNTIFS('свод практик'!$J$6:$J$277,BT$1,'свод практик'!$C$6:$C$277,"старосты")</f>
        <v>0</v>
      </c>
      <c r="BU22" s="104">
        <f>COUNTIFS('свод практик'!$J$6:$J$277,BU$1,'свод практик'!$C$6:$C$277,"старосты")</f>
        <v>0</v>
      </c>
      <c r="BV22" s="104">
        <f>COUNTIFS('свод практик'!$J$6:$J$277,BV$1,'свод практик'!$C$6:$C$277,"старосты")</f>
        <v>0</v>
      </c>
      <c r="BW22" s="104">
        <f>COUNTIFS('свод практик'!$J$6:$J$277,BW$1,'свод практик'!$C$6:$C$277,"старосты")</f>
        <v>0</v>
      </c>
      <c r="BX22" s="104">
        <f>COUNTIFS('свод практик'!$J$6:$J$277,BX$1,'свод практик'!$C$6:$C$277,"старосты")</f>
        <v>0</v>
      </c>
      <c r="BY22" s="104">
        <f>COUNTIFS('свод практик'!$J$6:$J$277,BY$1,'свод практик'!$C$6:$C$277,"старосты")</f>
        <v>0</v>
      </c>
      <c r="BZ22" s="104">
        <f>COUNTIFS('свод практик'!$J$6:$J$277,BZ$1,'свод практик'!$C$6:$C$277,"старосты")</f>
        <v>0</v>
      </c>
      <c r="CA22" s="104">
        <f>COUNTIFS('свод практик'!$J$6:$J$277,CA$1,'свод практик'!$C$6:$C$277,"старосты")</f>
        <v>0</v>
      </c>
      <c r="CB22" s="104">
        <f>COUNTIFS('свод практик'!$J$6:$J$277,CB$1,'свод практик'!$C$6:$C$277,"старосты")</f>
        <v>0</v>
      </c>
      <c r="CC22" s="104">
        <f>COUNTIFS('свод практик'!$J$6:$J$277,CC$1,'свод практик'!$C$6:$C$277,"старосты")</f>
        <v>0</v>
      </c>
      <c r="CD22" s="104">
        <f>COUNTIFS('свод практик'!$J$6:$J$277,CD$1,'свод практик'!$C$6:$C$277,"старосты")</f>
        <v>0</v>
      </c>
      <c r="CE22" s="104">
        <f>COUNTIFS('свод практик'!$J$6:$J$277,CE$1,'свод практик'!$C$6:$C$277,"старосты")</f>
        <v>0</v>
      </c>
      <c r="CF22" s="104">
        <f>COUNTIFS('свод практик'!$J$6:$J$277,CF$1,'свод практик'!$C$6:$C$277,"старосты")</f>
        <v>0</v>
      </c>
      <c r="CG22" s="104">
        <f>COUNTIFS('свод практик'!$J$6:$J$277,CG$1,'свод практик'!$C$6:$C$277,"старосты")</f>
        <v>0</v>
      </c>
      <c r="CH22" s="104">
        <f>COUNTIFS('свод практик'!$J$6:$J$277,CH$1,'свод практик'!$C$6:$C$277,"старосты")</f>
        <v>0</v>
      </c>
      <c r="CI22" s="104">
        <f>COUNTIFS('свод практик'!$J$6:$J$277,CI$1,'свод практик'!$C$6:$C$277,"старосты")</f>
        <v>0</v>
      </c>
      <c r="CJ22" s="104">
        <f>COUNTIFS('свод практик'!$J$6:$J$277,CJ$1,'свод практик'!$C$6:$C$277,"старосты")</f>
        <v>0</v>
      </c>
      <c r="CK22" s="104">
        <f>COUNTIFS('свод практик'!$J$6:$J$277,CK$1,'свод практик'!$C$6:$C$277,"старосты")</f>
        <v>0</v>
      </c>
    </row>
    <row r="23" spans="1:89">
      <c r="A23" s="676" t="s">
        <v>5321</v>
      </c>
      <c r="D23" s="675">
        <f t="shared" si="0"/>
        <v>13</v>
      </c>
      <c r="E23">
        <f>COUNTIFS('свод практик'!$J$6:$J$277,E$1,'свод практик'!$C$6:$C$277,"ТОС")</f>
        <v>0</v>
      </c>
      <c r="F23" s="104">
        <f>COUNTIFS('свод практик'!$J$6:$J$277,F$1,'свод практик'!$C$6:$C$277,"ТОС")</f>
        <v>0</v>
      </c>
      <c r="G23" s="104">
        <f>COUNTIFS('свод практик'!$J$6:$J$277,G$1,'свод практик'!$C$6:$C$277,"ТОС")</f>
        <v>0</v>
      </c>
      <c r="H23" s="104">
        <f>COUNTIFS('свод практик'!$J$6:$J$277,H$1,'свод практик'!$C$6:$C$277,"ТОС")</f>
        <v>0</v>
      </c>
      <c r="I23" s="104">
        <f>COUNTIFS('свод практик'!$J$6:$J$277,I$1,'свод практик'!$C$6:$C$277,"ТОС")</f>
        <v>1</v>
      </c>
      <c r="J23" s="104">
        <f>COUNTIFS('свод практик'!$J$6:$J$277,J$1,'свод практик'!$C$6:$C$277,"ТОС")</f>
        <v>1</v>
      </c>
      <c r="K23" s="104">
        <f>COUNTIFS('свод практик'!$J$6:$J$277,K$1,'свод практик'!$C$6:$C$277,"ТОС")</f>
        <v>0</v>
      </c>
      <c r="L23" s="104">
        <f>COUNTIFS('свод практик'!$J$6:$J$277,L$1,'свод практик'!$C$6:$C$277,"ТОС")</f>
        <v>2</v>
      </c>
      <c r="M23" s="104">
        <f>COUNTIFS('свод практик'!$J$6:$J$277,M$1,'свод практик'!$C$6:$C$277,"ТОС")</f>
        <v>0</v>
      </c>
      <c r="N23" s="104">
        <f>COUNTIFS('свод практик'!$J$6:$J$277,N$1,'свод практик'!$C$6:$C$277,"ТОС")</f>
        <v>1</v>
      </c>
      <c r="O23" s="104">
        <f>COUNTIFS('свод практик'!$J$6:$J$277,O$1,'свод практик'!$C$6:$C$277,"ТОС")</f>
        <v>0</v>
      </c>
      <c r="P23" s="104">
        <f>COUNTIFS('свод практик'!$J$6:$J$277,P$1,'свод практик'!$C$6:$C$277,"ТОС")</f>
        <v>0</v>
      </c>
      <c r="Q23" s="104">
        <f>COUNTIFS('свод практик'!$J$6:$J$277,Q$1,'свод практик'!$C$6:$C$277,"ТОС")</f>
        <v>0</v>
      </c>
      <c r="R23" s="104">
        <f>COUNTIFS('свод практик'!$J$6:$J$277,R$1,'свод практик'!$C$6:$C$277,"ТОС")</f>
        <v>1</v>
      </c>
      <c r="S23" s="104">
        <f>COUNTIFS('свод практик'!$J$6:$J$277,S$1,'свод практик'!$C$6:$C$277,"ТОС")</f>
        <v>0</v>
      </c>
      <c r="T23" s="104">
        <f>COUNTIFS('свод практик'!$J$6:$J$277,T$1,'свод практик'!$C$6:$C$277,"ТОС")</f>
        <v>0</v>
      </c>
      <c r="U23" s="104">
        <f>COUNTIFS('свод практик'!$J$6:$J$277,U$1,'свод практик'!$C$6:$C$277,"ТОС")</f>
        <v>0</v>
      </c>
      <c r="V23" s="104">
        <f>COUNTIFS('свод практик'!$J$6:$J$277,V$1,'свод практик'!$C$6:$C$277,"ТОС")</f>
        <v>0</v>
      </c>
      <c r="W23" s="104">
        <f>COUNTIFS('свод практик'!$J$6:$J$277,W$1,'свод практик'!$C$6:$C$277,"ТОС")</f>
        <v>0</v>
      </c>
      <c r="X23" s="104">
        <f>COUNTIFS('свод практик'!$J$6:$J$277,X$1,'свод практик'!$C$6:$C$277,"ТОС")</f>
        <v>0</v>
      </c>
      <c r="Y23" s="104">
        <f>COUNTIFS('свод практик'!$J$6:$J$277,Y$1,'свод практик'!$C$6:$C$277,"ТОС")</f>
        <v>0</v>
      </c>
      <c r="Z23" s="104">
        <f>COUNTIFS('свод практик'!$J$6:$J$277,Z$1,'свод практик'!$C$6:$C$277,"ТОС")</f>
        <v>0</v>
      </c>
      <c r="AA23" s="104">
        <f>COUNTIFS('свод практик'!$J$6:$J$277,AA$1,'свод практик'!$C$6:$C$277,"ТОС")</f>
        <v>0</v>
      </c>
      <c r="AB23" s="104">
        <f>COUNTIFS('свод практик'!$J$6:$J$277,AB$1,'свод практик'!$C$6:$C$277,"ТОС")</f>
        <v>0</v>
      </c>
      <c r="AC23" s="104">
        <f>COUNTIFS('свод практик'!$J$6:$J$277,AC$1,'свод практик'!$C$6:$C$277,"ТОС")</f>
        <v>0</v>
      </c>
      <c r="AD23" s="104">
        <f>COUNTIFS('свод практик'!$J$6:$J$277,AD$1,'свод практик'!$C$6:$C$277,"ТОС")</f>
        <v>0</v>
      </c>
      <c r="AE23" s="104">
        <f>COUNTIFS('свод практик'!$J$6:$J$277,AE$1,'свод практик'!$C$6:$C$277,"ТОС")</f>
        <v>1</v>
      </c>
      <c r="AF23" s="104">
        <f>COUNTIFS('свод практик'!$J$6:$J$277,AF$1,'свод практик'!$C$6:$C$277,"ТОС")</f>
        <v>0</v>
      </c>
      <c r="AG23" s="104">
        <f>COUNTIFS('свод практик'!$J$6:$J$277,AG$1,'свод практик'!$C$6:$C$277,"ТОС")</f>
        <v>0</v>
      </c>
      <c r="AH23" s="104">
        <f>COUNTIFS('свод практик'!$J$6:$J$277,AH$1,'свод практик'!$C$6:$C$277,"ТОС")</f>
        <v>0</v>
      </c>
      <c r="AI23" s="104">
        <f>COUNTIFS('свод практик'!$J$6:$J$277,AI$1,'свод практик'!$C$6:$C$277,"ТОС")</f>
        <v>0</v>
      </c>
      <c r="AJ23" s="104">
        <f>COUNTIFS('свод практик'!$J$6:$J$277,AJ$1,'свод практик'!$C$6:$C$277,"ТОС")</f>
        <v>0</v>
      </c>
      <c r="AK23" s="104">
        <f>COUNTIFS('свод практик'!$J$6:$J$277,AK$1,'свод практик'!$C$6:$C$277,"ТОС")</f>
        <v>0</v>
      </c>
      <c r="AL23" s="104">
        <f>COUNTIFS('свод практик'!$J$6:$J$277,AL$1,'свод практик'!$C$6:$C$277,"ТОС")</f>
        <v>0</v>
      </c>
      <c r="AM23" s="104">
        <f>COUNTIFS('свод практик'!$J$6:$J$277,AM$1,'свод практик'!$C$6:$C$277,"ТОС")</f>
        <v>0</v>
      </c>
      <c r="AN23" s="104">
        <f>COUNTIFS('свод практик'!$J$6:$J$277,AN$1,'свод практик'!$C$6:$C$277,"ТОС")</f>
        <v>0</v>
      </c>
      <c r="AO23" s="104">
        <f>COUNTIFS('свод практик'!$J$6:$J$277,AO$1,'свод практик'!$C$6:$C$277,"ТОС")</f>
        <v>0</v>
      </c>
      <c r="AP23" s="104">
        <f>COUNTIFS('свод практик'!$J$6:$J$277,AP$1,'свод практик'!$C$6:$C$277,"ТОС")</f>
        <v>1</v>
      </c>
      <c r="AQ23" s="104">
        <f>COUNTIFS('свод практик'!$J$6:$J$277,AQ$1,'свод практик'!$C$6:$C$277,"ТОС")</f>
        <v>0</v>
      </c>
      <c r="AR23" s="104">
        <f>COUNTIFS('свод практик'!$J$6:$J$277,AR$1,'свод практик'!$C$6:$C$277,"ТОС")</f>
        <v>0</v>
      </c>
      <c r="AS23" s="104">
        <f>COUNTIFS('свод практик'!$J$6:$J$277,AS$1,'свод практик'!$C$6:$C$277,"ТОС")</f>
        <v>0</v>
      </c>
      <c r="AT23" s="104">
        <f>COUNTIFS('свод практик'!$J$6:$J$277,AT$1,'свод практик'!$C$6:$C$277,"ТОС")</f>
        <v>0</v>
      </c>
      <c r="AU23" s="104">
        <f>COUNTIFS('свод практик'!$J$6:$J$277,AU$1,'свод практик'!$C$6:$C$277,"ТОС")</f>
        <v>0</v>
      </c>
      <c r="AV23" s="104">
        <f>COUNTIFS('свод практик'!$J$6:$J$277,AV$1,'свод практик'!$C$6:$C$277,"ТОС")</f>
        <v>0</v>
      </c>
      <c r="AW23" s="104">
        <f>COUNTIFS('свод практик'!$J$6:$J$277,AW$1,'свод практик'!$C$6:$C$277,"ТОС")</f>
        <v>0</v>
      </c>
      <c r="AX23" s="104">
        <f>COUNTIFS('свод практик'!$J$6:$J$277,AX$1,'свод практик'!$C$6:$C$277,"ТОС")</f>
        <v>0</v>
      </c>
      <c r="AY23" s="104">
        <f>COUNTIFS('свод практик'!$J$6:$J$277,AY$1,'свод практик'!$C$6:$C$277,"ТОС")</f>
        <v>1</v>
      </c>
      <c r="AZ23" s="104">
        <f>COUNTIFS('свод практик'!$J$6:$J$277,AZ$1,'свод практик'!$C$6:$C$277,"ТОС")</f>
        <v>0</v>
      </c>
      <c r="BA23" s="104">
        <f>COUNTIFS('свод практик'!$J$6:$J$277,BA$1,'свод практик'!$C$6:$C$277,"ТОС")</f>
        <v>0</v>
      </c>
      <c r="BB23" s="104">
        <f>COUNTIFS('свод практик'!$J$6:$J$277,BB$1,'свод практик'!$C$6:$C$277,"ТОС")</f>
        <v>0</v>
      </c>
      <c r="BC23" s="104">
        <f>COUNTIFS('свод практик'!$J$6:$J$277,BC$1,'свод практик'!$C$6:$C$277,"ТОС")</f>
        <v>0</v>
      </c>
      <c r="BD23" s="104">
        <f>COUNTIFS('свод практик'!$J$6:$J$277,BD$1,'свод практик'!$C$6:$C$277,"ТОС")</f>
        <v>1</v>
      </c>
      <c r="BE23" s="104">
        <f>COUNTIFS('свод практик'!$J$6:$J$277,BE$1,'свод практик'!$C$6:$C$277,"ТОС")</f>
        <v>0</v>
      </c>
      <c r="BF23" s="104">
        <f>COUNTIFS('свод практик'!$J$6:$J$277,BF$1,'свод практик'!$C$6:$C$277,"ТОС")</f>
        <v>0</v>
      </c>
      <c r="BG23" s="104">
        <f>COUNTIFS('свод практик'!$J$6:$J$277,BG$1,'свод практик'!$C$6:$C$277,"ТОС")</f>
        <v>1</v>
      </c>
      <c r="BH23" s="104">
        <f>COUNTIFS('свод практик'!$J$6:$J$277,BH$1,'свод практик'!$C$6:$C$277,"ТОС")</f>
        <v>0</v>
      </c>
      <c r="BI23" s="104">
        <f>COUNTIFS('свод практик'!$J$6:$J$277,BI$1,'свод практик'!$C$6:$C$277,"ТОС")</f>
        <v>0</v>
      </c>
      <c r="BJ23" s="104">
        <f>COUNTIFS('свод практик'!$J$6:$J$277,BJ$1,'свод практик'!$C$6:$C$277,"ТОС")</f>
        <v>0</v>
      </c>
      <c r="BK23" s="104">
        <f>COUNTIFS('свод практик'!$J$6:$J$277,BK$1,'свод практик'!$C$6:$C$277,"ТОС")</f>
        <v>0</v>
      </c>
      <c r="BL23" s="104">
        <f>COUNTIFS('свод практик'!$J$6:$J$277,BL$1,'свод практик'!$C$6:$C$277,"ТОС")</f>
        <v>0</v>
      </c>
      <c r="BM23" s="104">
        <f>COUNTIFS('свод практик'!$J$6:$J$277,BM$1,'свод практик'!$C$6:$C$277,"ТОС")</f>
        <v>0</v>
      </c>
      <c r="BN23" s="104">
        <f>COUNTIFS('свод практик'!$J$6:$J$277,BN$1,'свод практик'!$C$6:$C$277,"ТОС")</f>
        <v>0</v>
      </c>
      <c r="BO23" s="104">
        <f>COUNTIFS('свод практик'!$J$6:$J$277,BO$1,'свод практик'!$C$6:$C$277,"ТОС")</f>
        <v>0</v>
      </c>
      <c r="BP23" s="104">
        <f>COUNTIFS('свод практик'!$J$6:$J$277,BP$1,'свод практик'!$C$6:$C$277,"ТОС")</f>
        <v>0</v>
      </c>
      <c r="BQ23" s="104">
        <f>COUNTIFS('свод практик'!$J$6:$J$277,BQ$1,'свод практик'!$C$6:$C$277,"ТОС")</f>
        <v>0</v>
      </c>
      <c r="BR23" s="104">
        <f>COUNTIFS('свод практик'!$J$6:$J$277,BR$1,'свод практик'!$C$6:$C$277,"ТОС")</f>
        <v>1</v>
      </c>
      <c r="BS23" s="104">
        <f>COUNTIFS('свод практик'!$J$6:$J$277,BS$1,'свод практик'!$C$6:$C$277,"ТОС")</f>
        <v>0</v>
      </c>
      <c r="BT23" s="104">
        <f>COUNTIFS('свод практик'!$J$6:$J$277,BT$1,'свод практик'!$C$6:$C$277,"ТОС")</f>
        <v>0</v>
      </c>
      <c r="BU23" s="104">
        <f>COUNTIFS('свод практик'!$J$6:$J$277,BU$1,'свод практик'!$C$6:$C$277,"ТОС")</f>
        <v>0</v>
      </c>
      <c r="BV23" s="104">
        <f>COUNTIFS('свод практик'!$J$6:$J$277,BV$1,'свод практик'!$C$6:$C$277,"ТОС")</f>
        <v>0</v>
      </c>
      <c r="BW23" s="104">
        <f>COUNTIFS('свод практик'!$J$6:$J$277,BW$1,'свод практик'!$C$6:$C$277,"ТОС")</f>
        <v>0</v>
      </c>
      <c r="BX23" s="104">
        <f>COUNTIFS('свод практик'!$J$6:$J$277,BX$1,'свод практик'!$C$6:$C$277,"ТОС")</f>
        <v>0</v>
      </c>
      <c r="BY23" s="104">
        <f>COUNTIFS('свод практик'!$J$6:$J$277,BY$1,'свод практик'!$C$6:$C$277,"ТОС")</f>
        <v>0</v>
      </c>
      <c r="BZ23" s="104">
        <f>COUNTIFS('свод практик'!$J$6:$J$277,BZ$1,'свод практик'!$C$6:$C$277,"ТОС")</f>
        <v>0</v>
      </c>
      <c r="CA23" s="104">
        <f>COUNTIFS('свод практик'!$J$6:$J$277,CA$1,'свод практик'!$C$6:$C$277,"ТОС")</f>
        <v>0</v>
      </c>
      <c r="CB23" s="104">
        <f>COUNTIFS('свод практик'!$J$6:$J$277,CB$1,'свод практик'!$C$6:$C$277,"ТОС")</f>
        <v>0</v>
      </c>
      <c r="CC23" s="104">
        <f>COUNTIFS('свод практик'!$J$6:$J$277,CC$1,'свод практик'!$C$6:$C$277,"ТОС")</f>
        <v>1</v>
      </c>
      <c r="CD23" s="104">
        <f>COUNTIFS('свод практик'!$J$6:$J$277,CD$1,'свод практик'!$C$6:$C$277,"ТОС")</f>
        <v>0</v>
      </c>
      <c r="CE23" s="104">
        <f>COUNTIFS('свод практик'!$J$6:$J$277,CE$1,'свод практик'!$C$6:$C$277,"ТОС")</f>
        <v>0</v>
      </c>
      <c r="CF23" s="104">
        <f>COUNTIFS('свод практик'!$J$6:$J$277,CF$1,'свод практик'!$C$6:$C$277,"ТОС")</f>
        <v>0</v>
      </c>
      <c r="CG23" s="104">
        <f>COUNTIFS('свод практик'!$J$6:$J$277,CG$1,'свод практик'!$C$6:$C$277,"ТОС")</f>
        <v>0</v>
      </c>
      <c r="CH23" s="104">
        <f>COUNTIFS('свод практик'!$J$6:$J$277,CH$1,'свод практик'!$C$6:$C$277,"ТОС")</f>
        <v>0</v>
      </c>
      <c r="CI23" s="104">
        <f>COUNTIFS('свод практик'!$J$6:$J$277,CI$1,'свод практик'!$C$6:$C$277,"ТОС")</f>
        <v>0</v>
      </c>
      <c r="CJ23" s="104">
        <f>COUNTIFS('свод практик'!$J$6:$J$277,CJ$1,'свод практик'!$C$6:$C$277,"ТОС")</f>
        <v>0</v>
      </c>
      <c r="CK23" s="104">
        <f>COUNTIFS('свод практик'!$J$6:$J$277,CK$1,'свод практик'!$C$6:$C$277,"ТОС")</f>
        <v>0</v>
      </c>
    </row>
    <row r="24" spans="1:89">
      <c r="A24" s="676" t="s">
        <v>5357</v>
      </c>
      <c r="D24" s="675">
        <f t="shared" si="0"/>
        <v>1</v>
      </c>
      <c r="E24">
        <f>COUNTIFS('свод практик'!$J$6:$J$277,E$1,'свод практик'!$C$6:$C$277,"традиции")</f>
        <v>0</v>
      </c>
      <c r="F24" s="104">
        <f>COUNTIFS('свод практик'!$J$6:$J$277,F$1,'свод практик'!$C$6:$C$277,"традиции")</f>
        <v>0</v>
      </c>
      <c r="G24" s="104">
        <f>COUNTIFS('свод практик'!$J$6:$J$277,G$1,'свод практик'!$C$6:$C$277,"традиции")</f>
        <v>0</v>
      </c>
      <c r="H24" s="104">
        <f>COUNTIFS('свод практик'!$J$6:$J$277,H$1,'свод практик'!$C$6:$C$277,"традиции")</f>
        <v>0</v>
      </c>
      <c r="I24" s="104">
        <f>COUNTIFS('свод практик'!$J$6:$J$277,I$1,'свод практик'!$C$6:$C$277,"традиции")</f>
        <v>0</v>
      </c>
      <c r="J24" s="104">
        <f>COUNTIFS('свод практик'!$J$6:$J$277,J$1,'свод практик'!$C$6:$C$277,"традиции")</f>
        <v>0</v>
      </c>
      <c r="K24" s="104">
        <f>COUNTIFS('свод практик'!$J$6:$J$277,K$1,'свод практик'!$C$6:$C$277,"традиции")</f>
        <v>0</v>
      </c>
      <c r="L24" s="104">
        <f>COUNTIFS('свод практик'!$J$6:$J$277,L$1,'свод практик'!$C$6:$C$277,"традиции")</f>
        <v>0</v>
      </c>
      <c r="M24" s="104">
        <f>COUNTIFS('свод практик'!$J$6:$J$277,M$1,'свод практик'!$C$6:$C$277,"традиции")</f>
        <v>0</v>
      </c>
      <c r="N24" s="104">
        <f>COUNTIFS('свод практик'!$J$6:$J$277,N$1,'свод практик'!$C$6:$C$277,"традиции")</f>
        <v>0</v>
      </c>
      <c r="O24" s="104">
        <f>COUNTIFS('свод практик'!$J$6:$J$277,O$1,'свод практик'!$C$6:$C$277,"традиции")</f>
        <v>0</v>
      </c>
      <c r="P24" s="104">
        <f>COUNTIFS('свод практик'!$J$6:$J$277,P$1,'свод практик'!$C$6:$C$277,"традиции")</f>
        <v>0</v>
      </c>
      <c r="Q24" s="104">
        <f>COUNTIFS('свод практик'!$J$6:$J$277,Q$1,'свод практик'!$C$6:$C$277,"традиции")</f>
        <v>0</v>
      </c>
      <c r="R24" s="104">
        <f>COUNTIFS('свод практик'!$J$6:$J$277,R$1,'свод практик'!$C$6:$C$277,"традиции")</f>
        <v>0</v>
      </c>
      <c r="S24" s="104">
        <f>COUNTIFS('свод практик'!$J$6:$J$277,S$1,'свод практик'!$C$6:$C$277,"традиции")</f>
        <v>0</v>
      </c>
      <c r="T24" s="104">
        <f>COUNTIFS('свод практик'!$J$6:$J$277,T$1,'свод практик'!$C$6:$C$277,"традиции")</f>
        <v>0</v>
      </c>
      <c r="U24" s="104">
        <f>COUNTIFS('свод практик'!$J$6:$J$277,U$1,'свод практик'!$C$6:$C$277,"традиции")</f>
        <v>0</v>
      </c>
      <c r="V24" s="104">
        <f>COUNTIFS('свод практик'!$J$6:$J$277,V$1,'свод практик'!$C$6:$C$277,"традиции")</f>
        <v>0</v>
      </c>
      <c r="W24" s="104">
        <f>COUNTIFS('свод практик'!$J$6:$J$277,W$1,'свод практик'!$C$6:$C$277,"традиции")</f>
        <v>0</v>
      </c>
      <c r="X24" s="104">
        <f>COUNTIFS('свод практик'!$J$6:$J$277,X$1,'свод практик'!$C$6:$C$277,"традиции")</f>
        <v>0</v>
      </c>
      <c r="Y24" s="104">
        <f>COUNTIFS('свод практик'!$J$6:$J$277,Y$1,'свод практик'!$C$6:$C$277,"традиции")</f>
        <v>0</v>
      </c>
      <c r="Z24" s="104">
        <f>COUNTIFS('свод практик'!$J$6:$J$277,Z$1,'свод практик'!$C$6:$C$277,"традиции")</f>
        <v>0</v>
      </c>
      <c r="AA24" s="104">
        <f>COUNTIFS('свод практик'!$J$6:$J$277,AA$1,'свод практик'!$C$6:$C$277,"традиции")</f>
        <v>0</v>
      </c>
      <c r="AB24" s="104">
        <f>COUNTIFS('свод практик'!$J$6:$J$277,AB$1,'свод практик'!$C$6:$C$277,"традиции")</f>
        <v>0</v>
      </c>
      <c r="AC24" s="104">
        <f>COUNTIFS('свод практик'!$J$6:$J$277,AC$1,'свод практик'!$C$6:$C$277,"традиции")</f>
        <v>0</v>
      </c>
      <c r="AD24" s="104">
        <f>COUNTIFS('свод практик'!$J$6:$J$277,AD$1,'свод практик'!$C$6:$C$277,"традиции")</f>
        <v>0</v>
      </c>
      <c r="AE24" s="104">
        <f>COUNTIFS('свод практик'!$J$6:$J$277,AE$1,'свод практик'!$C$6:$C$277,"традиции")</f>
        <v>0</v>
      </c>
      <c r="AF24" s="104">
        <f>COUNTIFS('свод практик'!$J$6:$J$277,AF$1,'свод практик'!$C$6:$C$277,"традиции")</f>
        <v>0</v>
      </c>
      <c r="AG24" s="104">
        <f>COUNTIFS('свод практик'!$J$6:$J$277,AG$1,'свод практик'!$C$6:$C$277,"традиции")</f>
        <v>0</v>
      </c>
      <c r="AH24" s="104">
        <f>COUNTIFS('свод практик'!$J$6:$J$277,AH$1,'свод практик'!$C$6:$C$277,"традиции")</f>
        <v>0</v>
      </c>
      <c r="AI24" s="104">
        <f>COUNTIFS('свод практик'!$J$6:$J$277,AI$1,'свод практик'!$C$6:$C$277,"традиции")</f>
        <v>0</v>
      </c>
      <c r="AJ24" s="104">
        <f>COUNTIFS('свод практик'!$J$6:$J$277,AJ$1,'свод практик'!$C$6:$C$277,"традиции")</f>
        <v>0</v>
      </c>
      <c r="AK24" s="104">
        <f>COUNTIFS('свод практик'!$J$6:$J$277,AK$1,'свод практик'!$C$6:$C$277,"традиции")</f>
        <v>0</v>
      </c>
      <c r="AL24" s="104">
        <f>COUNTIFS('свод практик'!$J$6:$J$277,AL$1,'свод практик'!$C$6:$C$277,"традиции")</f>
        <v>0</v>
      </c>
      <c r="AM24" s="104">
        <f>COUNTIFS('свод практик'!$J$6:$J$277,AM$1,'свод практик'!$C$6:$C$277,"традиции")</f>
        <v>0</v>
      </c>
      <c r="AN24" s="104">
        <f>COUNTIFS('свод практик'!$J$6:$J$277,AN$1,'свод практик'!$C$6:$C$277,"традиции")</f>
        <v>0</v>
      </c>
      <c r="AO24" s="104">
        <f>COUNTIFS('свод практик'!$J$6:$J$277,AO$1,'свод практик'!$C$6:$C$277,"традиции")</f>
        <v>0</v>
      </c>
      <c r="AP24" s="104">
        <f>COUNTIFS('свод практик'!$J$6:$J$277,AP$1,'свод практик'!$C$6:$C$277,"традиции")</f>
        <v>0</v>
      </c>
      <c r="AQ24" s="104">
        <f>COUNTIFS('свод практик'!$J$6:$J$277,AQ$1,'свод практик'!$C$6:$C$277,"традиции")</f>
        <v>0</v>
      </c>
      <c r="AR24" s="104">
        <f>COUNTIFS('свод практик'!$J$6:$J$277,AR$1,'свод практик'!$C$6:$C$277,"традиции")</f>
        <v>0</v>
      </c>
      <c r="AS24" s="104">
        <f>COUNTIFS('свод практик'!$J$6:$J$277,AS$1,'свод практик'!$C$6:$C$277,"традиции")</f>
        <v>0</v>
      </c>
      <c r="AT24" s="104">
        <f>COUNTIFS('свод практик'!$J$6:$J$277,AT$1,'свод практик'!$C$6:$C$277,"традиции")</f>
        <v>0</v>
      </c>
      <c r="AU24" s="104">
        <f>COUNTIFS('свод практик'!$J$6:$J$277,AU$1,'свод практик'!$C$6:$C$277,"традиции")</f>
        <v>0</v>
      </c>
      <c r="AV24" s="104">
        <f>COUNTIFS('свод практик'!$J$6:$J$277,AV$1,'свод практик'!$C$6:$C$277,"традиции")</f>
        <v>0</v>
      </c>
      <c r="AW24" s="104">
        <f>COUNTIFS('свод практик'!$J$6:$J$277,AW$1,'свод практик'!$C$6:$C$277,"традиции")</f>
        <v>0</v>
      </c>
      <c r="AX24" s="104">
        <f>COUNTIFS('свод практик'!$J$6:$J$277,AX$1,'свод практик'!$C$6:$C$277,"традиции")</f>
        <v>0</v>
      </c>
      <c r="AY24" s="104">
        <f>COUNTIFS('свод практик'!$J$6:$J$277,AY$1,'свод практик'!$C$6:$C$277,"традиции")</f>
        <v>0</v>
      </c>
      <c r="AZ24" s="104">
        <f>COUNTIFS('свод практик'!$J$6:$J$277,AZ$1,'свод практик'!$C$6:$C$277,"традиции")</f>
        <v>0</v>
      </c>
      <c r="BA24" s="104">
        <f>COUNTIFS('свод практик'!$J$6:$J$277,BA$1,'свод практик'!$C$6:$C$277,"традиции")</f>
        <v>0</v>
      </c>
      <c r="BB24" s="104">
        <f>COUNTIFS('свод практик'!$J$6:$J$277,BB$1,'свод практик'!$C$6:$C$277,"традиции")</f>
        <v>0</v>
      </c>
      <c r="BC24" s="104">
        <f>COUNTIFS('свод практик'!$J$6:$J$277,BC$1,'свод практик'!$C$6:$C$277,"традиции")</f>
        <v>0</v>
      </c>
      <c r="BD24" s="104">
        <f>COUNTIFS('свод практик'!$J$6:$J$277,BD$1,'свод практик'!$C$6:$C$277,"традиции")</f>
        <v>0</v>
      </c>
      <c r="BE24" s="104">
        <f>COUNTIFS('свод практик'!$J$6:$J$277,BE$1,'свод практик'!$C$6:$C$277,"традиции")</f>
        <v>0</v>
      </c>
      <c r="BF24" s="104">
        <f>COUNTIFS('свод практик'!$J$6:$J$277,BF$1,'свод практик'!$C$6:$C$277,"традиции")</f>
        <v>0</v>
      </c>
      <c r="BG24" s="104">
        <f>COUNTIFS('свод практик'!$J$6:$J$277,BG$1,'свод практик'!$C$6:$C$277,"традиции")</f>
        <v>0</v>
      </c>
      <c r="BH24" s="104">
        <f>COUNTIFS('свод практик'!$J$6:$J$277,BH$1,'свод практик'!$C$6:$C$277,"традиции")</f>
        <v>0</v>
      </c>
      <c r="BI24" s="104">
        <f>COUNTIFS('свод практик'!$J$6:$J$277,BI$1,'свод практик'!$C$6:$C$277,"традиции")</f>
        <v>0</v>
      </c>
      <c r="BJ24" s="104">
        <f>COUNTIFS('свод практик'!$J$6:$J$277,BJ$1,'свод практик'!$C$6:$C$277,"традиции")</f>
        <v>0</v>
      </c>
      <c r="BK24" s="104">
        <f>COUNTIFS('свод практик'!$J$6:$J$277,BK$1,'свод практик'!$C$6:$C$277,"традиции")</f>
        <v>0</v>
      </c>
      <c r="BL24" s="104">
        <f>COUNTIFS('свод практик'!$J$6:$J$277,BL$1,'свод практик'!$C$6:$C$277,"традиции")</f>
        <v>0</v>
      </c>
      <c r="BM24" s="104">
        <f>COUNTIFS('свод практик'!$J$6:$J$277,BM$1,'свод практик'!$C$6:$C$277,"традиции")</f>
        <v>0</v>
      </c>
      <c r="BN24" s="104">
        <f>COUNTIFS('свод практик'!$J$6:$J$277,BN$1,'свод практик'!$C$6:$C$277,"традиции")</f>
        <v>0</v>
      </c>
      <c r="BO24" s="104">
        <f>COUNTIFS('свод практик'!$J$6:$J$277,BO$1,'свод практик'!$C$6:$C$277,"традиции")</f>
        <v>0</v>
      </c>
      <c r="BP24" s="104">
        <f>COUNTIFS('свод практик'!$J$6:$J$277,BP$1,'свод практик'!$C$6:$C$277,"традиции")</f>
        <v>0</v>
      </c>
      <c r="BQ24" s="104">
        <f>COUNTIFS('свод практик'!$J$6:$J$277,BQ$1,'свод практик'!$C$6:$C$277,"традиции")</f>
        <v>0</v>
      </c>
      <c r="BR24" s="104">
        <f>COUNTIFS('свод практик'!$J$6:$J$277,BR$1,'свод практик'!$C$6:$C$277,"традиции")</f>
        <v>0</v>
      </c>
      <c r="BS24" s="104">
        <f>COUNTIFS('свод практик'!$J$6:$J$277,BS$1,'свод практик'!$C$6:$C$277,"традиции")</f>
        <v>0</v>
      </c>
      <c r="BT24" s="104">
        <f>COUNTIFS('свод практик'!$J$6:$J$277,BT$1,'свод практик'!$C$6:$C$277,"традиции")</f>
        <v>0</v>
      </c>
      <c r="BU24" s="104">
        <f>COUNTIFS('свод практик'!$J$6:$J$277,BU$1,'свод практик'!$C$6:$C$277,"традиции")</f>
        <v>0</v>
      </c>
      <c r="BV24" s="104">
        <f>COUNTIFS('свод практик'!$J$6:$J$277,BV$1,'свод практик'!$C$6:$C$277,"традиции")</f>
        <v>0</v>
      </c>
      <c r="BW24" s="104">
        <f>COUNTIFS('свод практик'!$J$6:$J$277,BW$1,'свод практик'!$C$6:$C$277,"традиции")</f>
        <v>0</v>
      </c>
      <c r="BX24" s="104">
        <f>COUNTIFS('свод практик'!$J$6:$J$277,BX$1,'свод практик'!$C$6:$C$277,"традиции")</f>
        <v>0</v>
      </c>
      <c r="BY24" s="104">
        <f>COUNTIFS('свод практик'!$J$6:$J$277,BY$1,'свод практик'!$C$6:$C$277,"традиции")</f>
        <v>0</v>
      </c>
      <c r="BZ24" s="104">
        <f>COUNTIFS('свод практик'!$J$6:$J$277,BZ$1,'свод практик'!$C$6:$C$277,"традиции")</f>
        <v>0</v>
      </c>
      <c r="CA24" s="104">
        <f>COUNTIFS('свод практик'!$J$6:$J$277,CA$1,'свод практик'!$C$6:$C$277,"традиции")</f>
        <v>0</v>
      </c>
      <c r="CB24" s="104">
        <f>COUNTIFS('свод практик'!$J$6:$J$277,CB$1,'свод практик'!$C$6:$C$277,"традиции")</f>
        <v>0</v>
      </c>
      <c r="CC24" s="104">
        <f>COUNTIFS('свод практик'!$J$6:$J$277,CC$1,'свод практик'!$C$6:$C$277,"традиции")</f>
        <v>0</v>
      </c>
      <c r="CD24" s="104">
        <f>COUNTIFS('свод практик'!$J$6:$J$277,CD$1,'свод практик'!$C$6:$C$277,"традиции")</f>
        <v>0</v>
      </c>
      <c r="CE24" s="104">
        <f>COUNTIFS('свод практик'!$J$6:$J$277,CE$1,'свод практик'!$C$6:$C$277,"традиции")</f>
        <v>1</v>
      </c>
      <c r="CF24" s="104">
        <f>COUNTIFS('свод практик'!$J$6:$J$277,CF$1,'свод практик'!$C$6:$C$277,"традиции")</f>
        <v>0</v>
      </c>
      <c r="CG24" s="104">
        <f>COUNTIFS('свод практик'!$J$6:$J$277,CG$1,'свод практик'!$C$6:$C$277,"традиции")</f>
        <v>0</v>
      </c>
      <c r="CH24" s="104">
        <f>COUNTIFS('свод практик'!$J$6:$J$277,CH$1,'свод практик'!$C$6:$C$277,"традиции")</f>
        <v>0</v>
      </c>
      <c r="CI24" s="104">
        <f>COUNTIFS('свод практик'!$J$6:$J$277,CI$1,'свод практик'!$C$6:$C$277,"традиции")</f>
        <v>0</v>
      </c>
      <c r="CJ24" s="104">
        <f>COUNTIFS('свод практик'!$J$6:$J$277,CJ$1,'свод практик'!$C$6:$C$277,"традиции")</f>
        <v>0</v>
      </c>
      <c r="CK24" s="104">
        <f>COUNTIFS('свод практик'!$J$6:$J$277,CK$1,'свод практик'!$C$6:$C$277,"традиции")</f>
        <v>0</v>
      </c>
    </row>
    <row r="25" spans="1:89">
      <c r="A25" s="676" t="s">
        <v>5320</v>
      </c>
      <c r="D25" s="675">
        <f t="shared" si="0"/>
        <v>13</v>
      </c>
      <c r="E25">
        <f>COUNTIFS('свод практик'!$J$6:$J$277,E$1,'свод практик'!$C$6:$C$277,"ФЦП")</f>
        <v>0</v>
      </c>
      <c r="F25" s="104">
        <f>COUNTIFS('свод практик'!$J$6:$J$277,F$1,'свод практик'!$C$6:$C$277,"ФЦП")</f>
        <v>1</v>
      </c>
      <c r="G25" s="104">
        <f>COUNTIFS('свод практик'!$J$6:$J$277,G$1,'свод практик'!$C$6:$C$277,"ФЦП")</f>
        <v>0</v>
      </c>
      <c r="H25" s="104">
        <f>COUNTIFS('свод практик'!$J$6:$J$277,H$1,'свод практик'!$C$6:$C$277,"ФЦП")</f>
        <v>0</v>
      </c>
      <c r="I25" s="104">
        <f>COUNTIFS('свод практик'!$J$6:$J$277,I$1,'свод практик'!$C$6:$C$277,"ФЦП")</f>
        <v>0</v>
      </c>
      <c r="J25" s="104">
        <f>COUNTIFS('свод практик'!$J$6:$J$277,J$1,'свод практик'!$C$6:$C$277,"ФЦП")</f>
        <v>0</v>
      </c>
      <c r="K25" s="104">
        <f>COUNTIFS('свод практик'!$J$6:$J$277,K$1,'свод практик'!$C$6:$C$277,"ФЦП")</f>
        <v>0</v>
      </c>
      <c r="L25" s="104">
        <f>COUNTIFS('свод практик'!$J$6:$J$277,L$1,'свод практик'!$C$6:$C$277,"ФЦП")</f>
        <v>0</v>
      </c>
      <c r="M25" s="104">
        <f>COUNTIFS('свод практик'!$J$6:$J$277,M$1,'свод практик'!$C$6:$C$277,"ФЦП")</f>
        <v>0</v>
      </c>
      <c r="N25" s="104">
        <f>COUNTIFS('свод практик'!$J$6:$J$277,N$1,'свод практик'!$C$6:$C$277,"ФЦП")</f>
        <v>0</v>
      </c>
      <c r="O25" s="104">
        <f>COUNTIFS('свод практик'!$J$6:$J$277,O$1,'свод практик'!$C$6:$C$277,"ФЦП")</f>
        <v>1</v>
      </c>
      <c r="P25" s="104">
        <f>COUNTIFS('свод практик'!$J$6:$J$277,P$1,'свод практик'!$C$6:$C$277,"ФЦП")</f>
        <v>0</v>
      </c>
      <c r="Q25" s="104">
        <f>COUNTIFS('свод практик'!$J$6:$J$277,Q$1,'свод практик'!$C$6:$C$277,"ФЦП")</f>
        <v>0</v>
      </c>
      <c r="R25" s="104">
        <f>COUNTIFS('свод практик'!$J$6:$J$277,R$1,'свод практик'!$C$6:$C$277,"ФЦП")</f>
        <v>1</v>
      </c>
      <c r="S25" s="104">
        <f>COUNTIFS('свод практик'!$J$6:$J$277,S$1,'свод практик'!$C$6:$C$277,"ФЦП")</f>
        <v>0</v>
      </c>
      <c r="T25" s="104">
        <f>COUNTIFS('свод практик'!$J$6:$J$277,T$1,'свод практик'!$C$6:$C$277,"ФЦП")</f>
        <v>0</v>
      </c>
      <c r="U25" s="104">
        <f>COUNTIFS('свод практик'!$J$6:$J$277,U$1,'свод практик'!$C$6:$C$277,"ФЦП")</f>
        <v>0</v>
      </c>
      <c r="V25" s="104">
        <f>COUNTIFS('свод практик'!$J$6:$J$277,V$1,'свод практик'!$C$6:$C$277,"ФЦП")</f>
        <v>0</v>
      </c>
      <c r="W25" s="104">
        <f>COUNTIFS('свод практик'!$J$6:$J$277,W$1,'свод практик'!$C$6:$C$277,"ФЦП")</f>
        <v>0</v>
      </c>
      <c r="X25" s="104">
        <f>COUNTIFS('свод практик'!$J$6:$J$277,X$1,'свод практик'!$C$6:$C$277,"ФЦП")</f>
        <v>0</v>
      </c>
      <c r="Y25" s="104">
        <f>COUNTIFS('свод практик'!$J$6:$J$277,Y$1,'свод практик'!$C$6:$C$277,"ФЦП")</f>
        <v>0</v>
      </c>
      <c r="Z25" s="104">
        <f>COUNTIFS('свод практик'!$J$6:$J$277,Z$1,'свод практик'!$C$6:$C$277,"ФЦП")</f>
        <v>0</v>
      </c>
      <c r="AA25" s="104">
        <f>COUNTIFS('свод практик'!$J$6:$J$277,AA$1,'свод практик'!$C$6:$C$277,"ФЦП")</f>
        <v>0</v>
      </c>
      <c r="AB25" s="104">
        <f>COUNTIFS('свод практик'!$J$6:$J$277,AB$1,'свод практик'!$C$6:$C$277,"ФЦП")</f>
        <v>0</v>
      </c>
      <c r="AC25" s="104">
        <f>COUNTIFS('свод практик'!$J$6:$J$277,AC$1,'свод практик'!$C$6:$C$277,"ФЦП")</f>
        <v>0</v>
      </c>
      <c r="AD25" s="104">
        <f>COUNTIFS('свод практик'!$J$6:$J$277,AD$1,'свод практик'!$C$6:$C$277,"ФЦП")</f>
        <v>0</v>
      </c>
      <c r="AE25" s="104">
        <f>COUNTIFS('свод практик'!$J$6:$J$277,AE$1,'свод практик'!$C$6:$C$277,"ФЦП")</f>
        <v>0</v>
      </c>
      <c r="AF25" s="104">
        <f>COUNTIFS('свод практик'!$J$6:$J$277,AF$1,'свод практик'!$C$6:$C$277,"ФЦП")</f>
        <v>0</v>
      </c>
      <c r="AG25" s="104">
        <f>COUNTIFS('свод практик'!$J$6:$J$277,AG$1,'свод практик'!$C$6:$C$277,"ФЦП")</f>
        <v>0</v>
      </c>
      <c r="AH25" s="104">
        <f>COUNTIFS('свод практик'!$J$6:$J$277,AH$1,'свод практик'!$C$6:$C$277,"ФЦП")</f>
        <v>0</v>
      </c>
      <c r="AI25" s="104">
        <f>COUNTIFS('свод практик'!$J$6:$J$277,AI$1,'свод практик'!$C$6:$C$277,"ФЦП")</f>
        <v>0</v>
      </c>
      <c r="AJ25" s="104">
        <f>COUNTIFS('свод практик'!$J$6:$J$277,AJ$1,'свод практик'!$C$6:$C$277,"ФЦП")</f>
        <v>0</v>
      </c>
      <c r="AK25" s="104">
        <f>COUNTIFS('свод практик'!$J$6:$J$277,AK$1,'свод практик'!$C$6:$C$277,"ФЦП")</f>
        <v>0</v>
      </c>
      <c r="AL25" s="104">
        <f>COUNTIFS('свод практик'!$J$6:$J$277,AL$1,'свод практик'!$C$6:$C$277,"ФЦП")</f>
        <v>1</v>
      </c>
      <c r="AM25" s="104">
        <f>COUNTIFS('свод практик'!$J$6:$J$277,AM$1,'свод практик'!$C$6:$C$277,"ФЦП")</f>
        <v>1</v>
      </c>
      <c r="AN25" s="104">
        <f>COUNTIFS('свод практик'!$J$6:$J$277,AN$1,'свод практик'!$C$6:$C$277,"ФЦП")</f>
        <v>0</v>
      </c>
      <c r="AO25" s="104">
        <f>COUNTIFS('свод практик'!$J$6:$J$277,AO$1,'свод практик'!$C$6:$C$277,"ФЦП")</f>
        <v>0</v>
      </c>
      <c r="AP25" s="104">
        <f>COUNTIFS('свод практик'!$J$6:$J$277,AP$1,'свод практик'!$C$6:$C$277,"ФЦП")</f>
        <v>1</v>
      </c>
      <c r="AQ25" s="104">
        <f>COUNTIFS('свод практик'!$J$6:$J$277,AQ$1,'свод практик'!$C$6:$C$277,"ФЦП")</f>
        <v>0</v>
      </c>
      <c r="AR25" s="104">
        <f>COUNTIFS('свод практик'!$J$6:$J$277,AR$1,'свод практик'!$C$6:$C$277,"ФЦП")</f>
        <v>0</v>
      </c>
      <c r="AS25" s="104">
        <f>COUNTIFS('свод практик'!$J$6:$J$277,AS$1,'свод практик'!$C$6:$C$277,"ФЦП")</f>
        <v>0</v>
      </c>
      <c r="AT25" s="104">
        <f>COUNTIFS('свод практик'!$J$6:$J$277,AT$1,'свод практик'!$C$6:$C$277,"ФЦП")</f>
        <v>0</v>
      </c>
      <c r="AU25" s="104">
        <f>COUNTIFS('свод практик'!$J$6:$J$277,AU$1,'свод практик'!$C$6:$C$277,"ФЦП")</f>
        <v>0</v>
      </c>
      <c r="AV25" s="104">
        <f>COUNTIFS('свод практик'!$J$6:$J$277,AV$1,'свод практик'!$C$6:$C$277,"ФЦП")</f>
        <v>0</v>
      </c>
      <c r="AW25" s="104">
        <f>COUNTIFS('свод практик'!$J$6:$J$277,AW$1,'свод практик'!$C$6:$C$277,"ФЦП")</f>
        <v>0</v>
      </c>
      <c r="AX25" s="104">
        <f>COUNTIFS('свод практик'!$J$6:$J$277,AX$1,'свод практик'!$C$6:$C$277,"ФЦП")</f>
        <v>0</v>
      </c>
      <c r="AY25" s="104">
        <f>COUNTIFS('свод практик'!$J$6:$J$277,AY$1,'свод практик'!$C$6:$C$277,"ФЦП")</f>
        <v>1</v>
      </c>
      <c r="AZ25" s="104">
        <f>COUNTIFS('свод практик'!$J$6:$J$277,AZ$1,'свод практик'!$C$6:$C$277,"ФЦП")</f>
        <v>0</v>
      </c>
      <c r="BA25" s="104">
        <f>COUNTIFS('свод практик'!$J$6:$J$277,BA$1,'свод практик'!$C$6:$C$277,"ФЦП")</f>
        <v>0</v>
      </c>
      <c r="BB25" s="104">
        <f>COUNTIFS('свод практик'!$J$6:$J$277,BB$1,'свод практик'!$C$6:$C$277,"ФЦП")</f>
        <v>0</v>
      </c>
      <c r="BC25" s="104">
        <f>COUNTIFS('свод практик'!$J$6:$J$277,BC$1,'свод практик'!$C$6:$C$277,"ФЦП")</f>
        <v>1</v>
      </c>
      <c r="BD25" s="104">
        <f>COUNTIFS('свод практик'!$J$6:$J$277,BD$1,'свод практик'!$C$6:$C$277,"ФЦП")</f>
        <v>0</v>
      </c>
      <c r="BE25" s="104">
        <f>COUNTIFS('свод практик'!$J$6:$J$277,BE$1,'свод практик'!$C$6:$C$277,"ФЦП")</f>
        <v>0</v>
      </c>
      <c r="BF25" s="104">
        <f>COUNTIFS('свод практик'!$J$6:$J$277,BF$1,'свод практик'!$C$6:$C$277,"ФЦП")</f>
        <v>0</v>
      </c>
      <c r="BG25" s="104">
        <f>COUNTIFS('свод практик'!$J$6:$J$277,BG$1,'свод практик'!$C$6:$C$277,"ФЦП")</f>
        <v>0</v>
      </c>
      <c r="BH25" s="104">
        <f>COUNTIFS('свод практик'!$J$6:$J$277,BH$1,'свод практик'!$C$6:$C$277,"ФЦП")</f>
        <v>0</v>
      </c>
      <c r="BI25" s="104">
        <f>COUNTIFS('свод практик'!$J$6:$J$277,BI$1,'свод практик'!$C$6:$C$277,"ФЦП")</f>
        <v>1</v>
      </c>
      <c r="BJ25" s="104">
        <f>COUNTIFS('свод практик'!$J$6:$J$277,BJ$1,'свод практик'!$C$6:$C$277,"ФЦП")</f>
        <v>0</v>
      </c>
      <c r="BK25" s="104">
        <f>COUNTIFS('свод практик'!$J$6:$J$277,BK$1,'свод практик'!$C$6:$C$277,"ФЦП")</f>
        <v>0</v>
      </c>
      <c r="BL25" s="104">
        <f>COUNTIFS('свод практик'!$J$6:$J$277,BL$1,'свод практик'!$C$6:$C$277,"ФЦП")</f>
        <v>0</v>
      </c>
      <c r="BM25" s="104">
        <f>COUNTIFS('свод практик'!$J$6:$J$277,BM$1,'свод практик'!$C$6:$C$277,"ФЦП")</f>
        <v>0</v>
      </c>
      <c r="BN25" s="104">
        <f>COUNTIFS('свод практик'!$J$6:$J$277,BN$1,'свод практик'!$C$6:$C$277,"ФЦП")</f>
        <v>0</v>
      </c>
      <c r="BO25" s="104">
        <f>COUNTIFS('свод практик'!$J$6:$J$277,BO$1,'свод практик'!$C$6:$C$277,"ФЦП")</f>
        <v>1</v>
      </c>
      <c r="BP25" s="104">
        <f>COUNTIFS('свод практик'!$J$6:$J$277,BP$1,'свод практик'!$C$6:$C$277,"ФЦП")</f>
        <v>0</v>
      </c>
      <c r="BQ25" s="104">
        <f>COUNTIFS('свод практик'!$J$6:$J$277,BQ$1,'свод практик'!$C$6:$C$277,"ФЦП")</f>
        <v>0</v>
      </c>
      <c r="BR25" s="104">
        <f>COUNTIFS('свод практик'!$J$6:$J$277,BR$1,'свод практик'!$C$6:$C$277,"ФЦП")</f>
        <v>0</v>
      </c>
      <c r="BS25" s="104">
        <f>COUNTIFS('свод практик'!$J$6:$J$277,BS$1,'свод практик'!$C$6:$C$277,"ФЦП")</f>
        <v>0</v>
      </c>
      <c r="BT25" s="104">
        <f>COUNTIFS('свод практик'!$J$6:$J$277,BT$1,'свод практик'!$C$6:$C$277,"ФЦП")</f>
        <v>1</v>
      </c>
      <c r="BU25" s="104">
        <f>COUNTIFS('свод практик'!$J$6:$J$277,BU$1,'свод практик'!$C$6:$C$277,"ФЦП")</f>
        <v>0</v>
      </c>
      <c r="BV25" s="104">
        <f>COUNTIFS('свод практик'!$J$6:$J$277,BV$1,'свод практик'!$C$6:$C$277,"ФЦП")</f>
        <v>0</v>
      </c>
      <c r="BW25" s="104">
        <f>COUNTIFS('свод практик'!$J$6:$J$277,BW$1,'свод практик'!$C$6:$C$277,"ФЦП")</f>
        <v>0</v>
      </c>
      <c r="BX25" s="104">
        <f>COUNTIFS('свод практик'!$J$6:$J$277,BX$1,'свод практик'!$C$6:$C$277,"ФЦП")</f>
        <v>0</v>
      </c>
      <c r="BY25" s="104">
        <f>COUNTIFS('свод практик'!$J$6:$J$277,BY$1,'свод практик'!$C$6:$C$277,"ФЦП")</f>
        <v>0</v>
      </c>
      <c r="BZ25" s="104">
        <f>COUNTIFS('свод практик'!$J$6:$J$277,BZ$1,'свод практик'!$C$6:$C$277,"ФЦП")</f>
        <v>1</v>
      </c>
      <c r="CA25" s="104">
        <f>COUNTIFS('свод практик'!$J$6:$J$277,CA$1,'свод практик'!$C$6:$C$277,"ФЦП")</f>
        <v>0</v>
      </c>
      <c r="CB25" s="104">
        <f>COUNTIFS('свод практик'!$J$6:$J$277,CB$1,'свод практик'!$C$6:$C$277,"ФЦП")</f>
        <v>0</v>
      </c>
      <c r="CC25" s="104">
        <f>COUNTIFS('свод практик'!$J$6:$J$277,CC$1,'свод практик'!$C$6:$C$277,"ФЦП")</f>
        <v>0</v>
      </c>
      <c r="CD25" s="104">
        <f>COUNTIFS('свод практик'!$J$6:$J$277,CD$1,'свод практик'!$C$6:$C$277,"ФЦП")</f>
        <v>0</v>
      </c>
      <c r="CE25" s="104">
        <f>COUNTIFS('свод практик'!$J$6:$J$277,CE$1,'свод практик'!$C$6:$C$277,"ФЦП")</f>
        <v>1</v>
      </c>
      <c r="CF25" s="104">
        <f>COUNTIFS('свод практик'!$J$6:$J$277,CF$1,'свод практик'!$C$6:$C$277,"ФЦП")</f>
        <v>0</v>
      </c>
      <c r="CG25" s="104">
        <f>COUNTIFS('свод практик'!$J$6:$J$277,CG$1,'свод практик'!$C$6:$C$277,"ФЦП")</f>
        <v>0</v>
      </c>
      <c r="CH25" s="104">
        <f>COUNTIFS('свод практик'!$J$6:$J$277,CH$1,'свод практик'!$C$6:$C$277,"ФЦП")</f>
        <v>0</v>
      </c>
      <c r="CI25" s="104">
        <f>COUNTIFS('свод практик'!$J$6:$J$277,CI$1,'свод практик'!$C$6:$C$277,"ФЦП")</f>
        <v>0</v>
      </c>
      <c r="CJ25" s="104">
        <f>COUNTIFS('свод практик'!$J$6:$J$277,CJ$1,'свод практик'!$C$6:$C$277,"ФЦП")</f>
        <v>0</v>
      </c>
      <c r="CK25" s="104">
        <f>COUNTIFS('свод практик'!$J$6:$J$277,CK$1,'свод практик'!$C$6:$C$277,"ФЦП")</f>
        <v>0</v>
      </c>
    </row>
    <row r="26" spans="1:89">
      <c r="D26" s="677"/>
    </row>
    <row r="27" spans="1:89">
      <c r="D27" s="677"/>
    </row>
    <row r="28" spans="1:89" ht="21.5" customHeight="1">
      <c r="A28" s="845" t="s">
        <v>5860</v>
      </c>
      <c r="B28" s="845"/>
      <c r="C28" s="845"/>
      <c r="D28" s="677"/>
    </row>
    <row r="29" spans="1:89" ht="28.5" customHeight="1">
      <c r="A29" s="676" t="s">
        <v>4934</v>
      </c>
      <c r="D29" s="675">
        <f t="shared" si="0"/>
        <v>18</v>
      </c>
      <c r="E29">
        <f>COUNTIFS('свод практик'!$J$6:$J$277,E$1,'свод практик'!$B$6:$B$277,"смежная",'свод практик'!$D$6:$D$277,"мун")</f>
        <v>0</v>
      </c>
      <c r="F29" s="104">
        <f>COUNTIFS('свод практик'!$J$6:$J$277,F$1,'свод практик'!$B$6:$B$277,"смежная",'свод практик'!$D$6:$D$277,"мун")</f>
        <v>0</v>
      </c>
      <c r="G29" s="104">
        <f>COUNTIFS('свод практик'!$J$6:$J$277,G$1,'свод практик'!$B$6:$B$277,"смежная",'свод практик'!$D$6:$D$277,"мун")</f>
        <v>0</v>
      </c>
      <c r="H29" s="104">
        <f>COUNTIFS('свод практик'!$J$6:$J$277,H$1,'свод практик'!$B$6:$B$277,"смежная",'свод практик'!$D$6:$D$277,"мун")</f>
        <v>0</v>
      </c>
      <c r="I29" s="104">
        <f>COUNTIFS('свод практик'!$J$6:$J$277,I$1,'свод практик'!$B$6:$B$277,"смежная",'свод практик'!$D$6:$D$277,"мун")</f>
        <v>0</v>
      </c>
      <c r="J29" s="104">
        <f>COUNTIFS('свод практик'!$J$6:$J$277,J$1,'свод практик'!$B$6:$B$277,"смежная",'свод практик'!$D$6:$D$277,"мун")</f>
        <v>1</v>
      </c>
      <c r="K29" s="104">
        <f>COUNTIFS('свод практик'!$J$6:$J$277,K$1,'свод практик'!$B$6:$B$277,"смежная",'свод практик'!$D$6:$D$277,"мун")</f>
        <v>0</v>
      </c>
      <c r="L29" s="104">
        <f>COUNTIFS('свод практик'!$J$6:$J$277,L$1,'свод практик'!$B$6:$B$277,"смежная",'свод практик'!$D$6:$D$277,"мун")</f>
        <v>1</v>
      </c>
      <c r="M29" s="104">
        <f>COUNTIFS('свод практик'!$J$6:$J$277,M$1,'свод практик'!$B$6:$B$277,"смежная",'свод практик'!$D$6:$D$277,"мун")</f>
        <v>0</v>
      </c>
      <c r="N29" s="104">
        <f>COUNTIFS('свод практик'!$J$6:$J$277,N$1,'свод практик'!$B$6:$B$277,"смежная",'свод практик'!$D$6:$D$277,"мун")</f>
        <v>0</v>
      </c>
      <c r="O29" s="104">
        <f>COUNTIFS('свод практик'!$J$6:$J$277,O$1,'свод практик'!$B$6:$B$277,"смежная",'свод практик'!$D$6:$D$277,"мун")</f>
        <v>0</v>
      </c>
      <c r="P29" s="104">
        <f>COUNTIFS('свод практик'!$J$6:$J$277,P$1,'свод практик'!$B$6:$B$277,"смежная",'свод практик'!$D$6:$D$277,"мун")</f>
        <v>0</v>
      </c>
      <c r="Q29" s="104">
        <f>COUNTIFS('свод практик'!$J$6:$J$277,Q$1,'свод практик'!$B$6:$B$277,"смежная",'свод практик'!$D$6:$D$277,"мун")</f>
        <v>0</v>
      </c>
      <c r="R29" s="104">
        <f>COUNTIFS('свод практик'!$J$6:$J$277,R$1,'свод практик'!$B$6:$B$277,"смежная",'свод практик'!$D$6:$D$277,"мун")</f>
        <v>0</v>
      </c>
      <c r="S29" s="104">
        <f>COUNTIFS('свод практик'!$J$6:$J$277,S$1,'свод практик'!$B$6:$B$277,"смежная",'свод практик'!$D$6:$D$277,"мун")</f>
        <v>0</v>
      </c>
      <c r="T29" s="104">
        <f>COUNTIFS('свод практик'!$J$6:$J$277,T$1,'свод практик'!$B$6:$B$277,"смежная",'свод практик'!$D$6:$D$277,"мун")</f>
        <v>0</v>
      </c>
      <c r="U29" s="104">
        <f>COUNTIFS('свод практик'!$J$6:$J$277,U$1,'свод практик'!$B$6:$B$277,"смежная",'свод практик'!$D$6:$D$277,"мун")</f>
        <v>0</v>
      </c>
      <c r="V29" s="104">
        <f>COUNTIFS('свод практик'!$J$6:$J$277,V$1,'свод практик'!$B$6:$B$277,"смежная",'свод практик'!$D$6:$D$277,"мун")</f>
        <v>0</v>
      </c>
      <c r="W29" s="104">
        <f>COUNTIFS('свод практик'!$J$6:$J$277,W$1,'свод практик'!$B$6:$B$277,"смежная",'свод практик'!$D$6:$D$277,"мун")</f>
        <v>0</v>
      </c>
      <c r="X29" s="104">
        <f>COUNTIFS('свод практик'!$J$6:$J$277,X$1,'свод практик'!$B$6:$B$277,"смежная",'свод практик'!$D$6:$D$277,"мун")</f>
        <v>0</v>
      </c>
      <c r="Y29" s="104">
        <f>COUNTIFS('свод практик'!$J$6:$J$277,Y$1,'свод практик'!$B$6:$B$277,"смежная",'свод практик'!$D$6:$D$277,"мун")</f>
        <v>1</v>
      </c>
      <c r="Z29" s="104">
        <f>COUNTIFS('свод практик'!$J$6:$J$277,Z$1,'свод практик'!$B$6:$B$277,"смежная",'свод практик'!$D$6:$D$277,"мун")</f>
        <v>0</v>
      </c>
      <c r="AA29" s="104">
        <f>COUNTIFS('свод практик'!$J$6:$J$277,AA$1,'свод практик'!$B$6:$B$277,"смежная",'свод практик'!$D$6:$D$277,"мун")</f>
        <v>0</v>
      </c>
      <c r="AB29" s="104">
        <f>COUNTIFS('свод практик'!$J$6:$J$277,AB$1,'свод практик'!$B$6:$B$277,"смежная",'свод практик'!$D$6:$D$277,"мун")</f>
        <v>0</v>
      </c>
      <c r="AC29" s="104">
        <f>COUNTIFS('свод практик'!$J$6:$J$277,AC$1,'свод практик'!$B$6:$B$277,"смежная",'свод практик'!$D$6:$D$277,"мун")</f>
        <v>0</v>
      </c>
      <c r="AD29" s="104">
        <f>COUNTIFS('свод практик'!$J$6:$J$277,AD$1,'свод практик'!$B$6:$B$277,"смежная",'свод практик'!$D$6:$D$277,"мун")</f>
        <v>0</v>
      </c>
      <c r="AE29" s="104">
        <f>COUNTIFS('свод практик'!$J$6:$J$277,AE$1,'свод практик'!$B$6:$B$277,"смежная",'свод практик'!$D$6:$D$277,"мун")</f>
        <v>0</v>
      </c>
      <c r="AF29" s="104">
        <f>COUNTIFS('свод практик'!$J$6:$J$277,AF$1,'свод практик'!$B$6:$B$277,"смежная",'свод практик'!$D$6:$D$277,"мун")</f>
        <v>0</v>
      </c>
      <c r="AG29" s="104">
        <f>COUNTIFS('свод практик'!$J$6:$J$277,AG$1,'свод практик'!$B$6:$B$277,"смежная",'свод практик'!$D$6:$D$277,"мун")</f>
        <v>0</v>
      </c>
      <c r="AH29" s="104">
        <f>COUNTIFS('свод практик'!$J$6:$J$277,AH$1,'свод практик'!$B$6:$B$277,"смежная",'свод практик'!$D$6:$D$277,"мун")</f>
        <v>0</v>
      </c>
      <c r="AI29" s="104">
        <f>COUNTIFS('свод практик'!$J$6:$J$277,AI$1,'свод практик'!$B$6:$B$277,"смежная",'свод практик'!$D$6:$D$277,"мун")</f>
        <v>0</v>
      </c>
      <c r="AJ29" s="104">
        <f>COUNTIFS('свод практик'!$J$6:$J$277,AJ$1,'свод практик'!$B$6:$B$277,"смежная",'свод практик'!$D$6:$D$277,"мун")</f>
        <v>1</v>
      </c>
      <c r="AK29" s="104">
        <f>COUNTIFS('свод практик'!$J$6:$J$277,AK$1,'свод практик'!$B$6:$B$277,"смежная",'свод практик'!$D$6:$D$277,"мун")</f>
        <v>0</v>
      </c>
      <c r="AL29" s="104">
        <f>COUNTIFS('свод практик'!$J$6:$J$277,AL$1,'свод практик'!$B$6:$B$277,"смежная",'свод практик'!$D$6:$D$277,"мун")</f>
        <v>0</v>
      </c>
      <c r="AM29" s="104">
        <f>COUNTIFS('свод практик'!$J$6:$J$277,AM$1,'свод практик'!$B$6:$B$277,"смежная",'свод практик'!$D$6:$D$277,"мун")</f>
        <v>0</v>
      </c>
      <c r="AN29" s="104">
        <f>COUNTIFS('свод практик'!$J$6:$J$277,AN$1,'свод практик'!$B$6:$B$277,"смежная",'свод практик'!$D$6:$D$277,"мун")</f>
        <v>0</v>
      </c>
      <c r="AO29" s="104">
        <f>COUNTIFS('свод практик'!$J$6:$J$277,AO$1,'свод практик'!$B$6:$B$277,"смежная",'свод практик'!$D$6:$D$277,"мун")</f>
        <v>0</v>
      </c>
      <c r="AP29" s="104">
        <f>COUNTIFS('свод практик'!$J$6:$J$277,AP$1,'свод практик'!$B$6:$B$277,"смежная",'свод практик'!$D$6:$D$277,"мун")</f>
        <v>0</v>
      </c>
      <c r="AQ29" s="104">
        <f>COUNTIFS('свод практик'!$J$6:$J$277,AQ$1,'свод практик'!$B$6:$B$277,"смежная",'свод практик'!$D$6:$D$277,"мун")</f>
        <v>0</v>
      </c>
      <c r="AR29" s="104">
        <f>COUNTIFS('свод практик'!$J$6:$J$277,AR$1,'свод практик'!$B$6:$B$277,"смежная",'свод практик'!$D$6:$D$277,"мун")</f>
        <v>0</v>
      </c>
      <c r="AS29" s="104">
        <f>COUNTIFS('свод практик'!$J$6:$J$277,AS$1,'свод практик'!$B$6:$B$277,"смежная",'свод практик'!$D$6:$D$277,"мун")</f>
        <v>0</v>
      </c>
      <c r="AT29" s="104">
        <f>COUNTIFS('свод практик'!$J$6:$J$277,AT$1,'свод практик'!$B$6:$B$277,"смежная",'свод практик'!$D$6:$D$277,"мун")</f>
        <v>0</v>
      </c>
      <c r="AU29" s="104">
        <f>COUNTIFS('свод практик'!$J$6:$J$277,AU$1,'свод практик'!$B$6:$B$277,"смежная",'свод практик'!$D$6:$D$277,"мун")</f>
        <v>0</v>
      </c>
      <c r="AV29" s="104">
        <f>COUNTIFS('свод практик'!$J$6:$J$277,AV$1,'свод практик'!$B$6:$B$277,"смежная",'свод практик'!$D$6:$D$277,"мун")</f>
        <v>0</v>
      </c>
      <c r="AW29" s="104">
        <f>COUNTIFS('свод практик'!$J$6:$J$277,AW$1,'свод практик'!$B$6:$B$277,"смежная",'свод практик'!$D$6:$D$277,"мун")</f>
        <v>0</v>
      </c>
      <c r="AX29" s="104">
        <f>COUNTIFS('свод практик'!$J$6:$J$277,AX$1,'свод практик'!$B$6:$B$277,"смежная",'свод практик'!$D$6:$D$277,"мун")</f>
        <v>0</v>
      </c>
      <c r="AY29" s="104">
        <f>COUNTIFS('свод практик'!$J$6:$J$277,AY$1,'свод практик'!$B$6:$B$277,"смежная",'свод практик'!$D$6:$D$277,"мун")</f>
        <v>0</v>
      </c>
      <c r="AZ29" s="104">
        <f>COUNTIFS('свод практик'!$J$6:$J$277,AZ$1,'свод практик'!$B$6:$B$277,"смежная",'свод практик'!$D$6:$D$277,"мун")</f>
        <v>0</v>
      </c>
      <c r="BA29" s="104">
        <f>COUNTIFS('свод практик'!$J$6:$J$277,BA$1,'свод практик'!$B$6:$B$277,"смежная",'свод практик'!$D$6:$D$277,"мун")</f>
        <v>1</v>
      </c>
      <c r="BB29" s="104">
        <f>COUNTIFS('свод практик'!$J$6:$J$277,BB$1,'свод практик'!$B$6:$B$277,"смежная",'свод практик'!$D$6:$D$277,"мун")</f>
        <v>0</v>
      </c>
      <c r="BC29" s="104">
        <f>COUNTIFS('свод практик'!$J$6:$J$277,BC$1,'свод практик'!$B$6:$B$277,"смежная",'свод практик'!$D$6:$D$277,"мун")</f>
        <v>0</v>
      </c>
      <c r="BD29" s="104">
        <f>COUNTIFS('свод практик'!$J$6:$J$277,BD$1,'свод практик'!$B$6:$B$277,"смежная",'свод практик'!$D$6:$D$277,"мун")</f>
        <v>1</v>
      </c>
      <c r="BE29" s="104">
        <f>COUNTIFS('свод практик'!$J$6:$J$277,BE$1,'свод практик'!$B$6:$B$277,"смежная",'свод практик'!$D$6:$D$277,"мун")</f>
        <v>0</v>
      </c>
      <c r="BF29" s="104">
        <f>COUNTIFS('свод практик'!$J$6:$J$277,BF$1,'свод практик'!$B$6:$B$277,"смежная",'свод практик'!$D$6:$D$277,"мун")</f>
        <v>0</v>
      </c>
      <c r="BG29" s="104">
        <f>COUNTIFS('свод практик'!$J$6:$J$277,BG$1,'свод практик'!$B$6:$B$277,"смежная",'свод практик'!$D$6:$D$277,"мун")</f>
        <v>0</v>
      </c>
      <c r="BH29" s="104">
        <f>COUNTIFS('свод практик'!$J$6:$J$277,BH$1,'свод практик'!$B$6:$B$277,"смежная",'свод практик'!$D$6:$D$277,"мун")</f>
        <v>1</v>
      </c>
      <c r="BI29" s="104">
        <f>COUNTIFS('свод практик'!$J$6:$J$277,BI$1,'свод практик'!$B$6:$B$277,"смежная",'свод практик'!$D$6:$D$277,"мун")</f>
        <v>0</v>
      </c>
      <c r="BJ29" s="104">
        <f>COUNTIFS('свод практик'!$J$6:$J$277,BJ$1,'свод практик'!$B$6:$B$277,"смежная",'свод практик'!$D$6:$D$277,"мун")</f>
        <v>5</v>
      </c>
      <c r="BK29" s="104">
        <f>COUNTIFS('свод практик'!$J$6:$J$277,BK$1,'свод практик'!$B$6:$B$277,"смежная",'свод практик'!$D$6:$D$277,"мун")</f>
        <v>0</v>
      </c>
      <c r="BL29" s="104">
        <f>COUNTIFS('свод практик'!$J$6:$J$277,BL$1,'свод практик'!$B$6:$B$277,"смежная",'свод практик'!$D$6:$D$277,"мун")</f>
        <v>0</v>
      </c>
      <c r="BM29" s="104">
        <f>COUNTIFS('свод практик'!$J$6:$J$277,BM$1,'свод практик'!$B$6:$B$277,"смежная",'свод практик'!$D$6:$D$277,"мун")</f>
        <v>0</v>
      </c>
      <c r="BN29" s="104">
        <f>COUNTIFS('свод практик'!$J$6:$J$277,BN$1,'свод практик'!$B$6:$B$277,"смежная",'свод практик'!$D$6:$D$277,"мун")</f>
        <v>0</v>
      </c>
      <c r="BO29" s="104">
        <f>COUNTIFS('свод практик'!$J$6:$J$277,BO$1,'свод практик'!$B$6:$B$277,"смежная",'свод практик'!$D$6:$D$277,"мун")</f>
        <v>0</v>
      </c>
      <c r="BP29" s="104">
        <f>COUNTIFS('свод практик'!$J$6:$J$277,BP$1,'свод практик'!$B$6:$B$277,"смежная",'свод практик'!$D$6:$D$277,"мун")</f>
        <v>0</v>
      </c>
      <c r="BQ29" s="104">
        <f>COUNTIFS('свод практик'!$J$6:$J$277,BQ$1,'свод практик'!$B$6:$B$277,"смежная",'свод практик'!$D$6:$D$277,"мун")</f>
        <v>0</v>
      </c>
      <c r="BR29" s="104">
        <f>COUNTIFS('свод практик'!$J$6:$J$277,BR$1,'свод практик'!$B$6:$B$277,"смежная",'свод практик'!$D$6:$D$277,"мун")</f>
        <v>0</v>
      </c>
      <c r="BS29" s="104">
        <f>COUNTIFS('свод практик'!$J$6:$J$277,BS$1,'свод практик'!$B$6:$B$277,"смежная",'свод практик'!$D$6:$D$277,"мун")</f>
        <v>1</v>
      </c>
      <c r="BT29" s="104">
        <f>COUNTIFS('свод практик'!$J$6:$J$277,BT$1,'свод практик'!$B$6:$B$277,"смежная",'свод практик'!$D$6:$D$277,"мун")</f>
        <v>0</v>
      </c>
      <c r="BU29" s="104">
        <f>COUNTIFS('свод практик'!$J$6:$J$277,BU$1,'свод практик'!$B$6:$B$277,"смежная",'свод практик'!$D$6:$D$277,"мун")</f>
        <v>0</v>
      </c>
      <c r="BV29" s="104">
        <f>COUNTIFS('свод практик'!$J$6:$J$277,BV$1,'свод практик'!$B$6:$B$277,"смежная",'свод практик'!$D$6:$D$277,"мун")</f>
        <v>0</v>
      </c>
      <c r="BW29" s="104">
        <f>COUNTIFS('свод практик'!$J$6:$J$277,BW$1,'свод практик'!$B$6:$B$277,"смежная",'свод практик'!$D$6:$D$277,"мун")</f>
        <v>0</v>
      </c>
      <c r="BX29" s="104">
        <f>COUNTIFS('свод практик'!$J$6:$J$277,BX$1,'свод практик'!$B$6:$B$277,"смежная",'свод практик'!$D$6:$D$277,"мун")</f>
        <v>0</v>
      </c>
      <c r="BY29" s="104">
        <f>COUNTIFS('свод практик'!$J$6:$J$277,BY$1,'свод практик'!$B$6:$B$277,"смежная",'свод практик'!$D$6:$D$277,"мун")</f>
        <v>0</v>
      </c>
      <c r="BZ29" s="104">
        <f>COUNTIFS('свод практик'!$J$6:$J$277,BZ$1,'свод практик'!$B$6:$B$277,"смежная",'свод практик'!$D$6:$D$277,"мун")</f>
        <v>0</v>
      </c>
      <c r="CA29" s="104">
        <f>COUNTIFS('свод практик'!$J$6:$J$277,CA$1,'свод практик'!$B$6:$B$277,"смежная",'свод практик'!$D$6:$D$277,"мун")</f>
        <v>0</v>
      </c>
      <c r="CB29" s="104">
        <f>COUNTIFS('свод практик'!$J$6:$J$277,CB$1,'свод практик'!$B$6:$B$277,"смежная",'свод практик'!$D$6:$D$277,"мун")</f>
        <v>0</v>
      </c>
      <c r="CC29" s="104">
        <f>COUNTIFS('свод практик'!$J$6:$J$277,CC$1,'свод практик'!$B$6:$B$277,"смежная",'свод практик'!$D$6:$D$277,"мун")</f>
        <v>0</v>
      </c>
      <c r="CD29" s="104">
        <f>COUNTIFS('свод практик'!$J$6:$J$277,CD$1,'свод практик'!$B$6:$B$277,"смежная",'свод практик'!$D$6:$D$277,"мун")</f>
        <v>0</v>
      </c>
      <c r="CE29" s="104">
        <f>COUNTIFS('свод практик'!$J$6:$J$277,CE$1,'свод практик'!$B$6:$B$277,"смежная",'свод практик'!$D$6:$D$277,"мун")</f>
        <v>3</v>
      </c>
      <c r="CF29" s="104">
        <f>COUNTIFS('свод практик'!$J$6:$J$277,CF$1,'свод практик'!$B$6:$B$277,"смежная",'свод практик'!$D$6:$D$277,"мун")</f>
        <v>1</v>
      </c>
      <c r="CG29" s="104">
        <f>COUNTIFS('свод практик'!$J$6:$J$277,CG$1,'свод практик'!$B$6:$B$277,"смежная",'свод практик'!$D$6:$D$277,"мун")</f>
        <v>0</v>
      </c>
      <c r="CH29" s="104">
        <f>COUNTIFS('свод практик'!$J$6:$J$277,CH$1,'свод практик'!$B$6:$B$277,"смежная",'свод практик'!$D$6:$D$277,"мун")</f>
        <v>1</v>
      </c>
      <c r="CI29" s="104">
        <f>COUNTIFS('свод практик'!$J$6:$J$277,CI$1,'свод практик'!$B$6:$B$277,"смежная",'свод практик'!$D$6:$D$277,"мун")</f>
        <v>0</v>
      </c>
      <c r="CJ29" s="104">
        <f>COUNTIFS('свод практик'!$J$6:$J$277,CJ$1,'свод практик'!$B$6:$B$277,"смежная",'свод практик'!$D$6:$D$277,"мун")</f>
        <v>0</v>
      </c>
      <c r="CK29" s="104">
        <f>COUNTIFS('свод практик'!$J$6:$J$277,CK$1,'свод практик'!$B$6:$B$277,"смежная",'свод практик'!$D$6:$D$277,"мун")</f>
        <v>0</v>
      </c>
    </row>
    <row r="30" spans="1:89" ht="25" customHeight="1">
      <c r="A30" s="676" t="s">
        <v>4933</v>
      </c>
      <c r="D30" s="675">
        <f t="shared" si="0"/>
        <v>27</v>
      </c>
      <c r="E30">
        <f>COUNTIFS('свод практик'!$J$6:$J$277,E$1,'свод практик'!$B$6:$B$277,"смежная",'свод практик'!$D$6:$D$277,"суб")</f>
        <v>0</v>
      </c>
      <c r="F30" s="104">
        <f>COUNTIFS('свод практик'!$J$6:$J$277,F$1,'свод практик'!$B$6:$B$277,"смежная",'свод практик'!$D$6:$D$277,"суб")</f>
        <v>0</v>
      </c>
      <c r="G30" s="104">
        <f>COUNTIFS('свод практик'!$J$6:$J$277,G$1,'свод практик'!$B$6:$B$277,"смежная",'свод практик'!$D$6:$D$277,"суб")</f>
        <v>0</v>
      </c>
      <c r="H30" s="104">
        <f>COUNTIFS('свод практик'!$J$6:$J$277,H$1,'свод практик'!$B$6:$B$277,"смежная",'свод практик'!$D$6:$D$277,"суб")</f>
        <v>0</v>
      </c>
      <c r="I30" s="104">
        <f>COUNTIFS('свод практик'!$J$6:$J$277,I$1,'свод практик'!$B$6:$B$277,"смежная",'свод практик'!$D$6:$D$277,"суб")</f>
        <v>1</v>
      </c>
      <c r="J30" s="104">
        <f>COUNTIFS('свод практик'!$J$6:$J$277,J$1,'свод практик'!$B$6:$B$277,"смежная",'свод практик'!$D$6:$D$277,"суб")</f>
        <v>0</v>
      </c>
      <c r="K30" s="104">
        <f>COUNTIFS('свод практик'!$J$6:$J$277,K$1,'свод практик'!$B$6:$B$277,"смежная",'свод практик'!$D$6:$D$277,"суб")</f>
        <v>1</v>
      </c>
      <c r="L30" s="104">
        <f>COUNTIFS('свод практик'!$J$6:$J$277,L$1,'свод практик'!$B$6:$B$277,"смежная",'свод практик'!$D$6:$D$277,"суб")</f>
        <v>2</v>
      </c>
      <c r="M30" s="104">
        <f>COUNTIFS('свод практик'!$J$6:$J$277,M$1,'свод практик'!$B$6:$B$277,"смежная",'свод практик'!$D$6:$D$277,"суб")</f>
        <v>0</v>
      </c>
      <c r="N30" s="104">
        <f>COUNTIFS('свод практик'!$J$6:$J$277,N$1,'свод практик'!$B$6:$B$277,"смежная",'свод практик'!$D$6:$D$277,"суб")</f>
        <v>1</v>
      </c>
      <c r="O30" s="104">
        <f>COUNTIFS('свод практик'!$J$6:$J$277,O$1,'свод практик'!$B$6:$B$277,"смежная",'свод практик'!$D$6:$D$277,"суб")</f>
        <v>1</v>
      </c>
      <c r="P30" s="104">
        <f>COUNTIFS('свод практик'!$J$6:$J$277,P$1,'свод практик'!$B$6:$B$277,"смежная",'свод практик'!$D$6:$D$277,"суб")</f>
        <v>0</v>
      </c>
      <c r="Q30" s="104">
        <f>COUNTIFS('свод практик'!$J$6:$J$277,Q$1,'свод практик'!$B$6:$B$277,"смежная",'свод практик'!$D$6:$D$277,"суб")</f>
        <v>0</v>
      </c>
      <c r="R30" s="104">
        <f>COUNTIFS('свод практик'!$J$6:$J$277,R$1,'свод практик'!$B$6:$B$277,"смежная",'свод практик'!$D$6:$D$277,"суб")</f>
        <v>1</v>
      </c>
      <c r="S30" s="104">
        <f>COUNTIFS('свод практик'!$J$6:$J$277,S$1,'свод практик'!$B$6:$B$277,"смежная",'свод практик'!$D$6:$D$277,"суб")</f>
        <v>0</v>
      </c>
      <c r="T30" s="104">
        <f>COUNTIFS('свод практик'!$J$6:$J$277,T$1,'свод практик'!$B$6:$B$277,"смежная",'свод практик'!$D$6:$D$277,"суб")</f>
        <v>0</v>
      </c>
      <c r="U30" s="104">
        <f>COUNTIFS('свод практик'!$J$6:$J$277,U$1,'свод практик'!$B$6:$B$277,"смежная",'свод практик'!$D$6:$D$277,"суб")</f>
        <v>1</v>
      </c>
      <c r="V30" s="104">
        <f>COUNTIFS('свод практик'!$J$6:$J$277,V$1,'свод практик'!$B$6:$B$277,"смежная",'свод практик'!$D$6:$D$277,"суб")</f>
        <v>0</v>
      </c>
      <c r="W30" s="104">
        <f>COUNTIFS('свод практик'!$J$6:$J$277,W$1,'свод практик'!$B$6:$B$277,"смежная",'свод практик'!$D$6:$D$277,"суб")</f>
        <v>0</v>
      </c>
      <c r="X30" s="104">
        <f>COUNTIFS('свод практик'!$J$6:$J$277,X$1,'свод практик'!$B$6:$B$277,"смежная",'свод практик'!$D$6:$D$277,"суб")</f>
        <v>1</v>
      </c>
      <c r="Y30" s="104">
        <f>COUNTIFS('свод практик'!$J$6:$J$277,Y$1,'свод практик'!$B$6:$B$277,"смежная",'свод практик'!$D$6:$D$277,"суб")</f>
        <v>0</v>
      </c>
      <c r="Z30" s="104">
        <f>COUNTIFS('свод практик'!$J$6:$J$277,Z$1,'свод практик'!$B$6:$B$277,"смежная",'свод практик'!$D$6:$D$277,"суб")</f>
        <v>1</v>
      </c>
      <c r="AA30" s="104">
        <f>COUNTIFS('свод практик'!$J$6:$J$277,AA$1,'свод практик'!$B$6:$B$277,"смежная",'свод практик'!$D$6:$D$277,"суб")</f>
        <v>0</v>
      </c>
      <c r="AB30" s="104">
        <f>COUNTIFS('свод практик'!$J$6:$J$277,AB$1,'свод практик'!$B$6:$B$277,"смежная",'свод практик'!$D$6:$D$277,"суб")</f>
        <v>0</v>
      </c>
      <c r="AC30" s="104">
        <f>COUNTIFS('свод практик'!$J$6:$J$277,AC$1,'свод практик'!$B$6:$B$277,"смежная",'свод практик'!$D$6:$D$277,"суб")</f>
        <v>0</v>
      </c>
      <c r="AD30" s="104">
        <f>COUNTIFS('свод практик'!$J$6:$J$277,AD$1,'свод практик'!$B$6:$B$277,"смежная",'свод практик'!$D$6:$D$277,"суб")</f>
        <v>0</v>
      </c>
      <c r="AE30" s="104">
        <f>COUNTIFS('свод практик'!$J$6:$J$277,AE$1,'свод практик'!$B$6:$B$277,"смежная",'свод практик'!$D$6:$D$277,"суб")</f>
        <v>1</v>
      </c>
      <c r="AF30" s="104">
        <f>COUNTIFS('свод практик'!$J$6:$J$277,AF$1,'свод практик'!$B$6:$B$277,"смежная",'свод практик'!$D$6:$D$277,"суб")</f>
        <v>0</v>
      </c>
      <c r="AG30" s="104">
        <f>COUNTIFS('свод практик'!$J$6:$J$277,AG$1,'свод практик'!$B$6:$B$277,"смежная",'свод практик'!$D$6:$D$277,"суб")</f>
        <v>1</v>
      </c>
      <c r="AH30" s="104">
        <f>COUNTIFS('свод практик'!$J$6:$J$277,AH$1,'свод практик'!$B$6:$B$277,"смежная",'свод практик'!$D$6:$D$277,"суб")</f>
        <v>0</v>
      </c>
      <c r="AI30" s="104">
        <f>COUNTIFS('свод практик'!$J$6:$J$277,AI$1,'свод практик'!$B$6:$B$277,"смежная",'свод практик'!$D$6:$D$277,"суб")</f>
        <v>2</v>
      </c>
      <c r="AJ30" s="104">
        <f>COUNTIFS('свод практик'!$J$6:$J$277,AJ$1,'свод практик'!$B$6:$B$277,"смежная",'свод практик'!$D$6:$D$277,"суб")</f>
        <v>0</v>
      </c>
      <c r="AK30" s="104">
        <f>COUNTIFS('свод практик'!$J$6:$J$277,AK$1,'свод практик'!$B$6:$B$277,"смежная",'свод практик'!$D$6:$D$277,"суб")</f>
        <v>0</v>
      </c>
      <c r="AL30" s="104">
        <f>COUNTIFS('свод практик'!$J$6:$J$277,AL$1,'свод практик'!$B$6:$B$277,"смежная",'свод практик'!$D$6:$D$277,"суб")</f>
        <v>1</v>
      </c>
      <c r="AM30" s="104">
        <f>COUNTIFS('свод практик'!$J$6:$J$277,AM$1,'свод практик'!$B$6:$B$277,"смежная",'свод практик'!$D$6:$D$277,"суб")</f>
        <v>0</v>
      </c>
      <c r="AN30" s="104">
        <f>COUNTIFS('свод практик'!$J$6:$J$277,AN$1,'свод практик'!$B$6:$B$277,"смежная",'свод практик'!$D$6:$D$277,"суб")</f>
        <v>0</v>
      </c>
      <c r="AO30" s="104">
        <f>COUNTIFS('свод практик'!$J$6:$J$277,AO$1,'свод практик'!$B$6:$B$277,"смежная",'свод практик'!$D$6:$D$277,"суб")</f>
        <v>2</v>
      </c>
      <c r="AP30" s="104">
        <f>COUNTIFS('свод практик'!$J$6:$J$277,AP$1,'свод практик'!$B$6:$B$277,"смежная",'свод практик'!$D$6:$D$277,"суб")</f>
        <v>1</v>
      </c>
      <c r="AQ30" s="104">
        <f>COUNTIFS('свод практик'!$J$6:$J$277,AQ$1,'свод практик'!$B$6:$B$277,"смежная",'свод практик'!$D$6:$D$277,"суб")</f>
        <v>0</v>
      </c>
      <c r="AR30" s="104">
        <f>COUNTIFS('свод практик'!$J$6:$J$277,AR$1,'свод практик'!$B$6:$B$277,"смежная",'свод практик'!$D$6:$D$277,"суб")</f>
        <v>0</v>
      </c>
      <c r="AS30" s="104">
        <f>COUNTIFS('свод практик'!$J$6:$J$277,AS$1,'свод практик'!$B$6:$B$277,"смежная",'свод практик'!$D$6:$D$277,"суб")</f>
        <v>0</v>
      </c>
      <c r="AT30" s="104">
        <f>COUNTIFS('свод практик'!$J$6:$J$277,AT$1,'свод практик'!$B$6:$B$277,"смежная",'свод практик'!$D$6:$D$277,"суб")</f>
        <v>0</v>
      </c>
      <c r="AU30" s="104">
        <f>COUNTIFS('свод практик'!$J$6:$J$277,AU$1,'свод практик'!$B$6:$B$277,"смежная",'свод практик'!$D$6:$D$277,"суб")</f>
        <v>0</v>
      </c>
      <c r="AV30" s="104">
        <f>COUNTIFS('свод практик'!$J$6:$J$277,AV$1,'свод практик'!$B$6:$B$277,"смежная",'свод практик'!$D$6:$D$277,"суб")</f>
        <v>0</v>
      </c>
      <c r="AW30" s="104">
        <f>COUNTIFS('свод практик'!$J$6:$J$277,AW$1,'свод практик'!$B$6:$B$277,"смежная",'свод практик'!$D$6:$D$277,"суб")</f>
        <v>0</v>
      </c>
      <c r="AX30" s="104">
        <f>COUNTIFS('свод практик'!$J$6:$J$277,AX$1,'свод практик'!$B$6:$B$277,"смежная",'свод практик'!$D$6:$D$277,"суб")</f>
        <v>0</v>
      </c>
      <c r="AY30" s="104">
        <f>COUNTIFS('свод практик'!$J$6:$J$277,AY$1,'свод практик'!$B$6:$B$277,"смежная",'свод практик'!$D$6:$D$277,"суб")</f>
        <v>2</v>
      </c>
      <c r="AZ30" s="104">
        <f>COUNTIFS('свод практик'!$J$6:$J$277,AZ$1,'свод практик'!$B$6:$B$277,"смежная",'свод практик'!$D$6:$D$277,"суб")</f>
        <v>0</v>
      </c>
      <c r="BA30" s="104">
        <f>COUNTIFS('свод практик'!$J$6:$J$277,BA$1,'свод практик'!$B$6:$B$277,"смежная",'свод практик'!$D$6:$D$277,"суб")</f>
        <v>0</v>
      </c>
      <c r="BB30" s="104">
        <f>COUNTIFS('свод практик'!$J$6:$J$277,BB$1,'свод практик'!$B$6:$B$277,"смежная",'свод практик'!$D$6:$D$277,"суб")</f>
        <v>0</v>
      </c>
      <c r="BC30" s="104">
        <f>COUNTIFS('свод практик'!$J$6:$J$277,BC$1,'свод практик'!$B$6:$B$277,"смежная",'свод практик'!$D$6:$D$277,"суб")</f>
        <v>0</v>
      </c>
      <c r="BD30" s="104">
        <f>COUNTIFS('свод практик'!$J$6:$J$277,BD$1,'свод практик'!$B$6:$B$277,"смежная",'свод практик'!$D$6:$D$277,"суб")</f>
        <v>0</v>
      </c>
      <c r="BE30" s="104">
        <f>COUNTIFS('свод практик'!$J$6:$J$277,BE$1,'свод практик'!$B$6:$B$277,"смежная",'свод практик'!$D$6:$D$277,"суб")</f>
        <v>0</v>
      </c>
      <c r="BF30" s="104">
        <f>COUNTIFS('свод практик'!$J$6:$J$277,BF$1,'свод практик'!$B$6:$B$277,"смежная",'свод практик'!$D$6:$D$277,"суб")</f>
        <v>0</v>
      </c>
      <c r="BG30" s="104">
        <f>COUNTIFS('свод практик'!$J$6:$J$277,BG$1,'свод практик'!$B$6:$B$277,"смежная",'свод практик'!$D$6:$D$277,"суб")</f>
        <v>1</v>
      </c>
      <c r="BH30" s="104">
        <f>COUNTIFS('свод практик'!$J$6:$J$277,BH$1,'свод практик'!$B$6:$B$277,"смежная",'свод практик'!$D$6:$D$277,"суб")</f>
        <v>0</v>
      </c>
      <c r="BI30" s="104">
        <f>COUNTIFS('свод практик'!$J$6:$J$277,BI$1,'свод практик'!$B$6:$B$277,"смежная",'свод практик'!$D$6:$D$277,"суб")</f>
        <v>0</v>
      </c>
      <c r="BJ30" s="104">
        <f>COUNTIFS('свод практик'!$J$6:$J$277,BJ$1,'свод практик'!$B$6:$B$277,"смежная",'свод практик'!$D$6:$D$277,"суб")</f>
        <v>0</v>
      </c>
      <c r="BK30" s="104">
        <f>COUNTIFS('свод практик'!$J$6:$J$277,BK$1,'свод практик'!$B$6:$B$277,"смежная",'свод практик'!$D$6:$D$277,"суб")</f>
        <v>0</v>
      </c>
      <c r="BL30" s="104">
        <f>COUNTIFS('свод практик'!$J$6:$J$277,BL$1,'свод практик'!$B$6:$B$277,"смежная",'свод практик'!$D$6:$D$277,"суб")</f>
        <v>0</v>
      </c>
      <c r="BM30" s="104">
        <f>COUNTIFS('свод практик'!$J$6:$J$277,BM$1,'свод практик'!$B$6:$B$277,"смежная",'свод практик'!$D$6:$D$277,"суб")</f>
        <v>0</v>
      </c>
      <c r="BN30" s="104">
        <f>COUNTIFS('свод практик'!$J$6:$J$277,BN$1,'свод практик'!$B$6:$B$277,"смежная",'свод практик'!$D$6:$D$277,"суб")</f>
        <v>0</v>
      </c>
      <c r="BO30" s="104">
        <f>COUNTIFS('свод практик'!$J$6:$J$277,BO$1,'свод практик'!$B$6:$B$277,"смежная",'свод практик'!$D$6:$D$277,"суб")</f>
        <v>0</v>
      </c>
      <c r="BP30" s="104">
        <f>COUNTIFS('свод практик'!$J$6:$J$277,BP$1,'свод практик'!$B$6:$B$277,"смежная",'свод практик'!$D$6:$D$277,"суб")</f>
        <v>0</v>
      </c>
      <c r="BQ30" s="104">
        <f>COUNTIFS('свод практик'!$J$6:$J$277,BQ$1,'свод практик'!$B$6:$B$277,"смежная",'свод практик'!$D$6:$D$277,"суб")</f>
        <v>0</v>
      </c>
      <c r="BR30" s="104">
        <f>COUNTIFS('свод практик'!$J$6:$J$277,BR$1,'свод практик'!$B$6:$B$277,"смежная",'свод практик'!$D$6:$D$277,"суб")</f>
        <v>1</v>
      </c>
      <c r="BS30" s="104">
        <f>COUNTIFS('свод практик'!$J$6:$J$277,BS$1,'свод практик'!$B$6:$B$277,"смежная",'свод практик'!$D$6:$D$277,"суб")</f>
        <v>0</v>
      </c>
      <c r="BT30" s="104">
        <f>COUNTIFS('свод практик'!$J$6:$J$277,BT$1,'свод практик'!$B$6:$B$277,"смежная",'свод практик'!$D$6:$D$277,"суб")</f>
        <v>0</v>
      </c>
      <c r="BU30" s="104">
        <f>COUNTIFS('свод практик'!$J$6:$J$277,BU$1,'свод практик'!$B$6:$B$277,"смежная",'свод практик'!$D$6:$D$277,"суб")</f>
        <v>3</v>
      </c>
      <c r="BV30" s="104">
        <f>COUNTIFS('свод практик'!$J$6:$J$277,BV$1,'свод практик'!$B$6:$B$277,"смежная",'свод практик'!$D$6:$D$277,"суб")</f>
        <v>0</v>
      </c>
      <c r="BW30" s="104">
        <f>COUNTIFS('свод практик'!$J$6:$J$277,BW$1,'свод практик'!$B$6:$B$277,"смежная",'свод практик'!$D$6:$D$277,"суб")</f>
        <v>0</v>
      </c>
      <c r="BX30" s="104">
        <f>COUNTIFS('свод практик'!$J$6:$J$277,BX$1,'свод практик'!$B$6:$B$277,"смежная",'свод практик'!$D$6:$D$277,"суб")</f>
        <v>0</v>
      </c>
      <c r="BY30" s="104">
        <f>COUNTIFS('свод практик'!$J$6:$J$277,BY$1,'свод практик'!$B$6:$B$277,"смежная",'свод практик'!$D$6:$D$277,"суб")</f>
        <v>0</v>
      </c>
      <c r="BZ30" s="104">
        <f>COUNTIFS('свод практик'!$J$6:$J$277,BZ$1,'свод практик'!$B$6:$B$277,"смежная",'свод практик'!$D$6:$D$277,"суб")</f>
        <v>0</v>
      </c>
      <c r="CA30" s="104">
        <f>COUNTIFS('свод практик'!$J$6:$J$277,CA$1,'свод практик'!$B$6:$B$277,"смежная",'свод практик'!$D$6:$D$277,"суб")</f>
        <v>0</v>
      </c>
      <c r="CB30" s="104">
        <f>COUNTIFS('свод практик'!$J$6:$J$277,CB$1,'свод практик'!$B$6:$B$277,"смежная",'свод практик'!$D$6:$D$277,"суб")</f>
        <v>0</v>
      </c>
      <c r="CC30" s="104">
        <f>COUNTIFS('свод практик'!$J$6:$J$277,CC$1,'свод практик'!$B$6:$B$277,"смежная",'свод практик'!$D$6:$D$277,"суб")</f>
        <v>1</v>
      </c>
      <c r="CD30" s="104">
        <f>COUNTIFS('свод практик'!$J$6:$J$277,CD$1,'свод практик'!$B$6:$B$277,"смежная",'свод практик'!$D$6:$D$277,"суб")</f>
        <v>0</v>
      </c>
      <c r="CE30" s="104">
        <f>COUNTIFS('свод практик'!$J$6:$J$277,CE$1,'свод практик'!$B$6:$B$277,"смежная",'свод практик'!$D$6:$D$277,"суб")</f>
        <v>1</v>
      </c>
      <c r="CF30" s="104">
        <f>COUNTIFS('свод практик'!$J$6:$J$277,CF$1,'свод практик'!$B$6:$B$277,"смежная",'свод практик'!$D$6:$D$277,"суб")</f>
        <v>0</v>
      </c>
      <c r="CG30" s="104">
        <f>COUNTIFS('свод практик'!$J$6:$J$277,CG$1,'свод практик'!$B$6:$B$277,"смежная",'свод практик'!$D$6:$D$277,"суб")</f>
        <v>0</v>
      </c>
      <c r="CH30" s="104">
        <f>COUNTIFS('свод практик'!$J$6:$J$277,CH$1,'свод практик'!$B$6:$B$277,"смежная",'свод практик'!$D$6:$D$277,"суб")</f>
        <v>0</v>
      </c>
      <c r="CI30" s="104">
        <f>COUNTIFS('свод практик'!$J$6:$J$277,CI$1,'свод практик'!$B$6:$B$277,"смежная",'свод практик'!$D$6:$D$277,"суб")</f>
        <v>0</v>
      </c>
      <c r="CJ30" s="104">
        <f>COUNTIFS('свод практик'!$J$6:$J$277,CJ$1,'свод практик'!$B$6:$B$277,"смежная",'свод практик'!$D$6:$D$277,"суб")</f>
        <v>0</v>
      </c>
      <c r="CK30" s="104">
        <f>COUNTIFS('свод практик'!$J$6:$J$277,CK$1,'свод практик'!$B$6:$B$277,"смежная",'свод практик'!$D$6:$D$277,"суб")</f>
        <v>0</v>
      </c>
    </row>
    <row r="31" spans="1:89" ht="18.5" customHeight="1">
      <c r="A31" s="676" t="s">
        <v>5317</v>
      </c>
      <c r="D31" s="675">
        <f t="shared" si="0"/>
        <v>24</v>
      </c>
      <c r="E31">
        <f>COUNTIFS('свод практик'!$J$6:$J$277,E$1,'свод практик'!$B$6:$B$277,"смежная",'свод практик'!$D$6:$D$277,"суб/фед")</f>
        <v>0</v>
      </c>
      <c r="F31" s="104">
        <f>COUNTIFS('свод практик'!$J$6:$J$277,F$1,'свод практик'!$B$6:$B$277,"смежная",'свод практик'!$D$6:$D$277,"суб/фед")</f>
        <v>2</v>
      </c>
      <c r="G31" s="104">
        <f>COUNTIFS('свод практик'!$J$6:$J$277,G$1,'свод практик'!$B$6:$B$277,"смежная",'свод практик'!$D$6:$D$277,"суб/фед")</f>
        <v>0</v>
      </c>
      <c r="H31" s="104">
        <f>COUNTIFS('свод практик'!$J$6:$J$277,H$1,'свод практик'!$B$6:$B$277,"смежная",'свод практик'!$D$6:$D$277,"суб/фед")</f>
        <v>0</v>
      </c>
      <c r="I31" s="104">
        <f>COUNTIFS('свод практик'!$J$6:$J$277,I$1,'свод практик'!$B$6:$B$277,"смежная",'свод практик'!$D$6:$D$277,"суб/фед")</f>
        <v>0</v>
      </c>
      <c r="J31" s="104">
        <f>COUNTIFS('свод практик'!$J$6:$J$277,J$1,'свод практик'!$B$6:$B$277,"смежная",'свод практик'!$D$6:$D$277,"суб/фед")</f>
        <v>0</v>
      </c>
      <c r="K31" s="104">
        <f>COUNTIFS('свод практик'!$J$6:$J$277,K$1,'свод практик'!$B$6:$B$277,"смежная",'свод практик'!$D$6:$D$277,"суб/фед")</f>
        <v>0</v>
      </c>
      <c r="L31" s="104">
        <f>COUNTIFS('свод практик'!$J$6:$J$277,L$1,'свод практик'!$B$6:$B$277,"смежная",'свод практик'!$D$6:$D$277,"суб/фед")</f>
        <v>0</v>
      </c>
      <c r="M31" s="104">
        <f>COUNTIFS('свод практик'!$J$6:$J$277,M$1,'свод практик'!$B$6:$B$277,"смежная",'свод практик'!$D$6:$D$277,"суб/фед")</f>
        <v>0</v>
      </c>
      <c r="N31" s="104">
        <f>COUNTIFS('свод практик'!$J$6:$J$277,N$1,'свод практик'!$B$6:$B$277,"смежная",'свод практик'!$D$6:$D$277,"суб/фед")</f>
        <v>0</v>
      </c>
      <c r="O31" s="104">
        <f>COUNTIFS('свод практик'!$J$6:$J$277,O$1,'свод практик'!$B$6:$B$277,"смежная",'свод практик'!$D$6:$D$277,"суб/фед")</f>
        <v>2</v>
      </c>
      <c r="P31" s="104">
        <f>COUNTIFS('свод практик'!$J$6:$J$277,P$1,'свод практик'!$B$6:$B$277,"смежная",'свод практик'!$D$6:$D$277,"суб/фед")</f>
        <v>0</v>
      </c>
      <c r="Q31" s="104">
        <f>COUNTIFS('свод практик'!$J$6:$J$277,Q$1,'свод практик'!$B$6:$B$277,"смежная",'свод практик'!$D$6:$D$277,"суб/фед")</f>
        <v>0</v>
      </c>
      <c r="R31" s="104">
        <f>COUNTIFS('свод практик'!$J$6:$J$277,R$1,'свод практик'!$B$6:$B$277,"смежная",'свод практик'!$D$6:$D$277,"суб/фед")</f>
        <v>1</v>
      </c>
      <c r="S31" s="104">
        <f>COUNTIFS('свод практик'!$J$6:$J$277,S$1,'свод практик'!$B$6:$B$277,"смежная",'свод практик'!$D$6:$D$277,"суб/фед")</f>
        <v>0</v>
      </c>
      <c r="T31" s="104">
        <f>COUNTIFS('свод практик'!$J$6:$J$277,T$1,'свод практик'!$B$6:$B$277,"смежная",'свод практик'!$D$6:$D$277,"суб/фед")</f>
        <v>0</v>
      </c>
      <c r="U31" s="104">
        <f>COUNTIFS('свод практик'!$J$6:$J$277,U$1,'свод практик'!$B$6:$B$277,"смежная",'свод практик'!$D$6:$D$277,"суб/фед")</f>
        <v>0</v>
      </c>
      <c r="V31" s="104">
        <f>COUNTIFS('свод практик'!$J$6:$J$277,V$1,'свод практик'!$B$6:$B$277,"смежная",'свод практик'!$D$6:$D$277,"суб/фед")</f>
        <v>0</v>
      </c>
      <c r="W31" s="104">
        <f>COUNTIFS('свод практик'!$J$6:$J$277,W$1,'свод практик'!$B$6:$B$277,"смежная",'свод практик'!$D$6:$D$277,"суб/фед")</f>
        <v>0</v>
      </c>
      <c r="X31" s="104">
        <f>COUNTIFS('свод практик'!$J$6:$J$277,X$1,'свод практик'!$B$6:$B$277,"смежная",'свод практик'!$D$6:$D$277,"суб/фед")</f>
        <v>0</v>
      </c>
      <c r="Y31" s="104">
        <f>COUNTIFS('свод практик'!$J$6:$J$277,Y$1,'свод практик'!$B$6:$B$277,"смежная",'свод практик'!$D$6:$D$277,"суб/фед")</f>
        <v>0</v>
      </c>
      <c r="Z31" s="104">
        <f>COUNTIFS('свод практик'!$J$6:$J$277,Z$1,'свод практик'!$B$6:$B$277,"смежная",'свод практик'!$D$6:$D$277,"суб/фед")</f>
        <v>1</v>
      </c>
      <c r="AA31" s="104">
        <f>COUNTIFS('свод практик'!$J$6:$J$277,AA$1,'свод практик'!$B$6:$B$277,"смежная",'свод практик'!$D$6:$D$277,"суб/фед")</f>
        <v>0</v>
      </c>
      <c r="AB31" s="104">
        <f>COUNTIFS('свод практик'!$J$6:$J$277,AB$1,'свод практик'!$B$6:$B$277,"смежная",'свод практик'!$D$6:$D$277,"суб/фед")</f>
        <v>0</v>
      </c>
      <c r="AC31" s="104">
        <f>COUNTIFS('свод практик'!$J$6:$J$277,AC$1,'свод практик'!$B$6:$B$277,"смежная",'свод практик'!$D$6:$D$277,"суб/фед")</f>
        <v>0</v>
      </c>
      <c r="AD31" s="104">
        <f>COUNTIFS('свод практик'!$J$6:$J$277,AD$1,'свод практик'!$B$6:$B$277,"смежная",'свод практик'!$D$6:$D$277,"суб/фед")</f>
        <v>0</v>
      </c>
      <c r="AE31" s="104">
        <f>COUNTIFS('свод практик'!$J$6:$J$277,AE$1,'свод практик'!$B$6:$B$277,"смежная",'свод практик'!$D$6:$D$277,"суб/фед")</f>
        <v>0</v>
      </c>
      <c r="AF31" s="104">
        <f>COUNTIFS('свод практик'!$J$6:$J$277,AF$1,'свод практик'!$B$6:$B$277,"смежная",'свод практик'!$D$6:$D$277,"суб/фед")</f>
        <v>0</v>
      </c>
      <c r="AG31" s="104">
        <f>COUNTIFS('свод практик'!$J$6:$J$277,AG$1,'свод практик'!$B$6:$B$277,"смежная",'свод практик'!$D$6:$D$277,"суб/фед")</f>
        <v>0</v>
      </c>
      <c r="AH31" s="104">
        <f>COUNTIFS('свод практик'!$J$6:$J$277,AH$1,'свод практик'!$B$6:$B$277,"смежная",'свод практик'!$D$6:$D$277,"суб/фед")</f>
        <v>0</v>
      </c>
      <c r="AI31" s="104">
        <f>COUNTIFS('свод практик'!$J$6:$J$277,AI$1,'свод практик'!$B$6:$B$277,"смежная",'свод практик'!$D$6:$D$277,"суб/фед")</f>
        <v>1</v>
      </c>
      <c r="AJ31" s="104">
        <f>COUNTIFS('свод практик'!$J$6:$J$277,AJ$1,'свод практик'!$B$6:$B$277,"смежная",'свод практик'!$D$6:$D$277,"суб/фед")</f>
        <v>0</v>
      </c>
      <c r="AK31" s="104">
        <f>COUNTIFS('свод практик'!$J$6:$J$277,AK$1,'свод практик'!$B$6:$B$277,"смежная",'свод практик'!$D$6:$D$277,"суб/фед")</f>
        <v>0</v>
      </c>
      <c r="AL31" s="104">
        <f>COUNTIFS('свод практик'!$J$6:$J$277,AL$1,'свод практик'!$B$6:$B$277,"смежная",'свод практик'!$D$6:$D$277,"суб/фед")</f>
        <v>2</v>
      </c>
      <c r="AM31" s="104">
        <f>COUNTIFS('свод практик'!$J$6:$J$277,AM$1,'свод практик'!$B$6:$B$277,"смежная",'свод практик'!$D$6:$D$277,"суб/фед")</f>
        <v>2</v>
      </c>
      <c r="AN31" s="104">
        <f>COUNTIFS('свод практик'!$J$6:$J$277,AN$1,'свод практик'!$B$6:$B$277,"смежная",'свод практик'!$D$6:$D$277,"суб/фед")</f>
        <v>0</v>
      </c>
      <c r="AO31" s="104">
        <f>COUNTIFS('свод практик'!$J$6:$J$277,AO$1,'свод практик'!$B$6:$B$277,"смежная",'свод практик'!$D$6:$D$277,"суб/фед")</f>
        <v>0</v>
      </c>
      <c r="AP31" s="104">
        <f>COUNTIFS('свод практик'!$J$6:$J$277,AP$1,'свод практик'!$B$6:$B$277,"смежная",'свод практик'!$D$6:$D$277,"суб/фед")</f>
        <v>1</v>
      </c>
      <c r="AQ31" s="104">
        <f>COUNTIFS('свод практик'!$J$6:$J$277,AQ$1,'свод практик'!$B$6:$B$277,"смежная",'свод практик'!$D$6:$D$277,"суб/фед")</f>
        <v>0</v>
      </c>
      <c r="AR31" s="104">
        <f>COUNTIFS('свод практик'!$J$6:$J$277,AR$1,'свод практик'!$B$6:$B$277,"смежная",'свод практик'!$D$6:$D$277,"суб/фед")</f>
        <v>0</v>
      </c>
      <c r="AS31" s="104">
        <f>COUNTIFS('свод практик'!$J$6:$J$277,AS$1,'свод практик'!$B$6:$B$277,"смежная",'свод практик'!$D$6:$D$277,"суб/фед")</f>
        <v>0</v>
      </c>
      <c r="AT31" s="104">
        <f>COUNTIFS('свод практик'!$J$6:$J$277,AT$1,'свод практик'!$B$6:$B$277,"смежная",'свод практик'!$D$6:$D$277,"суб/фед")</f>
        <v>0</v>
      </c>
      <c r="AU31" s="104">
        <f>COUNTIFS('свод практик'!$J$6:$J$277,AU$1,'свод практик'!$B$6:$B$277,"смежная",'свод практик'!$D$6:$D$277,"суб/фед")</f>
        <v>0</v>
      </c>
      <c r="AV31" s="104">
        <f>COUNTIFS('свод практик'!$J$6:$J$277,AV$1,'свод практик'!$B$6:$B$277,"смежная",'свод практик'!$D$6:$D$277,"суб/фед")</f>
        <v>0</v>
      </c>
      <c r="AW31" s="104">
        <f>COUNTIFS('свод практик'!$J$6:$J$277,AW$1,'свод практик'!$B$6:$B$277,"смежная",'свод практик'!$D$6:$D$277,"суб/фед")</f>
        <v>0</v>
      </c>
      <c r="AX31" s="104">
        <f>COUNTIFS('свод практик'!$J$6:$J$277,AX$1,'свод практик'!$B$6:$B$277,"смежная",'свод практик'!$D$6:$D$277,"суб/фед")</f>
        <v>0</v>
      </c>
      <c r="AY31" s="104">
        <f>COUNTIFS('свод практик'!$J$6:$J$277,AY$1,'свод практик'!$B$6:$B$277,"смежная",'свод практик'!$D$6:$D$277,"суб/фед")</f>
        <v>2</v>
      </c>
      <c r="AZ31" s="104">
        <f>COUNTIFS('свод практик'!$J$6:$J$277,AZ$1,'свод практик'!$B$6:$B$277,"смежная",'свод практик'!$D$6:$D$277,"суб/фед")</f>
        <v>0</v>
      </c>
      <c r="BA31" s="104">
        <f>COUNTIFS('свод практик'!$J$6:$J$277,BA$1,'свод практик'!$B$6:$B$277,"смежная",'свод практик'!$D$6:$D$277,"суб/фед")</f>
        <v>0</v>
      </c>
      <c r="BB31" s="104">
        <f>COUNTIFS('свод практик'!$J$6:$J$277,BB$1,'свод практик'!$B$6:$B$277,"смежная",'свод практик'!$D$6:$D$277,"суб/фед")</f>
        <v>0</v>
      </c>
      <c r="BC31" s="104">
        <f>COUNTIFS('свод практик'!$J$6:$J$277,BC$1,'свод практик'!$B$6:$B$277,"смежная",'свод практик'!$D$6:$D$277,"суб/фед")</f>
        <v>1</v>
      </c>
      <c r="BD31" s="104">
        <f>COUNTIFS('свод практик'!$J$6:$J$277,BD$1,'свод практик'!$B$6:$B$277,"смежная",'свод практик'!$D$6:$D$277,"суб/фед")</f>
        <v>1</v>
      </c>
      <c r="BE31" s="104">
        <f>COUNTIFS('свод практик'!$J$6:$J$277,BE$1,'свод практик'!$B$6:$B$277,"смежная",'свод практик'!$D$6:$D$277,"суб/фед")</f>
        <v>0</v>
      </c>
      <c r="BF31" s="104">
        <f>COUNTIFS('свод практик'!$J$6:$J$277,BF$1,'свод практик'!$B$6:$B$277,"смежная",'свод практик'!$D$6:$D$277,"суб/фед")</f>
        <v>0</v>
      </c>
      <c r="BG31" s="104">
        <f>COUNTIFS('свод практик'!$J$6:$J$277,BG$1,'свод практик'!$B$6:$B$277,"смежная",'свод практик'!$D$6:$D$277,"суб/фед")</f>
        <v>0</v>
      </c>
      <c r="BH31" s="104">
        <f>COUNTIFS('свод практик'!$J$6:$J$277,BH$1,'свод практик'!$B$6:$B$277,"смежная",'свод практик'!$D$6:$D$277,"суб/фед")</f>
        <v>0</v>
      </c>
      <c r="BI31" s="104">
        <f>COUNTIFS('свод практик'!$J$6:$J$277,BI$1,'свод практик'!$B$6:$B$277,"смежная",'свод практик'!$D$6:$D$277,"суб/фед")</f>
        <v>1</v>
      </c>
      <c r="BJ31" s="104">
        <f>COUNTIFS('свод практик'!$J$6:$J$277,BJ$1,'свод практик'!$B$6:$B$277,"смежная",'свод практик'!$D$6:$D$277,"суб/фед")</f>
        <v>0</v>
      </c>
      <c r="BK31" s="104">
        <f>COUNTIFS('свод практик'!$J$6:$J$277,BK$1,'свод практик'!$B$6:$B$277,"смежная",'свод практик'!$D$6:$D$277,"суб/фед")</f>
        <v>0</v>
      </c>
      <c r="BL31" s="104">
        <f>COUNTIFS('свод практик'!$J$6:$J$277,BL$1,'свод практик'!$B$6:$B$277,"смежная",'свод практик'!$D$6:$D$277,"суб/фед")</f>
        <v>0</v>
      </c>
      <c r="BM31" s="104">
        <f>COUNTIFS('свод практик'!$J$6:$J$277,BM$1,'свод практик'!$B$6:$B$277,"смежная",'свод практик'!$D$6:$D$277,"суб/фед")</f>
        <v>0</v>
      </c>
      <c r="BN31" s="104">
        <f>COUNTIFS('свод практик'!$J$6:$J$277,BN$1,'свод практик'!$B$6:$B$277,"смежная",'свод практик'!$D$6:$D$277,"суб/фед")</f>
        <v>0</v>
      </c>
      <c r="BO31" s="104">
        <f>COUNTIFS('свод практик'!$J$6:$J$277,BO$1,'свод практик'!$B$6:$B$277,"смежная",'свод практик'!$D$6:$D$277,"суб/фед")</f>
        <v>2</v>
      </c>
      <c r="BP31" s="104">
        <f>COUNTIFS('свод практик'!$J$6:$J$277,BP$1,'свод практик'!$B$6:$B$277,"смежная",'свод практик'!$D$6:$D$277,"суб/фед")</f>
        <v>0</v>
      </c>
      <c r="BQ31" s="104">
        <f>COUNTIFS('свод практик'!$J$6:$J$277,BQ$1,'свод практик'!$B$6:$B$277,"смежная",'свод практик'!$D$6:$D$277,"суб/фед")</f>
        <v>0</v>
      </c>
      <c r="BR31" s="104">
        <f>COUNTIFS('свод практик'!$J$6:$J$277,BR$1,'свод практик'!$B$6:$B$277,"смежная",'свод практик'!$D$6:$D$277,"суб/фед")</f>
        <v>0</v>
      </c>
      <c r="BS31" s="104">
        <f>COUNTIFS('свод практик'!$J$6:$J$277,BS$1,'свод практик'!$B$6:$B$277,"смежная",'свод практик'!$D$6:$D$277,"суб/фед")</f>
        <v>0</v>
      </c>
      <c r="BT31" s="104">
        <f>COUNTIFS('свод практик'!$J$6:$J$277,BT$1,'свод практик'!$B$6:$B$277,"смежная",'свод практик'!$D$6:$D$277,"суб/фед")</f>
        <v>1</v>
      </c>
      <c r="BU31" s="104">
        <f>COUNTIFS('свод практик'!$J$6:$J$277,BU$1,'свод практик'!$B$6:$B$277,"смежная",'свод практик'!$D$6:$D$277,"суб/фед")</f>
        <v>0</v>
      </c>
      <c r="BV31" s="104">
        <f>COUNTIFS('свод практик'!$J$6:$J$277,BV$1,'свод практик'!$B$6:$B$277,"смежная",'свод практик'!$D$6:$D$277,"суб/фед")</f>
        <v>0</v>
      </c>
      <c r="BW31" s="104">
        <f>COUNTIFS('свод практик'!$J$6:$J$277,BW$1,'свод практик'!$B$6:$B$277,"смежная",'свод практик'!$D$6:$D$277,"суб/фед")</f>
        <v>0</v>
      </c>
      <c r="BX31" s="104">
        <f>COUNTIFS('свод практик'!$J$6:$J$277,BX$1,'свод практик'!$B$6:$B$277,"смежная",'свод практик'!$D$6:$D$277,"суб/фед")</f>
        <v>0</v>
      </c>
      <c r="BY31" s="104">
        <f>COUNTIFS('свод практик'!$J$6:$J$277,BY$1,'свод практик'!$B$6:$B$277,"смежная",'свод практик'!$D$6:$D$277,"суб/фед")</f>
        <v>0</v>
      </c>
      <c r="BZ31" s="104">
        <f>COUNTIFS('свод практик'!$J$6:$J$277,BZ$1,'свод практик'!$B$6:$B$277,"смежная",'свод практик'!$D$6:$D$277,"суб/фед")</f>
        <v>2</v>
      </c>
      <c r="CA31" s="104">
        <f>COUNTIFS('свод практик'!$J$6:$J$277,CA$1,'свод практик'!$B$6:$B$277,"смежная",'свод практик'!$D$6:$D$277,"суб/фед")</f>
        <v>0</v>
      </c>
      <c r="CB31" s="104">
        <f>COUNTIFS('свод практик'!$J$6:$J$277,CB$1,'свод практик'!$B$6:$B$277,"смежная",'свод практик'!$D$6:$D$277,"суб/фед")</f>
        <v>0</v>
      </c>
      <c r="CC31" s="104">
        <f>COUNTIFS('свод практик'!$J$6:$J$277,CC$1,'свод практик'!$B$6:$B$277,"смежная",'свод практик'!$D$6:$D$277,"суб/фед")</f>
        <v>0</v>
      </c>
      <c r="CD31" s="104">
        <f>COUNTIFS('свод практик'!$J$6:$J$277,CD$1,'свод практик'!$B$6:$B$277,"смежная",'свод практик'!$D$6:$D$277,"суб/фед")</f>
        <v>0</v>
      </c>
      <c r="CE31" s="104">
        <f>COUNTIFS('свод практик'!$J$6:$J$277,CE$1,'свод практик'!$B$6:$B$277,"смежная",'свод практик'!$D$6:$D$277,"суб/фед")</f>
        <v>2</v>
      </c>
      <c r="CF31" s="104">
        <f>COUNTIFS('свод практик'!$J$6:$J$277,CF$1,'свод практик'!$B$6:$B$277,"смежная",'свод практик'!$D$6:$D$277,"суб/фед")</f>
        <v>0</v>
      </c>
      <c r="CG31" s="104">
        <f>COUNTIFS('свод практик'!$J$6:$J$277,CG$1,'свод практик'!$B$6:$B$277,"смежная",'свод практик'!$D$6:$D$277,"суб/фед")</f>
        <v>0</v>
      </c>
      <c r="CH31" s="104">
        <f>COUNTIFS('свод практик'!$J$6:$J$277,CH$1,'свод практик'!$B$6:$B$277,"смежная",'свод практик'!$D$6:$D$277,"суб/фед")</f>
        <v>0</v>
      </c>
      <c r="CI31" s="104">
        <f>COUNTIFS('свод практик'!$J$6:$J$277,CI$1,'свод практик'!$B$6:$B$277,"смежная",'свод практик'!$D$6:$D$277,"суб/фед")</f>
        <v>0</v>
      </c>
      <c r="CJ31" s="104">
        <f>COUNTIFS('свод практик'!$J$6:$J$277,CJ$1,'свод практик'!$B$6:$B$277,"смежная",'свод практик'!$D$6:$D$277,"суб/фед")</f>
        <v>0</v>
      </c>
      <c r="CK31" s="104">
        <f>COUNTIFS('свод практик'!$J$6:$J$277,CK$1,'свод практик'!$B$6:$B$277,"смежная",'свод практик'!$D$6:$D$277,"суб/фед")</f>
        <v>0</v>
      </c>
    </row>
    <row r="32" spans="1:89" ht="42.5" customHeight="1">
      <c r="D32" s="677"/>
    </row>
    <row r="33" spans="1:89" ht="17.5" customHeight="1">
      <c r="A33" s="843" t="s">
        <v>5861</v>
      </c>
      <c r="B33" s="843"/>
      <c r="C33" s="843"/>
      <c r="D33" s="677"/>
    </row>
    <row r="34" spans="1:89">
      <c r="A34" s="680" t="s">
        <v>5314</v>
      </c>
      <c r="D34" s="675">
        <f t="shared" si="0"/>
        <v>29</v>
      </c>
      <c r="E34">
        <f>COUNTIFS('свод практик'!$B$6:$B$277,"смежная",'свод практик'!$J$6:$J$277,E$1,'свод практик'!$E$6:$E$277,"широкая")</f>
        <v>0</v>
      </c>
      <c r="F34" s="104">
        <f>COUNTIFS('свод практик'!$B$6:$B$277,"смежная",'свод практик'!$J$6:$J$277,F$1,'свод практик'!$E$6:$E$277,"широкая")</f>
        <v>0</v>
      </c>
      <c r="G34" s="104">
        <f>COUNTIFS('свод практик'!$B$6:$B$277,"смежная",'свод практик'!$J$6:$J$277,G$1,'свод практик'!$E$6:$E$277,"широкая")</f>
        <v>0</v>
      </c>
      <c r="H34" s="104">
        <f>COUNTIFS('свод практик'!$B$6:$B$277,"смежная",'свод практик'!$J$6:$J$277,H$1,'свод практик'!$E$6:$E$277,"широкая")</f>
        <v>0</v>
      </c>
      <c r="I34" s="104">
        <f>COUNTIFS('свод практик'!$B$6:$B$277,"смежная",'свод практик'!$J$6:$J$277,I$1,'свод практик'!$E$6:$E$277,"широкая")</f>
        <v>1</v>
      </c>
      <c r="J34" s="104">
        <f>COUNTIFS('свод практик'!$B$6:$B$277,"смежная",'свод практик'!$J$6:$J$277,J$1,'свод практик'!$E$6:$E$277,"широкая")</f>
        <v>0</v>
      </c>
      <c r="K34" s="104">
        <f>COUNTIFS('свод практик'!$B$6:$B$277,"смежная",'свод практик'!$J$6:$J$277,K$1,'свод практик'!$E$6:$E$277,"широкая")</f>
        <v>1</v>
      </c>
      <c r="L34" s="104">
        <f>COUNTIFS('свод практик'!$B$6:$B$277,"смежная",'свод практик'!$J$6:$J$277,L$1,'свод практик'!$E$6:$E$277,"широкая")</f>
        <v>2</v>
      </c>
      <c r="M34" s="104">
        <f>COUNTIFS('свод практик'!$B$6:$B$277,"смежная",'свод практик'!$J$6:$J$277,M$1,'свод практик'!$E$6:$E$277,"широкая")</f>
        <v>0</v>
      </c>
      <c r="N34" s="104">
        <f>COUNTIFS('свод практик'!$B$6:$B$277,"смежная",'свод практик'!$J$6:$J$277,N$1,'свод практик'!$E$6:$E$277,"широкая")</f>
        <v>1</v>
      </c>
      <c r="O34" s="104">
        <f>COUNTIFS('свод практик'!$B$6:$B$277,"смежная",'свод практик'!$J$6:$J$277,O$1,'свод практик'!$E$6:$E$277,"широкая")</f>
        <v>1</v>
      </c>
      <c r="P34" s="104">
        <f>COUNTIFS('свод практик'!$B$6:$B$277,"смежная",'свод практик'!$J$6:$J$277,P$1,'свод практик'!$E$6:$E$277,"широкая")</f>
        <v>0</v>
      </c>
      <c r="Q34" s="104">
        <f>COUNTIFS('свод практик'!$B$6:$B$277,"смежная",'свод практик'!$J$6:$J$277,Q$1,'свод практик'!$E$6:$E$277,"широкая")</f>
        <v>0</v>
      </c>
      <c r="R34" s="104">
        <f>COUNTIFS('свод практик'!$B$6:$B$277,"смежная",'свод практик'!$J$6:$J$277,R$1,'свод практик'!$E$6:$E$277,"широкая")</f>
        <v>1</v>
      </c>
      <c r="S34" s="104">
        <f>COUNTIFS('свод практик'!$B$6:$B$277,"смежная",'свод практик'!$J$6:$J$277,S$1,'свод практик'!$E$6:$E$277,"широкая")</f>
        <v>0</v>
      </c>
      <c r="T34" s="104">
        <f>COUNTIFS('свод практик'!$B$6:$B$277,"смежная",'свод практик'!$J$6:$J$277,T$1,'свод практик'!$E$6:$E$277,"широкая")</f>
        <v>0</v>
      </c>
      <c r="U34" s="104">
        <f>COUNTIFS('свод практик'!$B$6:$B$277,"смежная",'свод практик'!$J$6:$J$277,U$1,'свод практик'!$E$6:$E$277,"широкая")</f>
        <v>1</v>
      </c>
      <c r="V34" s="104">
        <f>COUNTIFS('свод практик'!$B$6:$B$277,"смежная",'свод практик'!$J$6:$J$277,V$1,'свод практик'!$E$6:$E$277,"широкая")</f>
        <v>0</v>
      </c>
      <c r="W34" s="104">
        <f>COUNTIFS('свод практик'!$B$6:$B$277,"смежная",'свод практик'!$J$6:$J$277,W$1,'свод практик'!$E$6:$E$277,"широкая")</f>
        <v>0</v>
      </c>
      <c r="X34" s="104">
        <f>COUNTIFS('свод практик'!$B$6:$B$277,"смежная",'свод практик'!$J$6:$J$277,X$1,'свод практик'!$E$6:$E$277,"широкая")</f>
        <v>1</v>
      </c>
      <c r="Y34" s="104">
        <f>COUNTIFS('свод практик'!$B$6:$B$277,"смежная",'свод практик'!$J$6:$J$277,Y$1,'свод практик'!$E$6:$E$277,"широкая")</f>
        <v>0</v>
      </c>
      <c r="Z34" s="104">
        <f>COUNTIFS('свод практик'!$B$6:$B$277,"смежная",'свод практик'!$J$6:$J$277,Z$1,'свод практик'!$E$6:$E$277,"широкая")</f>
        <v>1</v>
      </c>
      <c r="AA34" s="104">
        <f>COUNTIFS('свод практик'!$B$6:$B$277,"смежная",'свод практик'!$J$6:$J$277,AA$1,'свод практик'!$E$6:$E$277,"широкая")</f>
        <v>0</v>
      </c>
      <c r="AB34" s="104">
        <f>COUNTIFS('свод практик'!$B$6:$B$277,"смежная",'свод практик'!$J$6:$J$277,AB$1,'свод практик'!$E$6:$E$277,"широкая")</f>
        <v>0</v>
      </c>
      <c r="AC34" s="104">
        <f>COUNTIFS('свод практик'!$B$6:$B$277,"смежная",'свод практик'!$J$6:$J$277,AC$1,'свод практик'!$E$6:$E$277,"широкая")</f>
        <v>0</v>
      </c>
      <c r="AD34" s="104">
        <f>COUNTIFS('свод практик'!$B$6:$B$277,"смежная",'свод практик'!$J$6:$J$277,AD$1,'свод практик'!$E$6:$E$277,"широкая")</f>
        <v>0</v>
      </c>
      <c r="AE34" s="104">
        <f>COUNTIFS('свод практик'!$B$6:$B$277,"смежная",'свод практик'!$J$6:$J$277,AE$1,'свод практик'!$E$6:$E$277,"широкая")</f>
        <v>1</v>
      </c>
      <c r="AF34" s="104">
        <f>COUNTIFS('свод практик'!$B$6:$B$277,"смежная",'свод практик'!$J$6:$J$277,AF$1,'свод практик'!$E$6:$E$277,"широкая")</f>
        <v>0</v>
      </c>
      <c r="AG34" s="104">
        <f>COUNTIFS('свод практик'!$B$6:$B$277,"смежная",'свод практик'!$J$6:$J$277,AG$1,'свод практик'!$E$6:$E$277,"широкая")</f>
        <v>1</v>
      </c>
      <c r="AH34" s="104">
        <f>COUNTIFS('свод практик'!$B$6:$B$277,"смежная",'свод практик'!$J$6:$J$277,AH$1,'свод практик'!$E$6:$E$277,"широкая")</f>
        <v>0</v>
      </c>
      <c r="AI34" s="104">
        <f>COUNTIFS('свод практик'!$B$6:$B$277,"смежная",'свод практик'!$J$6:$J$277,AI$1,'свод практик'!$E$6:$E$277,"широкая")</f>
        <v>0</v>
      </c>
      <c r="AJ34" s="104">
        <f>COUNTIFS('свод практик'!$B$6:$B$277,"смежная",'свод практик'!$J$6:$J$277,AJ$1,'свод практик'!$E$6:$E$277,"широкая")</f>
        <v>1</v>
      </c>
      <c r="AK34" s="104">
        <f>COUNTIFS('свод практик'!$B$6:$B$277,"смежная",'свод практик'!$J$6:$J$277,AK$1,'свод практик'!$E$6:$E$277,"широкая")</f>
        <v>0</v>
      </c>
      <c r="AL34" s="104">
        <f>COUNTIFS('свод практик'!$B$6:$B$277,"смежная",'свод практик'!$J$6:$J$277,AL$1,'свод практик'!$E$6:$E$277,"широкая")</f>
        <v>0</v>
      </c>
      <c r="AM34" s="104">
        <f>COUNTIFS('свод практик'!$B$6:$B$277,"смежная",'свод практик'!$J$6:$J$277,AM$1,'свод практик'!$E$6:$E$277,"широкая")</f>
        <v>0</v>
      </c>
      <c r="AN34" s="104">
        <f>COUNTIFS('свод практик'!$B$6:$B$277,"смежная",'свод практик'!$J$6:$J$277,AN$1,'свод практик'!$E$6:$E$277,"широкая")</f>
        <v>0</v>
      </c>
      <c r="AO34" s="104">
        <f>COUNTIFS('свод практик'!$B$6:$B$277,"смежная",'свод практик'!$J$6:$J$277,AO$1,'свод практик'!$E$6:$E$277,"широкая")</f>
        <v>2</v>
      </c>
      <c r="AP34" s="104">
        <f>COUNTIFS('свод практик'!$B$6:$B$277,"смежная",'свод практик'!$J$6:$J$277,AP$1,'свод практик'!$E$6:$E$277,"широкая")</f>
        <v>0</v>
      </c>
      <c r="AQ34" s="104">
        <f>COUNTIFS('свод практик'!$B$6:$B$277,"смежная",'свод практик'!$J$6:$J$277,AQ$1,'свод практик'!$E$6:$E$277,"широкая")</f>
        <v>0</v>
      </c>
      <c r="AR34" s="104">
        <f>COUNTIFS('свод практик'!$B$6:$B$277,"смежная",'свод практик'!$J$6:$J$277,AR$1,'свод практик'!$E$6:$E$277,"широкая")</f>
        <v>0</v>
      </c>
      <c r="AS34" s="104">
        <f>COUNTIFS('свод практик'!$B$6:$B$277,"смежная",'свод практик'!$J$6:$J$277,AS$1,'свод практик'!$E$6:$E$277,"широкая")</f>
        <v>0</v>
      </c>
      <c r="AT34" s="104">
        <f>COUNTIFS('свод практик'!$B$6:$B$277,"смежная",'свод практик'!$J$6:$J$277,AT$1,'свод практик'!$E$6:$E$277,"широкая")</f>
        <v>0</v>
      </c>
      <c r="AU34" s="104">
        <f>COUNTIFS('свод практик'!$B$6:$B$277,"смежная",'свод практик'!$J$6:$J$277,AU$1,'свод практик'!$E$6:$E$277,"широкая")</f>
        <v>0</v>
      </c>
      <c r="AV34" s="104">
        <f>COUNTIFS('свод практик'!$B$6:$B$277,"смежная",'свод практик'!$J$6:$J$277,AV$1,'свод практик'!$E$6:$E$277,"широкая")</f>
        <v>0</v>
      </c>
      <c r="AW34" s="104">
        <f>COUNTIFS('свод практик'!$B$6:$B$277,"смежная",'свод практик'!$J$6:$J$277,AW$1,'свод практик'!$E$6:$E$277,"широкая")</f>
        <v>0</v>
      </c>
      <c r="AX34" s="104">
        <f>COUNTIFS('свод практик'!$B$6:$B$277,"смежная",'свод практик'!$J$6:$J$277,AX$1,'свод практик'!$E$6:$E$277,"широкая")</f>
        <v>0</v>
      </c>
      <c r="AY34" s="104">
        <f>COUNTIFS('свод практик'!$B$6:$B$277,"смежная",'свод практик'!$J$6:$J$277,AY$1,'свод практик'!$E$6:$E$277,"широкая")</f>
        <v>1</v>
      </c>
      <c r="AZ34" s="104">
        <f>COUNTIFS('свод практик'!$B$6:$B$277,"смежная",'свод практик'!$J$6:$J$277,AZ$1,'свод практик'!$E$6:$E$277,"широкая")</f>
        <v>0</v>
      </c>
      <c r="BA34" s="104">
        <f>COUNTIFS('свод практик'!$B$6:$B$277,"смежная",'свод практик'!$J$6:$J$277,BA$1,'свод практик'!$E$6:$E$277,"широкая")</f>
        <v>1</v>
      </c>
      <c r="BB34" s="104">
        <f>COUNTIFS('свод практик'!$B$6:$B$277,"смежная",'свод практик'!$J$6:$J$277,BB$1,'свод практик'!$E$6:$E$277,"широкая")</f>
        <v>0</v>
      </c>
      <c r="BC34" s="104">
        <f>COUNTIFS('свод практик'!$B$6:$B$277,"смежная",'свод практик'!$J$6:$J$277,BC$1,'свод практик'!$E$6:$E$277,"широкая")</f>
        <v>0</v>
      </c>
      <c r="BD34" s="104">
        <f>COUNTIFS('свод практик'!$B$6:$B$277,"смежная",'свод практик'!$J$6:$J$277,BD$1,'свод практик'!$E$6:$E$277,"широкая")</f>
        <v>1</v>
      </c>
      <c r="BE34" s="104">
        <f>COUNTIFS('свод практик'!$B$6:$B$277,"смежная",'свод практик'!$J$6:$J$277,BE$1,'свод практик'!$E$6:$E$277,"широкая")</f>
        <v>0</v>
      </c>
      <c r="BF34" s="104">
        <f>COUNTIFS('свод практик'!$B$6:$B$277,"смежная",'свод практик'!$J$6:$J$277,BF$1,'свод практик'!$E$6:$E$277,"широкая")</f>
        <v>0</v>
      </c>
      <c r="BG34" s="104">
        <f>COUNTIFS('свод практик'!$B$6:$B$277,"смежная",'свод практик'!$J$6:$J$277,BG$1,'свод практик'!$E$6:$E$277,"широкая")</f>
        <v>0</v>
      </c>
      <c r="BH34" s="104">
        <f>COUNTIFS('свод практик'!$B$6:$B$277,"смежная",'свод практик'!$J$6:$J$277,BH$1,'свод практик'!$E$6:$E$277,"широкая")</f>
        <v>0</v>
      </c>
      <c r="BI34" s="104">
        <f>COUNTIFS('свод практик'!$B$6:$B$277,"смежная",'свод практик'!$J$6:$J$277,BI$1,'свод практик'!$E$6:$E$277,"широкая")</f>
        <v>0</v>
      </c>
      <c r="BJ34" s="104">
        <f>COUNTIFS('свод практик'!$B$6:$B$277,"смежная",'свод практик'!$J$6:$J$277,BJ$1,'свод практик'!$E$6:$E$277,"широкая")</f>
        <v>3</v>
      </c>
      <c r="BK34" s="104">
        <f>COUNTIFS('свод практик'!$B$6:$B$277,"смежная",'свод практик'!$J$6:$J$277,BK$1,'свод практик'!$E$6:$E$277,"широкая")</f>
        <v>0</v>
      </c>
      <c r="BL34" s="104">
        <f>COUNTIFS('свод практик'!$B$6:$B$277,"смежная",'свод практик'!$J$6:$J$277,BL$1,'свод практик'!$E$6:$E$277,"широкая")</f>
        <v>0</v>
      </c>
      <c r="BM34" s="104">
        <f>COUNTIFS('свод практик'!$B$6:$B$277,"смежная",'свод практик'!$J$6:$J$277,BM$1,'свод практик'!$E$6:$E$277,"широкая")</f>
        <v>0</v>
      </c>
      <c r="BN34" s="104">
        <f>COUNTIFS('свод практик'!$B$6:$B$277,"смежная",'свод практик'!$J$6:$J$277,BN$1,'свод практик'!$E$6:$E$277,"широкая")</f>
        <v>0</v>
      </c>
      <c r="BO34" s="104">
        <f>COUNTIFS('свод практик'!$B$6:$B$277,"смежная",'свод практик'!$J$6:$J$277,BO$1,'свод практик'!$E$6:$E$277,"широкая")</f>
        <v>0</v>
      </c>
      <c r="BP34" s="104">
        <f>COUNTIFS('свод практик'!$B$6:$B$277,"смежная",'свод практик'!$J$6:$J$277,BP$1,'свод практик'!$E$6:$E$277,"широкая")</f>
        <v>0</v>
      </c>
      <c r="BQ34" s="104">
        <f>COUNTIFS('свод практик'!$B$6:$B$277,"смежная",'свод практик'!$J$6:$J$277,BQ$1,'свод практик'!$E$6:$E$277,"широкая")</f>
        <v>0</v>
      </c>
      <c r="BR34" s="104">
        <f>COUNTIFS('свод практик'!$B$6:$B$277,"смежная",'свод практик'!$J$6:$J$277,BR$1,'свод практик'!$E$6:$E$277,"широкая")</f>
        <v>1</v>
      </c>
      <c r="BS34" s="104">
        <f>COUNTIFS('свод практик'!$B$6:$B$277,"смежная",'свод практик'!$J$6:$J$277,BS$1,'свод практик'!$E$6:$E$277,"широкая")</f>
        <v>1</v>
      </c>
      <c r="BT34" s="104">
        <f>COUNTIFS('свод практик'!$B$6:$B$277,"смежная",'свод практик'!$J$6:$J$277,BT$1,'свод практик'!$E$6:$E$277,"широкая")</f>
        <v>0</v>
      </c>
      <c r="BU34" s="104">
        <f>COUNTIFS('свод практик'!$B$6:$B$277,"смежная",'свод практик'!$J$6:$J$277,BU$1,'свод практик'!$E$6:$E$277,"широкая")</f>
        <v>3</v>
      </c>
      <c r="BV34" s="104">
        <f>COUNTIFS('свод практик'!$B$6:$B$277,"смежная",'свод практик'!$J$6:$J$277,BV$1,'свод практик'!$E$6:$E$277,"широкая")</f>
        <v>0</v>
      </c>
      <c r="BW34" s="104">
        <f>COUNTIFS('свод практик'!$B$6:$B$277,"смежная",'свод практик'!$J$6:$J$277,BW$1,'свод практик'!$E$6:$E$277,"широкая")</f>
        <v>0</v>
      </c>
      <c r="BX34" s="104">
        <f>COUNTIFS('свод практик'!$B$6:$B$277,"смежная",'свод практик'!$J$6:$J$277,BX$1,'свод практик'!$E$6:$E$277,"широкая")</f>
        <v>0</v>
      </c>
      <c r="BY34" s="104">
        <f>COUNTIFS('свод практик'!$B$6:$B$277,"смежная",'свод практик'!$J$6:$J$277,BY$1,'свод практик'!$E$6:$E$277,"широкая")</f>
        <v>0</v>
      </c>
      <c r="BZ34" s="104">
        <f>COUNTIFS('свод практик'!$B$6:$B$277,"смежная",'свод практик'!$J$6:$J$277,BZ$1,'свод практик'!$E$6:$E$277,"широкая")</f>
        <v>0</v>
      </c>
      <c r="CA34" s="104">
        <f>COUNTIFS('свод практик'!$B$6:$B$277,"смежная",'свод практик'!$J$6:$J$277,CA$1,'свод практик'!$E$6:$E$277,"широкая")</f>
        <v>0</v>
      </c>
      <c r="CB34" s="104">
        <f>COUNTIFS('свод практик'!$B$6:$B$277,"смежная",'свод практик'!$J$6:$J$277,CB$1,'свод практик'!$E$6:$E$277,"широкая")</f>
        <v>0</v>
      </c>
      <c r="CC34" s="104">
        <f>COUNTIFS('свод практик'!$B$6:$B$277,"смежная",'свод практик'!$J$6:$J$277,CC$1,'свод практик'!$E$6:$E$277,"широкая")</f>
        <v>1</v>
      </c>
      <c r="CD34" s="104">
        <f>COUNTIFS('свод практик'!$B$6:$B$277,"смежная",'свод практик'!$J$6:$J$277,CD$1,'свод практик'!$E$6:$E$277,"широкая")</f>
        <v>0</v>
      </c>
      <c r="CE34" s="104">
        <f>COUNTIFS('свод практик'!$B$6:$B$277,"смежная",'свод практик'!$J$6:$J$277,CE$1,'свод практик'!$E$6:$E$277,"широкая")</f>
        <v>0</v>
      </c>
      <c r="CF34" s="104">
        <f>COUNTIFS('свод практик'!$B$6:$B$277,"смежная",'свод практик'!$J$6:$J$277,CF$1,'свод практик'!$E$6:$E$277,"широкая")</f>
        <v>1</v>
      </c>
      <c r="CG34" s="104">
        <f>COUNTIFS('свод практик'!$B$6:$B$277,"смежная",'свод практик'!$J$6:$J$277,CG$1,'свод практик'!$E$6:$E$277,"широкая")</f>
        <v>0</v>
      </c>
      <c r="CH34" s="104">
        <f>COUNTIFS('свод практик'!$B$6:$B$277,"смежная",'свод практик'!$J$6:$J$277,CH$1,'свод практик'!$E$6:$E$277,"широкая")</f>
        <v>1</v>
      </c>
      <c r="CI34" s="104">
        <f>COUNTIFS('свод практик'!$B$6:$B$277,"смежная",'свод практик'!$J$6:$J$277,CI$1,'свод практик'!$E$6:$E$277,"широкая")</f>
        <v>0</v>
      </c>
      <c r="CJ34" s="104">
        <f>COUNTIFS('свод практик'!$B$6:$B$277,"смежная",'свод практик'!$J$6:$J$277,CJ$1,'свод практик'!$E$6:$E$277,"широкая")</f>
        <v>0</v>
      </c>
      <c r="CK34" s="104">
        <f>COUNTIFS('свод практик'!$B$6:$B$277,"смежная",'свод практик'!$J$6:$J$277,CK$1,'свод практик'!$E$6:$E$277,"широкая")</f>
        <v>0</v>
      </c>
    </row>
    <row r="35" spans="1:89">
      <c r="A35" s="680" t="s">
        <v>5318</v>
      </c>
      <c r="D35" s="675">
        <f t="shared" si="0"/>
        <v>27</v>
      </c>
      <c r="E35">
        <f>COUNTIFS('свод практик'!$B$6:$B$277,"смежная",'свод практик'!$J$6:$J$277,E$1,'свод практик'!$E$6:$E$277,"узкая")</f>
        <v>0</v>
      </c>
      <c r="F35" s="104">
        <f>COUNTIFS('свод практик'!$B$6:$B$277,"смежная",'свод практик'!$J$6:$J$277,F$1,'свод практик'!$E$6:$E$277,"узкая")</f>
        <v>2</v>
      </c>
      <c r="G35" s="104">
        <f>COUNTIFS('свод практик'!$B$6:$B$277,"смежная",'свод практик'!$J$6:$J$277,G$1,'свод практик'!$E$6:$E$277,"узкая")</f>
        <v>0</v>
      </c>
      <c r="H35" s="104">
        <f>COUNTIFS('свод практик'!$B$6:$B$277,"смежная",'свод практик'!$J$6:$J$277,H$1,'свод практик'!$E$6:$E$277,"узкая")</f>
        <v>0</v>
      </c>
      <c r="I35" s="104">
        <f>COUNTIFS('свод практик'!$B$6:$B$277,"смежная",'свод практик'!$J$6:$J$277,I$1,'свод практик'!$E$6:$E$277,"узкая")</f>
        <v>0</v>
      </c>
      <c r="J35" s="104">
        <f>COUNTIFS('свод практик'!$B$6:$B$277,"смежная",'свод практик'!$J$6:$J$277,J$1,'свод практик'!$E$6:$E$277,"узкая")</f>
        <v>1</v>
      </c>
      <c r="K35" s="104">
        <f>COUNTIFS('свод практик'!$B$6:$B$277,"смежная",'свод практик'!$J$6:$J$277,K$1,'свод практик'!$E$6:$E$277,"узкая")</f>
        <v>0</v>
      </c>
      <c r="L35" s="104">
        <f>COUNTIFS('свод практик'!$B$6:$B$277,"смежная",'свод практик'!$J$6:$J$277,L$1,'свод практик'!$E$6:$E$277,"узкая")</f>
        <v>1</v>
      </c>
      <c r="M35" s="104">
        <f>COUNTIFS('свод практик'!$B$6:$B$277,"смежная",'свод практик'!$J$6:$J$277,M$1,'свод практик'!$E$6:$E$277,"узкая")</f>
        <v>0</v>
      </c>
      <c r="N35" s="104">
        <f>COUNTIFS('свод практик'!$B$6:$B$277,"смежная",'свод практик'!$J$6:$J$277,N$1,'свод практик'!$E$6:$E$277,"узкая")</f>
        <v>0</v>
      </c>
      <c r="O35" s="104">
        <f>COUNTIFS('свод практик'!$B$6:$B$277,"смежная",'свод практик'!$J$6:$J$277,O$1,'свод практик'!$E$6:$E$277,"узкая")</f>
        <v>2</v>
      </c>
      <c r="P35" s="104">
        <f>COUNTIFS('свод практик'!$B$6:$B$277,"смежная",'свод практик'!$J$6:$J$277,P$1,'свод практик'!$E$6:$E$277,"узкая")</f>
        <v>0</v>
      </c>
      <c r="Q35" s="104">
        <f>COUNTIFS('свод практик'!$B$6:$B$277,"смежная",'свод практик'!$J$6:$J$277,Q$1,'свод практик'!$E$6:$E$277,"узкая")</f>
        <v>0</v>
      </c>
      <c r="R35" s="104">
        <f>COUNTIFS('свод практик'!$B$6:$B$277,"смежная",'свод практик'!$J$6:$J$277,R$1,'свод практик'!$E$6:$E$277,"узкая")</f>
        <v>1</v>
      </c>
      <c r="S35" s="104">
        <f>COUNTIFS('свод практик'!$B$6:$B$277,"смежная",'свод практик'!$J$6:$J$277,S$1,'свод практик'!$E$6:$E$277,"узкая")</f>
        <v>0</v>
      </c>
      <c r="T35" s="104">
        <f>COUNTIFS('свод практик'!$B$6:$B$277,"смежная",'свод практик'!$J$6:$J$277,T$1,'свод практик'!$E$6:$E$277,"узкая")</f>
        <v>0</v>
      </c>
      <c r="U35" s="104">
        <f>COUNTIFS('свод практик'!$B$6:$B$277,"смежная",'свод практик'!$J$6:$J$277,U$1,'свод практик'!$E$6:$E$277,"узкая")</f>
        <v>0</v>
      </c>
      <c r="V35" s="104">
        <f>COUNTIFS('свод практик'!$B$6:$B$277,"смежная",'свод практик'!$J$6:$J$277,V$1,'свод практик'!$E$6:$E$277,"узкая")</f>
        <v>0</v>
      </c>
      <c r="W35" s="104">
        <f>COUNTIFS('свод практик'!$B$6:$B$277,"смежная",'свод практик'!$J$6:$J$277,W$1,'свод практик'!$E$6:$E$277,"узкая")</f>
        <v>0</v>
      </c>
      <c r="X35" s="104">
        <f>COUNTIFS('свод практик'!$B$6:$B$277,"смежная",'свод практик'!$J$6:$J$277,X$1,'свод практик'!$E$6:$E$277,"узкая")</f>
        <v>0</v>
      </c>
      <c r="Y35" s="104">
        <f>COUNTIFS('свод практик'!$B$6:$B$277,"смежная",'свод практик'!$J$6:$J$277,Y$1,'свод практик'!$E$6:$E$277,"узкая")</f>
        <v>0</v>
      </c>
      <c r="Z35" s="104">
        <f>COUNTIFS('свод практик'!$B$6:$B$277,"смежная",'свод практик'!$J$6:$J$277,Z$1,'свод практик'!$E$6:$E$277,"узкая")</f>
        <v>1</v>
      </c>
      <c r="AA35" s="104">
        <f>COUNTIFS('свод практик'!$B$6:$B$277,"смежная",'свод практик'!$J$6:$J$277,AA$1,'свод практик'!$E$6:$E$277,"узкая")</f>
        <v>0</v>
      </c>
      <c r="AB35" s="104">
        <f>COUNTIFS('свод практик'!$B$6:$B$277,"смежная",'свод практик'!$J$6:$J$277,AB$1,'свод практик'!$E$6:$E$277,"узкая")</f>
        <v>0</v>
      </c>
      <c r="AC35" s="104">
        <f>COUNTIFS('свод практик'!$B$6:$B$277,"смежная",'свод практик'!$J$6:$J$277,AC$1,'свод практик'!$E$6:$E$277,"узкая")</f>
        <v>0</v>
      </c>
      <c r="AD35" s="104">
        <f>COUNTIFS('свод практик'!$B$6:$B$277,"смежная",'свод практик'!$J$6:$J$277,AD$1,'свод практик'!$E$6:$E$277,"узкая")</f>
        <v>0</v>
      </c>
      <c r="AE35" s="104">
        <f>COUNTIFS('свод практик'!$B$6:$B$277,"смежная",'свод практик'!$J$6:$J$277,AE$1,'свод практик'!$E$6:$E$277,"узкая")</f>
        <v>0</v>
      </c>
      <c r="AF35" s="104">
        <f>COUNTIFS('свод практик'!$B$6:$B$277,"смежная",'свод практик'!$J$6:$J$277,AF$1,'свод практик'!$E$6:$E$277,"узкая")</f>
        <v>0</v>
      </c>
      <c r="AG35" s="104">
        <f>COUNTIFS('свод практик'!$B$6:$B$277,"смежная",'свод практик'!$J$6:$J$277,AG$1,'свод практик'!$E$6:$E$277,"узкая")</f>
        <v>0</v>
      </c>
      <c r="AH35" s="104">
        <f>COUNTIFS('свод практик'!$B$6:$B$277,"смежная",'свод практик'!$J$6:$J$277,AH$1,'свод практик'!$E$6:$E$277,"узкая")</f>
        <v>0</v>
      </c>
      <c r="AI35" s="104">
        <f>COUNTIFS('свод практик'!$B$6:$B$277,"смежная",'свод практик'!$J$6:$J$277,AI$1,'свод практик'!$E$6:$E$277,"узкая")</f>
        <v>1</v>
      </c>
      <c r="AJ35" s="104">
        <f>COUNTIFS('свод практик'!$B$6:$B$277,"смежная",'свод практик'!$J$6:$J$277,AJ$1,'свод практик'!$E$6:$E$277,"узкая")</f>
        <v>0</v>
      </c>
      <c r="AK35" s="104">
        <f>COUNTIFS('свод практик'!$B$6:$B$277,"смежная",'свод практик'!$J$6:$J$277,AK$1,'свод практик'!$E$6:$E$277,"узкая")</f>
        <v>0</v>
      </c>
      <c r="AL35" s="104">
        <f>COUNTIFS('свод практик'!$B$6:$B$277,"смежная",'свод практик'!$J$6:$J$277,AL$1,'свод практик'!$E$6:$E$277,"узкая")</f>
        <v>2</v>
      </c>
      <c r="AM35" s="104">
        <f>COUNTIFS('свод практик'!$B$6:$B$277,"смежная",'свод практик'!$J$6:$J$277,AM$1,'свод практик'!$E$6:$E$277,"узкая")</f>
        <v>2</v>
      </c>
      <c r="AN35" s="104">
        <f>COUNTIFS('свод практик'!$B$6:$B$277,"смежная",'свод практик'!$J$6:$J$277,AN$1,'свод практик'!$E$6:$E$277,"узкая")</f>
        <v>0</v>
      </c>
      <c r="AO35" s="104">
        <f>COUNTIFS('свод практик'!$B$6:$B$277,"смежная",'свод практик'!$J$6:$J$277,AO$1,'свод практик'!$E$6:$E$277,"узкая")</f>
        <v>0</v>
      </c>
      <c r="AP35" s="104">
        <f>COUNTIFS('свод практик'!$B$6:$B$277,"смежная",'свод практик'!$J$6:$J$277,AP$1,'свод практик'!$E$6:$E$277,"узкая")</f>
        <v>1</v>
      </c>
      <c r="AQ35" s="104">
        <f>COUNTIFS('свод практик'!$B$6:$B$277,"смежная",'свод практик'!$J$6:$J$277,AQ$1,'свод практик'!$E$6:$E$277,"узкая")</f>
        <v>0</v>
      </c>
      <c r="AR35" s="104">
        <f>COUNTIFS('свод практик'!$B$6:$B$277,"смежная",'свод практик'!$J$6:$J$277,AR$1,'свод практик'!$E$6:$E$277,"узкая")</f>
        <v>0</v>
      </c>
      <c r="AS35" s="104">
        <f>COUNTIFS('свод практик'!$B$6:$B$277,"смежная",'свод практик'!$J$6:$J$277,AS$1,'свод практик'!$E$6:$E$277,"узкая")</f>
        <v>0</v>
      </c>
      <c r="AT35" s="104">
        <f>COUNTIFS('свод практик'!$B$6:$B$277,"смежная",'свод практик'!$J$6:$J$277,AT$1,'свод практик'!$E$6:$E$277,"узкая")</f>
        <v>0</v>
      </c>
      <c r="AU35" s="104">
        <f>COUNTIFS('свод практик'!$B$6:$B$277,"смежная",'свод практик'!$J$6:$J$277,AU$1,'свод практик'!$E$6:$E$277,"узкая")</f>
        <v>0</v>
      </c>
      <c r="AV35" s="104">
        <f>COUNTIFS('свод практик'!$B$6:$B$277,"смежная",'свод практик'!$J$6:$J$277,AV$1,'свод практик'!$E$6:$E$277,"узкая")</f>
        <v>0</v>
      </c>
      <c r="AW35" s="104">
        <f>COUNTIFS('свод практик'!$B$6:$B$277,"смежная",'свод практик'!$J$6:$J$277,AW$1,'свод практик'!$E$6:$E$277,"узкая")</f>
        <v>0</v>
      </c>
      <c r="AX35" s="104">
        <f>COUNTIFS('свод практик'!$B$6:$B$277,"смежная",'свод практик'!$J$6:$J$277,AX$1,'свод практик'!$E$6:$E$277,"узкая")</f>
        <v>0</v>
      </c>
      <c r="AY35" s="104">
        <f>COUNTIFS('свод практик'!$B$6:$B$277,"смежная",'свод практик'!$J$6:$J$277,AY$1,'свод практик'!$E$6:$E$277,"узкая")</f>
        <v>2</v>
      </c>
      <c r="AZ35" s="104">
        <f>COUNTIFS('свод практик'!$B$6:$B$277,"смежная",'свод практик'!$J$6:$J$277,AZ$1,'свод практик'!$E$6:$E$277,"узкая")</f>
        <v>0</v>
      </c>
      <c r="BA35" s="104">
        <f>COUNTIFS('свод практик'!$B$6:$B$277,"смежная",'свод практик'!$J$6:$J$277,BA$1,'свод практик'!$E$6:$E$277,"узкая")</f>
        <v>0</v>
      </c>
      <c r="BB35" s="104">
        <f>COUNTIFS('свод практик'!$B$6:$B$277,"смежная",'свод практик'!$J$6:$J$277,BB$1,'свод практик'!$E$6:$E$277,"узкая")</f>
        <v>0</v>
      </c>
      <c r="BC35" s="104">
        <f>COUNTIFS('свод практик'!$B$6:$B$277,"смежная",'свод практик'!$J$6:$J$277,BC$1,'свод практик'!$E$6:$E$277,"узкая")</f>
        <v>1</v>
      </c>
      <c r="BD35" s="104">
        <f>COUNTIFS('свод практик'!$B$6:$B$277,"смежная",'свод практик'!$J$6:$J$277,BD$1,'свод практик'!$E$6:$E$277,"узкая")</f>
        <v>1</v>
      </c>
      <c r="BE35" s="104">
        <f>COUNTIFS('свод практик'!$B$6:$B$277,"смежная",'свод практик'!$J$6:$J$277,BE$1,'свод практик'!$E$6:$E$277,"узкая")</f>
        <v>0</v>
      </c>
      <c r="BF35" s="104">
        <f>COUNTIFS('свод практик'!$B$6:$B$277,"смежная",'свод практик'!$J$6:$J$277,BF$1,'свод практик'!$E$6:$E$277,"узкая")</f>
        <v>0</v>
      </c>
      <c r="BG35" s="104">
        <f>COUNTIFS('свод практик'!$B$6:$B$277,"смежная",'свод практик'!$J$6:$J$277,BG$1,'свод практик'!$E$6:$E$277,"узкая")</f>
        <v>0</v>
      </c>
      <c r="BH35" s="104">
        <f>COUNTIFS('свод практик'!$B$6:$B$277,"смежная",'свод практик'!$J$6:$J$277,BH$1,'свод практик'!$E$6:$E$277,"узкая")</f>
        <v>0</v>
      </c>
      <c r="BI35" s="104">
        <f>COUNTIFS('свод практик'!$B$6:$B$277,"смежная",'свод практик'!$J$6:$J$277,BI$1,'свод практик'!$E$6:$E$277,"узкая")</f>
        <v>1</v>
      </c>
      <c r="BJ35" s="104">
        <f>COUNTIFS('свод практик'!$B$6:$B$277,"смежная",'свод практик'!$J$6:$J$277,BJ$1,'свод практик'!$E$6:$E$277,"узкая")</f>
        <v>1</v>
      </c>
      <c r="BK35" s="104">
        <f>COUNTIFS('свод практик'!$B$6:$B$277,"смежная",'свод практик'!$J$6:$J$277,BK$1,'свод практик'!$E$6:$E$277,"узкая")</f>
        <v>0</v>
      </c>
      <c r="BL35" s="104">
        <f>COUNTIFS('свод практик'!$B$6:$B$277,"смежная",'свод практик'!$J$6:$J$277,BL$1,'свод практик'!$E$6:$E$277,"узкая")</f>
        <v>0</v>
      </c>
      <c r="BM35" s="104">
        <f>COUNTIFS('свод практик'!$B$6:$B$277,"смежная",'свод практик'!$J$6:$J$277,BM$1,'свод практик'!$E$6:$E$277,"узкая")</f>
        <v>0</v>
      </c>
      <c r="BN35" s="104">
        <f>COUNTIFS('свод практик'!$B$6:$B$277,"смежная",'свод практик'!$J$6:$J$277,BN$1,'свод практик'!$E$6:$E$277,"узкая")</f>
        <v>0</v>
      </c>
      <c r="BO35" s="104">
        <f>COUNTIFS('свод практик'!$B$6:$B$277,"смежная",'свод практик'!$J$6:$J$277,BO$1,'свод практик'!$E$6:$E$277,"узкая")</f>
        <v>2</v>
      </c>
      <c r="BP35" s="104">
        <f>COUNTIFS('свод практик'!$B$6:$B$277,"смежная",'свод практик'!$J$6:$J$277,BP$1,'свод практик'!$E$6:$E$277,"узкая")</f>
        <v>0</v>
      </c>
      <c r="BQ35" s="104">
        <f>COUNTIFS('свод практик'!$B$6:$B$277,"смежная",'свод практик'!$J$6:$J$277,BQ$1,'свод практик'!$E$6:$E$277,"узкая")</f>
        <v>0</v>
      </c>
      <c r="BR35" s="104">
        <f>COUNTIFS('свод практик'!$B$6:$B$277,"смежная",'свод практик'!$J$6:$J$277,BR$1,'свод практик'!$E$6:$E$277,"узкая")</f>
        <v>0</v>
      </c>
      <c r="BS35" s="104">
        <f>COUNTIFS('свод практик'!$B$6:$B$277,"смежная",'свод практик'!$J$6:$J$277,BS$1,'свод практик'!$E$6:$E$277,"узкая")</f>
        <v>0</v>
      </c>
      <c r="BT35" s="104">
        <f>COUNTIFS('свод практик'!$B$6:$B$277,"смежная",'свод практик'!$J$6:$J$277,BT$1,'свод практик'!$E$6:$E$277,"узкая")</f>
        <v>1</v>
      </c>
      <c r="BU35" s="104">
        <f>COUNTIFS('свод практик'!$B$6:$B$277,"смежная",'свод практик'!$J$6:$J$277,BU$1,'свод практик'!$E$6:$E$277,"узкая")</f>
        <v>0</v>
      </c>
      <c r="BV35" s="104">
        <f>COUNTIFS('свод практик'!$B$6:$B$277,"смежная",'свод практик'!$J$6:$J$277,BV$1,'свод практик'!$E$6:$E$277,"узкая")</f>
        <v>0</v>
      </c>
      <c r="BW35" s="104">
        <f>COUNTIFS('свод практик'!$B$6:$B$277,"смежная",'свод практик'!$J$6:$J$277,BW$1,'свод практик'!$E$6:$E$277,"узкая")</f>
        <v>0</v>
      </c>
      <c r="BX35" s="104">
        <f>COUNTIFS('свод практик'!$B$6:$B$277,"смежная",'свод практик'!$J$6:$J$277,BX$1,'свод практик'!$E$6:$E$277,"узкая")</f>
        <v>0</v>
      </c>
      <c r="BY35" s="104">
        <f>COUNTIFS('свод практик'!$B$6:$B$277,"смежная",'свод практик'!$J$6:$J$277,BY$1,'свод практик'!$E$6:$E$277,"узкая")</f>
        <v>0</v>
      </c>
      <c r="BZ35" s="104">
        <f>COUNTIFS('свод практик'!$B$6:$B$277,"смежная",'свод практик'!$J$6:$J$277,BZ$1,'свод практик'!$E$6:$E$277,"узкая")</f>
        <v>2</v>
      </c>
      <c r="CA35" s="104">
        <f>COUNTIFS('свод практик'!$B$6:$B$277,"смежная",'свод практик'!$J$6:$J$277,CA$1,'свод практик'!$E$6:$E$277,"узкая")</f>
        <v>0</v>
      </c>
      <c r="CB35" s="104">
        <f>COUNTIFS('свод практик'!$B$6:$B$277,"смежная",'свод практик'!$J$6:$J$277,CB$1,'свод практик'!$E$6:$E$277,"узкая")</f>
        <v>0</v>
      </c>
      <c r="CC35" s="104">
        <f>COUNTIFS('свод практик'!$B$6:$B$277,"смежная",'свод практик'!$J$6:$J$277,CC$1,'свод практик'!$E$6:$E$277,"узкая")</f>
        <v>0</v>
      </c>
      <c r="CD35" s="104">
        <f>COUNTIFS('свод практик'!$B$6:$B$277,"смежная",'свод практик'!$J$6:$J$277,CD$1,'свод практик'!$E$6:$E$277,"узкая")</f>
        <v>0</v>
      </c>
      <c r="CE35" s="104">
        <f>COUNTIFS('свод практик'!$B$6:$B$277,"смежная",'свод практик'!$J$6:$J$277,CE$1,'свод практик'!$E$6:$E$277,"узкая")</f>
        <v>2</v>
      </c>
      <c r="CF35" s="104">
        <f>COUNTIFS('свод практик'!$B$6:$B$277,"смежная",'свод практик'!$J$6:$J$277,CF$1,'свод практик'!$E$6:$E$277,"узкая")</f>
        <v>0</v>
      </c>
      <c r="CG35" s="104">
        <f>COUNTIFS('свод практик'!$B$6:$B$277,"смежная",'свод практик'!$J$6:$J$277,CG$1,'свод практик'!$E$6:$E$277,"узкая")</f>
        <v>0</v>
      </c>
      <c r="CH35" s="104">
        <f>COUNTIFS('свод практик'!$B$6:$B$277,"смежная",'свод практик'!$J$6:$J$277,CH$1,'свод практик'!$E$6:$E$277,"узкая")</f>
        <v>0</v>
      </c>
      <c r="CI35" s="104">
        <f>COUNTIFS('свод практик'!$B$6:$B$277,"смежная",'свод практик'!$J$6:$J$277,CI$1,'свод практик'!$E$6:$E$277,"узкая")</f>
        <v>0</v>
      </c>
      <c r="CJ35" s="104">
        <f>COUNTIFS('свод практик'!$B$6:$B$277,"смежная",'свод практик'!$J$6:$J$277,CJ$1,'свод практик'!$E$6:$E$277,"узкая")</f>
        <v>0</v>
      </c>
      <c r="CK35" s="104">
        <f>COUNTIFS('свод практик'!$B$6:$B$277,"смежная",'свод практик'!$J$6:$J$277,CK$1,'свод практик'!$E$6:$E$277,"узкая")</f>
        <v>0</v>
      </c>
    </row>
    <row r="36" spans="1:89">
      <c r="A36" s="680" t="s">
        <v>5341</v>
      </c>
      <c r="D36" s="675">
        <f t="shared" si="0"/>
        <v>1</v>
      </c>
      <c r="E36">
        <f>COUNTIFS('свод практик'!$B$6:$B$277,"смежная",'свод практик'!$J$6:$J$277,E$1,'свод практик'!$E$6:$E$277,"узкая (благоустройство)")</f>
        <v>0</v>
      </c>
      <c r="F36" s="104">
        <f>COUNTIFS('свод практик'!$B$6:$B$277,"смежная",'свод практик'!$J$6:$J$277,F$1,'свод практик'!$E$6:$E$277,"узкая (благоустройство)")</f>
        <v>0</v>
      </c>
      <c r="G36" s="104">
        <f>COUNTIFS('свод практик'!$B$6:$B$277,"смежная",'свод практик'!$J$6:$J$277,G$1,'свод практик'!$E$6:$E$277,"узкая (благоустройство)")</f>
        <v>0</v>
      </c>
      <c r="H36" s="104">
        <f>COUNTIFS('свод практик'!$B$6:$B$277,"смежная",'свод практик'!$J$6:$J$277,H$1,'свод практик'!$E$6:$E$277,"узкая (благоустройство)")</f>
        <v>0</v>
      </c>
      <c r="I36" s="104">
        <f>COUNTIFS('свод практик'!$B$6:$B$277,"смежная",'свод практик'!$J$6:$J$277,I$1,'свод практик'!$E$6:$E$277,"узкая (благоустройство)")</f>
        <v>0</v>
      </c>
      <c r="J36" s="104">
        <f>COUNTIFS('свод практик'!$B$6:$B$277,"смежная",'свод практик'!$J$6:$J$277,J$1,'свод практик'!$E$6:$E$277,"узкая (благоустройство)")</f>
        <v>0</v>
      </c>
      <c r="K36" s="104">
        <f>COUNTIFS('свод практик'!$B$6:$B$277,"смежная",'свод практик'!$J$6:$J$277,K$1,'свод практик'!$E$6:$E$277,"узкая (благоустройство)")</f>
        <v>0</v>
      </c>
      <c r="L36" s="104">
        <f>COUNTIFS('свод практик'!$B$6:$B$277,"смежная",'свод практик'!$J$6:$J$277,L$1,'свод практик'!$E$6:$E$277,"узкая (благоустройство)")</f>
        <v>0</v>
      </c>
      <c r="M36" s="104">
        <f>COUNTIFS('свод практик'!$B$6:$B$277,"смежная",'свод практик'!$J$6:$J$277,M$1,'свод практик'!$E$6:$E$277,"узкая (благоустройство)")</f>
        <v>0</v>
      </c>
      <c r="N36" s="104">
        <f>COUNTIFS('свод практик'!$B$6:$B$277,"смежная",'свод практик'!$J$6:$J$277,N$1,'свод практик'!$E$6:$E$277,"узкая (благоустройство)")</f>
        <v>0</v>
      </c>
      <c r="O36" s="104">
        <f>COUNTIFS('свод практик'!$B$6:$B$277,"смежная",'свод практик'!$J$6:$J$277,O$1,'свод практик'!$E$6:$E$277,"узкая (благоустройство)")</f>
        <v>0</v>
      </c>
      <c r="P36" s="104">
        <f>COUNTIFS('свод практик'!$B$6:$B$277,"смежная",'свод практик'!$J$6:$J$277,P$1,'свод практик'!$E$6:$E$277,"узкая (благоустройство)")</f>
        <v>0</v>
      </c>
      <c r="Q36" s="104">
        <f>COUNTIFS('свод практик'!$B$6:$B$277,"смежная",'свод практик'!$J$6:$J$277,Q$1,'свод практик'!$E$6:$E$277,"узкая (благоустройство)")</f>
        <v>0</v>
      </c>
      <c r="R36" s="104">
        <f>COUNTIFS('свод практик'!$B$6:$B$277,"смежная",'свод практик'!$J$6:$J$277,R$1,'свод практик'!$E$6:$E$277,"узкая (благоустройство)")</f>
        <v>0</v>
      </c>
      <c r="S36" s="104">
        <f>COUNTIFS('свод практик'!$B$6:$B$277,"смежная",'свод практик'!$J$6:$J$277,S$1,'свод практик'!$E$6:$E$277,"узкая (благоустройство)")</f>
        <v>0</v>
      </c>
      <c r="T36" s="104">
        <f>COUNTIFS('свод практик'!$B$6:$B$277,"смежная",'свод практик'!$J$6:$J$277,T$1,'свод практик'!$E$6:$E$277,"узкая (благоустройство)")</f>
        <v>0</v>
      </c>
      <c r="U36" s="104">
        <f>COUNTIFS('свод практик'!$B$6:$B$277,"смежная",'свод практик'!$J$6:$J$277,U$1,'свод практик'!$E$6:$E$277,"узкая (благоустройство)")</f>
        <v>0</v>
      </c>
      <c r="V36" s="104">
        <f>COUNTIFS('свод практик'!$B$6:$B$277,"смежная",'свод практик'!$J$6:$J$277,V$1,'свод практик'!$E$6:$E$277,"узкая (благоустройство)")</f>
        <v>0</v>
      </c>
      <c r="W36" s="104">
        <f>COUNTIFS('свод практик'!$B$6:$B$277,"смежная",'свод практик'!$J$6:$J$277,W$1,'свод практик'!$E$6:$E$277,"узкая (благоустройство)")</f>
        <v>0</v>
      </c>
      <c r="X36" s="104">
        <f>COUNTIFS('свод практик'!$B$6:$B$277,"смежная",'свод практик'!$J$6:$J$277,X$1,'свод практик'!$E$6:$E$277,"узкая (благоустройство)")</f>
        <v>0</v>
      </c>
      <c r="Y36" s="104">
        <f>COUNTIFS('свод практик'!$B$6:$B$277,"смежная",'свод практик'!$J$6:$J$277,Y$1,'свод практик'!$E$6:$E$277,"узкая (благоустройство)")</f>
        <v>0</v>
      </c>
      <c r="Z36" s="104">
        <f>COUNTIFS('свод практик'!$B$6:$B$277,"смежная",'свод практик'!$J$6:$J$277,Z$1,'свод практик'!$E$6:$E$277,"узкая (благоустройство)")</f>
        <v>0</v>
      </c>
      <c r="AA36" s="104">
        <f>COUNTIFS('свод практик'!$B$6:$B$277,"смежная",'свод практик'!$J$6:$J$277,AA$1,'свод практик'!$E$6:$E$277,"узкая (благоустройство)")</f>
        <v>0</v>
      </c>
      <c r="AB36" s="104">
        <f>COUNTIFS('свод практик'!$B$6:$B$277,"смежная",'свод практик'!$J$6:$J$277,AB$1,'свод практик'!$E$6:$E$277,"узкая (благоустройство)")</f>
        <v>0</v>
      </c>
      <c r="AC36" s="104">
        <f>COUNTIFS('свод практик'!$B$6:$B$277,"смежная",'свод практик'!$J$6:$J$277,AC$1,'свод практик'!$E$6:$E$277,"узкая (благоустройство)")</f>
        <v>0</v>
      </c>
      <c r="AD36" s="104">
        <f>COUNTIFS('свод практик'!$B$6:$B$277,"смежная",'свод практик'!$J$6:$J$277,AD$1,'свод практик'!$E$6:$E$277,"узкая (благоустройство)")</f>
        <v>0</v>
      </c>
      <c r="AE36" s="104">
        <f>COUNTIFS('свод практик'!$B$6:$B$277,"смежная",'свод практик'!$J$6:$J$277,AE$1,'свод практик'!$E$6:$E$277,"узкая (благоустройство)")</f>
        <v>0</v>
      </c>
      <c r="AF36" s="104">
        <f>COUNTIFS('свод практик'!$B$6:$B$277,"смежная",'свод практик'!$J$6:$J$277,AF$1,'свод практик'!$E$6:$E$277,"узкая (благоустройство)")</f>
        <v>0</v>
      </c>
      <c r="AG36" s="104">
        <f>COUNTIFS('свод практик'!$B$6:$B$277,"смежная",'свод практик'!$J$6:$J$277,AG$1,'свод практик'!$E$6:$E$277,"узкая (благоустройство)")</f>
        <v>0</v>
      </c>
      <c r="AH36" s="104">
        <f>COUNTIFS('свод практик'!$B$6:$B$277,"смежная",'свод практик'!$J$6:$J$277,AH$1,'свод практик'!$E$6:$E$277,"узкая (благоустройство)")</f>
        <v>0</v>
      </c>
      <c r="AI36" s="104">
        <f>COUNTIFS('свод практик'!$B$6:$B$277,"смежная",'свод практик'!$J$6:$J$277,AI$1,'свод практик'!$E$6:$E$277,"узкая (благоустройство)")</f>
        <v>0</v>
      </c>
      <c r="AJ36" s="104">
        <f>COUNTIFS('свод практик'!$B$6:$B$277,"смежная",'свод практик'!$J$6:$J$277,AJ$1,'свод практик'!$E$6:$E$277,"узкая (благоустройство)")</f>
        <v>0</v>
      </c>
      <c r="AK36" s="104">
        <f>COUNTIFS('свод практик'!$B$6:$B$277,"смежная",'свод практик'!$J$6:$J$277,AK$1,'свод практик'!$E$6:$E$277,"узкая (благоустройство)")</f>
        <v>0</v>
      </c>
      <c r="AL36" s="104">
        <f>COUNTIFS('свод практик'!$B$6:$B$277,"смежная",'свод практик'!$J$6:$J$277,AL$1,'свод практик'!$E$6:$E$277,"узкая (благоустройство)")</f>
        <v>0</v>
      </c>
      <c r="AM36" s="104">
        <f>COUNTIFS('свод практик'!$B$6:$B$277,"смежная",'свод практик'!$J$6:$J$277,AM$1,'свод практик'!$E$6:$E$277,"узкая (благоустройство)")</f>
        <v>0</v>
      </c>
      <c r="AN36" s="104">
        <f>COUNTIFS('свод практик'!$B$6:$B$277,"смежная",'свод практик'!$J$6:$J$277,AN$1,'свод практик'!$E$6:$E$277,"узкая (благоустройство)")</f>
        <v>0</v>
      </c>
      <c r="AO36" s="104">
        <f>COUNTIFS('свод практик'!$B$6:$B$277,"смежная",'свод практик'!$J$6:$J$277,AO$1,'свод практик'!$E$6:$E$277,"узкая (благоустройство)")</f>
        <v>0</v>
      </c>
      <c r="AP36" s="104">
        <f>COUNTIFS('свод практик'!$B$6:$B$277,"смежная",'свод практик'!$J$6:$J$277,AP$1,'свод практик'!$E$6:$E$277,"узкая (благоустройство)")</f>
        <v>1</v>
      </c>
      <c r="AQ36" s="104">
        <f>COUNTIFS('свод практик'!$B$6:$B$277,"смежная",'свод практик'!$J$6:$J$277,AQ$1,'свод практик'!$E$6:$E$277,"узкая (благоустройство)")</f>
        <v>0</v>
      </c>
      <c r="AR36" s="104">
        <f>COUNTIFS('свод практик'!$B$6:$B$277,"смежная",'свод практик'!$J$6:$J$277,AR$1,'свод практик'!$E$6:$E$277,"узкая (благоустройство)")</f>
        <v>0</v>
      </c>
      <c r="AS36" s="104">
        <f>COUNTIFS('свод практик'!$B$6:$B$277,"смежная",'свод практик'!$J$6:$J$277,AS$1,'свод практик'!$E$6:$E$277,"узкая (благоустройство)")</f>
        <v>0</v>
      </c>
      <c r="AT36" s="104">
        <f>COUNTIFS('свод практик'!$B$6:$B$277,"смежная",'свод практик'!$J$6:$J$277,AT$1,'свод практик'!$E$6:$E$277,"узкая (благоустройство)")</f>
        <v>0</v>
      </c>
      <c r="AU36" s="104">
        <f>COUNTIFS('свод практик'!$B$6:$B$277,"смежная",'свод практик'!$J$6:$J$277,AU$1,'свод практик'!$E$6:$E$277,"узкая (благоустройство)")</f>
        <v>0</v>
      </c>
      <c r="AV36" s="104">
        <f>COUNTIFS('свод практик'!$B$6:$B$277,"смежная",'свод практик'!$J$6:$J$277,AV$1,'свод практик'!$E$6:$E$277,"узкая (благоустройство)")</f>
        <v>0</v>
      </c>
      <c r="AW36" s="104">
        <f>COUNTIFS('свод практик'!$B$6:$B$277,"смежная",'свод практик'!$J$6:$J$277,AW$1,'свод практик'!$E$6:$E$277,"узкая (благоустройство)")</f>
        <v>0</v>
      </c>
      <c r="AX36" s="104">
        <f>COUNTIFS('свод практик'!$B$6:$B$277,"смежная",'свод практик'!$J$6:$J$277,AX$1,'свод практик'!$E$6:$E$277,"узкая (благоустройство)")</f>
        <v>0</v>
      </c>
      <c r="AY36" s="104">
        <f>COUNTIFS('свод практик'!$B$6:$B$277,"смежная",'свод практик'!$J$6:$J$277,AY$1,'свод практик'!$E$6:$E$277,"узкая (благоустройство)")</f>
        <v>0</v>
      </c>
      <c r="AZ36" s="104">
        <f>COUNTIFS('свод практик'!$B$6:$B$277,"смежная",'свод практик'!$J$6:$J$277,AZ$1,'свод практик'!$E$6:$E$277,"узкая (благоустройство)")</f>
        <v>0</v>
      </c>
      <c r="BA36" s="104">
        <f>COUNTIFS('свод практик'!$B$6:$B$277,"смежная",'свод практик'!$J$6:$J$277,BA$1,'свод практик'!$E$6:$E$277,"узкая (благоустройство)")</f>
        <v>0</v>
      </c>
      <c r="BB36" s="104">
        <f>COUNTIFS('свод практик'!$B$6:$B$277,"смежная",'свод практик'!$J$6:$J$277,BB$1,'свод практик'!$E$6:$E$277,"узкая (благоустройство)")</f>
        <v>0</v>
      </c>
      <c r="BC36" s="104">
        <f>COUNTIFS('свод практик'!$B$6:$B$277,"смежная",'свод практик'!$J$6:$J$277,BC$1,'свод практик'!$E$6:$E$277,"узкая (благоустройство)")</f>
        <v>0</v>
      </c>
      <c r="BD36" s="104">
        <f>COUNTIFS('свод практик'!$B$6:$B$277,"смежная",'свод практик'!$J$6:$J$277,BD$1,'свод практик'!$E$6:$E$277,"узкая (благоустройство)")</f>
        <v>0</v>
      </c>
      <c r="BE36" s="104">
        <f>COUNTIFS('свод практик'!$B$6:$B$277,"смежная",'свод практик'!$J$6:$J$277,BE$1,'свод практик'!$E$6:$E$277,"узкая (благоустройство)")</f>
        <v>0</v>
      </c>
      <c r="BF36" s="104">
        <f>COUNTIFS('свод практик'!$B$6:$B$277,"смежная",'свод практик'!$J$6:$J$277,BF$1,'свод практик'!$E$6:$E$277,"узкая (благоустройство)")</f>
        <v>0</v>
      </c>
      <c r="BG36" s="104">
        <f>COUNTIFS('свод практик'!$B$6:$B$277,"смежная",'свод практик'!$J$6:$J$277,BG$1,'свод практик'!$E$6:$E$277,"узкая (благоустройство)")</f>
        <v>0</v>
      </c>
      <c r="BH36" s="104">
        <f>COUNTIFS('свод практик'!$B$6:$B$277,"смежная",'свод практик'!$J$6:$J$277,BH$1,'свод практик'!$E$6:$E$277,"узкая (благоустройство)")</f>
        <v>0</v>
      </c>
      <c r="BI36" s="104">
        <f>COUNTIFS('свод практик'!$B$6:$B$277,"смежная",'свод практик'!$J$6:$J$277,BI$1,'свод практик'!$E$6:$E$277,"узкая (благоустройство)")</f>
        <v>0</v>
      </c>
      <c r="BJ36" s="104">
        <f>COUNTIFS('свод практик'!$B$6:$B$277,"смежная",'свод практик'!$J$6:$J$277,BJ$1,'свод практик'!$E$6:$E$277,"узкая (благоустройство)")</f>
        <v>0</v>
      </c>
      <c r="BK36" s="104">
        <f>COUNTIFS('свод практик'!$B$6:$B$277,"смежная",'свод практик'!$J$6:$J$277,BK$1,'свод практик'!$E$6:$E$277,"узкая (благоустройство)")</f>
        <v>0</v>
      </c>
      <c r="BL36" s="104">
        <f>COUNTIFS('свод практик'!$B$6:$B$277,"смежная",'свод практик'!$J$6:$J$277,BL$1,'свод практик'!$E$6:$E$277,"узкая (благоустройство)")</f>
        <v>0</v>
      </c>
      <c r="BM36" s="104">
        <f>COUNTIFS('свод практик'!$B$6:$B$277,"смежная",'свод практик'!$J$6:$J$277,BM$1,'свод практик'!$E$6:$E$277,"узкая (благоустройство)")</f>
        <v>0</v>
      </c>
      <c r="BN36" s="104">
        <f>COUNTIFS('свод практик'!$B$6:$B$277,"смежная",'свод практик'!$J$6:$J$277,BN$1,'свод практик'!$E$6:$E$277,"узкая (благоустройство)")</f>
        <v>0</v>
      </c>
      <c r="BO36" s="104">
        <f>COUNTIFS('свод практик'!$B$6:$B$277,"смежная",'свод практик'!$J$6:$J$277,BO$1,'свод практик'!$E$6:$E$277,"узкая (благоустройство)")</f>
        <v>0</v>
      </c>
      <c r="BP36" s="104">
        <f>COUNTIFS('свод практик'!$B$6:$B$277,"смежная",'свод практик'!$J$6:$J$277,BP$1,'свод практик'!$E$6:$E$277,"узкая (благоустройство)")</f>
        <v>0</v>
      </c>
      <c r="BQ36" s="104">
        <f>COUNTIFS('свод практик'!$B$6:$B$277,"смежная",'свод практик'!$J$6:$J$277,BQ$1,'свод практик'!$E$6:$E$277,"узкая (благоустройство)")</f>
        <v>0</v>
      </c>
      <c r="BR36" s="104">
        <f>COUNTIFS('свод практик'!$B$6:$B$277,"смежная",'свод практик'!$J$6:$J$277,BR$1,'свод практик'!$E$6:$E$277,"узкая (благоустройство)")</f>
        <v>0</v>
      </c>
      <c r="BS36" s="104">
        <f>COUNTIFS('свод практик'!$B$6:$B$277,"смежная",'свод практик'!$J$6:$J$277,BS$1,'свод практик'!$E$6:$E$277,"узкая (благоустройство)")</f>
        <v>0</v>
      </c>
      <c r="BT36" s="104">
        <f>COUNTIFS('свод практик'!$B$6:$B$277,"смежная",'свод практик'!$J$6:$J$277,BT$1,'свод практик'!$E$6:$E$277,"узкая (благоустройство)")</f>
        <v>0</v>
      </c>
      <c r="BU36" s="104">
        <f>COUNTIFS('свод практик'!$B$6:$B$277,"смежная",'свод практик'!$J$6:$J$277,BU$1,'свод практик'!$E$6:$E$277,"узкая (благоустройство)")</f>
        <v>0</v>
      </c>
      <c r="BV36" s="104">
        <f>COUNTIFS('свод практик'!$B$6:$B$277,"смежная",'свод практик'!$J$6:$J$277,BV$1,'свод практик'!$E$6:$E$277,"узкая (благоустройство)")</f>
        <v>0</v>
      </c>
      <c r="BW36" s="104">
        <f>COUNTIFS('свод практик'!$B$6:$B$277,"смежная",'свод практик'!$J$6:$J$277,BW$1,'свод практик'!$E$6:$E$277,"узкая (благоустройство)")</f>
        <v>0</v>
      </c>
      <c r="BX36" s="104">
        <f>COUNTIFS('свод практик'!$B$6:$B$277,"смежная",'свод практик'!$J$6:$J$277,BX$1,'свод практик'!$E$6:$E$277,"узкая (благоустройство)")</f>
        <v>0</v>
      </c>
      <c r="BY36" s="104">
        <f>COUNTIFS('свод практик'!$B$6:$B$277,"смежная",'свод практик'!$J$6:$J$277,BY$1,'свод практик'!$E$6:$E$277,"узкая (благоустройство)")</f>
        <v>0</v>
      </c>
      <c r="BZ36" s="104">
        <f>COUNTIFS('свод практик'!$B$6:$B$277,"смежная",'свод практик'!$J$6:$J$277,BZ$1,'свод практик'!$E$6:$E$277,"узкая (благоустройство)")</f>
        <v>0</v>
      </c>
      <c r="CA36" s="104">
        <f>COUNTIFS('свод практик'!$B$6:$B$277,"смежная",'свод практик'!$J$6:$J$277,CA$1,'свод практик'!$E$6:$E$277,"узкая (благоустройство)")</f>
        <v>0</v>
      </c>
      <c r="CB36" s="104">
        <f>COUNTIFS('свод практик'!$B$6:$B$277,"смежная",'свод практик'!$J$6:$J$277,CB$1,'свод практик'!$E$6:$E$277,"узкая (благоустройство)")</f>
        <v>0</v>
      </c>
      <c r="CC36" s="104">
        <f>COUNTIFS('свод практик'!$B$6:$B$277,"смежная",'свод практик'!$J$6:$J$277,CC$1,'свод практик'!$E$6:$E$277,"узкая (благоустройство)")</f>
        <v>0</v>
      </c>
      <c r="CD36" s="104">
        <f>COUNTIFS('свод практик'!$B$6:$B$277,"смежная",'свод практик'!$J$6:$J$277,CD$1,'свод практик'!$E$6:$E$277,"узкая (благоустройство)")</f>
        <v>0</v>
      </c>
      <c r="CE36" s="104">
        <f>COUNTIFS('свод практик'!$B$6:$B$277,"смежная",'свод практик'!$J$6:$J$277,CE$1,'свод практик'!$E$6:$E$277,"узкая (благоустройство)")</f>
        <v>0</v>
      </c>
      <c r="CF36" s="104">
        <f>COUNTIFS('свод практик'!$B$6:$B$277,"смежная",'свод практик'!$J$6:$J$277,CF$1,'свод практик'!$E$6:$E$277,"узкая (благоустройство)")</f>
        <v>0</v>
      </c>
      <c r="CG36" s="104">
        <f>COUNTIFS('свод практик'!$B$6:$B$277,"смежная",'свод практик'!$J$6:$J$277,CG$1,'свод практик'!$E$6:$E$277,"узкая (благоустройство)")</f>
        <v>0</v>
      </c>
      <c r="CH36" s="104">
        <f>COUNTIFS('свод практик'!$B$6:$B$277,"смежная",'свод практик'!$J$6:$J$277,CH$1,'свод практик'!$E$6:$E$277,"узкая (благоустройство)")</f>
        <v>0</v>
      </c>
      <c r="CI36" s="104">
        <f>COUNTIFS('свод практик'!$B$6:$B$277,"смежная",'свод практик'!$J$6:$J$277,CI$1,'свод практик'!$E$6:$E$277,"узкая (благоустройство)")</f>
        <v>0</v>
      </c>
      <c r="CJ36" s="104">
        <f>COUNTIFS('свод практик'!$B$6:$B$277,"смежная",'свод практик'!$J$6:$J$277,CJ$1,'свод практик'!$E$6:$E$277,"узкая (благоустройство)")</f>
        <v>0</v>
      </c>
      <c r="CK36" s="104">
        <f>COUNTIFS('свод практик'!$B$6:$B$277,"смежная",'свод практик'!$J$6:$J$277,CK$1,'свод практик'!$E$6:$E$277,"узкая (благоустройство)")</f>
        <v>0</v>
      </c>
    </row>
    <row r="37" spans="1:89">
      <c r="A37" s="680" t="s">
        <v>5323</v>
      </c>
      <c r="D37" s="675">
        <f t="shared" si="0"/>
        <v>10</v>
      </c>
      <c r="E37">
        <f>COUNTIFS('свод практик'!$B$6:$B$277,"смежная",'свод практик'!$J$6:$J$277,E$1,'свод практик'!$E$6:$E$277,"специализированная")</f>
        <v>0</v>
      </c>
      <c r="F37" s="104">
        <f>COUNTIFS('свод практик'!$B$6:$B$277,"смежная",'свод практик'!$J$6:$J$277,F$1,'свод практик'!$E$6:$E$277,"специализированная")</f>
        <v>0</v>
      </c>
      <c r="G37" s="104">
        <f>COUNTIFS('свод практик'!$B$6:$B$277,"смежная",'свод практик'!$J$6:$J$277,G$1,'свод практик'!$E$6:$E$277,"специализированная")</f>
        <v>0</v>
      </c>
      <c r="H37" s="104">
        <f>COUNTIFS('свод практик'!$B$6:$B$277,"смежная",'свод практик'!$J$6:$J$277,H$1,'свод практик'!$E$6:$E$277,"специализированная")</f>
        <v>0</v>
      </c>
      <c r="I37" s="104">
        <f>COUNTIFS('свод практик'!$B$6:$B$277,"смежная",'свод практик'!$J$6:$J$277,I$1,'свод практик'!$E$6:$E$277,"специализированная")</f>
        <v>0</v>
      </c>
      <c r="J37" s="104">
        <f>COUNTIFS('свод практик'!$B$6:$B$277,"смежная",'свод практик'!$J$6:$J$277,J$1,'свод практик'!$E$6:$E$277,"специализированная")</f>
        <v>0</v>
      </c>
      <c r="K37" s="104">
        <f>COUNTIFS('свод практик'!$B$6:$B$277,"смежная",'свод практик'!$J$6:$J$277,K$1,'свод практик'!$E$6:$E$277,"специализированная")</f>
        <v>0</v>
      </c>
      <c r="L37" s="104">
        <f>COUNTIFS('свод практик'!$B$6:$B$277,"смежная",'свод практик'!$J$6:$J$277,L$1,'свод практик'!$E$6:$E$277,"специализированная")</f>
        <v>0</v>
      </c>
      <c r="M37" s="104">
        <f>COUNTIFS('свод практик'!$B$6:$B$277,"смежная",'свод практик'!$J$6:$J$277,M$1,'свод практик'!$E$6:$E$277,"специализированная")</f>
        <v>0</v>
      </c>
      <c r="N37" s="104">
        <f>COUNTIFS('свод практик'!$B$6:$B$277,"смежная",'свод практик'!$J$6:$J$277,N$1,'свод практик'!$E$6:$E$277,"специализированная")</f>
        <v>0</v>
      </c>
      <c r="O37" s="104">
        <f>COUNTIFS('свод практик'!$B$6:$B$277,"смежная",'свод практик'!$J$6:$J$277,O$1,'свод практик'!$E$6:$E$277,"специализированная")</f>
        <v>0</v>
      </c>
      <c r="P37" s="104">
        <f>COUNTIFS('свод практик'!$B$6:$B$277,"смежная",'свод практик'!$J$6:$J$277,P$1,'свод практик'!$E$6:$E$277,"специализированная")</f>
        <v>0</v>
      </c>
      <c r="Q37" s="104">
        <f>COUNTIFS('свод практик'!$B$6:$B$277,"смежная",'свод практик'!$J$6:$J$277,Q$1,'свод практик'!$E$6:$E$277,"специализированная")</f>
        <v>0</v>
      </c>
      <c r="R37" s="104">
        <f>COUNTIFS('свод практик'!$B$6:$B$277,"смежная",'свод практик'!$J$6:$J$277,R$1,'свод практик'!$E$6:$E$277,"специализированная")</f>
        <v>0</v>
      </c>
      <c r="S37" s="104">
        <f>COUNTIFS('свод практик'!$B$6:$B$277,"смежная",'свод практик'!$J$6:$J$277,S$1,'свод практик'!$E$6:$E$277,"специализированная")</f>
        <v>0</v>
      </c>
      <c r="T37" s="104">
        <f>COUNTIFS('свод практик'!$B$6:$B$277,"смежная",'свод практик'!$J$6:$J$277,T$1,'свод практик'!$E$6:$E$277,"специализированная")</f>
        <v>0</v>
      </c>
      <c r="U37" s="104">
        <f>COUNTIFS('свод практик'!$B$6:$B$277,"смежная",'свод практик'!$J$6:$J$277,U$1,'свод практик'!$E$6:$E$277,"специализированная")</f>
        <v>0</v>
      </c>
      <c r="V37" s="104">
        <f>COUNTIFS('свод практик'!$B$6:$B$277,"смежная",'свод практик'!$J$6:$J$277,V$1,'свод практик'!$E$6:$E$277,"специализированная")</f>
        <v>0</v>
      </c>
      <c r="W37" s="104">
        <f>COUNTIFS('свод практик'!$B$6:$B$277,"смежная",'свод практик'!$J$6:$J$277,W$1,'свод практик'!$E$6:$E$277,"специализированная")</f>
        <v>0</v>
      </c>
      <c r="X37" s="104">
        <f>COUNTIFS('свод практик'!$B$6:$B$277,"смежная",'свод практик'!$J$6:$J$277,X$1,'свод практик'!$E$6:$E$277,"специализированная")</f>
        <v>0</v>
      </c>
      <c r="Y37" s="104">
        <f>COUNTIFS('свод практик'!$B$6:$B$277,"смежная",'свод практик'!$J$6:$J$277,Y$1,'свод практик'!$E$6:$E$277,"специализированная")</f>
        <v>1</v>
      </c>
      <c r="Z37" s="104">
        <f>COUNTIFS('свод практик'!$B$6:$B$277,"смежная",'свод практик'!$J$6:$J$277,Z$1,'свод практик'!$E$6:$E$277,"специализированная")</f>
        <v>0</v>
      </c>
      <c r="AA37" s="104">
        <f>COUNTIFS('свод практик'!$B$6:$B$277,"смежная",'свод практик'!$J$6:$J$277,AA$1,'свод практик'!$E$6:$E$277,"специализированная")</f>
        <v>0</v>
      </c>
      <c r="AB37" s="104">
        <f>COUNTIFS('свод практик'!$B$6:$B$277,"смежная",'свод практик'!$J$6:$J$277,AB$1,'свод практик'!$E$6:$E$277,"специализированная")</f>
        <v>0</v>
      </c>
      <c r="AC37" s="104">
        <f>COUNTIFS('свод практик'!$B$6:$B$277,"смежная",'свод практик'!$J$6:$J$277,AC$1,'свод практик'!$E$6:$E$277,"специализированная")</f>
        <v>0</v>
      </c>
      <c r="AD37" s="104">
        <f>COUNTIFS('свод практик'!$B$6:$B$277,"смежная",'свод практик'!$J$6:$J$277,AD$1,'свод практик'!$E$6:$E$277,"специализированная")</f>
        <v>0</v>
      </c>
      <c r="AE37" s="104">
        <f>COUNTIFS('свод практик'!$B$6:$B$277,"смежная",'свод практик'!$J$6:$J$277,AE$1,'свод практик'!$E$6:$E$277,"специализированная")</f>
        <v>0</v>
      </c>
      <c r="AF37" s="104">
        <f>COUNTIFS('свод практик'!$B$6:$B$277,"смежная",'свод практик'!$J$6:$J$277,AF$1,'свод практик'!$E$6:$E$277,"специализированная")</f>
        <v>0</v>
      </c>
      <c r="AG37" s="104">
        <f>COUNTIFS('свод практик'!$B$6:$B$277,"смежная",'свод практик'!$J$6:$J$277,AG$1,'свод практик'!$E$6:$E$277,"специализированная")</f>
        <v>0</v>
      </c>
      <c r="AH37" s="104">
        <f>COUNTIFS('свод практик'!$B$6:$B$277,"смежная",'свод практик'!$J$6:$J$277,AH$1,'свод практик'!$E$6:$E$277,"специализированная")</f>
        <v>0</v>
      </c>
      <c r="AI37" s="104">
        <f>COUNTIFS('свод практик'!$B$6:$B$277,"смежная",'свод практик'!$J$6:$J$277,AI$1,'свод практик'!$E$6:$E$277,"специализированная")</f>
        <v>1</v>
      </c>
      <c r="AJ37" s="104">
        <f>COUNTIFS('свод практик'!$B$6:$B$277,"смежная",'свод практик'!$J$6:$J$277,AJ$1,'свод практик'!$E$6:$E$277,"специализированная")</f>
        <v>0</v>
      </c>
      <c r="AK37" s="104">
        <f>COUNTIFS('свод практик'!$B$6:$B$277,"смежная",'свод практик'!$J$6:$J$277,AK$1,'свод практик'!$E$6:$E$277,"специализированная")</f>
        <v>0</v>
      </c>
      <c r="AL37" s="104">
        <f>COUNTIFS('свод практик'!$B$6:$B$277,"смежная",'свод практик'!$J$6:$J$277,AL$1,'свод практик'!$E$6:$E$277,"специализированная")</f>
        <v>1</v>
      </c>
      <c r="AM37" s="104">
        <f>COUNTIFS('свод практик'!$B$6:$B$277,"смежная",'свод практик'!$J$6:$J$277,AM$1,'свод практик'!$E$6:$E$277,"специализированная")</f>
        <v>0</v>
      </c>
      <c r="AN37" s="104">
        <f>COUNTIFS('свод практик'!$B$6:$B$277,"смежная",'свод практик'!$J$6:$J$277,AN$1,'свод практик'!$E$6:$E$277,"специализированная")</f>
        <v>0</v>
      </c>
      <c r="AO37" s="104">
        <f>COUNTIFS('свод практик'!$B$6:$B$277,"смежная",'свод практик'!$J$6:$J$277,AO$1,'свод практик'!$E$6:$E$277,"специализированная")</f>
        <v>0</v>
      </c>
      <c r="AP37" s="104">
        <f>COUNTIFS('свод практик'!$B$6:$B$277,"смежная",'свод практик'!$J$6:$J$277,AP$1,'свод практик'!$E$6:$E$277,"специализированная")</f>
        <v>0</v>
      </c>
      <c r="AQ37" s="104">
        <f>COUNTIFS('свод практик'!$B$6:$B$277,"смежная",'свод практик'!$J$6:$J$277,AQ$1,'свод практик'!$E$6:$E$277,"специализированная")</f>
        <v>0</v>
      </c>
      <c r="AR37" s="104">
        <f>COUNTIFS('свод практик'!$B$6:$B$277,"смежная",'свод практик'!$J$6:$J$277,AR$1,'свод практик'!$E$6:$E$277,"специализированная")</f>
        <v>0</v>
      </c>
      <c r="AS37" s="104">
        <f>COUNTIFS('свод практик'!$B$6:$B$277,"смежная",'свод практик'!$J$6:$J$277,AS$1,'свод практик'!$E$6:$E$277,"специализированная")</f>
        <v>0</v>
      </c>
      <c r="AT37" s="104">
        <f>COUNTIFS('свод практик'!$B$6:$B$277,"смежная",'свод практик'!$J$6:$J$277,AT$1,'свод практик'!$E$6:$E$277,"специализированная")</f>
        <v>0</v>
      </c>
      <c r="AU37" s="104">
        <f>COUNTIFS('свод практик'!$B$6:$B$277,"смежная",'свод практик'!$J$6:$J$277,AU$1,'свод практик'!$E$6:$E$277,"специализированная")</f>
        <v>0</v>
      </c>
      <c r="AV37" s="104">
        <f>COUNTIFS('свод практик'!$B$6:$B$277,"смежная",'свод практик'!$J$6:$J$277,AV$1,'свод практик'!$E$6:$E$277,"специализированная")</f>
        <v>0</v>
      </c>
      <c r="AW37" s="104">
        <f>COUNTIFS('свод практик'!$B$6:$B$277,"смежная",'свод практик'!$J$6:$J$277,AW$1,'свод практик'!$E$6:$E$277,"специализированная")</f>
        <v>0</v>
      </c>
      <c r="AX37" s="104">
        <f>COUNTIFS('свод практик'!$B$6:$B$277,"смежная",'свод практик'!$J$6:$J$277,AX$1,'свод практик'!$E$6:$E$277,"специализированная")</f>
        <v>0</v>
      </c>
      <c r="AY37" s="104">
        <f>COUNTIFS('свод практик'!$B$6:$B$277,"смежная",'свод практик'!$J$6:$J$277,AY$1,'свод практик'!$E$6:$E$277,"специализированная")</f>
        <v>1</v>
      </c>
      <c r="AZ37" s="104">
        <f>COUNTIFS('свод практик'!$B$6:$B$277,"смежная",'свод практик'!$J$6:$J$277,AZ$1,'свод практик'!$E$6:$E$277,"специализированная")</f>
        <v>0</v>
      </c>
      <c r="BA37" s="104">
        <f>COUNTIFS('свод практик'!$B$6:$B$277,"смежная",'свод практик'!$J$6:$J$277,BA$1,'свод практик'!$E$6:$E$277,"специализированная")</f>
        <v>0</v>
      </c>
      <c r="BB37" s="104">
        <f>COUNTIFS('свод практик'!$B$6:$B$277,"смежная",'свод практик'!$J$6:$J$277,BB$1,'свод практик'!$E$6:$E$277,"специализированная")</f>
        <v>0</v>
      </c>
      <c r="BC37" s="104">
        <f>COUNTIFS('свод практик'!$B$6:$B$277,"смежная",'свод практик'!$J$6:$J$277,BC$1,'свод практик'!$E$6:$E$277,"специализированная")</f>
        <v>0</v>
      </c>
      <c r="BD37" s="104">
        <f>COUNTIFS('свод практик'!$B$6:$B$277,"смежная",'свод практик'!$J$6:$J$277,BD$1,'свод практик'!$E$6:$E$277,"специализированная")</f>
        <v>0</v>
      </c>
      <c r="BE37" s="104">
        <f>COUNTIFS('свод практик'!$B$6:$B$277,"смежная",'свод практик'!$J$6:$J$277,BE$1,'свод практик'!$E$6:$E$277,"специализированная")</f>
        <v>0</v>
      </c>
      <c r="BF37" s="104">
        <f>COUNTIFS('свод практик'!$B$6:$B$277,"смежная",'свод практик'!$J$6:$J$277,BF$1,'свод практик'!$E$6:$E$277,"специализированная")</f>
        <v>0</v>
      </c>
      <c r="BG37" s="104">
        <f>COUNTIFS('свод практик'!$B$6:$B$277,"смежная",'свод практик'!$J$6:$J$277,BG$1,'свод практик'!$E$6:$E$277,"специализированная")</f>
        <v>0</v>
      </c>
      <c r="BH37" s="104">
        <f>COUNTIFS('свод практик'!$B$6:$B$277,"смежная",'свод практик'!$J$6:$J$277,BH$1,'свод практик'!$E$6:$E$277,"специализированная")</f>
        <v>1</v>
      </c>
      <c r="BI37" s="104">
        <f>COUNTIFS('свод практик'!$B$6:$B$277,"смежная",'свод практик'!$J$6:$J$277,BI$1,'свод практик'!$E$6:$E$277,"специализированная")</f>
        <v>0</v>
      </c>
      <c r="BJ37" s="104">
        <f>COUNTIFS('свод практик'!$B$6:$B$277,"смежная",'свод практик'!$J$6:$J$277,BJ$1,'свод практик'!$E$6:$E$277,"специализированная")</f>
        <v>1</v>
      </c>
      <c r="BK37" s="104">
        <f>COUNTIFS('свод практик'!$B$6:$B$277,"смежная",'свод практик'!$J$6:$J$277,BK$1,'свод практик'!$E$6:$E$277,"специализированная")</f>
        <v>0</v>
      </c>
      <c r="BL37" s="104">
        <f>COUNTIFS('свод практик'!$B$6:$B$277,"смежная",'свод практик'!$J$6:$J$277,BL$1,'свод практик'!$E$6:$E$277,"специализированная")</f>
        <v>0</v>
      </c>
      <c r="BM37" s="104">
        <f>COUNTIFS('свод практик'!$B$6:$B$277,"смежная",'свод практик'!$J$6:$J$277,BM$1,'свод практик'!$E$6:$E$277,"специализированная")</f>
        <v>0</v>
      </c>
      <c r="BN37" s="104">
        <f>COUNTIFS('свод практик'!$B$6:$B$277,"смежная",'свод практик'!$J$6:$J$277,BN$1,'свод практик'!$E$6:$E$277,"специализированная")</f>
        <v>0</v>
      </c>
      <c r="BO37" s="104">
        <f>COUNTIFS('свод практик'!$B$6:$B$277,"смежная",'свод практик'!$J$6:$J$277,BO$1,'свод практик'!$E$6:$E$277,"специализированная")</f>
        <v>0</v>
      </c>
      <c r="BP37" s="104">
        <f>COUNTIFS('свод практик'!$B$6:$B$277,"смежная",'свод практик'!$J$6:$J$277,BP$1,'свод практик'!$E$6:$E$277,"специализированная")</f>
        <v>0</v>
      </c>
      <c r="BQ37" s="104">
        <f>COUNTIFS('свод практик'!$B$6:$B$277,"смежная",'свод практик'!$J$6:$J$277,BQ$1,'свод практик'!$E$6:$E$277,"специализированная")</f>
        <v>0</v>
      </c>
      <c r="BR37" s="104">
        <f>COUNTIFS('свод практик'!$B$6:$B$277,"смежная",'свод практик'!$J$6:$J$277,BR$1,'свод практик'!$E$6:$E$277,"специализированная")</f>
        <v>0</v>
      </c>
      <c r="BS37" s="104">
        <f>COUNTIFS('свод практик'!$B$6:$B$277,"смежная",'свод практик'!$J$6:$J$277,BS$1,'свод практик'!$E$6:$E$277,"специализированная")</f>
        <v>0</v>
      </c>
      <c r="BT37" s="104">
        <f>COUNTIFS('свод практик'!$B$6:$B$277,"смежная",'свод практик'!$J$6:$J$277,BT$1,'свод практик'!$E$6:$E$277,"специализированная")</f>
        <v>0</v>
      </c>
      <c r="BU37" s="104">
        <f>COUNTIFS('свод практик'!$B$6:$B$277,"смежная",'свод практик'!$J$6:$J$277,BU$1,'свод практик'!$E$6:$E$277,"специализированная")</f>
        <v>0</v>
      </c>
      <c r="BV37" s="104">
        <f>COUNTIFS('свод практик'!$B$6:$B$277,"смежная",'свод практик'!$J$6:$J$277,BV$1,'свод практик'!$E$6:$E$277,"специализированная")</f>
        <v>0</v>
      </c>
      <c r="BW37" s="104">
        <f>COUNTIFS('свод практик'!$B$6:$B$277,"смежная",'свод практик'!$J$6:$J$277,BW$1,'свод практик'!$E$6:$E$277,"специализированная")</f>
        <v>0</v>
      </c>
      <c r="BX37" s="104">
        <f>COUNTIFS('свод практик'!$B$6:$B$277,"смежная",'свод практик'!$J$6:$J$277,BX$1,'свод практик'!$E$6:$E$277,"специализированная")</f>
        <v>0</v>
      </c>
      <c r="BY37" s="104">
        <f>COUNTIFS('свод практик'!$B$6:$B$277,"смежная",'свод практик'!$J$6:$J$277,BY$1,'свод практик'!$E$6:$E$277,"специализированная")</f>
        <v>0</v>
      </c>
      <c r="BZ37" s="104">
        <f>COUNTIFS('свод практик'!$B$6:$B$277,"смежная",'свод практик'!$J$6:$J$277,BZ$1,'свод практик'!$E$6:$E$277,"специализированная")</f>
        <v>0</v>
      </c>
      <c r="CA37" s="104">
        <f>COUNTIFS('свод практик'!$B$6:$B$277,"смежная",'свод практик'!$J$6:$J$277,CA$1,'свод практик'!$E$6:$E$277,"специализированная")</f>
        <v>0</v>
      </c>
      <c r="CB37" s="104">
        <f>COUNTIFS('свод практик'!$B$6:$B$277,"смежная",'свод практик'!$J$6:$J$277,CB$1,'свод практик'!$E$6:$E$277,"специализированная")</f>
        <v>0</v>
      </c>
      <c r="CC37" s="104">
        <f>COUNTIFS('свод практик'!$B$6:$B$277,"смежная",'свод практик'!$J$6:$J$277,CC$1,'свод практик'!$E$6:$E$277,"специализированная")</f>
        <v>0</v>
      </c>
      <c r="CD37" s="104">
        <f>COUNTIFS('свод практик'!$B$6:$B$277,"смежная",'свод практик'!$J$6:$J$277,CD$1,'свод практик'!$E$6:$E$277,"специализированная")</f>
        <v>0</v>
      </c>
      <c r="CE37" s="104">
        <f>COUNTIFS('свод практик'!$B$6:$B$277,"смежная",'свод практик'!$J$6:$J$277,CE$1,'свод практик'!$E$6:$E$277,"специализированная")</f>
        <v>4</v>
      </c>
      <c r="CF37" s="104">
        <f>COUNTIFS('свод практик'!$B$6:$B$277,"смежная",'свод практик'!$J$6:$J$277,CF$1,'свод практик'!$E$6:$E$277,"специализированная")</f>
        <v>0</v>
      </c>
      <c r="CG37" s="104">
        <f>COUNTIFS('свод практик'!$B$6:$B$277,"смежная",'свод практик'!$J$6:$J$277,CG$1,'свод практик'!$E$6:$E$277,"специализированная")</f>
        <v>0</v>
      </c>
      <c r="CH37" s="104">
        <f>COUNTIFS('свод практик'!$B$6:$B$277,"смежная",'свод практик'!$J$6:$J$277,CH$1,'свод практик'!$E$6:$E$277,"специализированная")</f>
        <v>0</v>
      </c>
      <c r="CI37" s="104">
        <f>COUNTIFS('свод практик'!$B$6:$B$277,"смежная",'свод практик'!$J$6:$J$277,CI$1,'свод практик'!$E$6:$E$277,"специализированная")</f>
        <v>0</v>
      </c>
      <c r="CJ37" s="104">
        <f>COUNTIFS('свод практик'!$B$6:$B$277,"смежная",'свод практик'!$J$6:$J$277,CJ$1,'свод практик'!$E$6:$E$277,"специализированная")</f>
        <v>0</v>
      </c>
      <c r="CK37" s="104">
        <f>COUNTIFS('свод практик'!$B$6:$B$277,"смежная",'свод практик'!$J$6:$J$277,CK$1,'свод практик'!$E$6:$E$277,"специализированная")</f>
        <v>0</v>
      </c>
    </row>
    <row r="38" spans="1:89">
      <c r="D38" s="677"/>
    </row>
    <row r="39" spans="1:89">
      <c r="D39" s="677"/>
    </row>
    <row r="40" spans="1:89">
      <c r="A40" s="681" t="s">
        <v>5866</v>
      </c>
      <c r="D40" s="675">
        <f t="shared" si="0"/>
        <v>51</v>
      </c>
      <c r="E40">
        <f>COUNTIFS('свод практик'!$J$6:$J$277,E$1,'свод практик'!$B$6:$B$277,"смежная",'свод практик'!$G$6:$G$277,"суб")</f>
        <v>0</v>
      </c>
      <c r="F40" s="104">
        <f>COUNTIFS('свод практик'!$J$6:$J$277,F$1,'свод практик'!$B$6:$B$277,"смежная",'свод практик'!$G$6:$G$277,"суб")</f>
        <v>2</v>
      </c>
      <c r="G40" s="104">
        <f>COUNTIFS('свод практик'!$J$6:$J$277,G$1,'свод практик'!$B$6:$B$277,"смежная",'свод практик'!$G$6:$G$277,"суб")</f>
        <v>0</v>
      </c>
      <c r="H40" s="104">
        <f>COUNTIFS('свод практик'!$J$6:$J$277,H$1,'свод практик'!$B$6:$B$277,"смежная",'свод практик'!$G$6:$G$277,"суб")</f>
        <v>0</v>
      </c>
      <c r="I40" s="104">
        <f>COUNTIFS('свод практик'!$J$6:$J$277,I$1,'свод практик'!$B$6:$B$277,"смежная",'свод практик'!$G$6:$G$277,"суб")</f>
        <v>1</v>
      </c>
      <c r="J40" s="104">
        <f>COUNTIFS('свод практик'!$J$6:$J$277,J$1,'свод практик'!$B$6:$B$277,"смежная",'свод практик'!$G$6:$G$277,"суб")</f>
        <v>0</v>
      </c>
      <c r="K40" s="104">
        <f>COUNTIFS('свод практик'!$J$6:$J$277,K$1,'свод практик'!$B$6:$B$277,"смежная",'свод практик'!$G$6:$G$277,"суб")</f>
        <v>1</v>
      </c>
      <c r="L40" s="104">
        <f>COUNTIFS('свод практик'!$J$6:$J$277,L$1,'свод практик'!$B$6:$B$277,"смежная",'свод практик'!$G$6:$G$277,"суб")</f>
        <v>2</v>
      </c>
      <c r="M40" s="104">
        <f>COUNTIFS('свод практик'!$J$6:$J$277,M$1,'свод практик'!$B$6:$B$277,"смежная",'свод практик'!$G$6:$G$277,"суб")</f>
        <v>0</v>
      </c>
      <c r="N40" s="104">
        <f>COUNTIFS('свод практик'!$J$6:$J$277,N$1,'свод практик'!$B$6:$B$277,"смежная",'свод практик'!$G$6:$G$277,"суб")</f>
        <v>1</v>
      </c>
      <c r="O40" s="104">
        <f>COUNTIFS('свод практик'!$J$6:$J$277,O$1,'свод практик'!$B$6:$B$277,"смежная",'свод практик'!$G$6:$G$277,"суб")</f>
        <v>3</v>
      </c>
      <c r="P40" s="104">
        <f>COUNTIFS('свод практик'!$J$6:$J$277,P$1,'свод практик'!$B$6:$B$277,"смежная",'свод практик'!$G$6:$G$277,"суб")</f>
        <v>0</v>
      </c>
      <c r="Q40" s="104">
        <f>COUNTIFS('свод практик'!$J$6:$J$277,Q$1,'свод практик'!$B$6:$B$277,"смежная",'свод практик'!$G$6:$G$277,"суб")</f>
        <v>0</v>
      </c>
      <c r="R40" s="104">
        <f>COUNTIFS('свод практик'!$J$6:$J$277,R$1,'свод практик'!$B$6:$B$277,"смежная",'свод практик'!$G$6:$G$277,"суб")</f>
        <v>2</v>
      </c>
      <c r="S40" s="104">
        <f>COUNTIFS('свод практик'!$J$6:$J$277,S$1,'свод практик'!$B$6:$B$277,"смежная",'свод практик'!$G$6:$G$277,"суб")</f>
        <v>0</v>
      </c>
      <c r="T40" s="104">
        <f>COUNTIFS('свод практик'!$J$6:$J$277,T$1,'свод практик'!$B$6:$B$277,"смежная",'свод практик'!$G$6:$G$277,"суб")</f>
        <v>0</v>
      </c>
      <c r="U40" s="104">
        <f>COUNTIFS('свод практик'!$J$6:$J$277,U$1,'свод практик'!$B$6:$B$277,"смежная",'свод практик'!$G$6:$G$277,"суб")</f>
        <v>1</v>
      </c>
      <c r="V40" s="104">
        <f>COUNTIFS('свод практик'!$J$6:$J$277,V$1,'свод практик'!$B$6:$B$277,"смежная",'свод практик'!$G$6:$G$277,"суб")</f>
        <v>0</v>
      </c>
      <c r="W40" s="104">
        <f>COUNTIFS('свод практик'!$J$6:$J$277,W$1,'свод практик'!$B$6:$B$277,"смежная",'свод практик'!$G$6:$G$277,"суб")</f>
        <v>0</v>
      </c>
      <c r="X40" s="104">
        <f>COUNTIFS('свод практик'!$J$6:$J$277,X$1,'свод практик'!$B$6:$B$277,"смежная",'свод практик'!$G$6:$G$277,"суб")</f>
        <v>1</v>
      </c>
      <c r="Y40" s="104">
        <f>COUNTIFS('свод практик'!$J$6:$J$277,Y$1,'свод практик'!$B$6:$B$277,"смежная",'свод практик'!$G$6:$G$277,"суб")</f>
        <v>0</v>
      </c>
      <c r="Z40" s="104">
        <f>COUNTIFS('свод практик'!$J$6:$J$277,Z$1,'свод практик'!$B$6:$B$277,"смежная",'свод практик'!$G$6:$G$277,"суб")</f>
        <v>2</v>
      </c>
      <c r="AA40" s="104">
        <f>COUNTIFS('свод практик'!$J$6:$J$277,AA$1,'свод практик'!$B$6:$B$277,"смежная",'свод практик'!$G$6:$G$277,"суб")</f>
        <v>0</v>
      </c>
      <c r="AB40" s="104">
        <f>COUNTIFS('свод практик'!$J$6:$J$277,AB$1,'свод практик'!$B$6:$B$277,"смежная",'свод практик'!$G$6:$G$277,"суб")</f>
        <v>0</v>
      </c>
      <c r="AC40" s="104">
        <f>COUNTIFS('свод практик'!$J$6:$J$277,AC$1,'свод практик'!$B$6:$B$277,"смежная",'свод практик'!$G$6:$G$277,"суб")</f>
        <v>0</v>
      </c>
      <c r="AD40" s="104">
        <f>COUNTIFS('свод практик'!$J$6:$J$277,AD$1,'свод практик'!$B$6:$B$277,"смежная",'свод практик'!$G$6:$G$277,"суб")</f>
        <v>0</v>
      </c>
      <c r="AE40" s="104">
        <f>COUNTIFS('свод практик'!$J$6:$J$277,AE$1,'свод практик'!$B$6:$B$277,"смежная",'свод практик'!$G$6:$G$277,"суб")</f>
        <v>1</v>
      </c>
      <c r="AF40" s="104">
        <f>COUNTIFS('свод практик'!$J$6:$J$277,AF$1,'свод практик'!$B$6:$B$277,"смежная",'свод практик'!$G$6:$G$277,"суб")</f>
        <v>0</v>
      </c>
      <c r="AG40" s="104">
        <f>COUNTIFS('свод практик'!$J$6:$J$277,AG$1,'свод практик'!$B$6:$B$277,"смежная",'свод практик'!$G$6:$G$277,"суб")</f>
        <v>1</v>
      </c>
      <c r="AH40" s="104">
        <f>COUNTIFS('свод практик'!$J$6:$J$277,AH$1,'свод практик'!$B$6:$B$277,"смежная",'свод практик'!$G$6:$G$277,"суб")</f>
        <v>0</v>
      </c>
      <c r="AI40" s="104">
        <f>COUNTIFS('свод практик'!$J$6:$J$277,AI$1,'свод практик'!$B$6:$B$277,"смежная",'свод практик'!$G$6:$G$277,"суб")</f>
        <v>3</v>
      </c>
      <c r="AJ40" s="104">
        <f>COUNTIFS('свод практик'!$J$6:$J$277,AJ$1,'свод практик'!$B$6:$B$277,"смежная",'свод практик'!$G$6:$G$277,"суб")</f>
        <v>0</v>
      </c>
      <c r="AK40" s="104">
        <f>COUNTIFS('свод практик'!$J$6:$J$277,AK$1,'свод практик'!$B$6:$B$277,"смежная",'свод практик'!$G$6:$G$277,"суб")</f>
        <v>0</v>
      </c>
      <c r="AL40" s="104">
        <f>COUNTIFS('свод практик'!$J$6:$J$277,AL$1,'свод практик'!$B$6:$B$277,"смежная",'свод практик'!$G$6:$G$277,"суб")</f>
        <v>3</v>
      </c>
      <c r="AM40" s="104">
        <f>COUNTIFS('свод практик'!$J$6:$J$277,AM$1,'свод практик'!$B$6:$B$277,"смежная",'свод практик'!$G$6:$G$277,"суб")</f>
        <v>2</v>
      </c>
      <c r="AN40" s="104">
        <f>COUNTIFS('свод практик'!$J$6:$J$277,AN$1,'свод практик'!$B$6:$B$277,"смежная",'свод практик'!$G$6:$G$277,"суб")</f>
        <v>0</v>
      </c>
      <c r="AO40" s="104">
        <f>COUNTIFS('свод практик'!$J$6:$J$277,AO$1,'свод практик'!$B$6:$B$277,"смежная",'свод практик'!$G$6:$G$277,"суб")</f>
        <v>2</v>
      </c>
      <c r="AP40" s="104">
        <f>COUNTIFS('свод практик'!$J$6:$J$277,AP$1,'свод практик'!$B$6:$B$277,"смежная",'свод практик'!$G$6:$G$277,"суб")</f>
        <v>2</v>
      </c>
      <c r="AQ40" s="104">
        <f>COUNTIFS('свод практик'!$J$6:$J$277,AQ$1,'свод практик'!$B$6:$B$277,"смежная",'свод практик'!$G$6:$G$277,"суб")</f>
        <v>0</v>
      </c>
      <c r="AR40" s="104">
        <f>COUNTIFS('свод практик'!$J$6:$J$277,AR$1,'свод практик'!$B$6:$B$277,"смежная",'свод практик'!$G$6:$G$277,"суб")</f>
        <v>0</v>
      </c>
      <c r="AS40" s="104">
        <f>COUNTIFS('свод практик'!$J$6:$J$277,AS$1,'свод практик'!$B$6:$B$277,"смежная",'свод практик'!$G$6:$G$277,"суб")</f>
        <v>0</v>
      </c>
      <c r="AT40" s="104">
        <f>COUNTIFS('свод практик'!$J$6:$J$277,AT$1,'свод практик'!$B$6:$B$277,"смежная",'свод практик'!$G$6:$G$277,"суб")</f>
        <v>0</v>
      </c>
      <c r="AU40" s="104">
        <f>COUNTIFS('свод практик'!$J$6:$J$277,AU$1,'свод практик'!$B$6:$B$277,"смежная",'свод практик'!$G$6:$G$277,"суб")</f>
        <v>0</v>
      </c>
      <c r="AV40" s="104">
        <f>COUNTIFS('свод практик'!$J$6:$J$277,AV$1,'свод практик'!$B$6:$B$277,"смежная",'свод практик'!$G$6:$G$277,"суб")</f>
        <v>0</v>
      </c>
      <c r="AW40" s="104">
        <f>COUNTIFS('свод практик'!$J$6:$J$277,AW$1,'свод практик'!$B$6:$B$277,"смежная",'свод практик'!$G$6:$G$277,"суб")</f>
        <v>0</v>
      </c>
      <c r="AX40" s="104">
        <f>COUNTIFS('свод практик'!$J$6:$J$277,AX$1,'свод практик'!$B$6:$B$277,"смежная",'свод практик'!$G$6:$G$277,"суб")</f>
        <v>0</v>
      </c>
      <c r="AY40" s="104">
        <f>COUNTIFS('свод практик'!$J$6:$J$277,AY$1,'свод практик'!$B$6:$B$277,"смежная",'свод практик'!$G$6:$G$277,"суб")</f>
        <v>4</v>
      </c>
      <c r="AZ40" s="104">
        <f>COUNTIFS('свод практик'!$J$6:$J$277,AZ$1,'свод практик'!$B$6:$B$277,"смежная",'свод практик'!$G$6:$G$277,"суб")</f>
        <v>0</v>
      </c>
      <c r="BA40" s="104">
        <f>COUNTIFS('свод практик'!$J$6:$J$277,BA$1,'свод практик'!$B$6:$B$277,"смежная",'свод практик'!$G$6:$G$277,"суб")</f>
        <v>0</v>
      </c>
      <c r="BB40" s="104">
        <f>COUNTIFS('свод практик'!$J$6:$J$277,BB$1,'свод практик'!$B$6:$B$277,"смежная",'свод практик'!$G$6:$G$277,"суб")</f>
        <v>0</v>
      </c>
      <c r="BC40" s="104">
        <f>COUNTIFS('свод практик'!$J$6:$J$277,BC$1,'свод практик'!$B$6:$B$277,"смежная",'свод практик'!$G$6:$G$277,"суб")</f>
        <v>1</v>
      </c>
      <c r="BD40" s="104">
        <f>COUNTIFS('свод практик'!$J$6:$J$277,BD$1,'свод практик'!$B$6:$B$277,"смежная",'свод практик'!$G$6:$G$277,"суб")</f>
        <v>1</v>
      </c>
      <c r="BE40" s="104">
        <f>COUNTIFS('свод практик'!$J$6:$J$277,BE$1,'свод практик'!$B$6:$B$277,"смежная",'свод практик'!$G$6:$G$277,"суб")</f>
        <v>0</v>
      </c>
      <c r="BF40" s="104">
        <f>COUNTIFS('свод практик'!$J$6:$J$277,BF$1,'свод практик'!$B$6:$B$277,"смежная",'свод практик'!$G$6:$G$277,"суб")</f>
        <v>0</v>
      </c>
      <c r="BG40" s="104">
        <f>COUNTIFS('свод практик'!$J$6:$J$277,BG$1,'свод практик'!$B$6:$B$277,"смежная",'свод практик'!$G$6:$G$277,"суб")</f>
        <v>1</v>
      </c>
      <c r="BH40" s="104">
        <f>COUNTIFS('свод практик'!$J$6:$J$277,BH$1,'свод практик'!$B$6:$B$277,"смежная",'свод практик'!$G$6:$G$277,"суб")</f>
        <v>0</v>
      </c>
      <c r="BI40" s="104">
        <f>COUNTIFS('свод практик'!$J$6:$J$277,BI$1,'свод практик'!$B$6:$B$277,"смежная",'свод практик'!$G$6:$G$277,"суб")</f>
        <v>1</v>
      </c>
      <c r="BJ40" s="104">
        <f>COUNTIFS('свод практик'!$J$6:$J$277,BJ$1,'свод практик'!$B$6:$B$277,"смежная",'свод практик'!$G$6:$G$277,"суб")</f>
        <v>0</v>
      </c>
      <c r="BK40" s="104">
        <f>COUNTIFS('свод практик'!$J$6:$J$277,BK$1,'свод практик'!$B$6:$B$277,"смежная",'свод практик'!$G$6:$G$277,"суб")</f>
        <v>0</v>
      </c>
      <c r="BL40" s="104">
        <f>COUNTIFS('свод практик'!$J$6:$J$277,BL$1,'свод практик'!$B$6:$B$277,"смежная",'свод практик'!$G$6:$G$277,"суб")</f>
        <v>0</v>
      </c>
      <c r="BM40" s="104">
        <f>COUNTIFS('свод практик'!$J$6:$J$277,BM$1,'свод практик'!$B$6:$B$277,"смежная",'свод практик'!$G$6:$G$277,"суб")</f>
        <v>0</v>
      </c>
      <c r="BN40" s="104">
        <f>COUNTIFS('свод практик'!$J$6:$J$277,BN$1,'свод практик'!$B$6:$B$277,"смежная",'свод практик'!$G$6:$G$277,"суб")</f>
        <v>0</v>
      </c>
      <c r="BO40" s="104">
        <f>COUNTIFS('свод практик'!$J$6:$J$277,BO$1,'свод практик'!$B$6:$B$277,"смежная",'свод практик'!$G$6:$G$277,"суб")</f>
        <v>2</v>
      </c>
      <c r="BP40" s="104">
        <f>COUNTIFS('свод практик'!$J$6:$J$277,BP$1,'свод практик'!$B$6:$B$277,"смежная",'свод практик'!$G$6:$G$277,"суб")</f>
        <v>0</v>
      </c>
      <c r="BQ40" s="104">
        <f>COUNTIFS('свод практик'!$J$6:$J$277,BQ$1,'свод практик'!$B$6:$B$277,"смежная",'свод практик'!$G$6:$G$277,"суб")</f>
        <v>0</v>
      </c>
      <c r="BR40" s="104">
        <f>COUNTIFS('свод практик'!$J$6:$J$277,BR$1,'свод практик'!$B$6:$B$277,"смежная",'свод практик'!$G$6:$G$277,"суб")</f>
        <v>1</v>
      </c>
      <c r="BS40" s="104">
        <f>COUNTIFS('свод практик'!$J$6:$J$277,BS$1,'свод практик'!$B$6:$B$277,"смежная",'свод практик'!$G$6:$G$277,"суб")</f>
        <v>0</v>
      </c>
      <c r="BT40" s="104">
        <f>COUNTIFS('свод практик'!$J$6:$J$277,BT$1,'свод практик'!$B$6:$B$277,"смежная",'свод практик'!$G$6:$G$277,"суб")</f>
        <v>1</v>
      </c>
      <c r="BU40" s="104">
        <f>COUNTIFS('свод практик'!$J$6:$J$277,BU$1,'свод практик'!$B$6:$B$277,"смежная",'свод практик'!$G$6:$G$277,"суб")</f>
        <v>3</v>
      </c>
      <c r="BV40" s="104">
        <f>COUNTIFS('свод практик'!$J$6:$J$277,BV$1,'свод практик'!$B$6:$B$277,"смежная",'свод практик'!$G$6:$G$277,"суб")</f>
        <v>0</v>
      </c>
      <c r="BW40" s="104">
        <f>COUNTIFS('свод практик'!$J$6:$J$277,BW$1,'свод практик'!$B$6:$B$277,"смежная",'свод практик'!$G$6:$G$277,"суб")</f>
        <v>0</v>
      </c>
      <c r="BX40" s="104">
        <f>COUNTIFS('свод практик'!$J$6:$J$277,BX$1,'свод практик'!$B$6:$B$277,"смежная",'свод практик'!$G$6:$G$277,"суб")</f>
        <v>0</v>
      </c>
      <c r="BY40" s="104">
        <f>COUNTIFS('свод практик'!$J$6:$J$277,BY$1,'свод практик'!$B$6:$B$277,"смежная",'свод практик'!$G$6:$G$277,"суб")</f>
        <v>0</v>
      </c>
      <c r="BZ40" s="104">
        <f>COUNTIFS('свод практик'!$J$6:$J$277,BZ$1,'свод практик'!$B$6:$B$277,"смежная",'свод практик'!$G$6:$G$277,"суб")</f>
        <v>2</v>
      </c>
      <c r="CA40" s="104">
        <f>COUNTIFS('свод практик'!$J$6:$J$277,CA$1,'свод практик'!$B$6:$B$277,"смежная",'свод практик'!$G$6:$G$277,"суб")</f>
        <v>0</v>
      </c>
      <c r="CB40" s="104">
        <f>COUNTIFS('свод практик'!$J$6:$J$277,CB$1,'свод практик'!$B$6:$B$277,"смежная",'свод практик'!$G$6:$G$277,"суб")</f>
        <v>0</v>
      </c>
      <c r="CC40" s="104">
        <f>COUNTIFS('свод практик'!$J$6:$J$277,CC$1,'свод практик'!$B$6:$B$277,"смежная",'свод практик'!$G$6:$G$277,"суб")</f>
        <v>1</v>
      </c>
      <c r="CD40" s="104">
        <f>COUNTIFS('свод практик'!$J$6:$J$277,CD$1,'свод практик'!$B$6:$B$277,"смежная",'свод практик'!$G$6:$G$277,"суб")</f>
        <v>0</v>
      </c>
      <c r="CE40" s="104">
        <f>COUNTIFS('свод практик'!$J$6:$J$277,CE$1,'свод практик'!$B$6:$B$277,"смежная",'свод практик'!$G$6:$G$277,"суб")</f>
        <v>3</v>
      </c>
      <c r="CF40" s="104">
        <f>COUNTIFS('свод практик'!$J$6:$J$277,CF$1,'свод практик'!$B$6:$B$277,"смежная",'свод практик'!$G$6:$G$277,"суб")</f>
        <v>0</v>
      </c>
      <c r="CG40" s="104">
        <f>COUNTIFS('свод практик'!$J$6:$J$277,CG$1,'свод практик'!$B$6:$B$277,"смежная",'свод практик'!$G$6:$G$277,"суб")</f>
        <v>0</v>
      </c>
      <c r="CH40" s="104">
        <f>COUNTIFS('свод практик'!$J$6:$J$277,CH$1,'свод практик'!$B$6:$B$277,"смежная",'свод практик'!$G$6:$G$277,"суб")</f>
        <v>0</v>
      </c>
      <c r="CI40" s="104">
        <f>COUNTIFS('свод практик'!$J$6:$J$277,CI$1,'свод практик'!$B$6:$B$277,"смежная",'свод практик'!$G$6:$G$277,"суб")</f>
        <v>0</v>
      </c>
      <c r="CJ40" s="104">
        <f>COUNTIFS('свод практик'!$J$6:$J$277,CJ$1,'свод практик'!$B$6:$B$277,"смежная",'свод практик'!$G$6:$G$277,"суб")</f>
        <v>0</v>
      </c>
      <c r="CK40" s="104">
        <f>COUNTIFS('свод практик'!$J$6:$J$277,CK$1,'свод практик'!$B$6:$B$277,"смежная",'свод практик'!$G$6:$G$277,"суб")</f>
        <v>0</v>
      </c>
    </row>
    <row r="41" spans="1:89">
      <c r="A41" s="681" t="s">
        <v>5867</v>
      </c>
      <c r="D41" s="675">
        <f t="shared" si="0"/>
        <v>18</v>
      </c>
      <c r="E41">
        <f>COUNTIFS('свод практик'!$J$6:$J$277,E$1,'свод практик'!$B$6:$B$277,"смежная",'свод практик'!$H$6:$H$277,"мун")</f>
        <v>0</v>
      </c>
      <c r="F41" s="104">
        <f>COUNTIFS('свод практик'!$J$6:$J$277,F$1,'свод практик'!$B$6:$B$277,"смежная",'свод практик'!$H$6:$H$277,"мун")</f>
        <v>0</v>
      </c>
      <c r="G41" s="104">
        <f>COUNTIFS('свод практик'!$J$6:$J$277,G$1,'свод практик'!$B$6:$B$277,"смежная",'свод практик'!$H$6:$H$277,"мун")</f>
        <v>0</v>
      </c>
      <c r="H41" s="104">
        <f>COUNTIFS('свод практик'!$J$6:$J$277,H$1,'свод практик'!$B$6:$B$277,"смежная",'свод практик'!$H$6:$H$277,"мун")</f>
        <v>0</v>
      </c>
      <c r="I41" s="104">
        <f>COUNTIFS('свод практик'!$J$6:$J$277,I$1,'свод практик'!$B$6:$B$277,"смежная",'свод практик'!$H$6:$H$277,"мун")</f>
        <v>0</v>
      </c>
      <c r="J41" s="104">
        <f>COUNTIFS('свод практик'!$J$6:$J$277,J$1,'свод практик'!$B$6:$B$277,"смежная",'свод практик'!$H$6:$H$277,"мун")</f>
        <v>1</v>
      </c>
      <c r="K41" s="104">
        <f>COUNTIFS('свод практик'!$J$6:$J$277,K$1,'свод практик'!$B$6:$B$277,"смежная",'свод практик'!$H$6:$H$277,"мун")</f>
        <v>0</v>
      </c>
      <c r="L41" s="104">
        <f>COUNTIFS('свод практик'!$J$6:$J$277,L$1,'свод практик'!$B$6:$B$277,"смежная",'свод практик'!$H$6:$H$277,"мун")</f>
        <v>1</v>
      </c>
      <c r="M41" s="104">
        <f>COUNTIFS('свод практик'!$J$6:$J$277,M$1,'свод практик'!$B$6:$B$277,"смежная",'свод практик'!$H$6:$H$277,"мун")</f>
        <v>0</v>
      </c>
      <c r="N41" s="104">
        <f>COUNTIFS('свод практик'!$J$6:$J$277,N$1,'свод практик'!$B$6:$B$277,"смежная",'свод практик'!$H$6:$H$277,"мун")</f>
        <v>0</v>
      </c>
      <c r="O41" s="104">
        <f>COUNTIFS('свод практик'!$J$6:$J$277,O$1,'свод практик'!$B$6:$B$277,"смежная",'свод практик'!$H$6:$H$277,"мун")</f>
        <v>0</v>
      </c>
      <c r="P41" s="104">
        <f>COUNTIFS('свод практик'!$J$6:$J$277,P$1,'свод практик'!$B$6:$B$277,"смежная",'свод практик'!$H$6:$H$277,"мун")</f>
        <v>0</v>
      </c>
      <c r="Q41" s="104">
        <f>COUNTIFS('свод практик'!$J$6:$J$277,Q$1,'свод практик'!$B$6:$B$277,"смежная",'свод практик'!$H$6:$H$277,"мун")</f>
        <v>0</v>
      </c>
      <c r="R41" s="104">
        <f>COUNTIFS('свод практик'!$J$6:$J$277,R$1,'свод практик'!$B$6:$B$277,"смежная",'свод практик'!$H$6:$H$277,"мун")</f>
        <v>0</v>
      </c>
      <c r="S41" s="104">
        <f>COUNTIFS('свод практик'!$J$6:$J$277,S$1,'свод практик'!$B$6:$B$277,"смежная",'свод практик'!$H$6:$H$277,"мун")</f>
        <v>0</v>
      </c>
      <c r="T41" s="104">
        <f>COUNTIFS('свод практик'!$J$6:$J$277,T$1,'свод практик'!$B$6:$B$277,"смежная",'свод практик'!$H$6:$H$277,"мун")</f>
        <v>0</v>
      </c>
      <c r="U41" s="104">
        <f>COUNTIFS('свод практик'!$J$6:$J$277,U$1,'свод практик'!$B$6:$B$277,"смежная",'свод практик'!$H$6:$H$277,"мун")</f>
        <v>0</v>
      </c>
      <c r="V41" s="104">
        <f>COUNTIFS('свод практик'!$J$6:$J$277,V$1,'свод практик'!$B$6:$B$277,"смежная",'свод практик'!$H$6:$H$277,"мун")</f>
        <v>0</v>
      </c>
      <c r="W41" s="104">
        <f>COUNTIFS('свод практик'!$J$6:$J$277,W$1,'свод практик'!$B$6:$B$277,"смежная",'свод практик'!$H$6:$H$277,"мун")</f>
        <v>0</v>
      </c>
      <c r="X41" s="104">
        <f>COUNTIFS('свод практик'!$J$6:$J$277,X$1,'свод практик'!$B$6:$B$277,"смежная",'свод практик'!$H$6:$H$277,"мун")</f>
        <v>0</v>
      </c>
      <c r="Y41" s="104">
        <f>COUNTIFS('свод практик'!$J$6:$J$277,Y$1,'свод практик'!$B$6:$B$277,"смежная",'свод практик'!$H$6:$H$277,"мун")</f>
        <v>1</v>
      </c>
      <c r="Z41" s="104">
        <f>COUNTIFS('свод практик'!$J$6:$J$277,Z$1,'свод практик'!$B$6:$B$277,"смежная",'свод практик'!$H$6:$H$277,"мун")</f>
        <v>0</v>
      </c>
      <c r="AA41" s="104">
        <f>COUNTIFS('свод практик'!$J$6:$J$277,AA$1,'свод практик'!$B$6:$B$277,"смежная",'свод практик'!$H$6:$H$277,"мун")</f>
        <v>0</v>
      </c>
      <c r="AB41" s="104">
        <f>COUNTIFS('свод практик'!$J$6:$J$277,AB$1,'свод практик'!$B$6:$B$277,"смежная",'свод практик'!$H$6:$H$277,"мун")</f>
        <v>0</v>
      </c>
      <c r="AC41" s="104">
        <f>COUNTIFS('свод практик'!$J$6:$J$277,AC$1,'свод практик'!$B$6:$B$277,"смежная",'свод практик'!$H$6:$H$277,"мун")</f>
        <v>0</v>
      </c>
      <c r="AD41" s="104">
        <f>COUNTIFS('свод практик'!$J$6:$J$277,AD$1,'свод практик'!$B$6:$B$277,"смежная",'свод практик'!$H$6:$H$277,"мун")</f>
        <v>0</v>
      </c>
      <c r="AE41" s="104">
        <f>COUNTIFS('свод практик'!$J$6:$J$277,AE$1,'свод практик'!$B$6:$B$277,"смежная",'свод практик'!$H$6:$H$277,"мун")</f>
        <v>0</v>
      </c>
      <c r="AF41" s="104">
        <f>COUNTIFS('свод практик'!$J$6:$J$277,AF$1,'свод практик'!$B$6:$B$277,"смежная",'свод практик'!$H$6:$H$277,"мун")</f>
        <v>0</v>
      </c>
      <c r="AG41" s="104">
        <f>COUNTIFS('свод практик'!$J$6:$J$277,AG$1,'свод практик'!$B$6:$B$277,"смежная",'свод практик'!$H$6:$H$277,"мун")</f>
        <v>0</v>
      </c>
      <c r="AH41" s="104">
        <f>COUNTIFS('свод практик'!$J$6:$J$277,AH$1,'свод практик'!$B$6:$B$277,"смежная",'свод практик'!$H$6:$H$277,"мун")</f>
        <v>0</v>
      </c>
      <c r="AI41" s="104">
        <f>COUNTIFS('свод практик'!$J$6:$J$277,AI$1,'свод практик'!$B$6:$B$277,"смежная",'свод практик'!$H$6:$H$277,"мун")</f>
        <v>0</v>
      </c>
      <c r="AJ41" s="104">
        <f>COUNTIFS('свод практик'!$J$6:$J$277,AJ$1,'свод практик'!$B$6:$B$277,"смежная",'свод практик'!$H$6:$H$277,"мун")</f>
        <v>1</v>
      </c>
      <c r="AK41" s="104">
        <f>COUNTIFS('свод практик'!$J$6:$J$277,AK$1,'свод практик'!$B$6:$B$277,"смежная",'свод практик'!$H$6:$H$277,"мун")</f>
        <v>0</v>
      </c>
      <c r="AL41" s="104">
        <f>COUNTIFS('свод практик'!$J$6:$J$277,AL$1,'свод практик'!$B$6:$B$277,"смежная",'свод практик'!$H$6:$H$277,"мун")</f>
        <v>0</v>
      </c>
      <c r="AM41" s="104">
        <f>COUNTIFS('свод практик'!$J$6:$J$277,AM$1,'свод практик'!$B$6:$B$277,"смежная",'свод практик'!$H$6:$H$277,"мун")</f>
        <v>0</v>
      </c>
      <c r="AN41" s="104">
        <f>COUNTIFS('свод практик'!$J$6:$J$277,AN$1,'свод практик'!$B$6:$B$277,"смежная",'свод практик'!$H$6:$H$277,"мун")</f>
        <v>0</v>
      </c>
      <c r="AO41" s="104">
        <f>COUNTIFS('свод практик'!$J$6:$J$277,AO$1,'свод практик'!$B$6:$B$277,"смежная",'свод практик'!$H$6:$H$277,"мун")</f>
        <v>0</v>
      </c>
      <c r="AP41" s="104">
        <f>COUNTIFS('свод практик'!$J$6:$J$277,AP$1,'свод практик'!$B$6:$B$277,"смежная",'свод практик'!$H$6:$H$277,"мун")</f>
        <v>0</v>
      </c>
      <c r="AQ41" s="104">
        <f>COUNTIFS('свод практик'!$J$6:$J$277,AQ$1,'свод практик'!$B$6:$B$277,"смежная",'свод практик'!$H$6:$H$277,"мун")</f>
        <v>0</v>
      </c>
      <c r="AR41" s="104">
        <f>COUNTIFS('свод практик'!$J$6:$J$277,AR$1,'свод практик'!$B$6:$B$277,"смежная",'свод практик'!$H$6:$H$277,"мун")</f>
        <v>0</v>
      </c>
      <c r="AS41" s="104">
        <f>COUNTIFS('свод практик'!$J$6:$J$277,AS$1,'свод практик'!$B$6:$B$277,"смежная",'свод практик'!$H$6:$H$277,"мун")</f>
        <v>0</v>
      </c>
      <c r="AT41" s="104">
        <f>COUNTIFS('свод практик'!$J$6:$J$277,AT$1,'свод практик'!$B$6:$B$277,"смежная",'свод практик'!$H$6:$H$277,"мун")</f>
        <v>0</v>
      </c>
      <c r="AU41" s="104">
        <f>COUNTIFS('свод практик'!$J$6:$J$277,AU$1,'свод практик'!$B$6:$B$277,"смежная",'свод практик'!$H$6:$H$277,"мун")</f>
        <v>0</v>
      </c>
      <c r="AV41" s="104">
        <f>COUNTIFS('свод практик'!$J$6:$J$277,AV$1,'свод практик'!$B$6:$B$277,"смежная",'свод практик'!$H$6:$H$277,"мун")</f>
        <v>0</v>
      </c>
      <c r="AW41" s="104">
        <f>COUNTIFS('свод практик'!$J$6:$J$277,AW$1,'свод практик'!$B$6:$B$277,"смежная",'свод практик'!$H$6:$H$277,"мун")</f>
        <v>0</v>
      </c>
      <c r="AX41" s="104">
        <f>COUNTIFS('свод практик'!$J$6:$J$277,AX$1,'свод практик'!$B$6:$B$277,"смежная",'свод практик'!$H$6:$H$277,"мун")</f>
        <v>0</v>
      </c>
      <c r="AY41" s="104">
        <f>COUNTIFS('свод практик'!$J$6:$J$277,AY$1,'свод практик'!$B$6:$B$277,"смежная",'свод практик'!$H$6:$H$277,"мун")</f>
        <v>0</v>
      </c>
      <c r="AZ41" s="104">
        <f>COUNTIFS('свод практик'!$J$6:$J$277,AZ$1,'свод практик'!$B$6:$B$277,"смежная",'свод практик'!$H$6:$H$277,"мун")</f>
        <v>0</v>
      </c>
      <c r="BA41" s="104">
        <f>COUNTIFS('свод практик'!$J$6:$J$277,BA$1,'свод практик'!$B$6:$B$277,"смежная",'свод практик'!$H$6:$H$277,"мун")</f>
        <v>1</v>
      </c>
      <c r="BB41" s="104">
        <f>COUNTIFS('свод практик'!$J$6:$J$277,BB$1,'свод практик'!$B$6:$B$277,"смежная",'свод практик'!$H$6:$H$277,"мун")</f>
        <v>0</v>
      </c>
      <c r="BC41" s="104">
        <f>COUNTIFS('свод практик'!$J$6:$J$277,BC$1,'свод практик'!$B$6:$B$277,"смежная",'свод практик'!$H$6:$H$277,"мун")</f>
        <v>0</v>
      </c>
      <c r="BD41" s="104">
        <f>COUNTIFS('свод практик'!$J$6:$J$277,BD$1,'свод практик'!$B$6:$B$277,"смежная",'свод практик'!$H$6:$H$277,"мун")</f>
        <v>1</v>
      </c>
      <c r="BE41" s="104">
        <f>COUNTIFS('свод практик'!$J$6:$J$277,BE$1,'свод практик'!$B$6:$B$277,"смежная",'свод практик'!$H$6:$H$277,"мун")</f>
        <v>0</v>
      </c>
      <c r="BF41" s="104">
        <f>COUNTIFS('свод практик'!$J$6:$J$277,BF$1,'свод практик'!$B$6:$B$277,"смежная",'свод практик'!$H$6:$H$277,"мун")</f>
        <v>0</v>
      </c>
      <c r="BG41" s="104">
        <f>COUNTIFS('свод практик'!$J$6:$J$277,BG$1,'свод практик'!$B$6:$B$277,"смежная",'свод практик'!$H$6:$H$277,"мун")</f>
        <v>0</v>
      </c>
      <c r="BH41" s="104">
        <f>COUNTIFS('свод практик'!$J$6:$J$277,BH$1,'свод практик'!$B$6:$B$277,"смежная",'свод практик'!$H$6:$H$277,"мун")</f>
        <v>1</v>
      </c>
      <c r="BI41" s="104">
        <f>COUNTIFS('свод практик'!$J$6:$J$277,BI$1,'свод практик'!$B$6:$B$277,"смежная",'свод практик'!$H$6:$H$277,"мун")</f>
        <v>0</v>
      </c>
      <c r="BJ41" s="104">
        <f>COUNTIFS('свод практик'!$J$6:$J$277,BJ$1,'свод практик'!$B$6:$B$277,"смежная",'свод практик'!$H$6:$H$277,"мун")</f>
        <v>5</v>
      </c>
      <c r="BK41" s="104">
        <f>COUNTIFS('свод практик'!$J$6:$J$277,BK$1,'свод практик'!$B$6:$B$277,"смежная",'свод практик'!$H$6:$H$277,"мун")</f>
        <v>0</v>
      </c>
      <c r="BL41" s="104">
        <f>COUNTIFS('свод практик'!$J$6:$J$277,BL$1,'свод практик'!$B$6:$B$277,"смежная",'свод практик'!$H$6:$H$277,"мун")</f>
        <v>0</v>
      </c>
      <c r="BM41" s="104">
        <f>COUNTIFS('свод практик'!$J$6:$J$277,BM$1,'свод практик'!$B$6:$B$277,"смежная",'свод практик'!$H$6:$H$277,"мун")</f>
        <v>0</v>
      </c>
      <c r="BN41" s="104">
        <f>COUNTIFS('свод практик'!$J$6:$J$277,BN$1,'свод практик'!$B$6:$B$277,"смежная",'свод практик'!$H$6:$H$277,"мун")</f>
        <v>0</v>
      </c>
      <c r="BO41" s="104">
        <f>COUNTIFS('свод практик'!$J$6:$J$277,BO$1,'свод практик'!$B$6:$B$277,"смежная",'свод практик'!$H$6:$H$277,"мун")</f>
        <v>0</v>
      </c>
      <c r="BP41" s="104">
        <f>COUNTIFS('свод практик'!$J$6:$J$277,BP$1,'свод практик'!$B$6:$B$277,"смежная",'свод практик'!$H$6:$H$277,"мун")</f>
        <v>0</v>
      </c>
      <c r="BQ41" s="104">
        <f>COUNTIFS('свод практик'!$J$6:$J$277,BQ$1,'свод практик'!$B$6:$B$277,"смежная",'свод практик'!$H$6:$H$277,"мун")</f>
        <v>0</v>
      </c>
      <c r="BR41" s="104">
        <f>COUNTIFS('свод практик'!$J$6:$J$277,BR$1,'свод практик'!$B$6:$B$277,"смежная",'свод практик'!$H$6:$H$277,"мун")</f>
        <v>0</v>
      </c>
      <c r="BS41" s="104">
        <f>COUNTIFS('свод практик'!$J$6:$J$277,BS$1,'свод практик'!$B$6:$B$277,"смежная",'свод практик'!$H$6:$H$277,"мун")</f>
        <v>1</v>
      </c>
      <c r="BT41" s="104">
        <f>COUNTIFS('свод практик'!$J$6:$J$277,BT$1,'свод практик'!$B$6:$B$277,"смежная",'свод практик'!$H$6:$H$277,"мун")</f>
        <v>0</v>
      </c>
      <c r="BU41" s="104">
        <f>COUNTIFS('свод практик'!$J$6:$J$277,BU$1,'свод практик'!$B$6:$B$277,"смежная",'свод практик'!$H$6:$H$277,"мун")</f>
        <v>0</v>
      </c>
      <c r="BV41" s="104">
        <f>COUNTIFS('свод практик'!$J$6:$J$277,BV$1,'свод практик'!$B$6:$B$277,"смежная",'свод практик'!$H$6:$H$277,"мун")</f>
        <v>0</v>
      </c>
      <c r="BW41" s="104">
        <f>COUNTIFS('свод практик'!$J$6:$J$277,BW$1,'свод практик'!$B$6:$B$277,"смежная",'свод практик'!$H$6:$H$277,"мун")</f>
        <v>0</v>
      </c>
      <c r="BX41" s="104">
        <f>COUNTIFS('свод практик'!$J$6:$J$277,BX$1,'свод практик'!$B$6:$B$277,"смежная",'свод практик'!$H$6:$H$277,"мун")</f>
        <v>0</v>
      </c>
      <c r="BY41" s="104">
        <f>COUNTIFS('свод практик'!$J$6:$J$277,BY$1,'свод практик'!$B$6:$B$277,"смежная",'свод практик'!$H$6:$H$277,"мун")</f>
        <v>0</v>
      </c>
      <c r="BZ41" s="104">
        <f>COUNTIFS('свод практик'!$J$6:$J$277,BZ$1,'свод практик'!$B$6:$B$277,"смежная",'свод практик'!$H$6:$H$277,"мун")</f>
        <v>0</v>
      </c>
      <c r="CA41" s="104">
        <f>COUNTIFS('свод практик'!$J$6:$J$277,CA$1,'свод практик'!$B$6:$B$277,"смежная",'свод практик'!$H$6:$H$277,"мун")</f>
        <v>0</v>
      </c>
      <c r="CB41" s="104">
        <f>COUNTIFS('свод практик'!$J$6:$J$277,CB$1,'свод практик'!$B$6:$B$277,"смежная",'свод практик'!$H$6:$H$277,"мун")</f>
        <v>0</v>
      </c>
      <c r="CC41" s="104">
        <f>COUNTIFS('свод практик'!$J$6:$J$277,CC$1,'свод практик'!$B$6:$B$277,"смежная",'свод практик'!$H$6:$H$277,"мун")</f>
        <v>0</v>
      </c>
      <c r="CD41" s="104">
        <f>COUNTIFS('свод практик'!$J$6:$J$277,CD$1,'свод практик'!$B$6:$B$277,"смежная",'свод практик'!$H$6:$H$277,"мун")</f>
        <v>0</v>
      </c>
      <c r="CE41" s="104">
        <f>COUNTIFS('свод практик'!$J$6:$J$277,CE$1,'свод практик'!$B$6:$B$277,"смежная",'свод практик'!$H$6:$H$277,"мун")</f>
        <v>3</v>
      </c>
      <c r="CF41" s="104">
        <f>COUNTIFS('свод практик'!$J$6:$J$277,CF$1,'свод практик'!$B$6:$B$277,"смежная",'свод практик'!$H$6:$H$277,"мун")</f>
        <v>1</v>
      </c>
      <c r="CG41" s="104">
        <f>COUNTIFS('свод практик'!$J$6:$J$277,CG$1,'свод практик'!$B$6:$B$277,"смежная",'свод практик'!$H$6:$H$277,"мун")</f>
        <v>0</v>
      </c>
      <c r="CH41" s="104">
        <f>COUNTIFS('свод практик'!$J$6:$J$277,CH$1,'свод практик'!$B$6:$B$277,"смежная",'свод практик'!$H$6:$H$277,"мун")</f>
        <v>1</v>
      </c>
      <c r="CI41" s="104">
        <f>COUNTIFS('свод практик'!$J$6:$J$277,CI$1,'свод практик'!$B$6:$B$277,"смежная",'свод практик'!$H$6:$H$277,"мун")</f>
        <v>0</v>
      </c>
      <c r="CJ41" s="104">
        <f>COUNTIFS('свод практик'!$J$6:$J$277,CJ$1,'свод практик'!$B$6:$B$277,"смежная",'свод практик'!$H$6:$H$277,"мун")</f>
        <v>0</v>
      </c>
      <c r="CK41" s="104">
        <f>COUNTIFS('свод практик'!$J$6:$J$277,CK$1,'свод практик'!$B$6:$B$277,"смежная",'свод практик'!$H$6:$H$277,"мун")</f>
        <v>0</v>
      </c>
    </row>
    <row r="42" spans="1:89">
      <c r="D42" s="677">
        <f>SUM(D40:D41)</f>
        <v>69</v>
      </c>
    </row>
    <row r="43" spans="1:89">
      <c r="D43" s="677"/>
    </row>
    <row r="44" spans="1:89" ht="19">
      <c r="A44" s="846" t="s">
        <v>5871</v>
      </c>
      <c r="B44" s="843"/>
      <c r="C44" s="843"/>
      <c r="D44" s="677"/>
    </row>
    <row r="45" spans="1:89">
      <c r="A45" s="683">
        <v>1</v>
      </c>
      <c r="D45" s="675">
        <f t="shared" si="0"/>
        <v>51</v>
      </c>
      <c r="E45">
        <f>COUNTIFS('свод практик'!$J$6:$J$277,E$1,'свод практик'!$F$6:$F$277,"100%")</f>
        <v>0</v>
      </c>
      <c r="F45" s="104">
        <f>COUNTIFS('свод практик'!$J$6:$J$277,F$1,'свод практик'!$F$6:$F$277,"100%")</f>
        <v>1</v>
      </c>
      <c r="G45" s="104">
        <f>COUNTIFS('свод практик'!$J$6:$J$277,G$1,'свод практик'!$F$6:$F$277,"100%")</f>
        <v>0</v>
      </c>
      <c r="H45" s="104">
        <f>COUNTIFS('свод практик'!$J$6:$J$277,H$1,'свод практик'!$F$6:$F$277,"100%")</f>
        <v>0</v>
      </c>
      <c r="I45" s="104">
        <f>COUNTIFS('свод практик'!$J$6:$J$277,I$1,'свод практик'!$F$6:$F$277,"100%")</f>
        <v>1</v>
      </c>
      <c r="J45" s="104">
        <f>COUNTIFS('свод практик'!$J$6:$J$277,J$1,'свод практик'!$F$6:$F$277,"100%")</f>
        <v>0</v>
      </c>
      <c r="K45" s="104">
        <f>COUNTIFS('свод практик'!$J$6:$J$277,K$1,'свод практик'!$F$6:$F$277,"100%")</f>
        <v>3</v>
      </c>
      <c r="L45" s="104">
        <f>COUNTIFS('свод практик'!$J$6:$J$277,L$1,'свод практик'!$F$6:$F$277,"100%")</f>
        <v>1</v>
      </c>
      <c r="M45" s="104">
        <f>COUNTIFS('свод практик'!$J$6:$J$277,M$1,'свод практик'!$F$6:$F$277,"100%")</f>
        <v>1</v>
      </c>
      <c r="N45" s="104">
        <f>COUNTIFS('свод практик'!$J$6:$J$277,N$1,'свод практик'!$F$6:$F$277,"100%")</f>
        <v>1</v>
      </c>
      <c r="O45" s="104">
        <f>COUNTIFS('свод практик'!$J$6:$J$277,O$1,'свод практик'!$F$6:$F$277,"100%")</f>
        <v>1</v>
      </c>
      <c r="P45" s="104">
        <f>COUNTIFS('свод практик'!$J$6:$J$277,P$1,'свод практик'!$F$6:$F$277,"100%")</f>
        <v>1</v>
      </c>
      <c r="Q45" s="104">
        <f>COUNTIFS('свод практик'!$J$6:$J$277,Q$1,'свод практик'!$F$6:$F$277,"100%")</f>
        <v>0</v>
      </c>
      <c r="R45" s="104">
        <f>COUNTIFS('свод практик'!$J$6:$J$277,R$1,'свод практик'!$F$6:$F$277,"100%")</f>
        <v>2</v>
      </c>
      <c r="S45" s="104">
        <f>COUNTIFS('свод практик'!$J$6:$J$277,S$1,'свод практик'!$F$6:$F$277,"100%")</f>
        <v>0</v>
      </c>
      <c r="T45" s="104">
        <f>COUNTIFS('свод практик'!$J$6:$J$277,T$1,'свод практик'!$F$6:$F$277,"100%")</f>
        <v>0</v>
      </c>
      <c r="U45" s="104">
        <f>COUNTIFS('свод практик'!$J$6:$J$277,U$1,'свод практик'!$F$6:$F$277,"100%")</f>
        <v>1</v>
      </c>
      <c r="V45" s="104">
        <f>COUNTIFS('свод практик'!$J$6:$J$277,V$1,'свод практик'!$F$6:$F$277,"100%")</f>
        <v>0</v>
      </c>
      <c r="W45" s="104">
        <f>COUNTIFS('свод практик'!$J$6:$J$277,W$1,'свод практик'!$F$6:$F$277,"100%")</f>
        <v>0</v>
      </c>
      <c r="X45" s="104">
        <f>COUNTIFS('свод практик'!$J$6:$J$277,X$1,'свод практик'!$F$6:$F$277,"100%")</f>
        <v>1</v>
      </c>
      <c r="Y45" s="104">
        <f>COUNTIFS('свод практик'!$J$6:$J$277,Y$1,'свод практик'!$F$6:$F$277,"100%")</f>
        <v>0</v>
      </c>
      <c r="Z45" s="104">
        <f>COUNTIFS('свод практик'!$J$6:$J$277,Z$1,'свод практик'!$F$6:$F$277,"100%")</f>
        <v>0</v>
      </c>
      <c r="AA45" s="104">
        <f>COUNTIFS('свод практик'!$J$6:$J$277,AA$1,'свод практик'!$F$6:$F$277,"100%")</f>
        <v>1</v>
      </c>
      <c r="AB45" s="104">
        <f>COUNTIFS('свод практик'!$J$6:$J$277,AB$1,'свод практик'!$F$6:$F$277,"100%")</f>
        <v>0</v>
      </c>
      <c r="AC45" s="104">
        <f>COUNTIFS('свод практик'!$J$6:$J$277,AC$1,'свод практик'!$F$6:$F$277,"100%")</f>
        <v>0</v>
      </c>
      <c r="AD45" s="104">
        <f>COUNTIFS('свод практик'!$J$6:$J$277,AD$1,'свод практик'!$F$6:$F$277,"100%")</f>
        <v>0</v>
      </c>
      <c r="AE45" s="104">
        <f>COUNTIFS('свод практик'!$J$6:$J$277,AE$1,'свод практик'!$F$6:$F$277,"100%")</f>
        <v>2</v>
      </c>
      <c r="AF45" s="104">
        <f>COUNTIFS('свод практик'!$J$6:$J$277,AF$1,'свод практик'!$F$6:$F$277,"100%")</f>
        <v>1</v>
      </c>
      <c r="AG45" s="104">
        <f>COUNTIFS('свод практик'!$J$6:$J$277,AG$1,'свод практик'!$F$6:$F$277,"100%")</f>
        <v>2</v>
      </c>
      <c r="AH45" s="104">
        <f>COUNTIFS('свод практик'!$J$6:$J$277,AH$1,'свод практик'!$F$6:$F$277,"100%")</f>
        <v>1</v>
      </c>
      <c r="AI45" s="104">
        <f>COUNTIFS('свод практик'!$J$6:$J$277,AI$1,'свод практик'!$F$6:$F$277,"100%")</f>
        <v>3</v>
      </c>
      <c r="AJ45" s="104">
        <f>COUNTIFS('свод практик'!$J$6:$J$277,AJ$1,'свод практик'!$F$6:$F$277,"100%")</f>
        <v>0</v>
      </c>
      <c r="AK45" s="104">
        <f>COUNTIFS('свод практик'!$J$6:$J$277,AK$1,'свод практик'!$F$6:$F$277,"100%")</f>
        <v>0</v>
      </c>
      <c r="AL45" s="104">
        <f>COUNTIFS('свод практик'!$J$6:$J$277,AL$1,'свод практик'!$F$6:$F$277,"100%")</f>
        <v>0</v>
      </c>
      <c r="AM45" s="104">
        <f>COUNTIFS('свод практик'!$J$6:$J$277,AM$1,'свод практик'!$F$6:$F$277,"100%")</f>
        <v>1</v>
      </c>
      <c r="AN45" s="104">
        <f>COUNTIFS('свод практик'!$J$6:$J$277,AN$1,'свод практик'!$F$6:$F$277,"100%")</f>
        <v>0</v>
      </c>
      <c r="AO45" s="104">
        <f>COUNTIFS('свод практик'!$J$6:$J$277,AO$1,'свод практик'!$F$6:$F$277,"100%")</f>
        <v>1</v>
      </c>
      <c r="AP45" s="104">
        <f>COUNTIFS('свод практик'!$J$6:$J$277,AP$1,'свод практик'!$F$6:$F$277,"100%")</f>
        <v>0</v>
      </c>
      <c r="AQ45" s="104">
        <f>COUNTIFS('свод практик'!$J$6:$J$277,AQ$1,'свод практик'!$F$6:$F$277,"100%")</f>
        <v>0</v>
      </c>
      <c r="AR45" s="104">
        <f>COUNTIFS('свод практик'!$J$6:$J$277,AR$1,'свод практик'!$F$6:$F$277,"100%")</f>
        <v>0</v>
      </c>
      <c r="AS45" s="104">
        <f>COUNTIFS('свод практик'!$J$6:$J$277,AS$1,'свод практик'!$F$6:$F$277,"100%")</f>
        <v>0</v>
      </c>
      <c r="AT45" s="104">
        <f>COUNTIFS('свод практик'!$J$6:$J$277,AT$1,'свод практик'!$F$6:$F$277,"100%")</f>
        <v>0</v>
      </c>
      <c r="AU45" s="104">
        <f>COUNTIFS('свод практик'!$J$6:$J$277,AU$1,'свод практик'!$F$6:$F$277,"100%")</f>
        <v>0</v>
      </c>
      <c r="AV45" s="104">
        <f>COUNTIFS('свод практик'!$J$6:$J$277,AV$1,'свод практик'!$F$6:$F$277,"100%")</f>
        <v>1</v>
      </c>
      <c r="AW45" s="104">
        <f>COUNTIFS('свод практик'!$J$6:$J$277,AW$1,'свод практик'!$F$6:$F$277,"100%")</f>
        <v>1</v>
      </c>
      <c r="AX45" s="104">
        <f>COUNTIFS('свод практик'!$J$6:$J$277,AX$1,'свод практик'!$F$6:$F$277,"100%")</f>
        <v>1</v>
      </c>
      <c r="AY45" s="104">
        <f>COUNTIFS('свод практик'!$J$6:$J$277,AY$1,'свод практик'!$F$6:$F$277,"100%")</f>
        <v>2</v>
      </c>
      <c r="AZ45" s="104">
        <f>COUNTIFS('свод практик'!$J$6:$J$277,AZ$1,'свод практик'!$F$6:$F$277,"100%")</f>
        <v>1</v>
      </c>
      <c r="BA45" s="104">
        <f>COUNTIFS('свод практик'!$J$6:$J$277,BA$1,'свод практик'!$F$6:$F$277,"100%")</f>
        <v>0</v>
      </c>
      <c r="BB45" s="104">
        <f>COUNTIFS('свод практик'!$J$6:$J$277,BB$1,'свод практик'!$F$6:$F$277,"100%")</f>
        <v>0</v>
      </c>
      <c r="BC45" s="104">
        <f>COUNTIFS('свод практик'!$J$6:$J$277,BC$1,'свод практик'!$F$6:$F$277,"100%")</f>
        <v>1</v>
      </c>
      <c r="BD45" s="104">
        <f>COUNTIFS('свод практик'!$J$6:$J$277,BD$1,'свод практик'!$F$6:$F$277,"100%")</f>
        <v>0</v>
      </c>
      <c r="BE45" s="104">
        <f>COUNTIFS('свод практик'!$J$6:$J$277,BE$1,'свод практик'!$F$6:$F$277,"100%")</f>
        <v>1</v>
      </c>
      <c r="BF45" s="104">
        <f>COUNTIFS('свод практик'!$J$6:$J$277,BF$1,'свод практик'!$F$6:$F$277,"100%")</f>
        <v>0</v>
      </c>
      <c r="BG45" s="104">
        <f>COUNTIFS('свод практик'!$J$6:$J$277,BG$1,'свод практик'!$F$6:$F$277,"100%")</f>
        <v>0</v>
      </c>
      <c r="BH45" s="104">
        <f>COUNTIFS('свод практик'!$J$6:$J$277,BH$1,'свод практик'!$F$6:$F$277,"100%")</f>
        <v>0</v>
      </c>
      <c r="BI45" s="104">
        <f>COUNTIFS('свод практик'!$J$6:$J$277,BI$1,'свод практик'!$F$6:$F$277,"100%")</f>
        <v>1</v>
      </c>
      <c r="BJ45" s="104">
        <f>COUNTIFS('свод практик'!$J$6:$J$277,BJ$1,'свод практик'!$F$6:$F$277,"100%")</f>
        <v>1</v>
      </c>
      <c r="BK45" s="104">
        <f>COUNTIFS('свод практик'!$J$6:$J$277,BK$1,'свод практик'!$F$6:$F$277,"100%")</f>
        <v>0</v>
      </c>
      <c r="BL45" s="104">
        <f>COUNTIFS('свод практик'!$J$6:$J$277,BL$1,'свод практик'!$F$6:$F$277,"100%")</f>
        <v>0</v>
      </c>
      <c r="BM45" s="104">
        <f>COUNTIFS('свод практик'!$J$6:$J$277,BM$1,'свод практик'!$F$6:$F$277,"100%")</f>
        <v>1</v>
      </c>
      <c r="BN45" s="104">
        <f>COUNTIFS('свод практик'!$J$6:$J$277,BN$1,'свод практик'!$F$6:$F$277,"100%")</f>
        <v>3</v>
      </c>
      <c r="BO45" s="104">
        <f>COUNTIFS('свод практик'!$J$6:$J$277,BO$1,'свод практик'!$F$6:$F$277,"100%")</f>
        <v>1</v>
      </c>
      <c r="BP45" s="104">
        <f>COUNTIFS('свод практик'!$J$6:$J$277,BP$1,'свод практик'!$F$6:$F$277,"100%")</f>
        <v>0</v>
      </c>
      <c r="BQ45" s="104">
        <f>COUNTIFS('свод практик'!$J$6:$J$277,BQ$1,'свод практик'!$F$6:$F$277,"100%")</f>
        <v>0</v>
      </c>
      <c r="BR45" s="104">
        <f>COUNTIFS('свод практик'!$J$6:$J$277,BR$1,'свод практик'!$F$6:$F$277,"100%")</f>
        <v>0</v>
      </c>
      <c r="BS45" s="104">
        <f>COUNTIFS('свод практик'!$J$6:$J$277,BS$1,'свод практик'!$F$6:$F$277,"100%")</f>
        <v>0</v>
      </c>
      <c r="BT45" s="104">
        <f>COUNTIFS('свод практик'!$J$6:$J$277,BT$1,'свод практик'!$F$6:$F$277,"100%")</f>
        <v>0</v>
      </c>
      <c r="BU45" s="104">
        <f>COUNTIFS('свод практик'!$J$6:$J$277,BU$1,'свод практик'!$F$6:$F$277,"100%")</f>
        <v>3</v>
      </c>
      <c r="BV45" s="104">
        <f>COUNTIFS('свод практик'!$J$6:$J$277,BV$1,'свод практик'!$F$6:$F$277,"100%")</f>
        <v>1</v>
      </c>
      <c r="BW45" s="104">
        <f>COUNTIFS('свод практик'!$J$6:$J$277,BW$1,'свод практик'!$F$6:$F$277,"100%")</f>
        <v>0</v>
      </c>
      <c r="BX45" s="104">
        <f>COUNTIFS('свод практик'!$J$6:$J$277,BX$1,'свод практик'!$F$6:$F$277,"100%")</f>
        <v>1</v>
      </c>
      <c r="BY45" s="104">
        <f>COUNTIFS('свод практик'!$J$6:$J$277,BY$1,'свод практик'!$F$6:$F$277,"100%")</f>
        <v>0</v>
      </c>
      <c r="BZ45" s="104">
        <f>COUNTIFS('свод практик'!$J$6:$J$277,BZ$1,'свод практик'!$F$6:$F$277,"100%")</f>
        <v>0</v>
      </c>
      <c r="CA45" s="104">
        <f>COUNTIFS('свод практик'!$J$6:$J$277,CA$1,'свод практик'!$F$6:$F$277,"100%")</f>
        <v>1</v>
      </c>
      <c r="CB45" s="104">
        <f>COUNTIFS('свод практик'!$J$6:$J$277,CB$1,'свод практик'!$F$6:$F$277,"100%")</f>
        <v>0</v>
      </c>
      <c r="CC45" s="104">
        <f>COUNTIFS('свод практик'!$J$6:$J$277,CC$1,'свод практик'!$F$6:$F$277,"100%")</f>
        <v>0</v>
      </c>
      <c r="CD45" s="104">
        <f>COUNTIFS('свод практик'!$J$6:$J$277,CD$1,'свод практик'!$F$6:$F$277,"100%")</f>
        <v>0</v>
      </c>
      <c r="CE45" s="104">
        <f>COUNTIFS('свод практик'!$J$6:$J$277,CE$1,'свод практик'!$F$6:$F$277,"100%")</f>
        <v>1</v>
      </c>
      <c r="CF45" s="104">
        <f>COUNTIFS('свод практик'!$J$6:$J$277,CF$1,'свод практик'!$F$6:$F$277,"100%")</f>
        <v>0</v>
      </c>
      <c r="CG45" s="104">
        <f>COUNTIFS('свод практик'!$J$6:$J$277,CG$1,'свод практик'!$F$6:$F$277,"100%")</f>
        <v>0</v>
      </c>
      <c r="CH45" s="104">
        <f>COUNTIFS('свод практик'!$J$6:$J$277,CH$1,'свод практик'!$F$6:$F$277,"100%")</f>
        <v>1</v>
      </c>
      <c r="CI45" s="104">
        <f>COUNTIFS('свод практик'!$J$6:$J$277,CI$1,'свод практик'!$F$6:$F$277,"100%")</f>
        <v>1</v>
      </c>
      <c r="CJ45" s="104">
        <f>COUNTIFS('свод практик'!$J$6:$J$277,CJ$1,'свод практик'!$F$6:$F$277,"100%")</f>
        <v>0</v>
      </c>
      <c r="CK45" s="104">
        <f>COUNTIFS('свод практик'!$J$6:$J$277,CK$1,'свод практик'!$F$6:$F$277,"100%")</f>
        <v>1</v>
      </c>
    </row>
    <row r="46" spans="1:89">
      <c r="A46" t="s">
        <v>5349</v>
      </c>
      <c r="D46" s="675">
        <f t="shared" si="0"/>
        <v>1</v>
      </c>
      <c r="E46">
        <f>COUNTIFS('свод практик'!$J$6:$J$277,E$1,'свод практик'!$F$6:$F$277,"100% (конкурс)")</f>
        <v>0</v>
      </c>
      <c r="F46" s="104">
        <f>COUNTIFS('свод практик'!$J$6:$J$277,F$1,'свод практик'!$F$6:$F$277,"100% (конкурс)")</f>
        <v>0</v>
      </c>
      <c r="G46" s="104">
        <f>COUNTIFS('свод практик'!$J$6:$J$277,G$1,'свод практик'!$F$6:$F$277,"100% (конкурс)")</f>
        <v>0</v>
      </c>
      <c r="H46" s="104">
        <f>COUNTIFS('свод практик'!$J$6:$J$277,H$1,'свод практик'!$F$6:$F$277,"100% (конкурс)")</f>
        <v>0</v>
      </c>
      <c r="I46" s="104">
        <f>COUNTIFS('свод практик'!$J$6:$J$277,I$1,'свод практик'!$F$6:$F$277,"100% (конкурс)")</f>
        <v>0</v>
      </c>
      <c r="J46" s="104">
        <f>COUNTIFS('свод практик'!$J$6:$J$277,J$1,'свод практик'!$F$6:$F$277,"100% (конкурс)")</f>
        <v>0</v>
      </c>
      <c r="K46" s="104">
        <f>COUNTIFS('свод практик'!$J$6:$J$277,K$1,'свод практик'!$F$6:$F$277,"100% (конкурс)")</f>
        <v>0</v>
      </c>
      <c r="L46" s="104">
        <f>COUNTIFS('свод практик'!$J$6:$J$277,L$1,'свод практик'!$F$6:$F$277,"100% (конкурс)")</f>
        <v>0</v>
      </c>
      <c r="M46" s="104">
        <f>COUNTIFS('свод практик'!$J$6:$J$277,M$1,'свод практик'!$F$6:$F$277,"100% (конкурс)")</f>
        <v>0</v>
      </c>
      <c r="N46" s="104">
        <f>COUNTIFS('свод практик'!$J$6:$J$277,N$1,'свод практик'!$F$6:$F$277,"100% (конкурс)")</f>
        <v>0</v>
      </c>
      <c r="O46" s="104">
        <f>COUNTIFS('свод практик'!$J$6:$J$277,O$1,'свод практик'!$F$6:$F$277,"100% (конкурс)")</f>
        <v>0</v>
      </c>
      <c r="P46" s="104">
        <f>COUNTIFS('свод практик'!$J$6:$J$277,P$1,'свод практик'!$F$6:$F$277,"100% (конкурс)")</f>
        <v>0</v>
      </c>
      <c r="Q46" s="104">
        <f>COUNTIFS('свод практик'!$J$6:$J$277,Q$1,'свод практик'!$F$6:$F$277,"100% (конкурс)")</f>
        <v>0</v>
      </c>
      <c r="R46" s="104">
        <f>COUNTIFS('свод практик'!$J$6:$J$277,R$1,'свод практик'!$F$6:$F$277,"100% (конкурс)")</f>
        <v>0</v>
      </c>
      <c r="S46" s="104">
        <f>COUNTIFS('свод практик'!$J$6:$J$277,S$1,'свод практик'!$F$6:$F$277,"100% (конкурс)")</f>
        <v>0</v>
      </c>
      <c r="T46" s="104">
        <f>COUNTIFS('свод практик'!$J$6:$J$277,T$1,'свод практик'!$F$6:$F$277,"100% (конкурс)")</f>
        <v>0</v>
      </c>
      <c r="U46" s="104">
        <f>COUNTIFS('свод практик'!$J$6:$J$277,U$1,'свод практик'!$F$6:$F$277,"100% (конкурс)")</f>
        <v>0</v>
      </c>
      <c r="V46" s="104">
        <f>COUNTIFS('свод практик'!$J$6:$J$277,V$1,'свод практик'!$F$6:$F$277,"100% (конкурс)")</f>
        <v>0</v>
      </c>
      <c r="W46" s="104">
        <f>COUNTIFS('свод практик'!$J$6:$J$277,W$1,'свод практик'!$F$6:$F$277,"100% (конкурс)")</f>
        <v>0</v>
      </c>
      <c r="X46" s="104">
        <f>COUNTIFS('свод практик'!$J$6:$J$277,X$1,'свод практик'!$F$6:$F$277,"100% (конкурс)")</f>
        <v>0</v>
      </c>
      <c r="Y46" s="104">
        <f>COUNTIFS('свод практик'!$J$6:$J$277,Y$1,'свод практик'!$F$6:$F$277,"100% (конкурс)")</f>
        <v>0</v>
      </c>
      <c r="Z46" s="104">
        <f>COUNTIFS('свод практик'!$J$6:$J$277,Z$1,'свод практик'!$F$6:$F$277,"100% (конкурс)")</f>
        <v>0</v>
      </c>
      <c r="AA46" s="104">
        <f>COUNTIFS('свод практик'!$J$6:$J$277,AA$1,'свод практик'!$F$6:$F$277,"100% (конкурс)")</f>
        <v>0</v>
      </c>
      <c r="AB46" s="104">
        <f>COUNTIFS('свод практик'!$J$6:$J$277,AB$1,'свод практик'!$F$6:$F$277,"100% (конкурс)")</f>
        <v>0</v>
      </c>
      <c r="AC46" s="104">
        <f>COUNTIFS('свод практик'!$J$6:$J$277,AC$1,'свод практик'!$F$6:$F$277,"100% (конкурс)")</f>
        <v>0</v>
      </c>
      <c r="AD46" s="104">
        <f>COUNTIFS('свод практик'!$J$6:$J$277,AD$1,'свод практик'!$F$6:$F$277,"100% (конкурс)")</f>
        <v>0</v>
      </c>
      <c r="AE46" s="104">
        <f>COUNTIFS('свод практик'!$J$6:$J$277,AE$1,'свод практик'!$F$6:$F$277,"100% (конкурс)")</f>
        <v>0</v>
      </c>
      <c r="AF46" s="104">
        <f>COUNTIFS('свод практик'!$J$6:$J$277,AF$1,'свод практик'!$F$6:$F$277,"100% (конкурс)")</f>
        <v>0</v>
      </c>
      <c r="AG46" s="104">
        <f>COUNTIFS('свод практик'!$J$6:$J$277,AG$1,'свод практик'!$F$6:$F$277,"100% (конкурс)")</f>
        <v>0</v>
      </c>
      <c r="AH46" s="104">
        <f>COUNTIFS('свод практик'!$J$6:$J$277,AH$1,'свод практик'!$F$6:$F$277,"100% (конкурс)")</f>
        <v>0</v>
      </c>
      <c r="AI46" s="104">
        <f>COUNTIFS('свод практик'!$J$6:$J$277,AI$1,'свод практик'!$F$6:$F$277,"100% (конкурс)")</f>
        <v>0</v>
      </c>
      <c r="AJ46" s="104">
        <f>COUNTIFS('свод практик'!$J$6:$J$277,AJ$1,'свод практик'!$F$6:$F$277,"100% (конкурс)")</f>
        <v>0</v>
      </c>
      <c r="AK46" s="104">
        <f>COUNTIFS('свод практик'!$J$6:$J$277,AK$1,'свод практик'!$F$6:$F$277,"100% (конкурс)")</f>
        <v>0</v>
      </c>
      <c r="AL46" s="104">
        <f>COUNTIFS('свод практик'!$J$6:$J$277,AL$1,'свод практик'!$F$6:$F$277,"100% (конкурс)")</f>
        <v>0</v>
      </c>
      <c r="AM46" s="104">
        <f>COUNTIFS('свод практик'!$J$6:$J$277,AM$1,'свод практик'!$F$6:$F$277,"100% (конкурс)")</f>
        <v>0</v>
      </c>
      <c r="AN46" s="104">
        <f>COUNTIFS('свод практик'!$J$6:$J$277,AN$1,'свод практик'!$F$6:$F$277,"100% (конкурс)")</f>
        <v>0</v>
      </c>
      <c r="AO46" s="104">
        <f>COUNTIFS('свод практик'!$J$6:$J$277,AO$1,'свод практик'!$F$6:$F$277,"100% (конкурс)")</f>
        <v>0</v>
      </c>
      <c r="AP46" s="104">
        <f>COUNTIFS('свод практик'!$J$6:$J$277,AP$1,'свод практик'!$F$6:$F$277,"100% (конкурс)")</f>
        <v>0</v>
      </c>
      <c r="AQ46" s="104">
        <f>COUNTIFS('свод практик'!$J$6:$J$277,AQ$1,'свод практик'!$F$6:$F$277,"100% (конкурс)")</f>
        <v>0</v>
      </c>
      <c r="AR46" s="104">
        <f>COUNTIFS('свод практик'!$J$6:$J$277,AR$1,'свод практик'!$F$6:$F$277,"100% (конкурс)")</f>
        <v>0</v>
      </c>
      <c r="AS46" s="104">
        <f>COUNTIFS('свод практик'!$J$6:$J$277,AS$1,'свод практик'!$F$6:$F$277,"100% (конкурс)")</f>
        <v>0</v>
      </c>
      <c r="AT46" s="104">
        <f>COUNTIFS('свод практик'!$J$6:$J$277,AT$1,'свод практик'!$F$6:$F$277,"100% (конкурс)")</f>
        <v>0</v>
      </c>
      <c r="AU46" s="104">
        <f>COUNTIFS('свод практик'!$J$6:$J$277,AU$1,'свод практик'!$F$6:$F$277,"100% (конкурс)")</f>
        <v>0</v>
      </c>
      <c r="AV46" s="104">
        <f>COUNTIFS('свод практик'!$J$6:$J$277,AV$1,'свод практик'!$F$6:$F$277,"100% (конкурс)")</f>
        <v>0</v>
      </c>
      <c r="AW46" s="104">
        <f>COUNTIFS('свод практик'!$J$6:$J$277,AW$1,'свод практик'!$F$6:$F$277,"100% (конкурс)")</f>
        <v>0</v>
      </c>
      <c r="AX46" s="104">
        <f>COUNTIFS('свод практик'!$J$6:$J$277,AX$1,'свод практик'!$F$6:$F$277,"100% (конкурс)")</f>
        <v>0</v>
      </c>
      <c r="AY46" s="104">
        <f>COUNTIFS('свод практик'!$J$6:$J$277,AY$1,'свод практик'!$F$6:$F$277,"100% (конкурс)")</f>
        <v>0</v>
      </c>
      <c r="AZ46" s="104">
        <f>COUNTIFS('свод практик'!$J$6:$J$277,AZ$1,'свод практик'!$F$6:$F$277,"100% (конкурс)")</f>
        <v>0</v>
      </c>
      <c r="BA46" s="104">
        <f>COUNTIFS('свод практик'!$J$6:$J$277,BA$1,'свод практик'!$F$6:$F$277,"100% (конкурс)")</f>
        <v>0</v>
      </c>
      <c r="BB46" s="104">
        <f>COUNTIFS('свод практик'!$J$6:$J$277,BB$1,'свод практик'!$F$6:$F$277,"100% (конкурс)")</f>
        <v>0</v>
      </c>
      <c r="BC46" s="104">
        <f>COUNTIFS('свод практик'!$J$6:$J$277,BC$1,'свод практик'!$F$6:$F$277,"100% (конкурс)")</f>
        <v>0</v>
      </c>
      <c r="BD46" s="104">
        <f>COUNTIFS('свод практик'!$J$6:$J$277,BD$1,'свод практик'!$F$6:$F$277,"100% (конкурс)")</f>
        <v>0</v>
      </c>
      <c r="BE46" s="104">
        <f>COUNTIFS('свод практик'!$J$6:$J$277,BE$1,'свод практик'!$F$6:$F$277,"100% (конкурс)")</f>
        <v>0</v>
      </c>
      <c r="BF46" s="104">
        <f>COUNTIFS('свод практик'!$J$6:$J$277,BF$1,'свод практик'!$F$6:$F$277,"100% (конкурс)")</f>
        <v>0</v>
      </c>
      <c r="BG46" s="104">
        <f>COUNTIFS('свод практик'!$J$6:$J$277,BG$1,'свод практик'!$F$6:$F$277,"100% (конкурс)")</f>
        <v>0</v>
      </c>
      <c r="BH46" s="104">
        <f>COUNTIFS('свод практик'!$J$6:$J$277,BH$1,'свод практик'!$F$6:$F$277,"100% (конкурс)")</f>
        <v>0</v>
      </c>
      <c r="BI46" s="104">
        <f>COUNTIFS('свод практик'!$J$6:$J$277,BI$1,'свод практик'!$F$6:$F$277,"100% (конкурс)")</f>
        <v>0</v>
      </c>
      <c r="BJ46" s="104">
        <f>COUNTIFS('свод практик'!$J$6:$J$277,BJ$1,'свод практик'!$F$6:$F$277,"100% (конкурс)")</f>
        <v>0</v>
      </c>
      <c r="BK46" s="104">
        <f>COUNTIFS('свод практик'!$J$6:$J$277,BK$1,'свод практик'!$F$6:$F$277,"100% (конкурс)")</f>
        <v>1</v>
      </c>
      <c r="BL46" s="104">
        <f>COUNTIFS('свод практик'!$J$6:$J$277,BL$1,'свод практик'!$F$6:$F$277,"100% (конкурс)")</f>
        <v>0</v>
      </c>
      <c r="BM46" s="104">
        <f>COUNTIFS('свод практик'!$J$6:$J$277,BM$1,'свод практик'!$F$6:$F$277,"100% (конкурс)")</f>
        <v>0</v>
      </c>
      <c r="BN46" s="104">
        <f>COUNTIFS('свод практик'!$J$6:$J$277,BN$1,'свод практик'!$F$6:$F$277,"100% (конкурс)")</f>
        <v>0</v>
      </c>
      <c r="BO46" s="104">
        <f>COUNTIFS('свод практик'!$J$6:$J$277,BO$1,'свод практик'!$F$6:$F$277,"100% (конкурс)")</f>
        <v>0</v>
      </c>
      <c r="BP46" s="104">
        <f>COUNTIFS('свод практик'!$J$6:$J$277,BP$1,'свод практик'!$F$6:$F$277,"100% (конкурс)")</f>
        <v>0</v>
      </c>
      <c r="BQ46" s="104">
        <f>COUNTIFS('свод практик'!$J$6:$J$277,BQ$1,'свод практик'!$F$6:$F$277,"100% (конкурс)")</f>
        <v>0</v>
      </c>
      <c r="BR46" s="104">
        <f>COUNTIFS('свод практик'!$J$6:$J$277,BR$1,'свод практик'!$F$6:$F$277,"100% (конкурс)")</f>
        <v>0</v>
      </c>
      <c r="BS46" s="104">
        <f>COUNTIFS('свод практик'!$J$6:$J$277,BS$1,'свод практик'!$F$6:$F$277,"100% (конкурс)")</f>
        <v>0</v>
      </c>
      <c r="BT46" s="104">
        <f>COUNTIFS('свод практик'!$J$6:$J$277,BT$1,'свод практик'!$F$6:$F$277,"100% (конкурс)")</f>
        <v>0</v>
      </c>
      <c r="BU46" s="104">
        <f>COUNTIFS('свод практик'!$J$6:$J$277,BU$1,'свод практик'!$F$6:$F$277,"100% (конкурс)")</f>
        <v>0</v>
      </c>
      <c r="BV46" s="104">
        <f>COUNTIFS('свод практик'!$J$6:$J$277,BV$1,'свод практик'!$F$6:$F$277,"100% (конкурс)")</f>
        <v>0</v>
      </c>
      <c r="BW46" s="104">
        <f>COUNTIFS('свод практик'!$J$6:$J$277,BW$1,'свод практик'!$F$6:$F$277,"100% (конкурс)")</f>
        <v>0</v>
      </c>
      <c r="BX46" s="104">
        <f>COUNTIFS('свод практик'!$J$6:$J$277,BX$1,'свод практик'!$F$6:$F$277,"100% (конкурс)")</f>
        <v>0</v>
      </c>
      <c r="BY46" s="104">
        <f>COUNTIFS('свод практик'!$J$6:$J$277,BY$1,'свод практик'!$F$6:$F$277,"100% (конкурс)")</f>
        <v>0</v>
      </c>
      <c r="BZ46" s="104">
        <f>COUNTIFS('свод практик'!$J$6:$J$277,BZ$1,'свод практик'!$F$6:$F$277,"100% (конкурс)")</f>
        <v>0</v>
      </c>
      <c r="CA46" s="104">
        <f>COUNTIFS('свод практик'!$J$6:$J$277,CA$1,'свод практик'!$F$6:$F$277,"100% (конкурс)")</f>
        <v>0</v>
      </c>
      <c r="CB46" s="104">
        <f>COUNTIFS('свод практик'!$J$6:$J$277,CB$1,'свод практик'!$F$6:$F$277,"100% (конкурс)")</f>
        <v>0</v>
      </c>
      <c r="CC46" s="104">
        <f>COUNTIFS('свод практик'!$J$6:$J$277,CC$1,'свод практик'!$F$6:$F$277,"100% (конкурс)")</f>
        <v>0</v>
      </c>
      <c r="CD46" s="104">
        <f>COUNTIFS('свод практик'!$J$6:$J$277,CD$1,'свод практик'!$F$6:$F$277,"100% (конкурс)")</f>
        <v>0</v>
      </c>
      <c r="CE46" s="104">
        <f>COUNTIFS('свод практик'!$J$6:$J$277,CE$1,'свод практик'!$F$6:$F$277,"100% (конкурс)")</f>
        <v>0</v>
      </c>
      <c r="CF46" s="104">
        <f>COUNTIFS('свод практик'!$J$6:$J$277,CF$1,'свод практик'!$F$6:$F$277,"100% (конкурс)")</f>
        <v>0</v>
      </c>
      <c r="CG46" s="104">
        <f>COUNTIFS('свод практик'!$J$6:$J$277,CG$1,'свод практик'!$F$6:$F$277,"100% (конкурс)")</f>
        <v>0</v>
      </c>
      <c r="CH46" s="104">
        <f>COUNTIFS('свод практик'!$J$6:$J$277,CH$1,'свод практик'!$F$6:$F$277,"100% (конкурс)")</f>
        <v>0</v>
      </c>
      <c r="CI46" s="104">
        <f>COUNTIFS('свод практик'!$J$6:$J$277,CI$1,'свод практик'!$F$6:$F$277,"100% (конкурс)")</f>
        <v>0</v>
      </c>
      <c r="CJ46" s="104">
        <f>COUNTIFS('свод практик'!$J$6:$J$277,CJ$1,'свод практик'!$F$6:$F$277,"100% (конкурс)")</f>
        <v>0</v>
      </c>
      <c r="CK46" s="104">
        <f>COUNTIFS('свод практик'!$J$6:$J$277,CK$1,'свод практик'!$F$6:$F$277,"100% (конкурс)")</f>
        <v>0</v>
      </c>
    </row>
    <row r="47" spans="1:89">
      <c r="A47" t="s">
        <v>5350</v>
      </c>
      <c r="D47" s="675">
        <f t="shared" si="0"/>
        <v>1</v>
      </c>
      <c r="E47">
        <f>COUNTIFS('свод практик'!$J$6:$J$277,E$1,'свод практик'!$F$6:$F$277,"100% (не более 300 тыс и не МР)")</f>
        <v>0</v>
      </c>
      <c r="F47" s="104">
        <f>COUNTIFS('свод практик'!$J$6:$J$277,F$1,'свод практик'!$F$6:$F$277,"100% (не более 300 тыс и не МР)")</f>
        <v>0</v>
      </c>
      <c r="G47" s="104">
        <f>COUNTIFS('свод практик'!$J$6:$J$277,G$1,'свод практик'!$F$6:$F$277,"100% (не более 300 тыс и не МР)")</f>
        <v>0</v>
      </c>
      <c r="H47" s="104">
        <f>COUNTIFS('свод практик'!$J$6:$J$277,H$1,'свод практик'!$F$6:$F$277,"100% (не более 300 тыс и не МР)")</f>
        <v>0</v>
      </c>
      <c r="I47" s="104">
        <f>COUNTIFS('свод практик'!$J$6:$J$277,I$1,'свод практик'!$F$6:$F$277,"100% (не более 300 тыс и не МР)")</f>
        <v>0</v>
      </c>
      <c r="J47" s="104">
        <f>COUNTIFS('свод практик'!$J$6:$J$277,J$1,'свод практик'!$F$6:$F$277,"100% (не более 300 тыс и не МР)")</f>
        <v>0</v>
      </c>
      <c r="K47" s="104">
        <f>COUNTIFS('свод практик'!$J$6:$J$277,K$1,'свод практик'!$F$6:$F$277,"100% (не более 300 тыс и не МР)")</f>
        <v>0</v>
      </c>
      <c r="L47" s="104">
        <f>COUNTIFS('свод практик'!$J$6:$J$277,L$1,'свод практик'!$F$6:$F$277,"100% (не более 300 тыс и не МР)")</f>
        <v>0</v>
      </c>
      <c r="M47" s="104">
        <f>COUNTIFS('свод практик'!$J$6:$J$277,M$1,'свод практик'!$F$6:$F$277,"100% (не более 300 тыс и не МР)")</f>
        <v>0</v>
      </c>
      <c r="N47" s="104">
        <f>COUNTIFS('свод практик'!$J$6:$J$277,N$1,'свод практик'!$F$6:$F$277,"100% (не более 300 тыс и не МР)")</f>
        <v>0</v>
      </c>
      <c r="O47" s="104">
        <f>COUNTIFS('свод практик'!$J$6:$J$277,O$1,'свод практик'!$F$6:$F$277,"100% (не более 300 тыс и не МР)")</f>
        <v>0</v>
      </c>
      <c r="P47" s="104">
        <f>COUNTIFS('свод практик'!$J$6:$J$277,P$1,'свод практик'!$F$6:$F$277,"100% (не более 300 тыс и не МР)")</f>
        <v>0</v>
      </c>
      <c r="Q47" s="104">
        <f>COUNTIFS('свод практик'!$J$6:$J$277,Q$1,'свод практик'!$F$6:$F$277,"100% (не более 300 тыс и не МР)")</f>
        <v>0</v>
      </c>
      <c r="R47" s="104">
        <f>COUNTIFS('свод практик'!$J$6:$J$277,R$1,'свод практик'!$F$6:$F$277,"100% (не более 300 тыс и не МР)")</f>
        <v>0</v>
      </c>
      <c r="S47" s="104">
        <f>COUNTIFS('свод практик'!$J$6:$J$277,S$1,'свод практик'!$F$6:$F$277,"100% (не более 300 тыс и не МР)")</f>
        <v>0</v>
      </c>
      <c r="T47" s="104">
        <f>COUNTIFS('свод практик'!$J$6:$J$277,T$1,'свод практик'!$F$6:$F$277,"100% (не более 300 тыс и не МР)")</f>
        <v>0</v>
      </c>
      <c r="U47" s="104">
        <f>COUNTIFS('свод практик'!$J$6:$J$277,U$1,'свод практик'!$F$6:$F$277,"100% (не более 300 тыс и не МР)")</f>
        <v>0</v>
      </c>
      <c r="V47" s="104">
        <f>COUNTIFS('свод практик'!$J$6:$J$277,V$1,'свод практик'!$F$6:$F$277,"100% (не более 300 тыс и не МР)")</f>
        <v>0</v>
      </c>
      <c r="W47" s="104">
        <f>COUNTIFS('свод практик'!$J$6:$J$277,W$1,'свод практик'!$F$6:$F$277,"100% (не более 300 тыс и не МР)")</f>
        <v>0</v>
      </c>
      <c r="X47" s="104">
        <f>COUNTIFS('свод практик'!$J$6:$J$277,X$1,'свод практик'!$F$6:$F$277,"100% (не более 300 тыс и не МР)")</f>
        <v>0</v>
      </c>
      <c r="Y47" s="104">
        <f>COUNTIFS('свод практик'!$J$6:$J$277,Y$1,'свод практик'!$F$6:$F$277,"100% (не более 300 тыс и не МР)")</f>
        <v>0</v>
      </c>
      <c r="Z47" s="104">
        <f>COUNTIFS('свод практик'!$J$6:$J$277,Z$1,'свод практик'!$F$6:$F$277,"100% (не более 300 тыс и не МР)")</f>
        <v>0</v>
      </c>
      <c r="AA47" s="104">
        <f>COUNTIFS('свод практик'!$J$6:$J$277,AA$1,'свод практик'!$F$6:$F$277,"100% (не более 300 тыс и не МР)")</f>
        <v>0</v>
      </c>
      <c r="AB47" s="104">
        <f>COUNTIFS('свод практик'!$J$6:$J$277,AB$1,'свод практик'!$F$6:$F$277,"100% (не более 300 тыс и не МР)")</f>
        <v>0</v>
      </c>
      <c r="AC47" s="104">
        <f>COUNTIFS('свод практик'!$J$6:$J$277,AC$1,'свод практик'!$F$6:$F$277,"100% (не более 300 тыс и не МР)")</f>
        <v>0</v>
      </c>
      <c r="AD47" s="104">
        <f>COUNTIFS('свод практик'!$J$6:$J$277,AD$1,'свод практик'!$F$6:$F$277,"100% (не более 300 тыс и не МР)")</f>
        <v>0</v>
      </c>
      <c r="AE47" s="104">
        <f>COUNTIFS('свод практик'!$J$6:$J$277,AE$1,'свод практик'!$F$6:$F$277,"100% (не более 300 тыс и не МР)")</f>
        <v>0</v>
      </c>
      <c r="AF47" s="104">
        <f>COUNTIFS('свод практик'!$J$6:$J$277,AF$1,'свод практик'!$F$6:$F$277,"100% (не более 300 тыс и не МР)")</f>
        <v>0</v>
      </c>
      <c r="AG47" s="104">
        <f>COUNTIFS('свод практик'!$J$6:$J$277,AG$1,'свод практик'!$F$6:$F$277,"100% (не более 300 тыс и не МР)")</f>
        <v>0</v>
      </c>
      <c r="AH47" s="104">
        <f>COUNTIFS('свод практик'!$J$6:$J$277,AH$1,'свод практик'!$F$6:$F$277,"100% (не более 300 тыс и не МР)")</f>
        <v>0</v>
      </c>
      <c r="AI47" s="104">
        <f>COUNTIFS('свод практик'!$J$6:$J$277,AI$1,'свод практик'!$F$6:$F$277,"100% (не более 300 тыс и не МР)")</f>
        <v>0</v>
      </c>
      <c r="AJ47" s="104">
        <f>COUNTIFS('свод практик'!$J$6:$J$277,AJ$1,'свод практик'!$F$6:$F$277,"100% (не более 300 тыс и не МР)")</f>
        <v>0</v>
      </c>
      <c r="AK47" s="104">
        <f>COUNTIFS('свод практик'!$J$6:$J$277,AK$1,'свод практик'!$F$6:$F$277,"100% (не более 300 тыс и не МР)")</f>
        <v>0</v>
      </c>
      <c r="AL47" s="104">
        <f>COUNTIFS('свод практик'!$J$6:$J$277,AL$1,'свод практик'!$F$6:$F$277,"100% (не более 300 тыс и не МР)")</f>
        <v>0</v>
      </c>
      <c r="AM47" s="104">
        <f>COUNTIFS('свод практик'!$J$6:$J$277,AM$1,'свод практик'!$F$6:$F$277,"100% (не более 300 тыс и не МР)")</f>
        <v>0</v>
      </c>
      <c r="AN47" s="104">
        <f>COUNTIFS('свод практик'!$J$6:$J$277,AN$1,'свод практик'!$F$6:$F$277,"100% (не более 300 тыс и не МР)")</f>
        <v>0</v>
      </c>
      <c r="AO47" s="104">
        <f>COUNTIFS('свод практик'!$J$6:$J$277,AO$1,'свод практик'!$F$6:$F$277,"100% (не более 300 тыс и не МР)")</f>
        <v>0</v>
      </c>
      <c r="AP47" s="104">
        <f>COUNTIFS('свод практик'!$J$6:$J$277,AP$1,'свод практик'!$F$6:$F$277,"100% (не более 300 тыс и не МР)")</f>
        <v>0</v>
      </c>
      <c r="AQ47" s="104">
        <f>COUNTIFS('свод практик'!$J$6:$J$277,AQ$1,'свод практик'!$F$6:$F$277,"100% (не более 300 тыс и не МР)")</f>
        <v>0</v>
      </c>
      <c r="AR47" s="104">
        <f>COUNTIFS('свод практик'!$J$6:$J$277,AR$1,'свод практик'!$F$6:$F$277,"100% (не более 300 тыс и не МР)")</f>
        <v>0</v>
      </c>
      <c r="AS47" s="104">
        <f>COUNTIFS('свод практик'!$J$6:$J$277,AS$1,'свод практик'!$F$6:$F$277,"100% (не более 300 тыс и не МР)")</f>
        <v>0</v>
      </c>
      <c r="AT47" s="104">
        <f>COUNTIFS('свод практик'!$J$6:$J$277,AT$1,'свод практик'!$F$6:$F$277,"100% (не более 300 тыс и не МР)")</f>
        <v>0</v>
      </c>
      <c r="AU47" s="104">
        <f>COUNTIFS('свод практик'!$J$6:$J$277,AU$1,'свод практик'!$F$6:$F$277,"100% (не более 300 тыс и не МР)")</f>
        <v>0</v>
      </c>
      <c r="AV47" s="104">
        <f>COUNTIFS('свод практик'!$J$6:$J$277,AV$1,'свод практик'!$F$6:$F$277,"100% (не более 300 тыс и не МР)")</f>
        <v>0</v>
      </c>
      <c r="AW47" s="104">
        <f>COUNTIFS('свод практик'!$J$6:$J$277,AW$1,'свод практик'!$F$6:$F$277,"100% (не более 300 тыс и не МР)")</f>
        <v>0</v>
      </c>
      <c r="AX47" s="104">
        <f>COUNTIFS('свод практик'!$J$6:$J$277,AX$1,'свод практик'!$F$6:$F$277,"100% (не более 300 тыс и не МР)")</f>
        <v>0</v>
      </c>
      <c r="AY47" s="104">
        <f>COUNTIFS('свод практик'!$J$6:$J$277,AY$1,'свод практик'!$F$6:$F$277,"100% (не более 300 тыс и не МР)")</f>
        <v>0</v>
      </c>
      <c r="AZ47" s="104">
        <f>COUNTIFS('свод практик'!$J$6:$J$277,AZ$1,'свод практик'!$F$6:$F$277,"100% (не более 300 тыс и не МР)")</f>
        <v>0</v>
      </c>
      <c r="BA47" s="104">
        <f>COUNTIFS('свод практик'!$J$6:$J$277,BA$1,'свод практик'!$F$6:$F$277,"100% (не более 300 тыс и не МР)")</f>
        <v>0</v>
      </c>
      <c r="BB47" s="104">
        <f>COUNTIFS('свод практик'!$J$6:$J$277,BB$1,'свод практик'!$F$6:$F$277,"100% (не более 300 тыс и не МР)")</f>
        <v>0</v>
      </c>
      <c r="BC47" s="104">
        <f>COUNTIFS('свод практик'!$J$6:$J$277,BC$1,'свод практик'!$F$6:$F$277,"100% (не более 300 тыс и не МР)")</f>
        <v>0</v>
      </c>
      <c r="BD47" s="104">
        <f>COUNTIFS('свод практик'!$J$6:$J$277,BD$1,'свод практик'!$F$6:$F$277,"100% (не более 300 тыс и не МР)")</f>
        <v>0</v>
      </c>
      <c r="BE47" s="104">
        <f>COUNTIFS('свод практик'!$J$6:$J$277,BE$1,'свод практик'!$F$6:$F$277,"100% (не более 300 тыс и не МР)")</f>
        <v>0</v>
      </c>
      <c r="BF47" s="104">
        <f>COUNTIFS('свод практик'!$J$6:$J$277,BF$1,'свод практик'!$F$6:$F$277,"100% (не более 300 тыс и не МР)")</f>
        <v>0</v>
      </c>
      <c r="BG47" s="104">
        <f>COUNTIFS('свод практик'!$J$6:$J$277,BG$1,'свод практик'!$F$6:$F$277,"100% (не более 300 тыс и не МР)")</f>
        <v>0</v>
      </c>
      <c r="BH47" s="104">
        <f>COUNTIFS('свод практик'!$J$6:$J$277,BH$1,'свод практик'!$F$6:$F$277,"100% (не более 300 тыс и не МР)")</f>
        <v>0</v>
      </c>
      <c r="BI47" s="104">
        <f>COUNTIFS('свод практик'!$J$6:$J$277,BI$1,'свод практик'!$F$6:$F$277,"100% (не более 300 тыс и не МР)")</f>
        <v>0</v>
      </c>
      <c r="BJ47" s="104">
        <f>COUNTIFS('свод практик'!$J$6:$J$277,BJ$1,'свод практик'!$F$6:$F$277,"100% (не более 300 тыс и не МР)")</f>
        <v>0</v>
      </c>
      <c r="BK47" s="104">
        <f>COUNTIFS('свод практик'!$J$6:$J$277,BK$1,'свод практик'!$F$6:$F$277,"100% (не более 300 тыс и не МР)")</f>
        <v>0</v>
      </c>
      <c r="BL47" s="104">
        <f>COUNTIFS('свод практик'!$J$6:$J$277,BL$1,'свод практик'!$F$6:$F$277,"100% (не более 300 тыс и не МР)")</f>
        <v>1</v>
      </c>
      <c r="BM47" s="104">
        <f>COUNTIFS('свод практик'!$J$6:$J$277,BM$1,'свод практик'!$F$6:$F$277,"100% (не более 300 тыс и не МР)")</f>
        <v>0</v>
      </c>
      <c r="BN47" s="104">
        <f>COUNTIFS('свод практик'!$J$6:$J$277,BN$1,'свод практик'!$F$6:$F$277,"100% (не более 300 тыс и не МР)")</f>
        <v>0</v>
      </c>
      <c r="BO47" s="104">
        <f>COUNTIFS('свод практик'!$J$6:$J$277,BO$1,'свод практик'!$F$6:$F$277,"100% (не более 300 тыс и не МР)")</f>
        <v>0</v>
      </c>
      <c r="BP47" s="104">
        <f>COUNTIFS('свод практик'!$J$6:$J$277,BP$1,'свод практик'!$F$6:$F$277,"100% (не более 300 тыс и не МР)")</f>
        <v>0</v>
      </c>
      <c r="BQ47" s="104">
        <f>COUNTIFS('свод практик'!$J$6:$J$277,BQ$1,'свод практик'!$F$6:$F$277,"100% (не более 300 тыс и не МР)")</f>
        <v>0</v>
      </c>
      <c r="BR47" s="104">
        <f>COUNTIFS('свод практик'!$J$6:$J$277,BR$1,'свод практик'!$F$6:$F$277,"100% (не более 300 тыс и не МР)")</f>
        <v>0</v>
      </c>
      <c r="BS47" s="104">
        <f>COUNTIFS('свод практик'!$J$6:$J$277,BS$1,'свод практик'!$F$6:$F$277,"100% (не более 300 тыс и не МР)")</f>
        <v>0</v>
      </c>
      <c r="BT47" s="104">
        <f>COUNTIFS('свод практик'!$J$6:$J$277,BT$1,'свод практик'!$F$6:$F$277,"100% (не более 300 тыс и не МР)")</f>
        <v>0</v>
      </c>
      <c r="BU47" s="104">
        <f>COUNTIFS('свод практик'!$J$6:$J$277,BU$1,'свод практик'!$F$6:$F$277,"100% (не более 300 тыс и не МР)")</f>
        <v>0</v>
      </c>
      <c r="BV47" s="104">
        <f>COUNTIFS('свод практик'!$J$6:$J$277,BV$1,'свод практик'!$F$6:$F$277,"100% (не более 300 тыс и не МР)")</f>
        <v>0</v>
      </c>
      <c r="BW47" s="104">
        <f>COUNTIFS('свод практик'!$J$6:$J$277,BW$1,'свод практик'!$F$6:$F$277,"100% (не более 300 тыс и не МР)")</f>
        <v>0</v>
      </c>
      <c r="BX47" s="104">
        <f>COUNTIFS('свод практик'!$J$6:$J$277,BX$1,'свод практик'!$F$6:$F$277,"100% (не более 300 тыс и не МР)")</f>
        <v>0</v>
      </c>
      <c r="BY47" s="104">
        <f>COUNTIFS('свод практик'!$J$6:$J$277,BY$1,'свод практик'!$F$6:$F$277,"100% (не более 300 тыс и не МР)")</f>
        <v>0</v>
      </c>
      <c r="BZ47" s="104">
        <f>COUNTIFS('свод практик'!$J$6:$J$277,BZ$1,'свод практик'!$F$6:$F$277,"100% (не более 300 тыс и не МР)")</f>
        <v>0</v>
      </c>
      <c r="CA47" s="104">
        <f>COUNTIFS('свод практик'!$J$6:$J$277,CA$1,'свод практик'!$F$6:$F$277,"100% (не более 300 тыс и не МР)")</f>
        <v>0</v>
      </c>
      <c r="CB47" s="104">
        <f>COUNTIFS('свод практик'!$J$6:$J$277,CB$1,'свод практик'!$F$6:$F$277,"100% (не более 300 тыс и не МР)")</f>
        <v>0</v>
      </c>
      <c r="CC47" s="104">
        <f>COUNTIFS('свод практик'!$J$6:$J$277,CC$1,'свод практик'!$F$6:$F$277,"100% (не более 300 тыс и не МР)")</f>
        <v>0</v>
      </c>
      <c r="CD47" s="104">
        <f>COUNTIFS('свод практик'!$J$6:$J$277,CD$1,'свод практик'!$F$6:$F$277,"100% (не более 300 тыс и не МР)")</f>
        <v>0</v>
      </c>
      <c r="CE47" s="104">
        <f>COUNTIFS('свод практик'!$J$6:$J$277,CE$1,'свод практик'!$F$6:$F$277,"100% (не более 300 тыс и не МР)")</f>
        <v>0</v>
      </c>
      <c r="CF47" s="104">
        <f>COUNTIFS('свод практик'!$J$6:$J$277,CF$1,'свод практик'!$F$6:$F$277,"100% (не более 300 тыс и не МР)")</f>
        <v>0</v>
      </c>
      <c r="CG47" s="104">
        <f>COUNTIFS('свод практик'!$J$6:$J$277,CG$1,'свод практик'!$F$6:$F$277,"100% (не более 300 тыс и не МР)")</f>
        <v>0</v>
      </c>
      <c r="CH47" s="104">
        <f>COUNTIFS('свод практик'!$J$6:$J$277,CH$1,'свод практик'!$F$6:$F$277,"100% (не более 300 тыс и не МР)")</f>
        <v>0</v>
      </c>
      <c r="CI47" s="104">
        <f>COUNTIFS('свод практик'!$J$6:$J$277,CI$1,'свод практик'!$F$6:$F$277,"100% (не более 300 тыс и не МР)")</f>
        <v>0</v>
      </c>
      <c r="CJ47" s="104">
        <f>COUNTIFS('свод практик'!$J$6:$J$277,CJ$1,'свод практик'!$F$6:$F$277,"100% (не более 300 тыс и не МР)")</f>
        <v>0</v>
      </c>
      <c r="CK47" s="104">
        <f>COUNTIFS('свод практик'!$J$6:$J$277,CK$1,'свод практик'!$F$6:$F$277,"100% (не более 300 тыс и не МР)")</f>
        <v>0</v>
      </c>
    </row>
    <row r="48" spans="1:89">
      <c r="A48" t="s">
        <v>5324</v>
      </c>
      <c r="D48" s="675">
        <f t="shared" si="0"/>
        <v>1</v>
      </c>
      <c r="E48">
        <f>COUNTIFS('свод практик'!$J$6:$J$277,E$1,'свод практик'!$F$6:$F$277,"100% (потребкооперативы)")</f>
        <v>0</v>
      </c>
      <c r="F48" s="104">
        <f>COUNTIFS('свод практик'!$J$6:$J$277,F$1,'свод практик'!$F$6:$F$277,"100% (потребкооперативы)")</f>
        <v>0</v>
      </c>
      <c r="G48" s="104">
        <f>COUNTIFS('свод практик'!$J$6:$J$277,G$1,'свод практик'!$F$6:$F$277,"100% (потребкооперативы)")</f>
        <v>0</v>
      </c>
      <c r="H48" s="104">
        <f>COUNTIFS('свод практик'!$J$6:$J$277,H$1,'свод практик'!$F$6:$F$277,"100% (потребкооперативы)")</f>
        <v>0</v>
      </c>
      <c r="I48" s="104">
        <f>COUNTIFS('свод практик'!$J$6:$J$277,I$1,'свод практик'!$F$6:$F$277,"100% (потребкооперативы)")</f>
        <v>0</v>
      </c>
      <c r="J48" s="104">
        <f>COUNTIFS('свод практик'!$J$6:$J$277,J$1,'свод практик'!$F$6:$F$277,"100% (потребкооперативы)")</f>
        <v>0</v>
      </c>
      <c r="K48" s="104">
        <f>COUNTIFS('свод практик'!$J$6:$J$277,K$1,'свод практик'!$F$6:$F$277,"100% (потребкооперативы)")</f>
        <v>1</v>
      </c>
      <c r="L48" s="104">
        <f>COUNTIFS('свод практик'!$J$6:$J$277,L$1,'свод практик'!$F$6:$F$277,"100% (потребкооперативы)")</f>
        <v>0</v>
      </c>
      <c r="M48" s="104">
        <f>COUNTIFS('свод практик'!$J$6:$J$277,M$1,'свод практик'!$F$6:$F$277,"100% (потребкооперативы)")</f>
        <v>0</v>
      </c>
      <c r="N48" s="104">
        <f>COUNTIFS('свод практик'!$J$6:$J$277,N$1,'свод практик'!$F$6:$F$277,"100% (потребкооперативы)")</f>
        <v>0</v>
      </c>
      <c r="O48" s="104">
        <f>COUNTIFS('свод практик'!$J$6:$J$277,O$1,'свод практик'!$F$6:$F$277,"100% (потребкооперативы)")</f>
        <v>0</v>
      </c>
      <c r="P48" s="104">
        <f>COUNTIFS('свод практик'!$J$6:$J$277,P$1,'свод практик'!$F$6:$F$277,"100% (потребкооперативы)")</f>
        <v>0</v>
      </c>
      <c r="Q48" s="104">
        <f>COUNTIFS('свод практик'!$J$6:$J$277,Q$1,'свод практик'!$F$6:$F$277,"100% (потребкооперативы)")</f>
        <v>0</v>
      </c>
      <c r="R48" s="104">
        <f>COUNTIFS('свод практик'!$J$6:$J$277,R$1,'свод практик'!$F$6:$F$277,"100% (потребкооперативы)")</f>
        <v>0</v>
      </c>
      <c r="S48" s="104">
        <f>COUNTIFS('свод практик'!$J$6:$J$277,S$1,'свод практик'!$F$6:$F$277,"100% (потребкооперативы)")</f>
        <v>0</v>
      </c>
      <c r="T48" s="104">
        <f>COUNTIFS('свод практик'!$J$6:$J$277,T$1,'свод практик'!$F$6:$F$277,"100% (потребкооперативы)")</f>
        <v>0</v>
      </c>
      <c r="U48" s="104">
        <f>COUNTIFS('свод практик'!$J$6:$J$277,U$1,'свод практик'!$F$6:$F$277,"100% (потребкооперативы)")</f>
        <v>0</v>
      </c>
      <c r="V48" s="104">
        <f>COUNTIFS('свод практик'!$J$6:$J$277,V$1,'свод практик'!$F$6:$F$277,"100% (потребкооперативы)")</f>
        <v>0</v>
      </c>
      <c r="W48" s="104">
        <f>COUNTIFS('свод практик'!$J$6:$J$277,W$1,'свод практик'!$F$6:$F$277,"100% (потребкооперативы)")</f>
        <v>0</v>
      </c>
      <c r="X48" s="104">
        <f>COUNTIFS('свод практик'!$J$6:$J$277,X$1,'свод практик'!$F$6:$F$277,"100% (потребкооперативы)")</f>
        <v>0</v>
      </c>
      <c r="Y48" s="104">
        <f>COUNTIFS('свод практик'!$J$6:$J$277,Y$1,'свод практик'!$F$6:$F$277,"100% (потребкооперативы)")</f>
        <v>0</v>
      </c>
      <c r="Z48" s="104">
        <f>COUNTIFS('свод практик'!$J$6:$J$277,Z$1,'свод практик'!$F$6:$F$277,"100% (потребкооперативы)")</f>
        <v>0</v>
      </c>
      <c r="AA48" s="104">
        <f>COUNTIFS('свод практик'!$J$6:$J$277,AA$1,'свод практик'!$F$6:$F$277,"100% (потребкооперативы)")</f>
        <v>0</v>
      </c>
      <c r="AB48" s="104">
        <f>COUNTIFS('свод практик'!$J$6:$J$277,AB$1,'свод практик'!$F$6:$F$277,"100% (потребкооперативы)")</f>
        <v>0</v>
      </c>
      <c r="AC48" s="104">
        <f>COUNTIFS('свод практик'!$J$6:$J$277,AC$1,'свод практик'!$F$6:$F$277,"100% (потребкооперативы)")</f>
        <v>0</v>
      </c>
      <c r="AD48" s="104">
        <f>COUNTIFS('свод практик'!$J$6:$J$277,AD$1,'свод практик'!$F$6:$F$277,"100% (потребкооперативы)")</f>
        <v>0</v>
      </c>
      <c r="AE48" s="104">
        <f>COUNTIFS('свод практик'!$J$6:$J$277,AE$1,'свод практик'!$F$6:$F$277,"100% (потребкооперативы)")</f>
        <v>0</v>
      </c>
      <c r="AF48" s="104">
        <f>COUNTIFS('свод практик'!$J$6:$J$277,AF$1,'свод практик'!$F$6:$F$277,"100% (потребкооперативы)")</f>
        <v>0</v>
      </c>
      <c r="AG48" s="104">
        <f>COUNTIFS('свод практик'!$J$6:$J$277,AG$1,'свод практик'!$F$6:$F$277,"100% (потребкооперативы)")</f>
        <v>0</v>
      </c>
      <c r="AH48" s="104">
        <f>COUNTIFS('свод практик'!$J$6:$J$277,AH$1,'свод практик'!$F$6:$F$277,"100% (потребкооперативы)")</f>
        <v>0</v>
      </c>
      <c r="AI48" s="104">
        <f>COUNTIFS('свод практик'!$J$6:$J$277,AI$1,'свод практик'!$F$6:$F$277,"100% (потребкооперативы)")</f>
        <v>0</v>
      </c>
      <c r="AJ48" s="104">
        <f>COUNTIFS('свод практик'!$J$6:$J$277,AJ$1,'свод практик'!$F$6:$F$277,"100% (потребкооперативы)")</f>
        <v>0</v>
      </c>
      <c r="AK48" s="104">
        <f>COUNTIFS('свод практик'!$J$6:$J$277,AK$1,'свод практик'!$F$6:$F$277,"100% (потребкооперативы)")</f>
        <v>0</v>
      </c>
      <c r="AL48" s="104">
        <f>COUNTIFS('свод практик'!$J$6:$J$277,AL$1,'свод практик'!$F$6:$F$277,"100% (потребкооперативы)")</f>
        <v>0</v>
      </c>
      <c r="AM48" s="104">
        <f>COUNTIFS('свод практик'!$J$6:$J$277,AM$1,'свод практик'!$F$6:$F$277,"100% (потребкооперативы)")</f>
        <v>0</v>
      </c>
      <c r="AN48" s="104">
        <f>COUNTIFS('свод практик'!$J$6:$J$277,AN$1,'свод практик'!$F$6:$F$277,"100% (потребкооперативы)")</f>
        <v>0</v>
      </c>
      <c r="AO48" s="104">
        <f>COUNTIFS('свод практик'!$J$6:$J$277,AO$1,'свод практик'!$F$6:$F$277,"100% (потребкооперативы)")</f>
        <v>0</v>
      </c>
      <c r="AP48" s="104">
        <f>COUNTIFS('свод практик'!$J$6:$J$277,AP$1,'свод практик'!$F$6:$F$277,"100% (потребкооперативы)")</f>
        <v>0</v>
      </c>
      <c r="AQ48" s="104">
        <f>COUNTIFS('свод практик'!$J$6:$J$277,AQ$1,'свод практик'!$F$6:$F$277,"100% (потребкооперативы)")</f>
        <v>0</v>
      </c>
      <c r="AR48" s="104">
        <f>COUNTIFS('свод практик'!$J$6:$J$277,AR$1,'свод практик'!$F$6:$F$277,"100% (потребкооперативы)")</f>
        <v>0</v>
      </c>
      <c r="AS48" s="104">
        <f>COUNTIFS('свод практик'!$J$6:$J$277,AS$1,'свод практик'!$F$6:$F$277,"100% (потребкооперативы)")</f>
        <v>0</v>
      </c>
      <c r="AT48" s="104">
        <f>COUNTIFS('свод практик'!$J$6:$J$277,AT$1,'свод практик'!$F$6:$F$277,"100% (потребкооперативы)")</f>
        <v>0</v>
      </c>
      <c r="AU48" s="104">
        <f>COUNTIFS('свод практик'!$J$6:$J$277,AU$1,'свод практик'!$F$6:$F$277,"100% (потребкооперативы)")</f>
        <v>0</v>
      </c>
      <c r="AV48" s="104">
        <f>COUNTIFS('свод практик'!$J$6:$J$277,AV$1,'свод практик'!$F$6:$F$277,"100% (потребкооперативы)")</f>
        <v>0</v>
      </c>
      <c r="AW48" s="104">
        <f>COUNTIFS('свод практик'!$J$6:$J$277,AW$1,'свод практик'!$F$6:$F$277,"100% (потребкооперативы)")</f>
        <v>0</v>
      </c>
      <c r="AX48" s="104">
        <f>COUNTIFS('свод практик'!$J$6:$J$277,AX$1,'свод практик'!$F$6:$F$277,"100% (потребкооперативы)")</f>
        <v>0</v>
      </c>
      <c r="AY48" s="104">
        <f>COUNTIFS('свод практик'!$J$6:$J$277,AY$1,'свод практик'!$F$6:$F$277,"100% (потребкооперативы)")</f>
        <v>0</v>
      </c>
      <c r="AZ48" s="104">
        <f>COUNTIFS('свод практик'!$J$6:$J$277,AZ$1,'свод практик'!$F$6:$F$277,"100% (потребкооперативы)")</f>
        <v>0</v>
      </c>
      <c r="BA48" s="104">
        <f>COUNTIFS('свод практик'!$J$6:$J$277,BA$1,'свод практик'!$F$6:$F$277,"100% (потребкооперативы)")</f>
        <v>0</v>
      </c>
      <c r="BB48" s="104">
        <f>COUNTIFS('свод практик'!$J$6:$J$277,BB$1,'свод практик'!$F$6:$F$277,"100% (потребкооперативы)")</f>
        <v>0</v>
      </c>
      <c r="BC48" s="104">
        <f>COUNTIFS('свод практик'!$J$6:$J$277,BC$1,'свод практик'!$F$6:$F$277,"100% (потребкооперативы)")</f>
        <v>0</v>
      </c>
      <c r="BD48" s="104">
        <f>COUNTIFS('свод практик'!$J$6:$J$277,BD$1,'свод практик'!$F$6:$F$277,"100% (потребкооперативы)")</f>
        <v>0</v>
      </c>
      <c r="BE48" s="104">
        <f>COUNTIFS('свод практик'!$J$6:$J$277,BE$1,'свод практик'!$F$6:$F$277,"100% (потребкооперативы)")</f>
        <v>0</v>
      </c>
      <c r="BF48" s="104">
        <f>COUNTIFS('свод практик'!$J$6:$J$277,BF$1,'свод практик'!$F$6:$F$277,"100% (потребкооперативы)")</f>
        <v>0</v>
      </c>
      <c r="BG48" s="104">
        <f>COUNTIFS('свод практик'!$J$6:$J$277,BG$1,'свод практик'!$F$6:$F$277,"100% (потребкооперативы)")</f>
        <v>0</v>
      </c>
      <c r="BH48" s="104">
        <f>COUNTIFS('свод практик'!$J$6:$J$277,BH$1,'свод практик'!$F$6:$F$277,"100% (потребкооперативы)")</f>
        <v>0</v>
      </c>
      <c r="BI48" s="104">
        <f>COUNTIFS('свод практик'!$J$6:$J$277,BI$1,'свод практик'!$F$6:$F$277,"100% (потребкооперативы)")</f>
        <v>0</v>
      </c>
      <c r="BJ48" s="104">
        <f>COUNTIFS('свод практик'!$J$6:$J$277,BJ$1,'свод практик'!$F$6:$F$277,"100% (потребкооперативы)")</f>
        <v>0</v>
      </c>
      <c r="BK48" s="104">
        <f>COUNTIFS('свод практик'!$J$6:$J$277,BK$1,'свод практик'!$F$6:$F$277,"100% (потребкооперативы)")</f>
        <v>0</v>
      </c>
      <c r="BL48" s="104">
        <f>COUNTIFS('свод практик'!$J$6:$J$277,BL$1,'свод практик'!$F$6:$F$277,"100% (потребкооперативы)")</f>
        <v>0</v>
      </c>
      <c r="BM48" s="104">
        <f>COUNTIFS('свод практик'!$J$6:$J$277,BM$1,'свод практик'!$F$6:$F$277,"100% (потребкооперативы)")</f>
        <v>0</v>
      </c>
      <c r="BN48" s="104">
        <f>COUNTIFS('свод практик'!$J$6:$J$277,BN$1,'свод практик'!$F$6:$F$277,"100% (потребкооперативы)")</f>
        <v>0</v>
      </c>
      <c r="BO48" s="104">
        <f>COUNTIFS('свод практик'!$J$6:$J$277,BO$1,'свод практик'!$F$6:$F$277,"100% (потребкооперативы)")</f>
        <v>0</v>
      </c>
      <c r="BP48" s="104">
        <f>COUNTIFS('свод практик'!$J$6:$J$277,BP$1,'свод практик'!$F$6:$F$277,"100% (потребкооперативы)")</f>
        <v>0</v>
      </c>
      <c r="BQ48" s="104">
        <f>COUNTIFS('свод практик'!$J$6:$J$277,BQ$1,'свод практик'!$F$6:$F$277,"100% (потребкооперативы)")</f>
        <v>0</v>
      </c>
      <c r="BR48" s="104">
        <f>COUNTIFS('свод практик'!$J$6:$J$277,BR$1,'свод практик'!$F$6:$F$277,"100% (потребкооперативы)")</f>
        <v>0</v>
      </c>
      <c r="BS48" s="104">
        <f>COUNTIFS('свод практик'!$J$6:$J$277,BS$1,'свод практик'!$F$6:$F$277,"100% (потребкооперативы)")</f>
        <v>0</v>
      </c>
      <c r="BT48" s="104">
        <f>COUNTIFS('свод практик'!$J$6:$J$277,BT$1,'свод практик'!$F$6:$F$277,"100% (потребкооперативы)")</f>
        <v>0</v>
      </c>
      <c r="BU48" s="104">
        <f>COUNTIFS('свод практик'!$J$6:$J$277,BU$1,'свод практик'!$F$6:$F$277,"100% (потребкооперативы)")</f>
        <v>0</v>
      </c>
      <c r="BV48" s="104">
        <f>COUNTIFS('свод практик'!$J$6:$J$277,BV$1,'свод практик'!$F$6:$F$277,"100% (потребкооперативы)")</f>
        <v>0</v>
      </c>
      <c r="BW48" s="104">
        <f>COUNTIFS('свод практик'!$J$6:$J$277,BW$1,'свод практик'!$F$6:$F$277,"100% (потребкооперативы)")</f>
        <v>0</v>
      </c>
      <c r="BX48" s="104">
        <f>COUNTIFS('свод практик'!$J$6:$J$277,BX$1,'свод практик'!$F$6:$F$277,"100% (потребкооперативы)")</f>
        <v>0</v>
      </c>
      <c r="BY48" s="104">
        <f>COUNTIFS('свод практик'!$J$6:$J$277,BY$1,'свод практик'!$F$6:$F$277,"100% (потребкооперативы)")</f>
        <v>0</v>
      </c>
      <c r="BZ48" s="104">
        <f>COUNTIFS('свод практик'!$J$6:$J$277,BZ$1,'свод практик'!$F$6:$F$277,"100% (потребкооперативы)")</f>
        <v>0</v>
      </c>
      <c r="CA48" s="104">
        <f>COUNTIFS('свод практик'!$J$6:$J$277,CA$1,'свод практик'!$F$6:$F$277,"100% (потребкооперативы)")</f>
        <v>0</v>
      </c>
      <c r="CB48" s="104">
        <f>COUNTIFS('свод практик'!$J$6:$J$277,CB$1,'свод практик'!$F$6:$F$277,"100% (потребкооперативы)")</f>
        <v>0</v>
      </c>
      <c r="CC48" s="104">
        <f>COUNTIFS('свод практик'!$J$6:$J$277,CC$1,'свод практик'!$F$6:$F$277,"100% (потребкооперативы)")</f>
        <v>0</v>
      </c>
      <c r="CD48" s="104">
        <f>COUNTIFS('свод практик'!$J$6:$J$277,CD$1,'свод практик'!$F$6:$F$277,"100% (потребкооперативы)")</f>
        <v>0</v>
      </c>
      <c r="CE48" s="104">
        <f>COUNTIFS('свод практик'!$J$6:$J$277,CE$1,'свод практик'!$F$6:$F$277,"100% (потребкооперативы)")</f>
        <v>0</v>
      </c>
      <c r="CF48" s="104">
        <f>COUNTIFS('свод практик'!$J$6:$J$277,CF$1,'свод практик'!$F$6:$F$277,"100% (потребкооперативы)")</f>
        <v>0</v>
      </c>
      <c r="CG48" s="104">
        <f>COUNTIFS('свод практик'!$J$6:$J$277,CG$1,'свод практик'!$F$6:$F$277,"100% (потребкооперативы)")</f>
        <v>0</v>
      </c>
      <c r="CH48" s="104">
        <f>COUNTIFS('свод практик'!$J$6:$J$277,CH$1,'свод практик'!$F$6:$F$277,"100% (потребкооперативы)")</f>
        <v>0</v>
      </c>
      <c r="CI48" s="104">
        <f>COUNTIFS('свод практик'!$J$6:$J$277,CI$1,'свод практик'!$F$6:$F$277,"100% (потребкооперативы)")</f>
        <v>0</v>
      </c>
      <c r="CJ48" s="104">
        <f>COUNTIFS('свод практик'!$J$6:$J$277,CJ$1,'свод практик'!$F$6:$F$277,"100% (потребкооперативы)")</f>
        <v>0</v>
      </c>
      <c r="CK48" s="104">
        <f>COUNTIFS('свод практик'!$J$6:$J$277,CK$1,'свод практик'!$F$6:$F$277,"100% (потребкооперативы)")</f>
        <v>0</v>
      </c>
    </row>
    <row r="49" spans="1:89">
      <c r="A49" t="s">
        <v>5872</v>
      </c>
      <c r="D49" s="675">
        <f t="shared" si="0"/>
        <v>1</v>
      </c>
      <c r="E49">
        <f>COUNTIFS('свод практик'!$J$6:$J$277,E$1,'свод практик'!$F$6:$F$277,"100% для нас пунтов до 35 тыс")</f>
        <v>0</v>
      </c>
      <c r="F49" s="104">
        <f>COUNTIFS('свод практик'!$J$6:$J$277,F$1,'свод практик'!$F$6:$F$277,"100% для нас пунтов до 35 тыс")</f>
        <v>0</v>
      </c>
      <c r="G49" s="104">
        <f>COUNTIFS('свод практик'!$J$6:$J$277,G$1,'свод практик'!$F$6:$F$277,"100% для нас пунтов до 35 тыс")</f>
        <v>0</v>
      </c>
      <c r="H49" s="104">
        <f>COUNTIFS('свод практик'!$J$6:$J$277,H$1,'свод практик'!$F$6:$F$277,"100% для нас пунтов до 35 тыс")</f>
        <v>0</v>
      </c>
      <c r="I49" s="104">
        <f>COUNTIFS('свод практик'!$J$6:$J$277,I$1,'свод практик'!$F$6:$F$277,"100% для нас пунтов до 35 тыс")</f>
        <v>0</v>
      </c>
      <c r="J49" s="104">
        <f>COUNTIFS('свод практик'!$J$6:$J$277,J$1,'свод практик'!$F$6:$F$277,"100% для нас пунтов до 35 тыс")</f>
        <v>0</v>
      </c>
      <c r="K49" s="104">
        <f>COUNTIFS('свод практик'!$J$6:$J$277,K$1,'свод практик'!$F$6:$F$277,"100% для нас пунтов до 35 тыс")</f>
        <v>0</v>
      </c>
      <c r="L49" s="104">
        <f>COUNTIFS('свод практик'!$J$6:$J$277,L$1,'свод практик'!$F$6:$F$277,"100% для нас пунтов до 35 тыс")</f>
        <v>0</v>
      </c>
      <c r="M49" s="104">
        <f>COUNTIFS('свод практик'!$J$6:$J$277,M$1,'свод практик'!$F$6:$F$277,"100% для нас пунтов до 35 тыс")</f>
        <v>0</v>
      </c>
      <c r="N49" s="104">
        <f>COUNTIFS('свод практик'!$J$6:$J$277,N$1,'свод практик'!$F$6:$F$277,"100% для нас пунтов до 35 тыс")</f>
        <v>0</v>
      </c>
      <c r="O49" s="104">
        <f>COUNTIFS('свод практик'!$J$6:$J$277,O$1,'свод практик'!$F$6:$F$277,"100% для нас пунтов до 35 тыс")</f>
        <v>0</v>
      </c>
      <c r="P49" s="104">
        <f>COUNTIFS('свод практик'!$J$6:$J$277,P$1,'свод практик'!$F$6:$F$277,"100% для нас пунтов до 35 тыс")</f>
        <v>0</v>
      </c>
      <c r="Q49" s="104">
        <f>COUNTIFS('свод практик'!$J$6:$J$277,Q$1,'свод практик'!$F$6:$F$277,"100% для нас пунтов до 35 тыс")</f>
        <v>0</v>
      </c>
      <c r="R49" s="104">
        <f>COUNTIFS('свод практик'!$J$6:$J$277,R$1,'свод практик'!$F$6:$F$277,"100% для нас пунтов до 35 тыс")</f>
        <v>0</v>
      </c>
      <c r="S49" s="104">
        <f>COUNTIFS('свод практик'!$J$6:$J$277,S$1,'свод практик'!$F$6:$F$277,"100% для нас пунтов до 35 тыс")</f>
        <v>0</v>
      </c>
      <c r="T49" s="104">
        <f>COUNTIFS('свод практик'!$J$6:$J$277,T$1,'свод практик'!$F$6:$F$277,"100% для нас пунтов до 35 тыс")</f>
        <v>0</v>
      </c>
      <c r="U49" s="104">
        <f>COUNTIFS('свод практик'!$J$6:$J$277,U$1,'свод практик'!$F$6:$F$277,"100% для нас пунтов до 35 тыс")</f>
        <v>0</v>
      </c>
      <c r="V49" s="104">
        <f>COUNTIFS('свод практик'!$J$6:$J$277,V$1,'свод практик'!$F$6:$F$277,"100% для нас пунтов до 35 тыс")</f>
        <v>0</v>
      </c>
      <c r="W49" s="104">
        <f>COUNTIFS('свод практик'!$J$6:$J$277,W$1,'свод практик'!$F$6:$F$277,"100% для нас пунтов до 35 тыс")</f>
        <v>0</v>
      </c>
      <c r="X49" s="104">
        <f>COUNTIFS('свод практик'!$J$6:$J$277,X$1,'свод практик'!$F$6:$F$277,"100% для нас пунтов до 35 тыс")</f>
        <v>0</v>
      </c>
      <c r="Y49" s="104">
        <f>COUNTIFS('свод практик'!$J$6:$J$277,Y$1,'свод практик'!$F$6:$F$277,"100% для нас пунтов до 35 тыс")</f>
        <v>0</v>
      </c>
      <c r="Z49" s="104">
        <f>COUNTIFS('свод практик'!$J$6:$J$277,Z$1,'свод практик'!$F$6:$F$277,"100% для нас пунтов до 35 тыс")</f>
        <v>0</v>
      </c>
      <c r="AA49" s="104">
        <f>COUNTIFS('свод практик'!$J$6:$J$277,AA$1,'свод практик'!$F$6:$F$277,"100% для нас пунтов до 35 тыс")</f>
        <v>0</v>
      </c>
      <c r="AB49" s="104">
        <f>COUNTIFS('свод практик'!$J$6:$J$277,AB$1,'свод практик'!$F$6:$F$277,"100% для нас пунтов до 35 тыс")</f>
        <v>0</v>
      </c>
      <c r="AC49" s="104">
        <f>COUNTIFS('свод практик'!$J$6:$J$277,AC$1,'свод практик'!$F$6:$F$277,"100% для нас пунтов до 35 тыс")</f>
        <v>0</v>
      </c>
      <c r="AD49" s="104">
        <f>COUNTIFS('свод практик'!$J$6:$J$277,AD$1,'свод практик'!$F$6:$F$277,"100% для нас пунтов до 35 тыс")</f>
        <v>0</v>
      </c>
      <c r="AE49" s="104">
        <f>COUNTIFS('свод практик'!$J$6:$J$277,AE$1,'свод практик'!$F$6:$F$277,"100% для нас пунтов до 35 тыс")</f>
        <v>0</v>
      </c>
      <c r="AF49" s="104">
        <f>COUNTIFS('свод практик'!$J$6:$J$277,AF$1,'свод практик'!$F$6:$F$277,"100% для нас пунтов до 35 тыс")</f>
        <v>0</v>
      </c>
      <c r="AG49" s="104">
        <f>COUNTIFS('свод практик'!$J$6:$J$277,AG$1,'свод практик'!$F$6:$F$277,"100% для нас пунтов до 35 тыс")</f>
        <v>0</v>
      </c>
      <c r="AH49" s="104">
        <f>COUNTIFS('свод практик'!$J$6:$J$277,AH$1,'свод практик'!$F$6:$F$277,"100% для нас пунтов до 35 тыс")</f>
        <v>0</v>
      </c>
      <c r="AI49" s="104">
        <f>COUNTIFS('свод практик'!$J$6:$J$277,AI$1,'свод практик'!$F$6:$F$277,"100% для нас пунтов до 35 тыс")</f>
        <v>0</v>
      </c>
      <c r="AJ49" s="104">
        <f>COUNTIFS('свод практик'!$J$6:$J$277,AJ$1,'свод практик'!$F$6:$F$277,"100% для нас пунтов до 35 тыс")</f>
        <v>0</v>
      </c>
      <c r="AK49" s="104">
        <f>COUNTIFS('свод практик'!$J$6:$J$277,AK$1,'свод практик'!$F$6:$F$277,"100% для нас пунтов до 35 тыс")</f>
        <v>0</v>
      </c>
      <c r="AL49" s="104">
        <f>COUNTIFS('свод практик'!$J$6:$J$277,AL$1,'свод практик'!$F$6:$F$277,"100% для нас пунтов до 35 тыс")</f>
        <v>0</v>
      </c>
      <c r="AM49" s="104">
        <f>COUNTIFS('свод практик'!$J$6:$J$277,AM$1,'свод практик'!$F$6:$F$277,"100% для нас пунтов до 35 тыс")</f>
        <v>0</v>
      </c>
      <c r="AN49" s="104">
        <f>COUNTIFS('свод практик'!$J$6:$J$277,AN$1,'свод практик'!$F$6:$F$277,"100% для нас пунтов до 35 тыс")</f>
        <v>0</v>
      </c>
      <c r="AO49" s="104">
        <f>COUNTIFS('свод практик'!$J$6:$J$277,AO$1,'свод практик'!$F$6:$F$277,"100% для нас пунтов до 35 тыс")</f>
        <v>0</v>
      </c>
      <c r="AP49" s="104">
        <f>COUNTIFS('свод практик'!$J$6:$J$277,AP$1,'свод практик'!$F$6:$F$277,"100% для нас пунтов до 35 тыс")</f>
        <v>0</v>
      </c>
      <c r="AQ49" s="104">
        <f>COUNTIFS('свод практик'!$J$6:$J$277,AQ$1,'свод практик'!$F$6:$F$277,"100% для нас пунтов до 35 тыс")</f>
        <v>0</v>
      </c>
      <c r="AR49" s="104">
        <f>COUNTIFS('свод практик'!$J$6:$J$277,AR$1,'свод практик'!$F$6:$F$277,"100% для нас пунтов до 35 тыс")</f>
        <v>0</v>
      </c>
      <c r="AS49" s="104">
        <f>COUNTIFS('свод практик'!$J$6:$J$277,AS$1,'свод практик'!$F$6:$F$277,"100% для нас пунтов до 35 тыс")</f>
        <v>0</v>
      </c>
      <c r="AT49" s="104">
        <f>COUNTIFS('свод практик'!$J$6:$J$277,AT$1,'свод практик'!$F$6:$F$277,"100% для нас пунтов до 35 тыс")</f>
        <v>0</v>
      </c>
      <c r="AU49" s="104">
        <f>COUNTIFS('свод практик'!$J$6:$J$277,AU$1,'свод практик'!$F$6:$F$277,"100% для нас пунтов до 35 тыс")</f>
        <v>0</v>
      </c>
      <c r="AV49" s="104">
        <f>COUNTIFS('свод практик'!$J$6:$J$277,AV$1,'свод практик'!$F$6:$F$277,"100% для нас пунтов до 35 тыс")</f>
        <v>0</v>
      </c>
      <c r="AW49" s="104">
        <f>COUNTIFS('свод практик'!$J$6:$J$277,AW$1,'свод практик'!$F$6:$F$277,"100% для нас пунтов до 35 тыс")</f>
        <v>0</v>
      </c>
      <c r="AX49" s="104">
        <f>COUNTIFS('свод практик'!$J$6:$J$277,AX$1,'свод практик'!$F$6:$F$277,"100% для нас пунтов до 35 тыс")</f>
        <v>0</v>
      </c>
      <c r="AY49" s="104">
        <f>COUNTIFS('свод практик'!$J$6:$J$277,AY$1,'свод практик'!$F$6:$F$277,"100% для нас пунтов до 35 тыс")</f>
        <v>0</v>
      </c>
      <c r="AZ49" s="104">
        <f>COUNTIFS('свод практик'!$J$6:$J$277,AZ$1,'свод практик'!$F$6:$F$277,"100% для нас пунтов до 35 тыс")</f>
        <v>0</v>
      </c>
      <c r="BA49" s="104">
        <f>COUNTIFS('свод практик'!$J$6:$J$277,BA$1,'свод практик'!$F$6:$F$277,"100% для нас пунтов до 35 тыс")</f>
        <v>0</v>
      </c>
      <c r="BB49" s="104">
        <f>COUNTIFS('свод практик'!$J$6:$J$277,BB$1,'свод практик'!$F$6:$F$277,"100% для нас пунтов до 35 тыс")</f>
        <v>0</v>
      </c>
      <c r="BC49" s="104">
        <f>COUNTIFS('свод практик'!$J$6:$J$277,BC$1,'свод практик'!$F$6:$F$277,"100% для нас пунтов до 35 тыс")</f>
        <v>0</v>
      </c>
      <c r="BD49" s="104">
        <f>COUNTIFS('свод практик'!$J$6:$J$277,BD$1,'свод практик'!$F$6:$F$277,"100% для нас пунтов до 35 тыс")</f>
        <v>0</v>
      </c>
      <c r="BE49" s="104">
        <f>COUNTIFS('свод практик'!$J$6:$J$277,BE$1,'свод практик'!$F$6:$F$277,"100% для нас пунтов до 35 тыс")</f>
        <v>0</v>
      </c>
      <c r="BF49" s="104">
        <f>COUNTIFS('свод практик'!$J$6:$J$277,BF$1,'свод практик'!$F$6:$F$277,"100% для нас пунтов до 35 тыс")</f>
        <v>0</v>
      </c>
      <c r="BG49" s="104">
        <f>COUNTIFS('свод практик'!$J$6:$J$277,BG$1,'свод практик'!$F$6:$F$277,"100% для нас пунтов до 35 тыс")</f>
        <v>0</v>
      </c>
      <c r="BH49" s="104">
        <f>COUNTIFS('свод практик'!$J$6:$J$277,BH$1,'свод практик'!$F$6:$F$277,"100% для нас пунтов до 35 тыс")</f>
        <v>0</v>
      </c>
      <c r="BI49" s="104">
        <f>COUNTIFS('свод практик'!$J$6:$J$277,BI$1,'свод практик'!$F$6:$F$277,"100% для нас пунтов до 35 тыс")</f>
        <v>0</v>
      </c>
      <c r="BJ49" s="104">
        <f>COUNTIFS('свод практик'!$J$6:$J$277,BJ$1,'свод практик'!$F$6:$F$277,"100% для нас пунтов до 35 тыс")</f>
        <v>0</v>
      </c>
      <c r="BK49" s="104">
        <f>COUNTIFS('свод практик'!$J$6:$J$277,BK$1,'свод практик'!$F$6:$F$277,"100% для нас пунтов до 35 тыс")</f>
        <v>0</v>
      </c>
      <c r="BL49" s="104">
        <f>COUNTIFS('свод практик'!$J$6:$J$277,BL$1,'свод практик'!$F$6:$F$277,"100% для нас пунтов до 35 тыс")</f>
        <v>0</v>
      </c>
      <c r="BM49" s="104">
        <f>COUNTIFS('свод практик'!$J$6:$J$277,BM$1,'свод практик'!$F$6:$F$277,"100% для нас пунтов до 35 тыс")</f>
        <v>0</v>
      </c>
      <c r="BN49" s="104">
        <f>COUNTIFS('свод практик'!$J$6:$J$277,BN$1,'свод практик'!$F$6:$F$277,"100% для нас пунтов до 35 тыс")</f>
        <v>0</v>
      </c>
      <c r="BO49" s="104">
        <f>COUNTIFS('свод практик'!$J$6:$J$277,BO$1,'свод практик'!$F$6:$F$277,"100% для нас пунтов до 35 тыс")</f>
        <v>0</v>
      </c>
      <c r="BP49" s="104">
        <f>COUNTIFS('свод практик'!$J$6:$J$277,BP$1,'свод практик'!$F$6:$F$277,"100% для нас пунтов до 35 тыс")</f>
        <v>0</v>
      </c>
      <c r="BQ49" s="104">
        <f>COUNTIFS('свод практик'!$J$6:$J$277,BQ$1,'свод практик'!$F$6:$F$277,"100% для нас пунтов до 35 тыс")</f>
        <v>0</v>
      </c>
      <c r="BR49" s="104">
        <f>COUNTIFS('свод практик'!$J$6:$J$277,BR$1,'свод практик'!$F$6:$F$277,"100% для нас пунтов до 35 тыс")</f>
        <v>0</v>
      </c>
      <c r="BS49" s="104">
        <f>COUNTIFS('свод практик'!$J$6:$J$277,BS$1,'свод практик'!$F$6:$F$277,"100% для нас пунтов до 35 тыс")</f>
        <v>0</v>
      </c>
      <c r="BT49" s="104">
        <f>COUNTIFS('свод практик'!$J$6:$J$277,BT$1,'свод практик'!$F$6:$F$277,"100% для нас пунтов до 35 тыс")</f>
        <v>0</v>
      </c>
      <c r="BU49" s="104">
        <f>COUNTIFS('свод практик'!$J$6:$J$277,BU$1,'свод практик'!$F$6:$F$277,"100% для нас пунтов до 35 тыс")</f>
        <v>0</v>
      </c>
      <c r="BV49" s="104">
        <f>COUNTIFS('свод практик'!$J$6:$J$277,BV$1,'свод практик'!$F$6:$F$277,"100% для нас пунтов до 35 тыс")</f>
        <v>0</v>
      </c>
      <c r="BW49" s="104">
        <f>COUNTIFS('свод практик'!$J$6:$J$277,BW$1,'свод практик'!$F$6:$F$277,"100% для нас пунтов до 35 тыс")</f>
        <v>1</v>
      </c>
      <c r="BX49" s="104">
        <f>COUNTIFS('свод практик'!$J$6:$J$277,BX$1,'свод практик'!$F$6:$F$277,"100% для нас пунтов до 35 тыс")</f>
        <v>0</v>
      </c>
      <c r="BY49" s="104">
        <f>COUNTIFS('свод практик'!$J$6:$J$277,BY$1,'свод практик'!$F$6:$F$277,"100% для нас пунтов до 35 тыс")</f>
        <v>0</v>
      </c>
      <c r="BZ49" s="104">
        <f>COUNTIFS('свод практик'!$J$6:$J$277,BZ$1,'свод практик'!$F$6:$F$277,"100% для нас пунтов до 35 тыс")</f>
        <v>0</v>
      </c>
      <c r="CA49" s="104">
        <f>COUNTIFS('свод практик'!$J$6:$J$277,CA$1,'свод практик'!$F$6:$F$277,"100% для нас пунтов до 35 тыс")</f>
        <v>0</v>
      </c>
      <c r="CB49" s="104">
        <f>COUNTIFS('свод практик'!$J$6:$J$277,CB$1,'свод практик'!$F$6:$F$277,"100% для нас пунтов до 35 тыс")</f>
        <v>0</v>
      </c>
      <c r="CC49" s="104">
        <f>COUNTIFS('свод практик'!$J$6:$J$277,CC$1,'свод практик'!$F$6:$F$277,"100% для нас пунтов до 35 тыс")</f>
        <v>0</v>
      </c>
      <c r="CD49" s="104">
        <f>COUNTIFS('свод практик'!$J$6:$J$277,CD$1,'свод практик'!$F$6:$F$277,"100% для нас пунтов до 35 тыс")</f>
        <v>0</v>
      </c>
      <c r="CE49" s="104">
        <f>COUNTIFS('свод практик'!$J$6:$J$277,CE$1,'свод практик'!$F$6:$F$277,"100% для нас пунтов до 35 тыс")</f>
        <v>0</v>
      </c>
      <c r="CF49" s="104">
        <f>COUNTIFS('свод практик'!$J$6:$J$277,CF$1,'свод практик'!$F$6:$F$277,"100% для нас пунтов до 35 тыс")</f>
        <v>0</v>
      </c>
      <c r="CG49" s="104">
        <f>COUNTIFS('свод практик'!$J$6:$J$277,CG$1,'свод практик'!$F$6:$F$277,"100% для нас пунтов до 35 тыс")</f>
        <v>0</v>
      </c>
      <c r="CH49" s="104">
        <f>COUNTIFS('свод практик'!$J$6:$J$277,CH$1,'свод практик'!$F$6:$F$277,"100% для нас пунтов до 35 тыс")</f>
        <v>0</v>
      </c>
      <c r="CI49" s="104">
        <f>COUNTIFS('свод практик'!$J$6:$J$277,CI$1,'свод практик'!$F$6:$F$277,"100% для нас пунтов до 35 тыс")</f>
        <v>0</v>
      </c>
      <c r="CJ49" s="104">
        <f>COUNTIFS('свод практик'!$J$6:$J$277,CJ$1,'свод практик'!$F$6:$F$277,"100% для нас пунтов до 35 тыс")</f>
        <v>0</v>
      </c>
      <c r="CK49" s="104">
        <f>COUNTIFS('свод практик'!$J$6:$J$277,CK$1,'свод практик'!$F$6:$F$277,"100% для нас пунтов до 35 тыс")</f>
        <v>0</v>
      </c>
    </row>
    <row r="50" spans="1:89">
      <c r="A50" t="s">
        <v>5352</v>
      </c>
      <c r="D50" s="675">
        <f t="shared" si="0"/>
        <v>1</v>
      </c>
      <c r="E50">
        <f>COUNTIFS('свод практик'!$J$6:$J$277,E$1,'свод практик'!$F$6:$F$277,"100% кроме МР")</f>
        <v>0</v>
      </c>
      <c r="F50" s="104">
        <f>COUNTIFS('свод практик'!$J$6:$J$277,F$1,'свод практик'!$F$6:$F$277,"100% кроме МР")</f>
        <v>0</v>
      </c>
      <c r="G50" s="104">
        <f>COUNTIFS('свод практик'!$J$6:$J$277,G$1,'свод практик'!$F$6:$F$277,"100% кроме МР")</f>
        <v>0</v>
      </c>
      <c r="H50" s="104">
        <f>COUNTIFS('свод практик'!$J$6:$J$277,H$1,'свод практик'!$F$6:$F$277,"100% кроме МР")</f>
        <v>0</v>
      </c>
      <c r="I50" s="104">
        <f>COUNTIFS('свод практик'!$J$6:$J$277,I$1,'свод практик'!$F$6:$F$277,"100% кроме МР")</f>
        <v>0</v>
      </c>
      <c r="J50" s="104">
        <f>COUNTIFS('свод практик'!$J$6:$J$277,J$1,'свод практик'!$F$6:$F$277,"100% кроме МР")</f>
        <v>0</v>
      </c>
      <c r="K50" s="104">
        <f>COUNTIFS('свод практик'!$J$6:$J$277,K$1,'свод практик'!$F$6:$F$277,"100% кроме МР")</f>
        <v>0</v>
      </c>
      <c r="L50" s="104">
        <f>COUNTIFS('свод практик'!$J$6:$J$277,L$1,'свод практик'!$F$6:$F$277,"100% кроме МР")</f>
        <v>0</v>
      </c>
      <c r="M50" s="104">
        <f>COUNTIFS('свод практик'!$J$6:$J$277,M$1,'свод практик'!$F$6:$F$277,"100% кроме МР")</f>
        <v>0</v>
      </c>
      <c r="N50" s="104">
        <f>COUNTIFS('свод практик'!$J$6:$J$277,N$1,'свод практик'!$F$6:$F$277,"100% кроме МР")</f>
        <v>0</v>
      </c>
      <c r="O50" s="104">
        <f>COUNTIFS('свод практик'!$J$6:$J$277,O$1,'свод практик'!$F$6:$F$277,"100% кроме МР")</f>
        <v>0</v>
      </c>
      <c r="P50" s="104">
        <f>COUNTIFS('свод практик'!$J$6:$J$277,P$1,'свод практик'!$F$6:$F$277,"100% кроме МР")</f>
        <v>0</v>
      </c>
      <c r="Q50" s="104">
        <f>COUNTIFS('свод практик'!$J$6:$J$277,Q$1,'свод практик'!$F$6:$F$277,"100% кроме МР")</f>
        <v>0</v>
      </c>
      <c r="R50" s="104">
        <f>COUNTIFS('свод практик'!$J$6:$J$277,R$1,'свод практик'!$F$6:$F$277,"100% кроме МР")</f>
        <v>0</v>
      </c>
      <c r="S50" s="104">
        <f>COUNTIFS('свод практик'!$J$6:$J$277,S$1,'свод практик'!$F$6:$F$277,"100% кроме МР")</f>
        <v>0</v>
      </c>
      <c r="T50" s="104">
        <f>COUNTIFS('свод практик'!$J$6:$J$277,T$1,'свод практик'!$F$6:$F$277,"100% кроме МР")</f>
        <v>0</v>
      </c>
      <c r="U50" s="104">
        <f>COUNTIFS('свод практик'!$J$6:$J$277,U$1,'свод практик'!$F$6:$F$277,"100% кроме МР")</f>
        <v>0</v>
      </c>
      <c r="V50" s="104">
        <f>COUNTIFS('свод практик'!$J$6:$J$277,V$1,'свод практик'!$F$6:$F$277,"100% кроме МР")</f>
        <v>0</v>
      </c>
      <c r="W50" s="104">
        <f>COUNTIFS('свод практик'!$J$6:$J$277,W$1,'свод практик'!$F$6:$F$277,"100% кроме МР")</f>
        <v>0</v>
      </c>
      <c r="X50" s="104">
        <f>COUNTIFS('свод практик'!$J$6:$J$277,X$1,'свод практик'!$F$6:$F$277,"100% кроме МР")</f>
        <v>0</v>
      </c>
      <c r="Y50" s="104">
        <f>COUNTIFS('свод практик'!$J$6:$J$277,Y$1,'свод практик'!$F$6:$F$277,"100% кроме МР")</f>
        <v>0</v>
      </c>
      <c r="Z50" s="104">
        <f>COUNTIFS('свод практик'!$J$6:$J$277,Z$1,'свод практик'!$F$6:$F$277,"100% кроме МР")</f>
        <v>0</v>
      </c>
      <c r="AA50" s="104">
        <f>COUNTIFS('свод практик'!$J$6:$J$277,AA$1,'свод практик'!$F$6:$F$277,"100% кроме МР")</f>
        <v>0</v>
      </c>
      <c r="AB50" s="104">
        <f>COUNTIFS('свод практик'!$J$6:$J$277,AB$1,'свод практик'!$F$6:$F$277,"100% кроме МР")</f>
        <v>0</v>
      </c>
      <c r="AC50" s="104">
        <f>COUNTIFS('свод практик'!$J$6:$J$277,AC$1,'свод практик'!$F$6:$F$277,"100% кроме МР")</f>
        <v>0</v>
      </c>
      <c r="AD50" s="104">
        <f>COUNTIFS('свод практик'!$J$6:$J$277,AD$1,'свод практик'!$F$6:$F$277,"100% кроме МР")</f>
        <v>0</v>
      </c>
      <c r="AE50" s="104">
        <f>COUNTIFS('свод практик'!$J$6:$J$277,AE$1,'свод практик'!$F$6:$F$277,"100% кроме МР")</f>
        <v>0</v>
      </c>
      <c r="AF50" s="104">
        <f>COUNTIFS('свод практик'!$J$6:$J$277,AF$1,'свод практик'!$F$6:$F$277,"100% кроме МР")</f>
        <v>0</v>
      </c>
      <c r="AG50" s="104">
        <f>COUNTIFS('свод практик'!$J$6:$J$277,AG$1,'свод практик'!$F$6:$F$277,"100% кроме МР")</f>
        <v>0</v>
      </c>
      <c r="AH50" s="104">
        <f>COUNTIFS('свод практик'!$J$6:$J$277,AH$1,'свод практик'!$F$6:$F$277,"100% кроме МР")</f>
        <v>0</v>
      </c>
      <c r="AI50" s="104">
        <f>COUNTIFS('свод практик'!$J$6:$J$277,AI$1,'свод практик'!$F$6:$F$277,"100% кроме МР")</f>
        <v>0</v>
      </c>
      <c r="AJ50" s="104">
        <f>COUNTIFS('свод практик'!$J$6:$J$277,AJ$1,'свод практик'!$F$6:$F$277,"100% кроме МР")</f>
        <v>0</v>
      </c>
      <c r="AK50" s="104">
        <f>COUNTIFS('свод практик'!$J$6:$J$277,AK$1,'свод практик'!$F$6:$F$277,"100% кроме МР")</f>
        <v>0</v>
      </c>
      <c r="AL50" s="104">
        <f>COUNTIFS('свод практик'!$J$6:$J$277,AL$1,'свод практик'!$F$6:$F$277,"100% кроме МР")</f>
        <v>0</v>
      </c>
      <c r="AM50" s="104">
        <f>COUNTIFS('свод практик'!$J$6:$J$277,AM$1,'свод практик'!$F$6:$F$277,"100% кроме МР")</f>
        <v>0</v>
      </c>
      <c r="AN50" s="104">
        <f>COUNTIFS('свод практик'!$J$6:$J$277,AN$1,'свод практик'!$F$6:$F$277,"100% кроме МР")</f>
        <v>0</v>
      </c>
      <c r="AO50" s="104">
        <f>COUNTIFS('свод практик'!$J$6:$J$277,AO$1,'свод практик'!$F$6:$F$277,"100% кроме МР")</f>
        <v>0</v>
      </c>
      <c r="AP50" s="104">
        <f>COUNTIFS('свод практик'!$J$6:$J$277,AP$1,'свод практик'!$F$6:$F$277,"100% кроме МР")</f>
        <v>0</v>
      </c>
      <c r="AQ50" s="104">
        <f>COUNTIFS('свод практик'!$J$6:$J$277,AQ$1,'свод практик'!$F$6:$F$277,"100% кроме МР")</f>
        <v>0</v>
      </c>
      <c r="AR50" s="104">
        <f>COUNTIFS('свод практик'!$J$6:$J$277,AR$1,'свод практик'!$F$6:$F$277,"100% кроме МР")</f>
        <v>0</v>
      </c>
      <c r="AS50" s="104">
        <f>COUNTIFS('свод практик'!$J$6:$J$277,AS$1,'свод практик'!$F$6:$F$277,"100% кроме МР")</f>
        <v>0</v>
      </c>
      <c r="AT50" s="104">
        <f>COUNTIFS('свод практик'!$J$6:$J$277,AT$1,'свод практик'!$F$6:$F$277,"100% кроме МР")</f>
        <v>0</v>
      </c>
      <c r="AU50" s="104">
        <f>COUNTIFS('свод практик'!$J$6:$J$277,AU$1,'свод практик'!$F$6:$F$277,"100% кроме МР")</f>
        <v>0</v>
      </c>
      <c r="AV50" s="104">
        <f>COUNTIFS('свод практик'!$J$6:$J$277,AV$1,'свод практик'!$F$6:$F$277,"100% кроме МР")</f>
        <v>0</v>
      </c>
      <c r="AW50" s="104">
        <f>COUNTIFS('свод практик'!$J$6:$J$277,AW$1,'свод практик'!$F$6:$F$277,"100% кроме МР")</f>
        <v>0</v>
      </c>
      <c r="AX50" s="104">
        <f>COUNTIFS('свод практик'!$J$6:$J$277,AX$1,'свод практик'!$F$6:$F$277,"100% кроме МР")</f>
        <v>0</v>
      </c>
      <c r="AY50" s="104">
        <f>COUNTIFS('свод практик'!$J$6:$J$277,AY$1,'свод практик'!$F$6:$F$277,"100% кроме МР")</f>
        <v>0</v>
      </c>
      <c r="AZ50" s="104">
        <f>COUNTIFS('свод практик'!$J$6:$J$277,AZ$1,'свод практик'!$F$6:$F$277,"100% кроме МР")</f>
        <v>0</v>
      </c>
      <c r="BA50" s="104">
        <f>COUNTIFS('свод практик'!$J$6:$J$277,BA$1,'свод практик'!$F$6:$F$277,"100% кроме МР")</f>
        <v>0</v>
      </c>
      <c r="BB50" s="104">
        <f>COUNTIFS('свод практик'!$J$6:$J$277,BB$1,'свод практик'!$F$6:$F$277,"100% кроме МР")</f>
        <v>0</v>
      </c>
      <c r="BC50" s="104">
        <f>COUNTIFS('свод практик'!$J$6:$J$277,BC$1,'свод практик'!$F$6:$F$277,"100% кроме МР")</f>
        <v>0</v>
      </c>
      <c r="BD50" s="104">
        <f>COUNTIFS('свод практик'!$J$6:$J$277,BD$1,'свод практик'!$F$6:$F$277,"100% кроме МР")</f>
        <v>0</v>
      </c>
      <c r="BE50" s="104">
        <f>COUNTIFS('свод практик'!$J$6:$J$277,BE$1,'свод практик'!$F$6:$F$277,"100% кроме МР")</f>
        <v>0</v>
      </c>
      <c r="BF50" s="104">
        <f>COUNTIFS('свод практик'!$J$6:$J$277,BF$1,'свод практик'!$F$6:$F$277,"100% кроме МР")</f>
        <v>0</v>
      </c>
      <c r="BG50" s="104">
        <f>COUNTIFS('свод практик'!$J$6:$J$277,BG$1,'свод практик'!$F$6:$F$277,"100% кроме МР")</f>
        <v>0</v>
      </c>
      <c r="BH50" s="104">
        <f>COUNTIFS('свод практик'!$J$6:$J$277,BH$1,'свод практик'!$F$6:$F$277,"100% кроме МР")</f>
        <v>0</v>
      </c>
      <c r="BI50" s="104">
        <f>COUNTIFS('свод практик'!$J$6:$J$277,BI$1,'свод практик'!$F$6:$F$277,"100% кроме МР")</f>
        <v>0</v>
      </c>
      <c r="BJ50" s="104">
        <f>COUNTIFS('свод практик'!$J$6:$J$277,BJ$1,'свод практик'!$F$6:$F$277,"100% кроме МР")</f>
        <v>0</v>
      </c>
      <c r="BK50" s="104">
        <f>COUNTIFS('свод практик'!$J$6:$J$277,BK$1,'свод практик'!$F$6:$F$277,"100% кроме МР")</f>
        <v>0</v>
      </c>
      <c r="BL50" s="104">
        <f>COUNTIFS('свод практик'!$J$6:$J$277,BL$1,'свод практик'!$F$6:$F$277,"100% кроме МР")</f>
        <v>0</v>
      </c>
      <c r="BM50" s="104">
        <f>COUNTIFS('свод практик'!$J$6:$J$277,BM$1,'свод практик'!$F$6:$F$277,"100% кроме МР")</f>
        <v>0</v>
      </c>
      <c r="BN50" s="104">
        <f>COUNTIFS('свод практик'!$J$6:$J$277,BN$1,'свод практик'!$F$6:$F$277,"100% кроме МР")</f>
        <v>0</v>
      </c>
      <c r="BO50" s="104">
        <f>COUNTIFS('свод практик'!$J$6:$J$277,BO$1,'свод практик'!$F$6:$F$277,"100% кроме МР")</f>
        <v>0</v>
      </c>
      <c r="BP50" s="104">
        <f>COUNTIFS('свод практик'!$J$6:$J$277,BP$1,'свод практик'!$F$6:$F$277,"100% кроме МР")</f>
        <v>0</v>
      </c>
      <c r="BQ50" s="104">
        <f>COUNTIFS('свод практик'!$J$6:$J$277,BQ$1,'свод практик'!$F$6:$F$277,"100% кроме МР")</f>
        <v>0</v>
      </c>
      <c r="BR50" s="104">
        <f>COUNTIFS('свод практик'!$J$6:$J$277,BR$1,'свод практик'!$F$6:$F$277,"100% кроме МР")</f>
        <v>0</v>
      </c>
      <c r="BS50" s="104">
        <f>COUNTIFS('свод практик'!$J$6:$J$277,BS$1,'свод практик'!$F$6:$F$277,"100% кроме МР")</f>
        <v>0</v>
      </c>
      <c r="BT50" s="104">
        <f>COUNTIFS('свод практик'!$J$6:$J$277,BT$1,'свод практик'!$F$6:$F$277,"100% кроме МР")</f>
        <v>1</v>
      </c>
      <c r="BU50" s="104">
        <f>COUNTIFS('свод практик'!$J$6:$J$277,BU$1,'свод практик'!$F$6:$F$277,"100% кроме МР")</f>
        <v>0</v>
      </c>
      <c r="BV50" s="104">
        <f>COUNTIFS('свод практик'!$J$6:$J$277,BV$1,'свод практик'!$F$6:$F$277,"100% кроме МР")</f>
        <v>0</v>
      </c>
      <c r="BW50" s="104">
        <f>COUNTIFS('свод практик'!$J$6:$J$277,BW$1,'свод практик'!$F$6:$F$277,"100% кроме МР")</f>
        <v>0</v>
      </c>
      <c r="BX50" s="104">
        <f>COUNTIFS('свод практик'!$J$6:$J$277,BX$1,'свод практик'!$F$6:$F$277,"100% кроме МР")</f>
        <v>0</v>
      </c>
      <c r="BY50" s="104">
        <f>COUNTIFS('свод практик'!$J$6:$J$277,BY$1,'свод практик'!$F$6:$F$277,"100% кроме МР")</f>
        <v>0</v>
      </c>
      <c r="BZ50" s="104">
        <f>COUNTIFS('свод практик'!$J$6:$J$277,BZ$1,'свод практик'!$F$6:$F$277,"100% кроме МР")</f>
        <v>0</v>
      </c>
      <c r="CA50" s="104">
        <f>COUNTIFS('свод практик'!$J$6:$J$277,CA$1,'свод практик'!$F$6:$F$277,"100% кроме МР")</f>
        <v>0</v>
      </c>
      <c r="CB50" s="104">
        <f>COUNTIFS('свод практик'!$J$6:$J$277,CB$1,'свод практик'!$F$6:$F$277,"100% кроме МР")</f>
        <v>0</v>
      </c>
      <c r="CC50" s="104">
        <f>COUNTIFS('свод практик'!$J$6:$J$277,CC$1,'свод практик'!$F$6:$F$277,"100% кроме МР")</f>
        <v>0</v>
      </c>
      <c r="CD50" s="104">
        <f>COUNTIFS('свод практик'!$J$6:$J$277,CD$1,'свод практик'!$F$6:$F$277,"100% кроме МР")</f>
        <v>0</v>
      </c>
      <c r="CE50" s="104">
        <f>COUNTIFS('свод практик'!$J$6:$J$277,CE$1,'свод практик'!$F$6:$F$277,"100% кроме МР")</f>
        <v>0</v>
      </c>
      <c r="CF50" s="104">
        <f>COUNTIFS('свод практик'!$J$6:$J$277,CF$1,'свод практик'!$F$6:$F$277,"100% кроме МР")</f>
        <v>0</v>
      </c>
      <c r="CG50" s="104">
        <f>COUNTIFS('свод практик'!$J$6:$J$277,CG$1,'свод практик'!$F$6:$F$277,"100% кроме МР")</f>
        <v>0</v>
      </c>
      <c r="CH50" s="104">
        <f>COUNTIFS('свод практик'!$J$6:$J$277,CH$1,'свод практик'!$F$6:$F$277,"100% кроме МР")</f>
        <v>0</v>
      </c>
      <c r="CI50" s="104">
        <f>COUNTIFS('свод практик'!$J$6:$J$277,CI$1,'свод практик'!$F$6:$F$277,"100% кроме МР")</f>
        <v>0</v>
      </c>
      <c r="CJ50" s="104">
        <f>COUNTIFS('свод практик'!$J$6:$J$277,CJ$1,'свод практик'!$F$6:$F$277,"100% кроме МР")</f>
        <v>0</v>
      </c>
      <c r="CK50" s="104">
        <f>COUNTIFS('свод практик'!$J$6:$J$277,CK$1,'свод практик'!$F$6:$F$277,"100% кроме МР")</f>
        <v>0</v>
      </c>
    </row>
    <row r="51" spans="1:89">
      <c r="A51" t="s">
        <v>5347</v>
      </c>
      <c r="D51" s="675">
        <f t="shared" si="0"/>
        <v>2</v>
      </c>
      <c r="E51" s="104">
        <f>COUNTIFS('свод практик'!$J$6:$J$277,E$1,'свод практик'!$F$6:$F$277,"100% сельские поселения")</f>
        <v>0</v>
      </c>
      <c r="F51" s="104">
        <f>COUNTIFS('свод практик'!$J$6:$J$277,F$1,'свод практик'!$F$6:$F$277,"100% сельские поселения")</f>
        <v>0</v>
      </c>
      <c r="G51" s="104">
        <f>COUNTIFS('свод практик'!$J$6:$J$277,G$1,'свод практик'!$F$6:$F$277,"100% сельские поселения")</f>
        <v>0</v>
      </c>
      <c r="H51" s="104">
        <f>COUNTIFS('свод практик'!$J$6:$J$277,H$1,'свод практик'!$F$6:$F$277,"100% сельские поселения")</f>
        <v>0</v>
      </c>
      <c r="I51" s="104">
        <f>COUNTIFS('свод практик'!$J$6:$J$277,I$1,'свод практик'!$F$6:$F$277,"100% сельские поселения")</f>
        <v>0</v>
      </c>
      <c r="J51" s="104">
        <f>COUNTIFS('свод практик'!$J$6:$J$277,J$1,'свод практик'!$F$6:$F$277,"100% сельские поселения")</f>
        <v>0</v>
      </c>
      <c r="K51" s="104">
        <f>COUNTIFS('свод практик'!$J$6:$J$277,K$1,'свод практик'!$F$6:$F$277,"100% сельские поселения")</f>
        <v>0</v>
      </c>
      <c r="L51" s="104">
        <f>COUNTIFS('свод практик'!$J$6:$J$277,L$1,'свод практик'!$F$6:$F$277,"100% сельские поселения")</f>
        <v>0</v>
      </c>
      <c r="M51" s="104">
        <f>COUNTIFS('свод практик'!$J$6:$J$277,M$1,'свод практик'!$F$6:$F$277,"100% сельские поселения")</f>
        <v>0</v>
      </c>
      <c r="N51" s="104">
        <f>COUNTIFS('свод практик'!$J$6:$J$277,N$1,'свод практик'!$F$6:$F$277,"100% сельские поселения")</f>
        <v>0</v>
      </c>
      <c r="O51" s="104">
        <f>COUNTIFS('свод практик'!$J$6:$J$277,O$1,'свод практик'!$F$6:$F$277,"100% сельские поселения")</f>
        <v>0</v>
      </c>
      <c r="P51" s="104">
        <f>COUNTIFS('свод практик'!$J$6:$J$277,P$1,'свод практик'!$F$6:$F$277,"100% сельские поселения")</f>
        <v>0</v>
      </c>
      <c r="Q51" s="104">
        <f>COUNTIFS('свод практик'!$J$6:$J$277,Q$1,'свод практик'!$F$6:$F$277,"100% сельские поселения")</f>
        <v>0</v>
      </c>
      <c r="R51" s="104">
        <f>COUNTIFS('свод практик'!$J$6:$J$277,R$1,'свод практик'!$F$6:$F$277,"100% сельские поселения")</f>
        <v>0</v>
      </c>
      <c r="S51" s="104">
        <f>COUNTIFS('свод практик'!$J$6:$J$277,S$1,'свод практик'!$F$6:$F$277,"100% сельские поселения")</f>
        <v>0</v>
      </c>
      <c r="T51" s="104">
        <f>COUNTIFS('свод практик'!$J$6:$J$277,T$1,'свод практик'!$F$6:$F$277,"100% сельские поселения")</f>
        <v>0</v>
      </c>
      <c r="U51" s="104">
        <f>COUNTIFS('свод практик'!$J$6:$J$277,U$1,'свод практик'!$F$6:$F$277,"100% сельские поселения")</f>
        <v>0</v>
      </c>
      <c r="V51" s="104">
        <f>COUNTIFS('свод практик'!$J$6:$J$277,V$1,'свод практик'!$F$6:$F$277,"100% сельские поселения")</f>
        <v>0</v>
      </c>
      <c r="W51" s="104">
        <f>COUNTIFS('свод практик'!$J$6:$J$277,W$1,'свод практик'!$F$6:$F$277,"100% сельские поселения")</f>
        <v>0</v>
      </c>
      <c r="X51" s="104">
        <f>COUNTIFS('свод практик'!$J$6:$J$277,X$1,'свод практик'!$F$6:$F$277,"100% сельские поселения")</f>
        <v>0</v>
      </c>
      <c r="Y51" s="104">
        <f>COUNTIFS('свод практик'!$J$6:$J$277,Y$1,'свод практик'!$F$6:$F$277,"100% сельские поселения")</f>
        <v>0</v>
      </c>
      <c r="Z51" s="104">
        <f>COUNTIFS('свод практик'!$J$6:$J$277,Z$1,'свод практик'!$F$6:$F$277,"100% сельские поселения")</f>
        <v>0</v>
      </c>
      <c r="AA51" s="104">
        <f>COUNTIFS('свод практик'!$J$6:$J$277,AA$1,'свод практик'!$F$6:$F$277,"100% сельские поселения")</f>
        <v>0</v>
      </c>
      <c r="AB51" s="104">
        <f>COUNTIFS('свод практик'!$J$6:$J$277,AB$1,'свод практик'!$F$6:$F$277,"100% сельские поселения")</f>
        <v>0</v>
      </c>
      <c r="AC51" s="104">
        <f>COUNTIFS('свод практик'!$J$6:$J$277,AC$1,'свод практик'!$F$6:$F$277,"100% сельские поселения")</f>
        <v>0</v>
      </c>
      <c r="AD51" s="104">
        <f>COUNTIFS('свод практик'!$J$6:$J$277,AD$1,'свод практик'!$F$6:$F$277,"100% сельские поселения")</f>
        <v>0</v>
      </c>
      <c r="AE51" s="104">
        <f>COUNTIFS('свод практик'!$J$6:$J$277,AE$1,'свод практик'!$F$6:$F$277,"100% сельские поселения")</f>
        <v>0</v>
      </c>
      <c r="AF51" s="104">
        <f>COUNTIFS('свод практик'!$J$6:$J$277,AF$1,'свод практик'!$F$6:$F$277,"100% сельские поселения")</f>
        <v>0</v>
      </c>
      <c r="AG51" s="104">
        <f>COUNTIFS('свод практик'!$J$6:$J$277,AG$1,'свод практик'!$F$6:$F$277,"100% сельские поселения")</f>
        <v>0</v>
      </c>
      <c r="AH51" s="104">
        <f>COUNTIFS('свод практик'!$J$6:$J$277,AH$1,'свод практик'!$F$6:$F$277,"100% сельские поселения")</f>
        <v>0</v>
      </c>
      <c r="AI51" s="104">
        <f>COUNTIFS('свод практик'!$J$6:$J$277,AI$1,'свод практик'!$F$6:$F$277,"100% сельские поселения")</f>
        <v>0</v>
      </c>
      <c r="AJ51" s="104">
        <f>COUNTIFS('свод практик'!$J$6:$J$277,AJ$1,'свод практик'!$F$6:$F$277,"100% сельские поселения")</f>
        <v>0</v>
      </c>
      <c r="AK51" s="104">
        <f>COUNTIFS('свод практик'!$J$6:$J$277,AK$1,'свод практик'!$F$6:$F$277,"100% сельские поселения")</f>
        <v>0</v>
      </c>
      <c r="AL51" s="104">
        <f>COUNTIFS('свод практик'!$J$6:$J$277,AL$1,'свод практик'!$F$6:$F$277,"100% сельские поселения")</f>
        <v>0</v>
      </c>
      <c r="AM51" s="104">
        <f>COUNTIFS('свод практик'!$J$6:$J$277,AM$1,'свод практик'!$F$6:$F$277,"100% сельские поселения")</f>
        <v>0</v>
      </c>
      <c r="AN51" s="104">
        <f>COUNTIFS('свод практик'!$J$6:$J$277,AN$1,'свод практик'!$F$6:$F$277,"100% сельские поселения")</f>
        <v>0</v>
      </c>
      <c r="AO51" s="104">
        <f>COUNTIFS('свод практик'!$J$6:$J$277,AO$1,'свод практик'!$F$6:$F$277,"100% сельские поселения")</f>
        <v>0</v>
      </c>
      <c r="AP51" s="104">
        <f>COUNTIFS('свод практик'!$J$6:$J$277,AP$1,'свод практик'!$F$6:$F$277,"100% сельские поселения")</f>
        <v>0</v>
      </c>
      <c r="AQ51" s="104">
        <f>COUNTIFS('свод практик'!$J$6:$J$277,AQ$1,'свод практик'!$F$6:$F$277,"100% сельские поселения")</f>
        <v>0</v>
      </c>
      <c r="AR51" s="104">
        <f>COUNTIFS('свод практик'!$J$6:$J$277,AR$1,'свод практик'!$F$6:$F$277,"100% сельские поселения")</f>
        <v>0</v>
      </c>
      <c r="AS51" s="104">
        <f>COUNTIFS('свод практик'!$J$6:$J$277,AS$1,'свод практик'!$F$6:$F$277,"100% сельские поселения")</f>
        <v>0</v>
      </c>
      <c r="AT51" s="104">
        <f>COUNTIFS('свод практик'!$J$6:$J$277,AT$1,'свод практик'!$F$6:$F$277,"100% сельские поселения")</f>
        <v>0</v>
      </c>
      <c r="AU51" s="104">
        <f>COUNTIFS('свод практик'!$J$6:$J$277,AU$1,'свод практик'!$F$6:$F$277,"100% сельские поселения")</f>
        <v>0</v>
      </c>
      <c r="AV51" s="104">
        <f>COUNTIFS('свод практик'!$J$6:$J$277,AV$1,'свод практик'!$F$6:$F$277,"100% сельские поселения")</f>
        <v>0</v>
      </c>
      <c r="AW51" s="104">
        <f>COUNTIFS('свод практик'!$J$6:$J$277,AW$1,'свод практик'!$F$6:$F$277,"100% сельские поселения")</f>
        <v>0</v>
      </c>
      <c r="AX51" s="104">
        <f>COUNTIFS('свод практик'!$J$6:$J$277,AX$1,'свод практик'!$F$6:$F$277,"100% сельские поселения")</f>
        <v>0</v>
      </c>
      <c r="AY51" s="104">
        <f>COUNTIFS('свод практик'!$J$6:$J$277,AY$1,'свод практик'!$F$6:$F$277,"100% сельские поселения")</f>
        <v>0</v>
      </c>
      <c r="AZ51" s="104">
        <f>COUNTIFS('свод практик'!$J$6:$J$277,AZ$1,'свод практик'!$F$6:$F$277,"100% сельские поселения")</f>
        <v>0</v>
      </c>
      <c r="BA51" s="104">
        <f>COUNTIFS('свод практик'!$J$6:$J$277,BA$1,'свод практик'!$F$6:$F$277,"100% сельские поселения")</f>
        <v>0</v>
      </c>
      <c r="BB51" s="104">
        <f>COUNTIFS('свод практик'!$J$6:$J$277,BB$1,'свод практик'!$F$6:$F$277,"100% сельские поселения")</f>
        <v>0</v>
      </c>
      <c r="BC51" s="104">
        <f>COUNTIFS('свод практик'!$J$6:$J$277,BC$1,'свод практик'!$F$6:$F$277,"100% сельские поселения")</f>
        <v>0</v>
      </c>
      <c r="BD51" s="104">
        <f>COUNTIFS('свод практик'!$J$6:$J$277,BD$1,'свод практик'!$F$6:$F$277,"100% сельские поселения")</f>
        <v>0</v>
      </c>
      <c r="BE51" s="104">
        <f>COUNTIFS('свод практик'!$J$6:$J$277,BE$1,'свод практик'!$F$6:$F$277,"100% сельские поселения")</f>
        <v>0</v>
      </c>
      <c r="BF51" s="104">
        <f>COUNTIFS('свод практик'!$J$6:$J$277,BF$1,'свод практик'!$F$6:$F$277,"100% сельские поселения")</f>
        <v>0</v>
      </c>
      <c r="BG51" s="104">
        <f>COUNTIFS('свод практик'!$J$6:$J$277,BG$1,'свод практик'!$F$6:$F$277,"100% сельские поселения")</f>
        <v>0</v>
      </c>
      <c r="BH51" s="104">
        <f>COUNTIFS('свод практик'!$J$6:$J$277,BH$1,'свод практик'!$F$6:$F$277,"100% сельские поселения")</f>
        <v>0</v>
      </c>
      <c r="BI51" s="104">
        <f>COUNTIFS('свод практик'!$J$6:$J$277,BI$1,'свод практик'!$F$6:$F$277,"100% сельские поселения")</f>
        <v>1</v>
      </c>
      <c r="BJ51" s="104">
        <f>COUNTIFS('свод практик'!$J$6:$J$277,BJ$1,'свод практик'!$F$6:$F$277,"100% сельские поселения")</f>
        <v>0</v>
      </c>
      <c r="BK51" s="104">
        <f>COUNTIFS('свод практик'!$J$6:$J$277,BK$1,'свод практик'!$F$6:$F$277,"100% сельские поселения")</f>
        <v>0</v>
      </c>
      <c r="BL51" s="104">
        <f>COUNTIFS('свод практик'!$J$6:$J$277,BL$1,'свод практик'!$F$6:$F$277,"100% сельские поселения")</f>
        <v>0</v>
      </c>
      <c r="BM51" s="104">
        <f>COUNTIFS('свод практик'!$J$6:$J$277,BM$1,'свод практик'!$F$6:$F$277,"100% сельские поселения")</f>
        <v>0</v>
      </c>
      <c r="BN51" s="104">
        <f>COUNTIFS('свод практик'!$J$6:$J$277,BN$1,'свод практик'!$F$6:$F$277,"100% сельские поселения")</f>
        <v>0</v>
      </c>
      <c r="BO51" s="104">
        <f>COUNTIFS('свод практик'!$J$6:$J$277,BO$1,'свод практик'!$F$6:$F$277,"100% сельские поселения")</f>
        <v>0</v>
      </c>
      <c r="BP51" s="104">
        <f>COUNTIFS('свод практик'!$J$6:$J$277,BP$1,'свод практик'!$F$6:$F$277,"100% сельские поселения")</f>
        <v>0</v>
      </c>
      <c r="BQ51" s="104">
        <f>COUNTIFS('свод практик'!$J$6:$J$277,BQ$1,'свод практик'!$F$6:$F$277,"100% сельские поселения")</f>
        <v>0</v>
      </c>
      <c r="BR51" s="104">
        <f>COUNTIFS('свод практик'!$J$6:$J$277,BR$1,'свод практик'!$F$6:$F$277,"100% сельские поселения")</f>
        <v>0</v>
      </c>
      <c r="BS51" s="104">
        <f>COUNTIFS('свод практик'!$J$6:$J$277,BS$1,'свод практик'!$F$6:$F$277,"100% сельские поселения")</f>
        <v>0</v>
      </c>
      <c r="BT51" s="104">
        <f>COUNTIFS('свод практик'!$J$6:$J$277,BT$1,'свод практик'!$F$6:$F$277,"100% сельские поселения")</f>
        <v>1</v>
      </c>
      <c r="BU51" s="104">
        <f>COUNTIFS('свод практик'!$J$6:$J$277,BU$1,'свод практик'!$F$6:$F$277,"100% сельские поселения")</f>
        <v>0</v>
      </c>
      <c r="BV51" s="104">
        <f>COUNTIFS('свод практик'!$J$6:$J$277,BV$1,'свод практик'!$F$6:$F$277,"100% сельские поселения")</f>
        <v>0</v>
      </c>
      <c r="BW51" s="104">
        <f>COUNTIFS('свод практик'!$J$6:$J$277,BW$1,'свод практик'!$F$6:$F$277,"100% сельские поселения")</f>
        <v>0</v>
      </c>
      <c r="BX51" s="104">
        <f>COUNTIFS('свод практик'!$J$6:$J$277,BX$1,'свод практик'!$F$6:$F$277,"100% сельские поселения")</f>
        <v>0</v>
      </c>
      <c r="BY51" s="104">
        <f>COUNTIFS('свод практик'!$J$6:$J$277,BY$1,'свод практик'!$F$6:$F$277,"100% сельские поселения")</f>
        <v>0</v>
      </c>
      <c r="BZ51" s="104">
        <f>COUNTIFS('свод практик'!$J$6:$J$277,BZ$1,'свод практик'!$F$6:$F$277,"100% сельские поселения")</f>
        <v>0</v>
      </c>
      <c r="CA51" s="104">
        <f>COUNTIFS('свод практик'!$J$6:$J$277,CA$1,'свод практик'!$F$6:$F$277,"100% сельские поселения")</f>
        <v>0</v>
      </c>
      <c r="CB51" s="104">
        <f>COUNTIFS('свод практик'!$J$6:$J$277,CB$1,'свод практик'!$F$6:$F$277,"100% сельские поселения")</f>
        <v>0</v>
      </c>
      <c r="CC51" s="104">
        <f>COUNTIFS('свод практик'!$J$6:$J$277,CC$1,'свод практик'!$F$6:$F$277,"100% сельские поселения")</f>
        <v>0</v>
      </c>
      <c r="CD51" s="104">
        <f>COUNTIFS('свод практик'!$J$6:$J$277,CD$1,'свод практик'!$F$6:$F$277,"100% сельские поселения")</f>
        <v>0</v>
      </c>
      <c r="CE51" s="104">
        <f>COUNTIFS('свод практик'!$J$6:$J$277,CE$1,'свод практик'!$F$6:$F$277,"100% сельские поселения")</f>
        <v>0</v>
      </c>
      <c r="CF51" s="104">
        <f>COUNTIFS('свод практик'!$J$6:$J$277,CF$1,'свод практик'!$F$6:$F$277,"100% сельские поселения")</f>
        <v>0</v>
      </c>
      <c r="CG51" s="104">
        <f>COUNTIFS('свод практик'!$J$6:$J$277,CG$1,'свод практик'!$F$6:$F$277,"100% сельские поселения")</f>
        <v>0</v>
      </c>
      <c r="CH51" s="104">
        <f>COUNTIFS('свод практик'!$J$6:$J$277,CH$1,'свод практик'!$F$6:$F$277,"100% сельские поселения")</f>
        <v>0</v>
      </c>
      <c r="CI51" s="104">
        <f>COUNTIFS('свод практик'!$J$6:$J$277,CI$1,'свод практик'!$F$6:$F$277,"100% сельские поселения")</f>
        <v>0</v>
      </c>
      <c r="CJ51" s="104">
        <f>COUNTIFS('свод практик'!$J$6:$J$277,CJ$1,'свод практик'!$F$6:$F$277,"100% сельские поселения")</f>
        <v>0</v>
      </c>
      <c r="CK51" s="104">
        <f>COUNTIFS('свод практик'!$J$6:$J$277,CK$1,'свод практик'!$F$6:$F$277,"100% сельские поселения")</f>
        <v>0</v>
      </c>
    </row>
    <row r="52" spans="1:89">
      <c r="A52" t="s">
        <v>5346</v>
      </c>
      <c r="D52" s="675">
        <f t="shared" si="0"/>
        <v>1</v>
      </c>
      <c r="E52">
        <f>COUNTIFS('свод практик'!$J$6:$J$277,E$1,'свод практик'!$F$6:$F$277,"100% ТОС")</f>
        <v>0</v>
      </c>
      <c r="F52" s="104">
        <f>COUNTIFS('свод практик'!$J$6:$J$277,F$1,'свод практик'!$F$6:$F$277,"100% ТОС")</f>
        <v>0</v>
      </c>
      <c r="G52" s="104">
        <f>COUNTIFS('свод практик'!$J$6:$J$277,G$1,'свод практик'!$F$6:$F$277,"100% ТОС")</f>
        <v>0</v>
      </c>
      <c r="H52" s="104">
        <f>COUNTIFS('свод практик'!$J$6:$J$277,H$1,'свод практик'!$F$6:$F$277,"100% ТОС")</f>
        <v>0</v>
      </c>
      <c r="I52" s="104">
        <f>COUNTIFS('свод практик'!$J$6:$J$277,I$1,'свод практик'!$F$6:$F$277,"100% ТОС")</f>
        <v>0</v>
      </c>
      <c r="J52" s="104">
        <f>COUNTIFS('свод практик'!$J$6:$J$277,J$1,'свод практик'!$F$6:$F$277,"100% ТОС")</f>
        <v>0</v>
      </c>
      <c r="K52" s="104">
        <f>COUNTIFS('свод практик'!$J$6:$J$277,K$1,'свод практик'!$F$6:$F$277,"100% ТОС")</f>
        <v>0</v>
      </c>
      <c r="L52" s="104">
        <f>COUNTIFS('свод практик'!$J$6:$J$277,L$1,'свод практик'!$F$6:$F$277,"100% ТОС")</f>
        <v>0</v>
      </c>
      <c r="M52" s="104">
        <f>COUNTIFS('свод практик'!$J$6:$J$277,M$1,'свод практик'!$F$6:$F$277,"100% ТОС")</f>
        <v>0</v>
      </c>
      <c r="N52" s="104">
        <f>COUNTIFS('свод практик'!$J$6:$J$277,N$1,'свод практик'!$F$6:$F$277,"100% ТОС")</f>
        <v>0</v>
      </c>
      <c r="O52" s="104">
        <f>COUNTIFS('свод практик'!$J$6:$J$277,O$1,'свод практик'!$F$6:$F$277,"100% ТОС")</f>
        <v>0</v>
      </c>
      <c r="P52" s="104">
        <f>COUNTIFS('свод практик'!$J$6:$J$277,P$1,'свод практик'!$F$6:$F$277,"100% ТОС")</f>
        <v>0</v>
      </c>
      <c r="Q52" s="104">
        <f>COUNTIFS('свод практик'!$J$6:$J$277,Q$1,'свод практик'!$F$6:$F$277,"100% ТОС")</f>
        <v>0</v>
      </c>
      <c r="R52" s="104">
        <f>COUNTIFS('свод практик'!$J$6:$J$277,R$1,'свод практик'!$F$6:$F$277,"100% ТОС")</f>
        <v>0</v>
      </c>
      <c r="S52" s="104">
        <f>COUNTIFS('свод практик'!$J$6:$J$277,S$1,'свод практик'!$F$6:$F$277,"100% ТОС")</f>
        <v>0</v>
      </c>
      <c r="T52" s="104">
        <f>COUNTIFS('свод практик'!$J$6:$J$277,T$1,'свод практик'!$F$6:$F$277,"100% ТОС")</f>
        <v>0</v>
      </c>
      <c r="U52" s="104">
        <f>COUNTIFS('свод практик'!$J$6:$J$277,U$1,'свод практик'!$F$6:$F$277,"100% ТОС")</f>
        <v>0</v>
      </c>
      <c r="V52" s="104">
        <f>COUNTIFS('свод практик'!$J$6:$J$277,V$1,'свод практик'!$F$6:$F$277,"100% ТОС")</f>
        <v>0</v>
      </c>
      <c r="W52" s="104">
        <f>COUNTIFS('свод практик'!$J$6:$J$277,W$1,'свод практик'!$F$6:$F$277,"100% ТОС")</f>
        <v>0</v>
      </c>
      <c r="X52" s="104">
        <f>COUNTIFS('свод практик'!$J$6:$J$277,X$1,'свод практик'!$F$6:$F$277,"100% ТОС")</f>
        <v>0</v>
      </c>
      <c r="Y52" s="104">
        <f>COUNTIFS('свод практик'!$J$6:$J$277,Y$1,'свод практик'!$F$6:$F$277,"100% ТОС")</f>
        <v>0</v>
      </c>
      <c r="Z52" s="104">
        <f>COUNTIFS('свод практик'!$J$6:$J$277,Z$1,'свод практик'!$F$6:$F$277,"100% ТОС")</f>
        <v>0</v>
      </c>
      <c r="AA52" s="104">
        <f>COUNTIFS('свод практик'!$J$6:$J$277,AA$1,'свод практик'!$F$6:$F$277,"100% ТОС")</f>
        <v>0</v>
      </c>
      <c r="AB52" s="104">
        <f>COUNTIFS('свод практик'!$J$6:$J$277,AB$1,'свод практик'!$F$6:$F$277,"100% ТОС")</f>
        <v>0</v>
      </c>
      <c r="AC52" s="104">
        <f>COUNTIFS('свод практик'!$J$6:$J$277,AC$1,'свод практик'!$F$6:$F$277,"100% ТОС")</f>
        <v>0</v>
      </c>
      <c r="AD52" s="104">
        <f>COUNTIFS('свод практик'!$J$6:$J$277,AD$1,'свод практик'!$F$6:$F$277,"100% ТОС")</f>
        <v>0</v>
      </c>
      <c r="AE52" s="104">
        <f>COUNTIFS('свод практик'!$J$6:$J$277,AE$1,'свод практик'!$F$6:$F$277,"100% ТОС")</f>
        <v>0</v>
      </c>
      <c r="AF52" s="104">
        <f>COUNTIFS('свод практик'!$J$6:$J$277,AF$1,'свод практик'!$F$6:$F$277,"100% ТОС")</f>
        <v>0</v>
      </c>
      <c r="AG52" s="104">
        <f>COUNTIFS('свод практик'!$J$6:$J$277,AG$1,'свод практик'!$F$6:$F$277,"100% ТОС")</f>
        <v>0</v>
      </c>
      <c r="AH52" s="104">
        <f>COUNTIFS('свод практик'!$J$6:$J$277,AH$1,'свод практик'!$F$6:$F$277,"100% ТОС")</f>
        <v>0</v>
      </c>
      <c r="AI52" s="104">
        <f>COUNTIFS('свод практик'!$J$6:$J$277,AI$1,'свод практик'!$F$6:$F$277,"100% ТОС")</f>
        <v>0</v>
      </c>
      <c r="AJ52" s="104">
        <f>COUNTIFS('свод практик'!$J$6:$J$277,AJ$1,'свод практик'!$F$6:$F$277,"100% ТОС")</f>
        <v>0</v>
      </c>
      <c r="AK52" s="104">
        <f>COUNTIFS('свод практик'!$J$6:$J$277,AK$1,'свод практик'!$F$6:$F$277,"100% ТОС")</f>
        <v>0</v>
      </c>
      <c r="AL52" s="104">
        <f>COUNTIFS('свод практик'!$J$6:$J$277,AL$1,'свод практик'!$F$6:$F$277,"100% ТОС")</f>
        <v>0</v>
      </c>
      <c r="AM52" s="104">
        <f>COUNTIFS('свод практик'!$J$6:$J$277,AM$1,'свод практик'!$F$6:$F$277,"100% ТОС")</f>
        <v>0</v>
      </c>
      <c r="AN52" s="104">
        <f>COUNTIFS('свод практик'!$J$6:$J$277,AN$1,'свод практик'!$F$6:$F$277,"100% ТОС")</f>
        <v>0</v>
      </c>
      <c r="AO52" s="104">
        <f>COUNTIFS('свод практик'!$J$6:$J$277,AO$1,'свод практик'!$F$6:$F$277,"100% ТОС")</f>
        <v>0</v>
      </c>
      <c r="AP52" s="104">
        <f>COUNTIFS('свод практик'!$J$6:$J$277,AP$1,'свод практик'!$F$6:$F$277,"100% ТОС")</f>
        <v>0</v>
      </c>
      <c r="AQ52" s="104">
        <f>COUNTIFS('свод практик'!$J$6:$J$277,AQ$1,'свод практик'!$F$6:$F$277,"100% ТОС")</f>
        <v>0</v>
      </c>
      <c r="AR52" s="104">
        <f>COUNTIFS('свод практик'!$J$6:$J$277,AR$1,'свод практик'!$F$6:$F$277,"100% ТОС")</f>
        <v>0</v>
      </c>
      <c r="AS52" s="104">
        <f>COUNTIFS('свод практик'!$J$6:$J$277,AS$1,'свод практик'!$F$6:$F$277,"100% ТОС")</f>
        <v>0</v>
      </c>
      <c r="AT52" s="104">
        <f>COUNTIFS('свод практик'!$J$6:$J$277,AT$1,'свод практик'!$F$6:$F$277,"100% ТОС")</f>
        <v>0</v>
      </c>
      <c r="AU52" s="104">
        <f>COUNTIFS('свод практик'!$J$6:$J$277,AU$1,'свод практик'!$F$6:$F$277,"100% ТОС")</f>
        <v>0</v>
      </c>
      <c r="AV52" s="104">
        <f>COUNTIFS('свод практик'!$J$6:$J$277,AV$1,'свод практик'!$F$6:$F$277,"100% ТОС")</f>
        <v>0</v>
      </c>
      <c r="AW52" s="104">
        <f>COUNTIFS('свод практик'!$J$6:$J$277,AW$1,'свод практик'!$F$6:$F$277,"100% ТОС")</f>
        <v>0</v>
      </c>
      <c r="AX52" s="104">
        <f>COUNTIFS('свод практик'!$J$6:$J$277,AX$1,'свод практик'!$F$6:$F$277,"100% ТОС")</f>
        <v>0</v>
      </c>
      <c r="AY52" s="104">
        <f>COUNTIFS('свод практик'!$J$6:$J$277,AY$1,'свод практик'!$F$6:$F$277,"100% ТОС")</f>
        <v>0</v>
      </c>
      <c r="AZ52" s="104">
        <f>COUNTIFS('свод практик'!$J$6:$J$277,AZ$1,'свод практик'!$F$6:$F$277,"100% ТОС")</f>
        <v>0</v>
      </c>
      <c r="BA52" s="104">
        <f>COUNTIFS('свод практик'!$J$6:$J$277,BA$1,'свод практик'!$F$6:$F$277,"100% ТОС")</f>
        <v>0</v>
      </c>
      <c r="BB52" s="104">
        <f>COUNTIFS('свод практик'!$J$6:$J$277,BB$1,'свод практик'!$F$6:$F$277,"100% ТОС")</f>
        <v>0</v>
      </c>
      <c r="BC52" s="104">
        <f>COUNTIFS('свод практик'!$J$6:$J$277,BC$1,'свод практик'!$F$6:$F$277,"100% ТОС")</f>
        <v>0</v>
      </c>
      <c r="BD52" s="104">
        <f>COUNTIFS('свод практик'!$J$6:$J$277,BD$1,'свод практик'!$F$6:$F$277,"100% ТОС")</f>
        <v>0</v>
      </c>
      <c r="BE52" s="104">
        <f>COUNTIFS('свод практик'!$J$6:$J$277,BE$1,'свод практик'!$F$6:$F$277,"100% ТОС")</f>
        <v>0</v>
      </c>
      <c r="BF52" s="104">
        <f>COUNTIFS('свод практик'!$J$6:$J$277,BF$1,'свод практик'!$F$6:$F$277,"100% ТОС")</f>
        <v>0</v>
      </c>
      <c r="BG52" s="104">
        <f>COUNTIFS('свод практик'!$J$6:$J$277,BG$1,'свод практик'!$F$6:$F$277,"100% ТОС")</f>
        <v>1</v>
      </c>
      <c r="BH52" s="104">
        <f>COUNTIFS('свод практик'!$J$6:$J$277,BH$1,'свод практик'!$F$6:$F$277,"100% ТОС")</f>
        <v>0</v>
      </c>
      <c r="BI52" s="104">
        <f>COUNTIFS('свод практик'!$J$6:$J$277,BI$1,'свод практик'!$F$6:$F$277,"100% ТОС")</f>
        <v>0</v>
      </c>
      <c r="BJ52" s="104">
        <f>COUNTIFS('свод практик'!$J$6:$J$277,BJ$1,'свод практик'!$F$6:$F$277,"100% ТОС")</f>
        <v>0</v>
      </c>
      <c r="BK52" s="104">
        <f>COUNTIFS('свод практик'!$J$6:$J$277,BK$1,'свод практик'!$F$6:$F$277,"100% ТОС")</f>
        <v>0</v>
      </c>
      <c r="BL52" s="104">
        <f>COUNTIFS('свод практик'!$J$6:$J$277,BL$1,'свод практик'!$F$6:$F$277,"100% ТОС")</f>
        <v>0</v>
      </c>
      <c r="BM52" s="104">
        <f>COUNTIFS('свод практик'!$J$6:$J$277,BM$1,'свод практик'!$F$6:$F$277,"100% ТОС")</f>
        <v>0</v>
      </c>
      <c r="BN52" s="104">
        <f>COUNTIFS('свод практик'!$J$6:$J$277,BN$1,'свод практик'!$F$6:$F$277,"100% ТОС")</f>
        <v>0</v>
      </c>
      <c r="BO52" s="104">
        <f>COUNTIFS('свод практик'!$J$6:$J$277,BO$1,'свод практик'!$F$6:$F$277,"100% ТОС")</f>
        <v>0</v>
      </c>
      <c r="BP52" s="104">
        <f>COUNTIFS('свод практик'!$J$6:$J$277,BP$1,'свод практик'!$F$6:$F$277,"100% ТОС")</f>
        <v>0</v>
      </c>
      <c r="BQ52" s="104">
        <f>COUNTIFS('свод практик'!$J$6:$J$277,BQ$1,'свод практик'!$F$6:$F$277,"100% ТОС")</f>
        <v>0</v>
      </c>
      <c r="BR52" s="104">
        <f>COUNTIFS('свод практик'!$J$6:$J$277,BR$1,'свод практик'!$F$6:$F$277,"100% ТОС")</f>
        <v>0</v>
      </c>
      <c r="BS52" s="104">
        <f>COUNTIFS('свод практик'!$J$6:$J$277,BS$1,'свод практик'!$F$6:$F$277,"100% ТОС")</f>
        <v>0</v>
      </c>
      <c r="BT52" s="104">
        <f>COUNTIFS('свод практик'!$J$6:$J$277,BT$1,'свод практик'!$F$6:$F$277,"100% ТОС")</f>
        <v>0</v>
      </c>
      <c r="BU52" s="104">
        <f>COUNTIFS('свод практик'!$J$6:$J$277,BU$1,'свод практик'!$F$6:$F$277,"100% ТОС")</f>
        <v>0</v>
      </c>
      <c r="BV52" s="104">
        <f>COUNTIFS('свод практик'!$J$6:$J$277,BV$1,'свод практик'!$F$6:$F$277,"100% ТОС")</f>
        <v>0</v>
      </c>
      <c r="BW52" s="104">
        <f>COUNTIFS('свод практик'!$J$6:$J$277,BW$1,'свод практик'!$F$6:$F$277,"100% ТОС")</f>
        <v>0</v>
      </c>
      <c r="BX52" s="104">
        <f>COUNTIFS('свод практик'!$J$6:$J$277,BX$1,'свод практик'!$F$6:$F$277,"100% ТОС")</f>
        <v>0</v>
      </c>
      <c r="BY52" s="104">
        <f>COUNTIFS('свод практик'!$J$6:$J$277,BY$1,'свод практик'!$F$6:$F$277,"100% ТОС")</f>
        <v>0</v>
      </c>
      <c r="BZ52" s="104">
        <f>COUNTIFS('свод практик'!$J$6:$J$277,BZ$1,'свод практик'!$F$6:$F$277,"100% ТОС")</f>
        <v>0</v>
      </c>
      <c r="CA52" s="104">
        <f>COUNTIFS('свод практик'!$J$6:$J$277,CA$1,'свод практик'!$F$6:$F$277,"100% ТОС")</f>
        <v>0</v>
      </c>
      <c r="CB52" s="104">
        <f>COUNTIFS('свод практик'!$J$6:$J$277,CB$1,'свод практик'!$F$6:$F$277,"100% ТОС")</f>
        <v>0</v>
      </c>
      <c r="CC52" s="104">
        <f>COUNTIFS('свод практик'!$J$6:$J$277,CC$1,'свод практик'!$F$6:$F$277,"100% ТОС")</f>
        <v>0</v>
      </c>
      <c r="CD52" s="104">
        <f>COUNTIFS('свод практик'!$J$6:$J$277,CD$1,'свод практик'!$F$6:$F$277,"100% ТОС")</f>
        <v>0</v>
      </c>
      <c r="CE52" s="104">
        <f>COUNTIFS('свод практик'!$J$6:$J$277,CE$1,'свод практик'!$F$6:$F$277,"100% ТОС")</f>
        <v>0</v>
      </c>
      <c r="CF52" s="104">
        <f>COUNTIFS('свод практик'!$J$6:$J$277,CF$1,'свод практик'!$F$6:$F$277,"100% ТОС")</f>
        <v>0</v>
      </c>
      <c r="CG52" s="104">
        <f>COUNTIFS('свод практик'!$J$6:$J$277,CG$1,'свод практик'!$F$6:$F$277,"100% ТОС")</f>
        <v>0</v>
      </c>
      <c r="CH52" s="104">
        <f>COUNTIFS('свод практик'!$J$6:$J$277,CH$1,'свод практик'!$F$6:$F$277,"100% ТОС")</f>
        <v>0</v>
      </c>
      <c r="CI52" s="104">
        <f>COUNTIFS('свод практик'!$J$6:$J$277,CI$1,'свод практик'!$F$6:$F$277,"100% ТОС")</f>
        <v>0</v>
      </c>
      <c r="CJ52" s="104">
        <f>COUNTIFS('свод практик'!$J$6:$J$277,CJ$1,'свод практик'!$F$6:$F$277,"100% ТОС")</f>
        <v>0</v>
      </c>
      <c r="CK52" s="104">
        <f>COUNTIFS('свод практик'!$J$6:$J$277,CK$1,'свод практик'!$F$6:$F$277,"100% ТОС")</f>
        <v>0</v>
      </c>
    </row>
    <row r="53" spans="1:89">
      <c r="A53" t="s">
        <v>5358</v>
      </c>
      <c r="D53" s="675">
        <f t="shared" si="0"/>
        <v>1</v>
      </c>
      <c r="E53">
        <f>COUNTIFS('свод практик'!$J$6:$J$277,E$1,'свод практик'!$F$6:$F$277,"100% юбилей")</f>
        <v>0</v>
      </c>
      <c r="F53" s="104">
        <f>COUNTIFS('свод практик'!$J$6:$J$277,F$1,'свод практик'!$F$6:$F$277,"100% юбилей")</f>
        <v>0</v>
      </c>
      <c r="G53" s="104">
        <f>COUNTIFS('свод практик'!$J$6:$J$277,G$1,'свод практик'!$F$6:$F$277,"100% юбилей")</f>
        <v>0</v>
      </c>
      <c r="H53" s="104">
        <f>COUNTIFS('свод практик'!$J$6:$J$277,H$1,'свод практик'!$F$6:$F$277,"100% юбилей")</f>
        <v>0</v>
      </c>
      <c r="I53" s="104">
        <f>COUNTIFS('свод практик'!$J$6:$J$277,I$1,'свод практик'!$F$6:$F$277,"100% юбилей")</f>
        <v>0</v>
      </c>
      <c r="J53" s="104">
        <f>COUNTIFS('свод практик'!$J$6:$J$277,J$1,'свод практик'!$F$6:$F$277,"100% юбилей")</f>
        <v>0</v>
      </c>
      <c r="K53" s="104">
        <f>COUNTIFS('свод практик'!$J$6:$J$277,K$1,'свод практик'!$F$6:$F$277,"100% юбилей")</f>
        <v>0</v>
      </c>
      <c r="L53" s="104">
        <f>COUNTIFS('свод практик'!$J$6:$J$277,L$1,'свод практик'!$F$6:$F$277,"100% юбилей")</f>
        <v>0</v>
      </c>
      <c r="M53" s="104">
        <f>COUNTIFS('свод практик'!$J$6:$J$277,M$1,'свод практик'!$F$6:$F$277,"100% юбилей")</f>
        <v>0</v>
      </c>
      <c r="N53" s="104">
        <f>COUNTIFS('свод практик'!$J$6:$J$277,N$1,'свод практик'!$F$6:$F$277,"100% юбилей")</f>
        <v>0</v>
      </c>
      <c r="O53" s="104">
        <f>COUNTIFS('свод практик'!$J$6:$J$277,O$1,'свод практик'!$F$6:$F$277,"100% юбилей")</f>
        <v>0</v>
      </c>
      <c r="P53" s="104">
        <f>COUNTIFS('свод практик'!$J$6:$J$277,P$1,'свод практик'!$F$6:$F$277,"100% юбилей")</f>
        <v>0</v>
      </c>
      <c r="Q53" s="104">
        <f>COUNTIFS('свод практик'!$J$6:$J$277,Q$1,'свод практик'!$F$6:$F$277,"100% юбилей")</f>
        <v>0</v>
      </c>
      <c r="R53" s="104">
        <f>COUNTIFS('свод практик'!$J$6:$J$277,R$1,'свод практик'!$F$6:$F$277,"100% юбилей")</f>
        <v>0</v>
      </c>
      <c r="S53" s="104">
        <f>COUNTIFS('свод практик'!$J$6:$J$277,S$1,'свод практик'!$F$6:$F$277,"100% юбилей")</f>
        <v>0</v>
      </c>
      <c r="T53" s="104">
        <f>COUNTIFS('свод практик'!$J$6:$J$277,T$1,'свод практик'!$F$6:$F$277,"100% юбилей")</f>
        <v>0</v>
      </c>
      <c r="U53" s="104">
        <f>COUNTIFS('свод практик'!$J$6:$J$277,U$1,'свод практик'!$F$6:$F$277,"100% юбилей")</f>
        <v>0</v>
      </c>
      <c r="V53" s="104">
        <f>COUNTIFS('свод практик'!$J$6:$J$277,V$1,'свод практик'!$F$6:$F$277,"100% юбилей")</f>
        <v>0</v>
      </c>
      <c r="W53" s="104">
        <f>COUNTIFS('свод практик'!$J$6:$J$277,W$1,'свод практик'!$F$6:$F$277,"100% юбилей")</f>
        <v>0</v>
      </c>
      <c r="X53" s="104">
        <f>COUNTIFS('свод практик'!$J$6:$J$277,X$1,'свод практик'!$F$6:$F$277,"100% юбилей")</f>
        <v>0</v>
      </c>
      <c r="Y53" s="104">
        <f>COUNTIFS('свод практик'!$J$6:$J$277,Y$1,'свод практик'!$F$6:$F$277,"100% юбилей")</f>
        <v>0</v>
      </c>
      <c r="Z53" s="104">
        <f>COUNTIFS('свод практик'!$J$6:$J$277,Z$1,'свод практик'!$F$6:$F$277,"100% юбилей")</f>
        <v>0</v>
      </c>
      <c r="AA53" s="104">
        <f>COUNTIFS('свод практик'!$J$6:$J$277,AA$1,'свод практик'!$F$6:$F$277,"100% юбилей")</f>
        <v>0</v>
      </c>
      <c r="AB53" s="104">
        <f>COUNTIFS('свод практик'!$J$6:$J$277,AB$1,'свод практик'!$F$6:$F$277,"100% юбилей")</f>
        <v>0</v>
      </c>
      <c r="AC53" s="104">
        <f>COUNTIFS('свод практик'!$J$6:$J$277,AC$1,'свод практик'!$F$6:$F$277,"100% юбилей")</f>
        <v>0</v>
      </c>
      <c r="AD53" s="104">
        <f>COUNTIFS('свод практик'!$J$6:$J$277,AD$1,'свод практик'!$F$6:$F$277,"100% юбилей")</f>
        <v>0</v>
      </c>
      <c r="AE53" s="104">
        <f>COUNTIFS('свод практик'!$J$6:$J$277,AE$1,'свод практик'!$F$6:$F$277,"100% юбилей")</f>
        <v>0</v>
      </c>
      <c r="AF53" s="104">
        <f>COUNTIFS('свод практик'!$J$6:$J$277,AF$1,'свод практик'!$F$6:$F$277,"100% юбилей")</f>
        <v>0</v>
      </c>
      <c r="AG53" s="104">
        <f>COUNTIFS('свод практик'!$J$6:$J$277,AG$1,'свод практик'!$F$6:$F$277,"100% юбилей")</f>
        <v>0</v>
      </c>
      <c r="AH53" s="104">
        <f>COUNTIFS('свод практик'!$J$6:$J$277,AH$1,'свод практик'!$F$6:$F$277,"100% юбилей")</f>
        <v>0</v>
      </c>
      <c r="AI53" s="104">
        <f>COUNTIFS('свод практик'!$J$6:$J$277,AI$1,'свод практик'!$F$6:$F$277,"100% юбилей")</f>
        <v>0</v>
      </c>
      <c r="AJ53" s="104">
        <f>COUNTIFS('свод практик'!$J$6:$J$277,AJ$1,'свод практик'!$F$6:$F$277,"100% юбилей")</f>
        <v>0</v>
      </c>
      <c r="AK53" s="104">
        <f>COUNTIFS('свод практик'!$J$6:$J$277,AK$1,'свод практик'!$F$6:$F$277,"100% юбилей")</f>
        <v>0</v>
      </c>
      <c r="AL53" s="104">
        <f>COUNTIFS('свод практик'!$J$6:$J$277,AL$1,'свод практик'!$F$6:$F$277,"100% юбилей")</f>
        <v>0</v>
      </c>
      <c r="AM53" s="104">
        <f>COUNTIFS('свод практик'!$J$6:$J$277,AM$1,'свод практик'!$F$6:$F$277,"100% юбилей")</f>
        <v>0</v>
      </c>
      <c r="AN53" s="104">
        <f>COUNTIFS('свод практик'!$J$6:$J$277,AN$1,'свод практик'!$F$6:$F$277,"100% юбилей")</f>
        <v>0</v>
      </c>
      <c r="AO53" s="104">
        <f>COUNTIFS('свод практик'!$J$6:$J$277,AO$1,'свод практик'!$F$6:$F$277,"100% юбилей")</f>
        <v>0</v>
      </c>
      <c r="AP53" s="104">
        <f>COUNTIFS('свод практик'!$J$6:$J$277,AP$1,'свод практик'!$F$6:$F$277,"100% юбилей")</f>
        <v>0</v>
      </c>
      <c r="AQ53" s="104">
        <f>COUNTIFS('свод практик'!$J$6:$J$277,AQ$1,'свод практик'!$F$6:$F$277,"100% юбилей")</f>
        <v>0</v>
      </c>
      <c r="AR53" s="104">
        <f>COUNTIFS('свод практик'!$J$6:$J$277,AR$1,'свод практик'!$F$6:$F$277,"100% юбилей")</f>
        <v>0</v>
      </c>
      <c r="AS53" s="104">
        <f>COUNTIFS('свод практик'!$J$6:$J$277,AS$1,'свод практик'!$F$6:$F$277,"100% юбилей")</f>
        <v>0</v>
      </c>
      <c r="AT53" s="104">
        <f>COUNTIFS('свод практик'!$J$6:$J$277,AT$1,'свод практик'!$F$6:$F$277,"100% юбилей")</f>
        <v>0</v>
      </c>
      <c r="AU53" s="104">
        <f>COUNTIFS('свод практик'!$J$6:$J$277,AU$1,'свод практик'!$F$6:$F$277,"100% юбилей")</f>
        <v>0</v>
      </c>
      <c r="AV53" s="104">
        <f>COUNTIFS('свод практик'!$J$6:$J$277,AV$1,'свод практик'!$F$6:$F$277,"100% юбилей")</f>
        <v>0</v>
      </c>
      <c r="AW53" s="104">
        <f>COUNTIFS('свод практик'!$J$6:$J$277,AW$1,'свод практик'!$F$6:$F$277,"100% юбилей")</f>
        <v>0</v>
      </c>
      <c r="AX53" s="104">
        <f>COUNTIFS('свод практик'!$J$6:$J$277,AX$1,'свод практик'!$F$6:$F$277,"100% юбилей")</f>
        <v>0</v>
      </c>
      <c r="AY53" s="104">
        <f>COUNTIFS('свод практик'!$J$6:$J$277,AY$1,'свод практик'!$F$6:$F$277,"100% юбилей")</f>
        <v>0</v>
      </c>
      <c r="AZ53" s="104">
        <f>COUNTIFS('свод практик'!$J$6:$J$277,AZ$1,'свод практик'!$F$6:$F$277,"100% юбилей")</f>
        <v>0</v>
      </c>
      <c r="BA53" s="104">
        <f>COUNTIFS('свод практик'!$J$6:$J$277,BA$1,'свод практик'!$F$6:$F$277,"100% юбилей")</f>
        <v>0</v>
      </c>
      <c r="BB53" s="104">
        <f>COUNTIFS('свод практик'!$J$6:$J$277,BB$1,'свод практик'!$F$6:$F$277,"100% юбилей")</f>
        <v>0</v>
      </c>
      <c r="BC53" s="104">
        <f>COUNTIFS('свод практик'!$J$6:$J$277,BC$1,'свод практик'!$F$6:$F$277,"100% юбилей")</f>
        <v>0</v>
      </c>
      <c r="BD53" s="104">
        <f>COUNTIFS('свод практик'!$J$6:$J$277,BD$1,'свод практик'!$F$6:$F$277,"100% юбилей")</f>
        <v>0</v>
      </c>
      <c r="BE53" s="104">
        <f>COUNTIFS('свод практик'!$J$6:$J$277,BE$1,'свод практик'!$F$6:$F$277,"100% юбилей")</f>
        <v>0</v>
      </c>
      <c r="BF53" s="104">
        <f>COUNTIFS('свод практик'!$J$6:$J$277,BF$1,'свод практик'!$F$6:$F$277,"100% юбилей")</f>
        <v>0</v>
      </c>
      <c r="BG53" s="104">
        <f>COUNTIFS('свод практик'!$J$6:$J$277,BG$1,'свод практик'!$F$6:$F$277,"100% юбилей")</f>
        <v>0</v>
      </c>
      <c r="BH53" s="104">
        <f>COUNTIFS('свод практик'!$J$6:$J$277,BH$1,'свод практик'!$F$6:$F$277,"100% юбилей")</f>
        <v>0</v>
      </c>
      <c r="BI53" s="104">
        <f>COUNTIFS('свод практик'!$J$6:$J$277,BI$1,'свод практик'!$F$6:$F$277,"100% юбилей")</f>
        <v>0</v>
      </c>
      <c r="BJ53" s="104">
        <f>COUNTIFS('свод практик'!$J$6:$J$277,BJ$1,'свод практик'!$F$6:$F$277,"100% юбилей")</f>
        <v>0</v>
      </c>
      <c r="BK53" s="104">
        <f>COUNTIFS('свод практик'!$J$6:$J$277,BK$1,'свод практик'!$F$6:$F$277,"100% юбилей")</f>
        <v>0</v>
      </c>
      <c r="BL53" s="104">
        <f>COUNTIFS('свод практик'!$J$6:$J$277,BL$1,'свод практик'!$F$6:$F$277,"100% юбилей")</f>
        <v>0</v>
      </c>
      <c r="BM53" s="104">
        <f>COUNTIFS('свод практик'!$J$6:$J$277,BM$1,'свод практик'!$F$6:$F$277,"100% юбилей")</f>
        <v>0</v>
      </c>
      <c r="BN53" s="104">
        <f>COUNTIFS('свод практик'!$J$6:$J$277,BN$1,'свод практик'!$F$6:$F$277,"100% юбилей")</f>
        <v>0</v>
      </c>
      <c r="BO53" s="104">
        <f>COUNTIFS('свод практик'!$J$6:$J$277,BO$1,'свод практик'!$F$6:$F$277,"100% юбилей")</f>
        <v>0</v>
      </c>
      <c r="BP53" s="104">
        <f>COUNTIFS('свод практик'!$J$6:$J$277,BP$1,'свод практик'!$F$6:$F$277,"100% юбилей")</f>
        <v>0</v>
      </c>
      <c r="BQ53" s="104">
        <f>COUNTIFS('свод практик'!$J$6:$J$277,BQ$1,'свод практик'!$F$6:$F$277,"100% юбилей")</f>
        <v>0</v>
      </c>
      <c r="BR53" s="104">
        <f>COUNTIFS('свод практик'!$J$6:$J$277,BR$1,'свод практик'!$F$6:$F$277,"100% юбилей")</f>
        <v>0</v>
      </c>
      <c r="BS53" s="104">
        <f>COUNTIFS('свод практик'!$J$6:$J$277,BS$1,'свод практик'!$F$6:$F$277,"100% юбилей")</f>
        <v>0</v>
      </c>
      <c r="BT53" s="104">
        <f>COUNTIFS('свод практик'!$J$6:$J$277,BT$1,'свод практик'!$F$6:$F$277,"100% юбилей")</f>
        <v>0</v>
      </c>
      <c r="BU53" s="104">
        <f>COUNTIFS('свод практик'!$J$6:$J$277,BU$1,'свод практик'!$F$6:$F$277,"100% юбилей")</f>
        <v>0</v>
      </c>
      <c r="BV53" s="104">
        <f>COUNTIFS('свод практик'!$J$6:$J$277,BV$1,'свод практик'!$F$6:$F$277,"100% юбилей")</f>
        <v>0</v>
      </c>
      <c r="BW53" s="104">
        <f>COUNTIFS('свод практик'!$J$6:$J$277,BW$1,'свод практик'!$F$6:$F$277,"100% юбилей")</f>
        <v>0</v>
      </c>
      <c r="BX53" s="104">
        <f>COUNTIFS('свод практик'!$J$6:$J$277,BX$1,'свод практик'!$F$6:$F$277,"100% юбилей")</f>
        <v>0</v>
      </c>
      <c r="BY53" s="104">
        <f>COUNTIFS('свод практик'!$J$6:$J$277,BY$1,'свод практик'!$F$6:$F$277,"100% юбилей")</f>
        <v>0</v>
      </c>
      <c r="BZ53" s="104">
        <f>COUNTIFS('свод практик'!$J$6:$J$277,BZ$1,'свод практик'!$F$6:$F$277,"100% юбилей")</f>
        <v>0</v>
      </c>
      <c r="CA53" s="104">
        <f>COUNTIFS('свод практик'!$J$6:$J$277,CA$1,'свод практик'!$F$6:$F$277,"100% юбилей")</f>
        <v>0</v>
      </c>
      <c r="CB53" s="104">
        <f>COUNTIFS('свод практик'!$J$6:$J$277,CB$1,'свод практик'!$F$6:$F$277,"100% юбилей")</f>
        <v>0</v>
      </c>
      <c r="CC53" s="104">
        <f>COUNTIFS('свод практик'!$J$6:$J$277,CC$1,'свод практик'!$F$6:$F$277,"100% юбилей")</f>
        <v>0</v>
      </c>
      <c r="CD53" s="104">
        <f>COUNTIFS('свод практик'!$J$6:$J$277,CD$1,'свод практик'!$F$6:$F$277,"100% юбилей")</f>
        <v>0</v>
      </c>
      <c r="CE53" s="104">
        <f>COUNTIFS('свод практик'!$J$6:$J$277,CE$1,'свод практик'!$F$6:$F$277,"100% юбилей")</f>
        <v>1</v>
      </c>
      <c r="CF53" s="104">
        <f>COUNTIFS('свод практик'!$J$6:$J$277,CF$1,'свод практик'!$F$6:$F$277,"100% юбилей")</f>
        <v>0</v>
      </c>
      <c r="CG53" s="104">
        <f>COUNTIFS('свод практик'!$J$6:$J$277,CG$1,'свод практик'!$F$6:$F$277,"100% юбилей")</f>
        <v>0</v>
      </c>
      <c r="CH53" s="104">
        <f>COUNTIFS('свод практик'!$J$6:$J$277,CH$1,'свод практик'!$F$6:$F$277,"100% юбилей")</f>
        <v>0</v>
      </c>
      <c r="CI53" s="104">
        <f>COUNTIFS('свод практик'!$J$6:$J$277,CI$1,'свод практик'!$F$6:$F$277,"100% юбилей")</f>
        <v>0</v>
      </c>
      <c r="CJ53" s="104">
        <f>COUNTIFS('свод практик'!$J$6:$J$277,CJ$1,'свод практик'!$F$6:$F$277,"100% юбилей")</f>
        <v>0</v>
      </c>
      <c r="CK53" s="104">
        <f>COUNTIFS('свод практик'!$J$6:$J$277,CK$1,'свод практик'!$F$6:$F$277,"100% юбилей")</f>
        <v>0</v>
      </c>
    </row>
    <row r="54" spans="1:89">
      <c r="A54" t="s">
        <v>5329</v>
      </c>
      <c r="D54" s="675">
        <f t="shared" si="0"/>
        <v>1</v>
      </c>
      <c r="E54">
        <f>COUNTIFS('свод практик'!$J$6:$J$277,E$1,'свод практик'!$F$6:$F$277,"все МО без ГО")</f>
        <v>0</v>
      </c>
      <c r="F54" s="104">
        <f>COUNTIFS('свод практик'!$J$6:$J$277,F$1,'свод практик'!$F$6:$F$277,"все МО без ГО")</f>
        <v>0</v>
      </c>
      <c r="G54" s="104">
        <f>COUNTIFS('свод практик'!$J$6:$J$277,G$1,'свод практик'!$F$6:$F$277,"все МО без ГО")</f>
        <v>0</v>
      </c>
      <c r="H54" s="104">
        <f>COUNTIFS('свод практик'!$J$6:$J$277,H$1,'свод практик'!$F$6:$F$277,"все МО без ГО")</f>
        <v>0</v>
      </c>
      <c r="I54" s="104">
        <f>COUNTIFS('свод практик'!$J$6:$J$277,I$1,'свод практик'!$F$6:$F$277,"все МО без ГО")</f>
        <v>0</v>
      </c>
      <c r="J54" s="104">
        <f>COUNTIFS('свод практик'!$J$6:$J$277,J$1,'свод практик'!$F$6:$F$277,"все МО без ГО")</f>
        <v>0</v>
      </c>
      <c r="K54" s="104">
        <f>COUNTIFS('свод практик'!$J$6:$J$277,K$1,'свод практик'!$F$6:$F$277,"все МО без ГО")</f>
        <v>0</v>
      </c>
      <c r="L54" s="104">
        <f>COUNTIFS('свод практик'!$J$6:$J$277,L$1,'свод практик'!$F$6:$F$277,"все МО без ГО")</f>
        <v>0</v>
      </c>
      <c r="M54" s="104">
        <f>COUNTIFS('свод практик'!$J$6:$J$277,M$1,'свод практик'!$F$6:$F$277,"все МО без ГО")</f>
        <v>0</v>
      </c>
      <c r="N54" s="104">
        <f>COUNTIFS('свод практик'!$J$6:$J$277,N$1,'свод практик'!$F$6:$F$277,"все МО без ГО")</f>
        <v>0</v>
      </c>
      <c r="O54" s="104">
        <f>COUNTIFS('свод практик'!$J$6:$J$277,O$1,'свод практик'!$F$6:$F$277,"все МО без ГО")</f>
        <v>0</v>
      </c>
      <c r="P54" s="104">
        <f>COUNTIFS('свод практик'!$J$6:$J$277,P$1,'свод практик'!$F$6:$F$277,"все МО без ГО")</f>
        <v>0</v>
      </c>
      <c r="Q54" s="104">
        <f>COUNTIFS('свод практик'!$J$6:$J$277,Q$1,'свод практик'!$F$6:$F$277,"все МО без ГО")</f>
        <v>1</v>
      </c>
      <c r="R54" s="104">
        <f>COUNTIFS('свод практик'!$J$6:$J$277,R$1,'свод практик'!$F$6:$F$277,"все МО без ГО")</f>
        <v>0</v>
      </c>
      <c r="S54" s="104">
        <f>COUNTIFS('свод практик'!$J$6:$J$277,S$1,'свод практик'!$F$6:$F$277,"все МО без ГО")</f>
        <v>0</v>
      </c>
      <c r="T54" s="104">
        <f>COUNTIFS('свод практик'!$J$6:$J$277,T$1,'свод практик'!$F$6:$F$277,"все МО без ГО")</f>
        <v>0</v>
      </c>
      <c r="U54" s="104">
        <f>COUNTIFS('свод практик'!$J$6:$J$277,U$1,'свод практик'!$F$6:$F$277,"все МО без ГО")</f>
        <v>0</v>
      </c>
      <c r="V54" s="104">
        <f>COUNTIFS('свод практик'!$J$6:$J$277,V$1,'свод практик'!$F$6:$F$277,"все МО без ГО")</f>
        <v>0</v>
      </c>
      <c r="W54" s="104">
        <f>COUNTIFS('свод практик'!$J$6:$J$277,W$1,'свод практик'!$F$6:$F$277,"все МО без ГО")</f>
        <v>0</v>
      </c>
      <c r="X54" s="104">
        <f>COUNTIFS('свод практик'!$J$6:$J$277,X$1,'свод практик'!$F$6:$F$277,"все МО без ГО")</f>
        <v>0</v>
      </c>
      <c r="Y54" s="104">
        <f>COUNTIFS('свод практик'!$J$6:$J$277,Y$1,'свод практик'!$F$6:$F$277,"все МО без ГО")</f>
        <v>0</v>
      </c>
      <c r="Z54" s="104">
        <f>COUNTIFS('свод практик'!$J$6:$J$277,Z$1,'свод практик'!$F$6:$F$277,"все МО без ГО")</f>
        <v>0</v>
      </c>
      <c r="AA54" s="104">
        <f>COUNTIFS('свод практик'!$J$6:$J$277,AA$1,'свод практик'!$F$6:$F$277,"все МО без ГО")</f>
        <v>0</v>
      </c>
      <c r="AB54" s="104">
        <f>COUNTIFS('свод практик'!$J$6:$J$277,AB$1,'свод практик'!$F$6:$F$277,"все МО без ГО")</f>
        <v>0</v>
      </c>
      <c r="AC54" s="104">
        <f>COUNTIFS('свод практик'!$J$6:$J$277,AC$1,'свод практик'!$F$6:$F$277,"все МО без ГО")</f>
        <v>0</v>
      </c>
      <c r="AD54" s="104">
        <f>COUNTIFS('свод практик'!$J$6:$J$277,AD$1,'свод практик'!$F$6:$F$277,"все МО без ГО")</f>
        <v>0</v>
      </c>
      <c r="AE54" s="104">
        <f>COUNTIFS('свод практик'!$J$6:$J$277,AE$1,'свод практик'!$F$6:$F$277,"все МО без ГО")</f>
        <v>0</v>
      </c>
      <c r="AF54" s="104">
        <f>COUNTIFS('свод практик'!$J$6:$J$277,AF$1,'свод практик'!$F$6:$F$277,"все МО без ГО")</f>
        <v>0</v>
      </c>
      <c r="AG54" s="104">
        <f>COUNTIFS('свод практик'!$J$6:$J$277,AG$1,'свод практик'!$F$6:$F$277,"все МО без ГО")</f>
        <v>0</v>
      </c>
      <c r="AH54" s="104">
        <f>COUNTIFS('свод практик'!$J$6:$J$277,AH$1,'свод практик'!$F$6:$F$277,"все МО без ГО")</f>
        <v>0</v>
      </c>
      <c r="AI54" s="104">
        <f>COUNTIFS('свод практик'!$J$6:$J$277,AI$1,'свод практик'!$F$6:$F$277,"все МО без ГО")</f>
        <v>0</v>
      </c>
      <c r="AJ54" s="104">
        <f>COUNTIFS('свод практик'!$J$6:$J$277,AJ$1,'свод практик'!$F$6:$F$277,"все МО без ГО")</f>
        <v>0</v>
      </c>
      <c r="AK54" s="104">
        <f>COUNTIFS('свод практик'!$J$6:$J$277,AK$1,'свод практик'!$F$6:$F$277,"все МО без ГО")</f>
        <v>0</v>
      </c>
      <c r="AL54" s="104">
        <f>COUNTIFS('свод практик'!$J$6:$J$277,AL$1,'свод практик'!$F$6:$F$277,"все МО без ГО")</f>
        <v>0</v>
      </c>
      <c r="AM54" s="104">
        <f>COUNTIFS('свод практик'!$J$6:$J$277,AM$1,'свод практик'!$F$6:$F$277,"все МО без ГО")</f>
        <v>0</v>
      </c>
      <c r="AN54" s="104">
        <f>COUNTIFS('свод практик'!$J$6:$J$277,AN$1,'свод практик'!$F$6:$F$277,"все МО без ГО")</f>
        <v>0</v>
      </c>
      <c r="AO54" s="104">
        <f>COUNTIFS('свод практик'!$J$6:$J$277,AO$1,'свод практик'!$F$6:$F$277,"все МО без ГО")</f>
        <v>0</v>
      </c>
      <c r="AP54" s="104">
        <f>COUNTIFS('свод практик'!$J$6:$J$277,AP$1,'свод практик'!$F$6:$F$277,"все МО без ГО")</f>
        <v>0</v>
      </c>
      <c r="AQ54" s="104">
        <f>COUNTIFS('свод практик'!$J$6:$J$277,AQ$1,'свод практик'!$F$6:$F$277,"все МО без ГО")</f>
        <v>0</v>
      </c>
      <c r="AR54" s="104">
        <f>COUNTIFS('свод практик'!$J$6:$J$277,AR$1,'свод практик'!$F$6:$F$277,"все МО без ГО")</f>
        <v>0</v>
      </c>
      <c r="AS54" s="104">
        <f>COUNTIFS('свод практик'!$J$6:$J$277,AS$1,'свод практик'!$F$6:$F$277,"все МО без ГО")</f>
        <v>0</v>
      </c>
      <c r="AT54" s="104">
        <f>COUNTIFS('свод практик'!$J$6:$J$277,AT$1,'свод практик'!$F$6:$F$277,"все МО без ГО")</f>
        <v>0</v>
      </c>
      <c r="AU54" s="104">
        <f>COUNTIFS('свод практик'!$J$6:$J$277,AU$1,'свод практик'!$F$6:$F$277,"все МО без ГО")</f>
        <v>0</v>
      </c>
      <c r="AV54" s="104">
        <f>COUNTIFS('свод практик'!$J$6:$J$277,AV$1,'свод практик'!$F$6:$F$277,"все МО без ГО")</f>
        <v>0</v>
      </c>
      <c r="AW54" s="104">
        <f>COUNTIFS('свод практик'!$J$6:$J$277,AW$1,'свод практик'!$F$6:$F$277,"все МО без ГО")</f>
        <v>0</v>
      </c>
      <c r="AX54" s="104">
        <f>COUNTIFS('свод практик'!$J$6:$J$277,AX$1,'свод практик'!$F$6:$F$277,"все МО без ГО")</f>
        <v>0</v>
      </c>
      <c r="AY54" s="104">
        <f>COUNTIFS('свод практик'!$J$6:$J$277,AY$1,'свод практик'!$F$6:$F$277,"все МО без ГО")</f>
        <v>0</v>
      </c>
      <c r="AZ54" s="104">
        <f>COUNTIFS('свод практик'!$J$6:$J$277,AZ$1,'свод практик'!$F$6:$F$277,"все МО без ГО")</f>
        <v>0</v>
      </c>
      <c r="BA54" s="104">
        <f>COUNTIFS('свод практик'!$J$6:$J$277,BA$1,'свод практик'!$F$6:$F$277,"все МО без ГО")</f>
        <v>0</v>
      </c>
      <c r="BB54" s="104">
        <f>COUNTIFS('свод практик'!$J$6:$J$277,BB$1,'свод практик'!$F$6:$F$277,"все МО без ГО")</f>
        <v>0</v>
      </c>
      <c r="BC54" s="104">
        <f>COUNTIFS('свод практик'!$J$6:$J$277,BC$1,'свод практик'!$F$6:$F$277,"все МО без ГО")</f>
        <v>0</v>
      </c>
      <c r="BD54" s="104">
        <f>COUNTIFS('свод практик'!$J$6:$J$277,BD$1,'свод практик'!$F$6:$F$277,"все МО без ГО")</f>
        <v>0</v>
      </c>
      <c r="BE54" s="104">
        <f>COUNTIFS('свод практик'!$J$6:$J$277,BE$1,'свод практик'!$F$6:$F$277,"все МО без ГО")</f>
        <v>0</v>
      </c>
      <c r="BF54" s="104">
        <f>COUNTIFS('свод практик'!$J$6:$J$277,BF$1,'свод практик'!$F$6:$F$277,"все МО без ГО")</f>
        <v>0</v>
      </c>
      <c r="BG54" s="104">
        <f>COUNTIFS('свод практик'!$J$6:$J$277,BG$1,'свод практик'!$F$6:$F$277,"все МО без ГО")</f>
        <v>0</v>
      </c>
      <c r="BH54" s="104">
        <f>COUNTIFS('свод практик'!$J$6:$J$277,BH$1,'свод практик'!$F$6:$F$277,"все МО без ГО")</f>
        <v>0</v>
      </c>
      <c r="BI54" s="104">
        <f>COUNTIFS('свод практик'!$J$6:$J$277,BI$1,'свод практик'!$F$6:$F$277,"все МО без ГО")</f>
        <v>0</v>
      </c>
      <c r="BJ54" s="104">
        <f>COUNTIFS('свод практик'!$J$6:$J$277,BJ$1,'свод практик'!$F$6:$F$277,"все МО без ГО")</f>
        <v>0</v>
      </c>
      <c r="BK54" s="104">
        <f>COUNTIFS('свод практик'!$J$6:$J$277,BK$1,'свод практик'!$F$6:$F$277,"все МО без ГО")</f>
        <v>0</v>
      </c>
      <c r="BL54" s="104">
        <f>COUNTIFS('свод практик'!$J$6:$J$277,BL$1,'свод практик'!$F$6:$F$277,"все МО без ГО")</f>
        <v>0</v>
      </c>
      <c r="BM54" s="104">
        <f>COUNTIFS('свод практик'!$J$6:$J$277,BM$1,'свод практик'!$F$6:$F$277,"все МО без ГО")</f>
        <v>0</v>
      </c>
      <c r="BN54" s="104">
        <f>COUNTIFS('свод практик'!$J$6:$J$277,BN$1,'свод практик'!$F$6:$F$277,"все МО без ГО")</f>
        <v>0</v>
      </c>
      <c r="BO54" s="104">
        <f>COUNTIFS('свод практик'!$J$6:$J$277,BO$1,'свод практик'!$F$6:$F$277,"все МО без ГО")</f>
        <v>0</v>
      </c>
      <c r="BP54" s="104">
        <f>COUNTIFS('свод практик'!$J$6:$J$277,BP$1,'свод практик'!$F$6:$F$277,"все МО без ГО")</f>
        <v>0</v>
      </c>
      <c r="BQ54" s="104">
        <f>COUNTIFS('свод практик'!$J$6:$J$277,BQ$1,'свод практик'!$F$6:$F$277,"все МО без ГО")</f>
        <v>0</v>
      </c>
      <c r="BR54" s="104">
        <f>COUNTIFS('свод практик'!$J$6:$J$277,BR$1,'свод практик'!$F$6:$F$277,"все МО без ГО")</f>
        <v>0</v>
      </c>
      <c r="BS54" s="104">
        <f>COUNTIFS('свод практик'!$J$6:$J$277,BS$1,'свод практик'!$F$6:$F$277,"все МО без ГО")</f>
        <v>0</v>
      </c>
      <c r="BT54" s="104">
        <f>COUNTIFS('свод практик'!$J$6:$J$277,BT$1,'свод практик'!$F$6:$F$277,"все МО без ГО")</f>
        <v>0</v>
      </c>
      <c r="BU54" s="104">
        <f>COUNTIFS('свод практик'!$J$6:$J$277,BU$1,'свод практик'!$F$6:$F$277,"все МО без ГО")</f>
        <v>0</v>
      </c>
      <c r="BV54" s="104">
        <f>COUNTIFS('свод практик'!$J$6:$J$277,BV$1,'свод практик'!$F$6:$F$277,"все МО без ГО")</f>
        <v>0</v>
      </c>
      <c r="BW54" s="104">
        <f>COUNTIFS('свод практик'!$J$6:$J$277,BW$1,'свод практик'!$F$6:$F$277,"все МО без ГО")</f>
        <v>0</v>
      </c>
      <c r="BX54" s="104">
        <f>COUNTIFS('свод практик'!$J$6:$J$277,BX$1,'свод практик'!$F$6:$F$277,"все МО без ГО")</f>
        <v>0</v>
      </c>
      <c r="BY54" s="104">
        <f>COUNTIFS('свод практик'!$J$6:$J$277,BY$1,'свод практик'!$F$6:$F$277,"все МО без ГО")</f>
        <v>0</v>
      </c>
      <c r="BZ54" s="104">
        <f>COUNTIFS('свод практик'!$J$6:$J$277,BZ$1,'свод практик'!$F$6:$F$277,"все МО без ГО")</f>
        <v>0</v>
      </c>
      <c r="CA54" s="104">
        <f>COUNTIFS('свод практик'!$J$6:$J$277,CA$1,'свод практик'!$F$6:$F$277,"все МО без ГО")</f>
        <v>0</v>
      </c>
      <c r="CB54" s="104">
        <f>COUNTIFS('свод практик'!$J$6:$J$277,CB$1,'свод практик'!$F$6:$F$277,"все МО без ГО")</f>
        <v>0</v>
      </c>
      <c r="CC54" s="104">
        <f>COUNTIFS('свод практик'!$J$6:$J$277,CC$1,'свод практик'!$F$6:$F$277,"все МО без ГО")</f>
        <v>0</v>
      </c>
      <c r="CD54" s="104">
        <f>COUNTIFS('свод практик'!$J$6:$J$277,CD$1,'свод практик'!$F$6:$F$277,"все МО без ГО")</f>
        <v>0</v>
      </c>
      <c r="CE54" s="104">
        <f>COUNTIFS('свод практик'!$J$6:$J$277,CE$1,'свод практик'!$F$6:$F$277,"все МО без ГО")</f>
        <v>0</v>
      </c>
      <c r="CF54" s="104">
        <f>COUNTIFS('свод практик'!$J$6:$J$277,CF$1,'свод практик'!$F$6:$F$277,"все МО без ГО")</f>
        <v>0</v>
      </c>
      <c r="CG54" s="104">
        <f>COUNTIFS('свод практик'!$J$6:$J$277,CG$1,'свод практик'!$F$6:$F$277,"все МО без ГО")</f>
        <v>0</v>
      </c>
      <c r="CH54" s="104">
        <f>COUNTIFS('свод практик'!$J$6:$J$277,CH$1,'свод практик'!$F$6:$F$277,"все МО без ГО")</f>
        <v>0</v>
      </c>
      <c r="CI54" s="104">
        <f>COUNTIFS('свод практик'!$J$6:$J$277,CI$1,'свод практик'!$F$6:$F$277,"все МО без ГО")</f>
        <v>0</v>
      </c>
      <c r="CJ54" s="104">
        <f>COUNTIFS('свод практик'!$J$6:$J$277,CJ$1,'свод практик'!$F$6:$F$277,"все МО без ГО")</f>
        <v>0</v>
      </c>
      <c r="CK54" s="104">
        <f>COUNTIFS('свод практик'!$J$6:$J$277,CK$1,'свод практик'!$F$6:$F$277,"все МО без ГО")</f>
        <v>0</v>
      </c>
    </row>
    <row r="55" spans="1:89">
      <c r="A55" t="s">
        <v>5356</v>
      </c>
      <c r="D55" s="675">
        <f t="shared" si="0"/>
        <v>1</v>
      </c>
      <c r="E55">
        <f>COUNTIFS('свод практик'!$J$6:$J$277,E$1,'свод практик'!$F$6:$F$277,"все типы, с ограничениями")</f>
        <v>0</v>
      </c>
      <c r="F55" s="104">
        <f>COUNTIFS('свод практик'!$J$6:$J$277,F$1,'свод практик'!$F$6:$F$277,"все типы, с ограничениями")</f>
        <v>0</v>
      </c>
      <c r="G55" s="104">
        <f>COUNTIFS('свод практик'!$J$6:$J$277,G$1,'свод практик'!$F$6:$F$277,"все типы, с ограничениями")</f>
        <v>0</v>
      </c>
      <c r="H55" s="104">
        <f>COUNTIFS('свод практик'!$J$6:$J$277,H$1,'свод практик'!$F$6:$F$277,"все типы, с ограничениями")</f>
        <v>0</v>
      </c>
      <c r="I55" s="104">
        <f>COUNTIFS('свод практик'!$J$6:$J$277,I$1,'свод практик'!$F$6:$F$277,"все типы, с ограничениями")</f>
        <v>0</v>
      </c>
      <c r="J55" s="104">
        <f>COUNTIFS('свод практик'!$J$6:$J$277,J$1,'свод практик'!$F$6:$F$277,"все типы, с ограничениями")</f>
        <v>0</v>
      </c>
      <c r="K55" s="104">
        <f>COUNTIFS('свод практик'!$J$6:$J$277,K$1,'свод практик'!$F$6:$F$277,"все типы, с ограничениями")</f>
        <v>0</v>
      </c>
      <c r="L55" s="104">
        <f>COUNTIFS('свод практик'!$J$6:$J$277,L$1,'свод практик'!$F$6:$F$277,"все типы, с ограничениями")</f>
        <v>0</v>
      </c>
      <c r="M55" s="104">
        <f>COUNTIFS('свод практик'!$J$6:$J$277,M$1,'свод практик'!$F$6:$F$277,"все типы, с ограничениями")</f>
        <v>0</v>
      </c>
      <c r="N55" s="104">
        <f>COUNTIFS('свод практик'!$J$6:$J$277,N$1,'свод практик'!$F$6:$F$277,"все типы, с ограничениями")</f>
        <v>0</v>
      </c>
      <c r="O55" s="104">
        <f>COUNTIFS('свод практик'!$J$6:$J$277,O$1,'свод практик'!$F$6:$F$277,"все типы, с ограничениями")</f>
        <v>0</v>
      </c>
      <c r="P55" s="104">
        <f>COUNTIFS('свод практик'!$J$6:$J$277,P$1,'свод практик'!$F$6:$F$277,"все типы, с ограничениями")</f>
        <v>0</v>
      </c>
      <c r="Q55" s="104">
        <f>COUNTIFS('свод практик'!$J$6:$J$277,Q$1,'свод практик'!$F$6:$F$277,"все типы, с ограничениями")</f>
        <v>0</v>
      </c>
      <c r="R55" s="104">
        <f>COUNTIFS('свод практик'!$J$6:$J$277,R$1,'свод практик'!$F$6:$F$277,"все типы, с ограничениями")</f>
        <v>0</v>
      </c>
      <c r="S55" s="104">
        <f>COUNTIFS('свод практик'!$J$6:$J$277,S$1,'свод практик'!$F$6:$F$277,"все типы, с ограничениями")</f>
        <v>0</v>
      </c>
      <c r="T55" s="104">
        <f>COUNTIFS('свод практик'!$J$6:$J$277,T$1,'свод практик'!$F$6:$F$277,"все типы, с ограничениями")</f>
        <v>0</v>
      </c>
      <c r="U55" s="104">
        <f>COUNTIFS('свод практик'!$J$6:$J$277,U$1,'свод практик'!$F$6:$F$277,"все типы, с ограничениями")</f>
        <v>0</v>
      </c>
      <c r="V55" s="104">
        <f>COUNTIFS('свод практик'!$J$6:$J$277,V$1,'свод практик'!$F$6:$F$277,"все типы, с ограничениями")</f>
        <v>0</v>
      </c>
      <c r="W55" s="104">
        <f>COUNTIFS('свод практик'!$J$6:$J$277,W$1,'свод практик'!$F$6:$F$277,"все типы, с ограничениями")</f>
        <v>0</v>
      </c>
      <c r="X55" s="104">
        <f>COUNTIFS('свод практик'!$J$6:$J$277,X$1,'свод практик'!$F$6:$F$277,"все типы, с ограничениями")</f>
        <v>0</v>
      </c>
      <c r="Y55" s="104">
        <f>COUNTIFS('свод практик'!$J$6:$J$277,Y$1,'свод практик'!$F$6:$F$277,"все типы, с ограничениями")</f>
        <v>0</v>
      </c>
      <c r="Z55" s="104">
        <f>COUNTIFS('свод практик'!$J$6:$J$277,Z$1,'свод практик'!$F$6:$F$277,"все типы, с ограничениями")</f>
        <v>0</v>
      </c>
      <c r="AA55" s="104">
        <f>COUNTIFS('свод практик'!$J$6:$J$277,AA$1,'свод практик'!$F$6:$F$277,"все типы, с ограничениями")</f>
        <v>0</v>
      </c>
      <c r="AB55" s="104">
        <f>COUNTIFS('свод практик'!$J$6:$J$277,AB$1,'свод практик'!$F$6:$F$277,"все типы, с ограничениями")</f>
        <v>0</v>
      </c>
      <c r="AC55" s="104">
        <f>COUNTIFS('свод практик'!$J$6:$J$277,AC$1,'свод практик'!$F$6:$F$277,"все типы, с ограничениями")</f>
        <v>0</v>
      </c>
      <c r="AD55" s="104">
        <f>COUNTIFS('свод практик'!$J$6:$J$277,AD$1,'свод практик'!$F$6:$F$277,"все типы, с ограничениями")</f>
        <v>0</v>
      </c>
      <c r="AE55" s="104">
        <f>COUNTIFS('свод практик'!$J$6:$J$277,AE$1,'свод практик'!$F$6:$F$277,"все типы, с ограничениями")</f>
        <v>0</v>
      </c>
      <c r="AF55" s="104">
        <f>COUNTIFS('свод практик'!$J$6:$J$277,AF$1,'свод практик'!$F$6:$F$277,"все типы, с ограничениями")</f>
        <v>0</v>
      </c>
      <c r="AG55" s="104">
        <f>COUNTIFS('свод практик'!$J$6:$J$277,AG$1,'свод практик'!$F$6:$F$277,"все типы, с ограничениями")</f>
        <v>0</v>
      </c>
      <c r="AH55" s="104">
        <f>COUNTIFS('свод практик'!$J$6:$J$277,AH$1,'свод практик'!$F$6:$F$277,"все типы, с ограничениями")</f>
        <v>0</v>
      </c>
      <c r="AI55" s="104">
        <f>COUNTIFS('свод практик'!$J$6:$J$277,AI$1,'свод практик'!$F$6:$F$277,"все типы, с ограничениями")</f>
        <v>0</v>
      </c>
      <c r="AJ55" s="104">
        <f>COUNTIFS('свод практик'!$J$6:$J$277,AJ$1,'свод практик'!$F$6:$F$277,"все типы, с ограничениями")</f>
        <v>0</v>
      </c>
      <c r="AK55" s="104">
        <f>COUNTIFS('свод практик'!$J$6:$J$277,AK$1,'свод практик'!$F$6:$F$277,"все типы, с ограничениями")</f>
        <v>0</v>
      </c>
      <c r="AL55" s="104">
        <f>COUNTIFS('свод практик'!$J$6:$J$277,AL$1,'свод практик'!$F$6:$F$277,"все типы, с ограничениями")</f>
        <v>0</v>
      </c>
      <c r="AM55" s="104">
        <f>COUNTIFS('свод практик'!$J$6:$J$277,AM$1,'свод практик'!$F$6:$F$277,"все типы, с ограничениями")</f>
        <v>0</v>
      </c>
      <c r="AN55" s="104">
        <f>COUNTIFS('свод практик'!$J$6:$J$277,AN$1,'свод практик'!$F$6:$F$277,"все типы, с ограничениями")</f>
        <v>0</v>
      </c>
      <c r="AO55" s="104">
        <f>COUNTIFS('свод практик'!$J$6:$J$277,AO$1,'свод практик'!$F$6:$F$277,"все типы, с ограничениями")</f>
        <v>0</v>
      </c>
      <c r="AP55" s="104">
        <f>COUNTIFS('свод практик'!$J$6:$J$277,AP$1,'свод практик'!$F$6:$F$277,"все типы, с ограничениями")</f>
        <v>0</v>
      </c>
      <c r="AQ55" s="104">
        <f>COUNTIFS('свод практик'!$J$6:$J$277,AQ$1,'свод практик'!$F$6:$F$277,"все типы, с ограничениями")</f>
        <v>0</v>
      </c>
      <c r="AR55" s="104">
        <f>COUNTIFS('свод практик'!$J$6:$J$277,AR$1,'свод практик'!$F$6:$F$277,"все типы, с ограничениями")</f>
        <v>0</v>
      </c>
      <c r="AS55" s="104">
        <f>COUNTIFS('свод практик'!$J$6:$J$277,AS$1,'свод практик'!$F$6:$F$277,"все типы, с ограничениями")</f>
        <v>0</v>
      </c>
      <c r="AT55" s="104">
        <f>COUNTIFS('свод практик'!$J$6:$J$277,AT$1,'свод практик'!$F$6:$F$277,"все типы, с ограничениями")</f>
        <v>0</v>
      </c>
      <c r="AU55" s="104">
        <f>COUNTIFS('свод практик'!$J$6:$J$277,AU$1,'свод практик'!$F$6:$F$277,"все типы, с ограничениями")</f>
        <v>0</v>
      </c>
      <c r="AV55" s="104">
        <f>COUNTIFS('свод практик'!$J$6:$J$277,AV$1,'свод практик'!$F$6:$F$277,"все типы, с ограничениями")</f>
        <v>0</v>
      </c>
      <c r="AW55" s="104">
        <f>COUNTIFS('свод практик'!$J$6:$J$277,AW$1,'свод практик'!$F$6:$F$277,"все типы, с ограничениями")</f>
        <v>0</v>
      </c>
      <c r="AX55" s="104">
        <f>COUNTIFS('свод практик'!$J$6:$J$277,AX$1,'свод практик'!$F$6:$F$277,"все типы, с ограничениями")</f>
        <v>0</v>
      </c>
      <c r="AY55" s="104">
        <f>COUNTIFS('свод практик'!$J$6:$J$277,AY$1,'свод практик'!$F$6:$F$277,"все типы, с ограничениями")</f>
        <v>0</v>
      </c>
      <c r="AZ55" s="104">
        <f>COUNTIFS('свод практик'!$J$6:$J$277,AZ$1,'свод практик'!$F$6:$F$277,"все типы, с ограничениями")</f>
        <v>0</v>
      </c>
      <c r="BA55" s="104">
        <f>COUNTIFS('свод практик'!$J$6:$J$277,BA$1,'свод практик'!$F$6:$F$277,"все типы, с ограничениями")</f>
        <v>0</v>
      </c>
      <c r="BB55" s="104">
        <f>COUNTIFS('свод практик'!$J$6:$J$277,BB$1,'свод практик'!$F$6:$F$277,"все типы, с ограничениями")</f>
        <v>0</v>
      </c>
      <c r="BC55" s="104">
        <f>COUNTIFS('свод практик'!$J$6:$J$277,BC$1,'свод практик'!$F$6:$F$277,"все типы, с ограничениями")</f>
        <v>0</v>
      </c>
      <c r="BD55" s="104">
        <f>COUNTIFS('свод практик'!$J$6:$J$277,BD$1,'свод практик'!$F$6:$F$277,"все типы, с ограничениями")</f>
        <v>0</v>
      </c>
      <c r="BE55" s="104">
        <f>COUNTIFS('свод практик'!$J$6:$J$277,BE$1,'свод практик'!$F$6:$F$277,"все типы, с ограничениями")</f>
        <v>0</v>
      </c>
      <c r="BF55" s="104">
        <f>COUNTIFS('свод практик'!$J$6:$J$277,BF$1,'свод практик'!$F$6:$F$277,"все типы, с ограничениями")</f>
        <v>0</v>
      </c>
      <c r="BG55" s="104">
        <f>COUNTIFS('свод практик'!$J$6:$J$277,BG$1,'свод практик'!$F$6:$F$277,"все типы, с ограничениями")</f>
        <v>0</v>
      </c>
      <c r="BH55" s="104">
        <f>COUNTIFS('свод практик'!$J$6:$J$277,BH$1,'свод практик'!$F$6:$F$277,"все типы, с ограничениями")</f>
        <v>0</v>
      </c>
      <c r="BI55" s="104">
        <f>COUNTIFS('свод практик'!$J$6:$J$277,BI$1,'свод практик'!$F$6:$F$277,"все типы, с ограничениями")</f>
        <v>0</v>
      </c>
      <c r="BJ55" s="104">
        <f>COUNTIFS('свод практик'!$J$6:$J$277,BJ$1,'свод практик'!$F$6:$F$277,"все типы, с ограничениями")</f>
        <v>0</v>
      </c>
      <c r="BK55" s="104">
        <f>COUNTIFS('свод практик'!$J$6:$J$277,BK$1,'свод практик'!$F$6:$F$277,"все типы, с ограничениями")</f>
        <v>0</v>
      </c>
      <c r="BL55" s="104">
        <f>COUNTIFS('свод практик'!$J$6:$J$277,BL$1,'свод практик'!$F$6:$F$277,"все типы, с ограничениями")</f>
        <v>0</v>
      </c>
      <c r="BM55" s="104">
        <f>COUNTIFS('свод практик'!$J$6:$J$277,BM$1,'свод практик'!$F$6:$F$277,"все типы, с ограничениями")</f>
        <v>0</v>
      </c>
      <c r="BN55" s="104">
        <f>COUNTIFS('свод практик'!$J$6:$J$277,BN$1,'свод практик'!$F$6:$F$277,"все типы, с ограничениями")</f>
        <v>0</v>
      </c>
      <c r="BO55" s="104">
        <f>COUNTIFS('свод практик'!$J$6:$J$277,BO$1,'свод практик'!$F$6:$F$277,"все типы, с ограничениями")</f>
        <v>0</v>
      </c>
      <c r="BP55" s="104">
        <f>COUNTIFS('свод практик'!$J$6:$J$277,BP$1,'свод практик'!$F$6:$F$277,"все типы, с ограничениями")</f>
        <v>0</v>
      </c>
      <c r="BQ55" s="104">
        <f>COUNTIFS('свод практик'!$J$6:$J$277,BQ$1,'свод практик'!$F$6:$F$277,"все типы, с ограничениями")</f>
        <v>0</v>
      </c>
      <c r="BR55" s="104">
        <f>COUNTIFS('свод практик'!$J$6:$J$277,BR$1,'свод практик'!$F$6:$F$277,"все типы, с ограничениями")</f>
        <v>0</v>
      </c>
      <c r="BS55" s="104">
        <f>COUNTIFS('свод практик'!$J$6:$J$277,BS$1,'свод практик'!$F$6:$F$277,"все типы, с ограничениями")</f>
        <v>0</v>
      </c>
      <c r="BT55" s="104">
        <f>COUNTIFS('свод практик'!$J$6:$J$277,BT$1,'свод практик'!$F$6:$F$277,"все типы, с ограничениями")</f>
        <v>0</v>
      </c>
      <c r="BU55" s="104">
        <f>COUNTIFS('свод практик'!$J$6:$J$277,BU$1,'свод практик'!$F$6:$F$277,"все типы, с ограничениями")</f>
        <v>0</v>
      </c>
      <c r="BV55" s="104">
        <f>COUNTIFS('свод практик'!$J$6:$J$277,BV$1,'свод практик'!$F$6:$F$277,"все типы, с ограничениями")</f>
        <v>0</v>
      </c>
      <c r="BW55" s="104">
        <f>COUNTIFS('свод практик'!$J$6:$J$277,BW$1,'свод практик'!$F$6:$F$277,"все типы, с ограничениями")</f>
        <v>0</v>
      </c>
      <c r="BX55" s="104">
        <f>COUNTIFS('свод практик'!$J$6:$J$277,BX$1,'свод практик'!$F$6:$F$277,"все типы, с ограничениями")</f>
        <v>0</v>
      </c>
      <c r="BY55" s="104">
        <f>COUNTIFS('свод практик'!$J$6:$J$277,BY$1,'свод практик'!$F$6:$F$277,"все типы, с ограничениями")</f>
        <v>0</v>
      </c>
      <c r="BZ55" s="104">
        <f>COUNTIFS('свод практик'!$J$6:$J$277,BZ$1,'свод практик'!$F$6:$F$277,"все типы, с ограничениями")</f>
        <v>0</v>
      </c>
      <c r="CA55" s="104">
        <f>COUNTIFS('свод практик'!$J$6:$J$277,CA$1,'свод практик'!$F$6:$F$277,"все типы, с ограничениями")</f>
        <v>0</v>
      </c>
      <c r="CB55" s="104">
        <f>COUNTIFS('свод практик'!$J$6:$J$277,CB$1,'свод практик'!$F$6:$F$277,"все типы, с ограничениями")</f>
        <v>1</v>
      </c>
      <c r="CC55" s="104">
        <f>COUNTIFS('свод практик'!$J$6:$J$277,CC$1,'свод практик'!$F$6:$F$277,"все типы, с ограничениями")</f>
        <v>0</v>
      </c>
      <c r="CD55" s="104">
        <f>COUNTIFS('свод практик'!$J$6:$J$277,CD$1,'свод практик'!$F$6:$F$277,"все типы, с ограничениями")</f>
        <v>0</v>
      </c>
      <c r="CE55" s="104">
        <f>COUNTIFS('свод практик'!$J$6:$J$277,CE$1,'свод практик'!$F$6:$F$277,"все типы, с ограничениями")</f>
        <v>0</v>
      </c>
      <c r="CF55" s="104">
        <f>COUNTIFS('свод практик'!$J$6:$J$277,CF$1,'свод практик'!$F$6:$F$277,"все типы, с ограничениями")</f>
        <v>0</v>
      </c>
      <c r="CG55" s="104">
        <f>COUNTIFS('свод практик'!$J$6:$J$277,CG$1,'свод практик'!$F$6:$F$277,"все типы, с ограничениями")</f>
        <v>0</v>
      </c>
      <c r="CH55" s="104">
        <f>COUNTIFS('свод практик'!$J$6:$J$277,CH$1,'свод практик'!$F$6:$F$277,"все типы, с ограничениями")</f>
        <v>0</v>
      </c>
      <c r="CI55" s="104">
        <f>COUNTIFS('свод практик'!$J$6:$J$277,CI$1,'свод практик'!$F$6:$F$277,"все типы, с ограничениями")</f>
        <v>0</v>
      </c>
      <c r="CJ55" s="104">
        <f>COUNTIFS('свод практик'!$J$6:$J$277,CJ$1,'свод практик'!$F$6:$F$277,"все типы, с ограничениями")</f>
        <v>0</v>
      </c>
      <c r="CK55" s="104">
        <f>COUNTIFS('свод практик'!$J$6:$J$277,CK$1,'свод практик'!$F$6:$F$277,"все типы, с ограничениями")</f>
        <v>0</v>
      </c>
    </row>
    <row r="56" spans="1:89">
      <c r="A56" t="s">
        <v>5355</v>
      </c>
      <c r="D56" s="675">
        <f t="shared" si="0"/>
        <v>1</v>
      </c>
      <c r="E56">
        <f>COUNTIFS('свод практик'!$J$6:$J$277,E$1,'свод практик'!$F$6:$F$277,"ГО")</f>
        <v>0</v>
      </c>
      <c r="F56" s="104">
        <f>COUNTIFS('свод практик'!$J$6:$J$277,F$1,'свод практик'!$F$6:$F$277,"ГО")</f>
        <v>0</v>
      </c>
      <c r="G56" s="104">
        <f>COUNTIFS('свод практик'!$J$6:$J$277,G$1,'свод практик'!$F$6:$F$277,"ГО")</f>
        <v>0</v>
      </c>
      <c r="H56" s="104">
        <f>COUNTIFS('свод практик'!$J$6:$J$277,H$1,'свод практик'!$F$6:$F$277,"ГО")</f>
        <v>0</v>
      </c>
      <c r="I56" s="104">
        <f>COUNTIFS('свод практик'!$J$6:$J$277,I$1,'свод практик'!$F$6:$F$277,"ГО")</f>
        <v>0</v>
      </c>
      <c r="J56" s="104">
        <f>COUNTIFS('свод практик'!$J$6:$J$277,J$1,'свод практик'!$F$6:$F$277,"ГО")</f>
        <v>0</v>
      </c>
      <c r="K56" s="104">
        <f>COUNTIFS('свод практик'!$J$6:$J$277,K$1,'свод практик'!$F$6:$F$277,"ГО")</f>
        <v>0</v>
      </c>
      <c r="L56" s="104">
        <f>COUNTIFS('свод практик'!$J$6:$J$277,L$1,'свод практик'!$F$6:$F$277,"ГО")</f>
        <v>0</v>
      </c>
      <c r="M56" s="104">
        <f>COUNTIFS('свод практик'!$J$6:$J$277,M$1,'свод практик'!$F$6:$F$277,"ГО")</f>
        <v>0</v>
      </c>
      <c r="N56" s="104">
        <f>COUNTIFS('свод практик'!$J$6:$J$277,N$1,'свод практик'!$F$6:$F$277,"ГО")</f>
        <v>0</v>
      </c>
      <c r="O56" s="104">
        <f>COUNTIFS('свод практик'!$J$6:$J$277,O$1,'свод практик'!$F$6:$F$277,"ГО")</f>
        <v>0</v>
      </c>
      <c r="P56" s="104">
        <f>COUNTIFS('свод практик'!$J$6:$J$277,P$1,'свод практик'!$F$6:$F$277,"ГО")</f>
        <v>0</v>
      </c>
      <c r="Q56" s="104">
        <f>COUNTIFS('свод практик'!$J$6:$J$277,Q$1,'свод практик'!$F$6:$F$277,"ГО")</f>
        <v>0</v>
      </c>
      <c r="R56" s="104">
        <f>COUNTIFS('свод практик'!$J$6:$J$277,R$1,'свод практик'!$F$6:$F$277,"ГО")</f>
        <v>0</v>
      </c>
      <c r="S56" s="104">
        <f>COUNTIFS('свод практик'!$J$6:$J$277,S$1,'свод практик'!$F$6:$F$277,"ГО")</f>
        <v>0</v>
      </c>
      <c r="T56" s="104">
        <f>COUNTIFS('свод практик'!$J$6:$J$277,T$1,'свод практик'!$F$6:$F$277,"ГО")</f>
        <v>0</v>
      </c>
      <c r="U56" s="104">
        <f>COUNTIFS('свод практик'!$J$6:$J$277,U$1,'свод практик'!$F$6:$F$277,"ГО")</f>
        <v>0</v>
      </c>
      <c r="V56" s="104">
        <f>COUNTIFS('свод практик'!$J$6:$J$277,V$1,'свод практик'!$F$6:$F$277,"ГО")</f>
        <v>0</v>
      </c>
      <c r="W56" s="104">
        <f>COUNTIFS('свод практик'!$J$6:$J$277,W$1,'свод практик'!$F$6:$F$277,"ГО")</f>
        <v>0</v>
      </c>
      <c r="X56" s="104">
        <f>COUNTIFS('свод практик'!$J$6:$J$277,X$1,'свод практик'!$F$6:$F$277,"ГО")</f>
        <v>0</v>
      </c>
      <c r="Y56" s="104">
        <f>COUNTIFS('свод практик'!$J$6:$J$277,Y$1,'свод практик'!$F$6:$F$277,"ГО")</f>
        <v>0</v>
      </c>
      <c r="Z56" s="104">
        <f>COUNTIFS('свод практик'!$J$6:$J$277,Z$1,'свод практик'!$F$6:$F$277,"ГО")</f>
        <v>0</v>
      </c>
      <c r="AA56" s="104">
        <f>COUNTIFS('свод практик'!$J$6:$J$277,AA$1,'свод практик'!$F$6:$F$277,"ГО")</f>
        <v>0</v>
      </c>
      <c r="AB56" s="104">
        <f>COUNTIFS('свод практик'!$J$6:$J$277,AB$1,'свод практик'!$F$6:$F$277,"ГО")</f>
        <v>0</v>
      </c>
      <c r="AC56" s="104">
        <f>COUNTIFS('свод практик'!$J$6:$J$277,AC$1,'свод практик'!$F$6:$F$277,"ГО")</f>
        <v>0</v>
      </c>
      <c r="AD56" s="104">
        <f>COUNTIFS('свод практик'!$J$6:$J$277,AD$1,'свод практик'!$F$6:$F$277,"ГО")</f>
        <v>0</v>
      </c>
      <c r="AE56" s="104">
        <f>COUNTIFS('свод практик'!$J$6:$J$277,AE$1,'свод практик'!$F$6:$F$277,"ГО")</f>
        <v>0</v>
      </c>
      <c r="AF56" s="104">
        <f>COUNTIFS('свод практик'!$J$6:$J$277,AF$1,'свод практик'!$F$6:$F$277,"ГО")</f>
        <v>0</v>
      </c>
      <c r="AG56" s="104">
        <f>COUNTIFS('свод практик'!$J$6:$J$277,AG$1,'свод практик'!$F$6:$F$277,"ГО")</f>
        <v>0</v>
      </c>
      <c r="AH56" s="104">
        <f>COUNTIFS('свод практик'!$J$6:$J$277,AH$1,'свод практик'!$F$6:$F$277,"ГО")</f>
        <v>0</v>
      </c>
      <c r="AI56" s="104">
        <f>COUNTIFS('свод практик'!$J$6:$J$277,AI$1,'свод практик'!$F$6:$F$277,"ГО")</f>
        <v>0</v>
      </c>
      <c r="AJ56" s="104">
        <f>COUNTIFS('свод практик'!$J$6:$J$277,AJ$1,'свод практик'!$F$6:$F$277,"ГО")</f>
        <v>0</v>
      </c>
      <c r="AK56" s="104">
        <f>COUNTIFS('свод практик'!$J$6:$J$277,AK$1,'свод практик'!$F$6:$F$277,"ГО")</f>
        <v>0</v>
      </c>
      <c r="AL56" s="104">
        <f>COUNTIFS('свод практик'!$J$6:$J$277,AL$1,'свод практик'!$F$6:$F$277,"ГО")</f>
        <v>0</v>
      </c>
      <c r="AM56" s="104">
        <f>COUNTIFS('свод практик'!$J$6:$J$277,AM$1,'свод практик'!$F$6:$F$277,"ГО")</f>
        <v>0</v>
      </c>
      <c r="AN56" s="104">
        <f>COUNTIFS('свод практик'!$J$6:$J$277,AN$1,'свод практик'!$F$6:$F$277,"ГО")</f>
        <v>0</v>
      </c>
      <c r="AO56" s="104">
        <f>COUNTIFS('свод практик'!$J$6:$J$277,AO$1,'свод практик'!$F$6:$F$277,"ГО")</f>
        <v>0</v>
      </c>
      <c r="AP56" s="104">
        <f>COUNTIFS('свод практик'!$J$6:$J$277,AP$1,'свод практик'!$F$6:$F$277,"ГО")</f>
        <v>0</v>
      </c>
      <c r="AQ56" s="104">
        <f>COUNTIFS('свод практик'!$J$6:$J$277,AQ$1,'свод практик'!$F$6:$F$277,"ГО")</f>
        <v>0</v>
      </c>
      <c r="AR56" s="104">
        <f>COUNTIFS('свод практик'!$J$6:$J$277,AR$1,'свод практик'!$F$6:$F$277,"ГО")</f>
        <v>0</v>
      </c>
      <c r="AS56" s="104">
        <f>COUNTIFS('свод практик'!$J$6:$J$277,AS$1,'свод практик'!$F$6:$F$277,"ГО")</f>
        <v>0</v>
      </c>
      <c r="AT56" s="104">
        <f>COUNTIFS('свод практик'!$J$6:$J$277,AT$1,'свод практик'!$F$6:$F$277,"ГО")</f>
        <v>0</v>
      </c>
      <c r="AU56" s="104">
        <f>COUNTIFS('свод практик'!$J$6:$J$277,AU$1,'свод практик'!$F$6:$F$277,"ГО")</f>
        <v>0</v>
      </c>
      <c r="AV56" s="104">
        <f>COUNTIFS('свод практик'!$J$6:$J$277,AV$1,'свод практик'!$F$6:$F$277,"ГО")</f>
        <v>0</v>
      </c>
      <c r="AW56" s="104">
        <f>COUNTIFS('свод практик'!$J$6:$J$277,AW$1,'свод практик'!$F$6:$F$277,"ГО")</f>
        <v>0</v>
      </c>
      <c r="AX56" s="104">
        <f>COUNTIFS('свод практик'!$J$6:$J$277,AX$1,'свод практик'!$F$6:$F$277,"ГО")</f>
        <v>0</v>
      </c>
      <c r="AY56" s="104">
        <f>COUNTIFS('свод практик'!$J$6:$J$277,AY$1,'свод практик'!$F$6:$F$277,"ГО")</f>
        <v>0</v>
      </c>
      <c r="AZ56" s="104">
        <f>COUNTIFS('свод практик'!$J$6:$J$277,AZ$1,'свод практик'!$F$6:$F$277,"ГО")</f>
        <v>0</v>
      </c>
      <c r="BA56" s="104">
        <f>COUNTIFS('свод практик'!$J$6:$J$277,BA$1,'свод практик'!$F$6:$F$277,"ГО")</f>
        <v>0</v>
      </c>
      <c r="BB56" s="104">
        <f>COUNTIFS('свод практик'!$J$6:$J$277,BB$1,'свод практик'!$F$6:$F$277,"ГО")</f>
        <v>0</v>
      </c>
      <c r="BC56" s="104">
        <f>COUNTIFS('свод практик'!$J$6:$J$277,BC$1,'свод практик'!$F$6:$F$277,"ГО")</f>
        <v>0</v>
      </c>
      <c r="BD56" s="104">
        <f>COUNTIFS('свод практик'!$J$6:$J$277,BD$1,'свод практик'!$F$6:$F$277,"ГО")</f>
        <v>0</v>
      </c>
      <c r="BE56" s="104">
        <f>COUNTIFS('свод практик'!$J$6:$J$277,BE$1,'свод практик'!$F$6:$F$277,"ГО")</f>
        <v>0</v>
      </c>
      <c r="BF56" s="104">
        <f>COUNTIFS('свод практик'!$J$6:$J$277,BF$1,'свод практик'!$F$6:$F$277,"ГО")</f>
        <v>0</v>
      </c>
      <c r="BG56" s="104">
        <f>COUNTIFS('свод практик'!$J$6:$J$277,BG$1,'свод практик'!$F$6:$F$277,"ГО")</f>
        <v>0</v>
      </c>
      <c r="BH56" s="104">
        <f>COUNTIFS('свод практик'!$J$6:$J$277,BH$1,'свод практик'!$F$6:$F$277,"ГО")</f>
        <v>0</v>
      </c>
      <c r="BI56" s="104">
        <f>COUNTIFS('свод практик'!$J$6:$J$277,BI$1,'свод практик'!$F$6:$F$277,"ГО")</f>
        <v>0</v>
      </c>
      <c r="BJ56" s="104">
        <f>COUNTIFS('свод практик'!$J$6:$J$277,BJ$1,'свод практик'!$F$6:$F$277,"ГО")</f>
        <v>0</v>
      </c>
      <c r="BK56" s="104">
        <f>COUNTIFS('свод практик'!$J$6:$J$277,BK$1,'свод практик'!$F$6:$F$277,"ГО")</f>
        <v>0</v>
      </c>
      <c r="BL56" s="104">
        <f>COUNTIFS('свод практик'!$J$6:$J$277,BL$1,'свод практик'!$F$6:$F$277,"ГО")</f>
        <v>0</v>
      </c>
      <c r="BM56" s="104">
        <f>COUNTIFS('свод практик'!$J$6:$J$277,BM$1,'свод практик'!$F$6:$F$277,"ГО")</f>
        <v>0</v>
      </c>
      <c r="BN56" s="104">
        <f>COUNTIFS('свод практик'!$J$6:$J$277,BN$1,'свод практик'!$F$6:$F$277,"ГО")</f>
        <v>0</v>
      </c>
      <c r="BO56" s="104">
        <f>COUNTIFS('свод практик'!$J$6:$J$277,BO$1,'свод практик'!$F$6:$F$277,"ГО")</f>
        <v>0</v>
      </c>
      <c r="BP56" s="104">
        <f>COUNTIFS('свод практик'!$J$6:$J$277,BP$1,'свод практик'!$F$6:$F$277,"ГО")</f>
        <v>0</v>
      </c>
      <c r="BQ56" s="104">
        <f>COUNTIFS('свод практик'!$J$6:$J$277,BQ$1,'свод практик'!$F$6:$F$277,"ГО")</f>
        <v>0</v>
      </c>
      <c r="BR56" s="104">
        <f>COUNTIFS('свод практик'!$J$6:$J$277,BR$1,'свод практик'!$F$6:$F$277,"ГО")</f>
        <v>0</v>
      </c>
      <c r="BS56" s="104">
        <f>COUNTIFS('свод практик'!$J$6:$J$277,BS$1,'свод практик'!$F$6:$F$277,"ГО")</f>
        <v>0</v>
      </c>
      <c r="BT56" s="104">
        <f>COUNTIFS('свод практик'!$J$6:$J$277,BT$1,'свод практик'!$F$6:$F$277,"ГО")</f>
        <v>0</v>
      </c>
      <c r="BU56" s="104">
        <f>COUNTIFS('свод практик'!$J$6:$J$277,BU$1,'свод практик'!$F$6:$F$277,"ГО")</f>
        <v>0</v>
      </c>
      <c r="BV56" s="104">
        <f>COUNTIFS('свод практик'!$J$6:$J$277,BV$1,'свод практик'!$F$6:$F$277,"ГО")</f>
        <v>0</v>
      </c>
      <c r="BW56" s="104">
        <f>COUNTIFS('свод практик'!$J$6:$J$277,BW$1,'свод практик'!$F$6:$F$277,"ГО")</f>
        <v>0</v>
      </c>
      <c r="BX56" s="104">
        <f>COUNTIFS('свод практик'!$J$6:$J$277,BX$1,'свод практик'!$F$6:$F$277,"ГО")</f>
        <v>0</v>
      </c>
      <c r="BY56" s="104">
        <f>COUNTIFS('свод практик'!$J$6:$J$277,BY$1,'свод практик'!$F$6:$F$277,"ГО")</f>
        <v>0</v>
      </c>
      <c r="BZ56" s="104">
        <f>COUNTIFS('свод практик'!$J$6:$J$277,BZ$1,'свод практик'!$F$6:$F$277,"ГО")</f>
        <v>1</v>
      </c>
      <c r="CA56" s="104">
        <f>COUNTIFS('свод практик'!$J$6:$J$277,CA$1,'свод практик'!$F$6:$F$277,"ГО")</f>
        <v>0</v>
      </c>
      <c r="CB56" s="104">
        <f>COUNTIFS('свод практик'!$J$6:$J$277,CB$1,'свод практик'!$F$6:$F$277,"ГО")</f>
        <v>0</v>
      </c>
      <c r="CC56" s="104">
        <f>COUNTIFS('свод практик'!$J$6:$J$277,CC$1,'свод практик'!$F$6:$F$277,"ГО")</f>
        <v>0</v>
      </c>
      <c r="CD56" s="104">
        <f>COUNTIFS('свод практик'!$J$6:$J$277,CD$1,'свод практик'!$F$6:$F$277,"ГО")</f>
        <v>0</v>
      </c>
      <c r="CE56" s="104">
        <f>COUNTIFS('свод практик'!$J$6:$J$277,CE$1,'свод практик'!$F$6:$F$277,"ГО")</f>
        <v>0</v>
      </c>
      <c r="CF56" s="104">
        <f>COUNTIFS('свод практик'!$J$6:$J$277,CF$1,'свод практик'!$F$6:$F$277,"ГО")</f>
        <v>0</v>
      </c>
      <c r="CG56" s="104">
        <f>COUNTIFS('свод практик'!$J$6:$J$277,CG$1,'свод практик'!$F$6:$F$277,"ГО")</f>
        <v>0</v>
      </c>
      <c r="CH56" s="104">
        <f>COUNTIFS('свод практик'!$J$6:$J$277,CH$1,'свод практик'!$F$6:$F$277,"ГО")</f>
        <v>0</v>
      </c>
      <c r="CI56" s="104">
        <f>COUNTIFS('свод практик'!$J$6:$J$277,CI$1,'свод практик'!$F$6:$F$277,"ГО")</f>
        <v>0</v>
      </c>
      <c r="CJ56" s="104">
        <f>COUNTIFS('свод практик'!$J$6:$J$277,CJ$1,'свод практик'!$F$6:$F$277,"ГО")</f>
        <v>0</v>
      </c>
      <c r="CK56" s="104">
        <f>COUNTIFS('свод практик'!$J$6:$J$277,CK$1,'свод практик'!$F$6:$F$277,"ГО")</f>
        <v>0</v>
      </c>
    </row>
    <row r="57" spans="1:89">
      <c r="A57" t="s">
        <v>5334</v>
      </c>
      <c r="D57" s="675">
        <f t="shared" si="0"/>
        <v>4</v>
      </c>
      <c r="E57">
        <f>COUNTIFS('свод практик'!$J$6:$J$277,E$1,'свод практик'!$F$6:$F$277,"городские и сельские поселения")</f>
        <v>1</v>
      </c>
      <c r="F57" s="104">
        <f>COUNTIFS('свод практик'!$J$6:$J$277,F$1,'свод практик'!$F$6:$F$277,"городские и сельские поселения")</f>
        <v>0</v>
      </c>
      <c r="G57" s="104">
        <f>COUNTIFS('свод практик'!$J$6:$J$277,G$1,'свод практик'!$F$6:$F$277,"городские и сельские поселения")</f>
        <v>0</v>
      </c>
      <c r="H57" s="104">
        <f>COUNTIFS('свод практик'!$J$6:$J$277,H$1,'свод практик'!$F$6:$F$277,"городские и сельские поселения")</f>
        <v>0</v>
      </c>
      <c r="I57" s="104">
        <f>COUNTIFS('свод практик'!$J$6:$J$277,I$1,'свод практик'!$F$6:$F$277,"городские и сельские поселения")</f>
        <v>0</v>
      </c>
      <c r="J57" s="104">
        <f>COUNTIFS('свод практик'!$J$6:$J$277,J$1,'свод практик'!$F$6:$F$277,"городские и сельские поселения")</f>
        <v>0</v>
      </c>
      <c r="K57" s="104">
        <f>COUNTIFS('свод практик'!$J$6:$J$277,K$1,'свод практик'!$F$6:$F$277,"городские и сельские поселения")</f>
        <v>0</v>
      </c>
      <c r="L57" s="104">
        <f>COUNTIFS('свод практик'!$J$6:$J$277,L$1,'свод практик'!$F$6:$F$277,"городские и сельские поселения")</f>
        <v>0</v>
      </c>
      <c r="M57" s="104">
        <f>COUNTIFS('свод практик'!$J$6:$J$277,M$1,'свод практик'!$F$6:$F$277,"городские и сельские поселения")</f>
        <v>0</v>
      </c>
      <c r="N57" s="104">
        <f>COUNTIFS('свод практик'!$J$6:$J$277,N$1,'свод практик'!$F$6:$F$277,"городские и сельские поселения")</f>
        <v>0</v>
      </c>
      <c r="O57" s="104">
        <f>COUNTIFS('свод практик'!$J$6:$J$277,O$1,'свод практик'!$F$6:$F$277,"городские и сельские поселения")</f>
        <v>0</v>
      </c>
      <c r="P57" s="104">
        <f>COUNTIFS('свод практик'!$J$6:$J$277,P$1,'свод практик'!$F$6:$F$277,"городские и сельские поселения")</f>
        <v>0</v>
      </c>
      <c r="Q57" s="104">
        <f>COUNTIFS('свод практик'!$J$6:$J$277,Q$1,'свод практик'!$F$6:$F$277,"городские и сельские поселения")</f>
        <v>0</v>
      </c>
      <c r="R57" s="104">
        <f>COUNTIFS('свод практик'!$J$6:$J$277,R$1,'свод практик'!$F$6:$F$277,"городские и сельские поселения")</f>
        <v>0</v>
      </c>
      <c r="S57" s="104">
        <f>COUNTIFS('свод практик'!$J$6:$J$277,S$1,'свод практик'!$F$6:$F$277,"городские и сельские поселения")</f>
        <v>0</v>
      </c>
      <c r="T57" s="104">
        <f>COUNTIFS('свод практик'!$J$6:$J$277,T$1,'свод практик'!$F$6:$F$277,"городские и сельские поселения")</f>
        <v>0</v>
      </c>
      <c r="U57" s="104">
        <f>COUNTIFS('свод практик'!$J$6:$J$277,U$1,'свод практик'!$F$6:$F$277,"городские и сельские поселения")</f>
        <v>0</v>
      </c>
      <c r="V57" s="104">
        <f>COUNTIFS('свод практик'!$J$6:$J$277,V$1,'свод практик'!$F$6:$F$277,"городские и сельские поселения")</f>
        <v>0</v>
      </c>
      <c r="W57" s="104">
        <f>COUNTIFS('свод практик'!$J$6:$J$277,W$1,'свод практик'!$F$6:$F$277,"городские и сельские поселения")</f>
        <v>0</v>
      </c>
      <c r="X57" s="104">
        <f>COUNTIFS('свод практик'!$J$6:$J$277,X$1,'свод практик'!$F$6:$F$277,"городские и сельские поселения")</f>
        <v>0</v>
      </c>
      <c r="Y57" s="104">
        <f>COUNTIFS('свод практик'!$J$6:$J$277,Y$1,'свод практик'!$F$6:$F$277,"городские и сельские поселения")</f>
        <v>0</v>
      </c>
      <c r="Z57" s="104">
        <f>COUNTIFS('свод практик'!$J$6:$J$277,Z$1,'свод практик'!$F$6:$F$277,"городские и сельские поселения")</f>
        <v>0</v>
      </c>
      <c r="AA57" s="104">
        <f>COUNTIFS('свод практик'!$J$6:$J$277,AA$1,'свод практик'!$F$6:$F$277,"городские и сельские поселения")</f>
        <v>0</v>
      </c>
      <c r="AB57" s="104">
        <f>COUNTIFS('свод практик'!$J$6:$J$277,AB$1,'свод практик'!$F$6:$F$277,"городские и сельские поселения")</f>
        <v>1</v>
      </c>
      <c r="AC57" s="104">
        <f>COUNTIFS('свод практик'!$J$6:$J$277,AC$1,'свод практик'!$F$6:$F$277,"городские и сельские поселения")</f>
        <v>0</v>
      </c>
      <c r="AD57" s="104">
        <f>COUNTIFS('свод практик'!$J$6:$J$277,AD$1,'свод практик'!$F$6:$F$277,"городские и сельские поселения")</f>
        <v>0</v>
      </c>
      <c r="AE57" s="104">
        <f>COUNTIFS('свод практик'!$J$6:$J$277,AE$1,'свод практик'!$F$6:$F$277,"городские и сельские поселения")</f>
        <v>0</v>
      </c>
      <c r="AF57" s="104">
        <f>COUNTIFS('свод практик'!$J$6:$J$277,AF$1,'свод практик'!$F$6:$F$277,"городские и сельские поселения")</f>
        <v>0</v>
      </c>
      <c r="AG57" s="104">
        <f>COUNTIFS('свод практик'!$J$6:$J$277,AG$1,'свод практик'!$F$6:$F$277,"городские и сельские поселения")</f>
        <v>0</v>
      </c>
      <c r="AH57" s="104">
        <f>COUNTIFS('свод практик'!$J$6:$J$277,AH$1,'свод практик'!$F$6:$F$277,"городские и сельские поселения")</f>
        <v>0</v>
      </c>
      <c r="AI57" s="104">
        <f>COUNTIFS('свод практик'!$J$6:$J$277,AI$1,'свод практик'!$F$6:$F$277,"городские и сельские поселения")</f>
        <v>0</v>
      </c>
      <c r="AJ57" s="104">
        <f>COUNTIFS('свод практик'!$J$6:$J$277,AJ$1,'свод практик'!$F$6:$F$277,"городские и сельские поселения")</f>
        <v>0</v>
      </c>
      <c r="AK57" s="104">
        <f>COUNTIFS('свод практик'!$J$6:$J$277,AK$1,'свод практик'!$F$6:$F$277,"городские и сельские поселения")</f>
        <v>0</v>
      </c>
      <c r="AL57" s="104">
        <f>COUNTIFS('свод практик'!$J$6:$J$277,AL$1,'свод практик'!$F$6:$F$277,"городские и сельские поселения")</f>
        <v>0</v>
      </c>
      <c r="AM57" s="104">
        <f>COUNTIFS('свод практик'!$J$6:$J$277,AM$1,'свод практик'!$F$6:$F$277,"городские и сельские поселения")</f>
        <v>0</v>
      </c>
      <c r="AN57" s="104">
        <f>COUNTIFS('свод практик'!$J$6:$J$277,AN$1,'свод практик'!$F$6:$F$277,"городские и сельские поселения")</f>
        <v>0</v>
      </c>
      <c r="AO57" s="104">
        <f>COUNTIFS('свод практик'!$J$6:$J$277,AO$1,'свод практик'!$F$6:$F$277,"городские и сельские поселения")</f>
        <v>0</v>
      </c>
      <c r="AP57" s="104">
        <f>COUNTIFS('свод практик'!$J$6:$J$277,AP$1,'свод практик'!$F$6:$F$277,"городские и сельские поселения")</f>
        <v>0</v>
      </c>
      <c r="AQ57" s="104">
        <f>COUNTIFS('свод практик'!$J$6:$J$277,AQ$1,'свод практик'!$F$6:$F$277,"городские и сельские поселения")</f>
        <v>0</v>
      </c>
      <c r="AR57" s="104">
        <f>COUNTIFS('свод практик'!$J$6:$J$277,AR$1,'свод практик'!$F$6:$F$277,"городские и сельские поселения")</f>
        <v>0</v>
      </c>
      <c r="AS57" s="104">
        <f>COUNTIFS('свод практик'!$J$6:$J$277,AS$1,'свод практик'!$F$6:$F$277,"городские и сельские поселения")</f>
        <v>0</v>
      </c>
      <c r="AT57" s="104">
        <f>COUNTIFS('свод практик'!$J$6:$J$277,AT$1,'свод практик'!$F$6:$F$277,"городские и сельские поселения")</f>
        <v>0</v>
      </c>
      <c r="AU57" s="104">
        <f>COUNTIFS('свод практик'!$J$6:$J$277,AU$1,'свод практик'!$F$6:$F$277,"городские и сельские поселения")</f>
        <v>0</v>
      </c>
      <c r="AV57" s="104">
        <f>COUNTIFS('свод практик'!$J$6:$J$277,AV$1,'свод практик'!$F$6:$F$277,"городские и сельские поселения")</f>
        <v>0</v>
      </c>
      <c r="AW57" s="104">
        <f>COUNTIFS('свод практик'!$J$6:$J$277,AW$1,'свод практик'!$F$6:$F$277,"городские и сельские поселения")</f>
        <v>0</v>
      </c>
      <c r="AX57" s="104">
        <f>COUNTIFS('свод практик'!$J$6:$J$277,AX$1,'свод практик'!$F$6:$F$277,"городские и сельские поселения")</f>
        <v>0</v>
      </c>
      <c r="AY57" s="104">
        <f>COUNTIFS('свод практик'!$J$6:$J$277,AY$1,'свод практик'!$F$6:$F$277,"городские и сельские поселения")</f>
        <v>1</v>
      </c>
      <c r="AZ57" s="104">
        <f>COUNTIFS('свод практик'!$J$6:$J$277,AZ$1,'свод практик'!$F$6:$F$277,"городские и сельские поселения")</f>
        <v>0</v>
      </c>
      <c r="BA57" s="104">
        <f>COUNTIFS('свод практик'!$J$6:$J$277,BA$1,'свод практик'!$F$6:$F$277,"городские и сельские поселения")</f>
        <v>0</v>
      </c>
      <c r="BB57" s="104">
        <f>COUNTIFS('свод практик'!$J$6:$J$277,BB$1,'свод практик'!$F$6:$F$277,"городские и сельские поселения")</f>
        <v>0</v>
      </c>
      <c r="BC57" s="104">
        <f>COUNTIFS('свод практик'!$J$6:$J$277,BC$1,'свод практик'!$F$6:$F$277,"городские и сельские поселения")</f>
        <v>0</v>
      </c>
      <c r="BD57" s="104">
        <f>COUNTIFS('свод практик'!$J$6:$J$277,BD$1,'свод практик'!$F$6:$F$277,"городские и сельские поселения")</f>
        <v>0</v>
      </c>
      <c r="BE57" s="104">
        <f>COUNTIFS('свод практик'!$J$6:$J$277,BE$1,'свод практик'!$F$6:$F$277,"городские и сельские поселения")</f>
        <v>0</v>
      </c>
      <c r="BF57" s="104">
        <f>COUNTIFS('свод практик'!$J$6:$J$277,BF$1,'свод практик'!$F$6:$F$277,"городские и сельские поселения")</f>
        <v>0</v>
      </c>
      <c r="BG57" s="104">
        <f>COUNTIFS('свод практик'!$J$6:$J$277,BG$1,'свод практик'!$F$6:$F$277,"городские и сельские поселения")</f>
        <v>0</v>
      </c>
      <c r="BH57" s="104">
        <f>COUNTIFS('свод практик'!$J$6:$J$277,BH$1,'свод практик'!$F$6:$F$277,"городские и сельские поселения")</f>
        <v>0</v>
      </c>
      <c r="BI57" s="104">
        <f>COUNTIFS('свод практик'!$J$6:$J$277,BI$1,'свод практик'!$F$6:$F$277,"городские и сельские поселения")</f>
        <v>0</v>
      </c>
      <c r="BJ57" s="104">
        <f>COUNTIFS('свод практик'!$J$6:$J$277,BJ$1,'свод практик'!$F$6:$F$277,"городские и сельские поселения")</f>
        <v>0</v>
      </c>
      <c r="BK57" s="104">
        <f>COUNTIFS('свод практик'!$J$6:$J$277,BK$1,'свод практик'!$F$6:$F$277,"городские и сельские поселения")</f>
        <v>0</v>
      </c>
      <c r="BL57" s="104">
        <f>COUNTIFS('свод практик'!$J$6:$J$277,BL$1,'свод практик'!$F$6:$F$277,"городские и сельские поселения")</f>
        <v>0</v>
      </c>
      <c r="BM57" s="104">
        <f>COUNTIFS('свод практик'!$J$6:$J$277,BM$1,'свод практик'!$F$6:$F$277,"городские и сельские поселения")</f>
        <v>0</v>
      </c>
      <c r="BN57" s="104">
        <f>COUNTIFS('свод практик'!$J$6:$J$277,BN$1,'свод практик'!$F$6:$F$277,"городские и сельские поселения")</f>
        <v>0</v>
      </c>
      <c r="BO57" s="104">
        <f>COUNTIFS('свод практик'!$J$6:$J$277,BO$1,'свод практик'!$F$6:$F$277,"городские и сельские поселения")</f>
        <v>0</v>
      </c>
      <c r="BP57" s="104">
        <f>COUNTIFS('свод практик'!$J$6:$J$277,BP$1,'свод практик'!$F$6:$F$277,"городские и сельские поселения")</f>
        <v>0</v>
      </c>
      <c r="BQ57" s="104">
        <f>COUNTIFS('свод практик'!$J$6:$J$277,BQ$1,'свод практик'!$F$6:$F$277,"городские и сельские поселения")</f>
        <v>0</v>
      </c>
      <c r="BR57" s="104">
        <f>COUNTIFS('свод практик'!$J$6:$J$277,BR$1,'свод практик'!$F$6:$F$277,"городские и сельские поселения")</f>
        <v>0</v>
      </c>
      <c r="BS57" s="104">
        <f>COUNTIFS('свод практик'!$J$6:$J$277,BS$1,'свод практик'!$F$6:$F$277,"городские и сельские поселения")</f>
        <v>0</v>
      </c>
      <c r="BT57" s="104">
        <f>COUNTIFS('свод практик'!$J$6:$J$277,BT$1,'свод практик'!$F$6:$F$277,"городские и сельские поселения")</f>
        <v>0</v>
      </c>
      <c r="BU57" s="104">
        <f>COUNTIFS('свод практик'!$J$6:$J$277,BU$1,'свод практик'!$F$6:$F$277,"городские и сельские поселения")</f>
        <v>0</v>
      </c>
      <c r="BV57" s="104">
        <f>COUNTIFS('свод практик'!$J$6:$J$277,BV$1,'свод практик'!$F$6:$F$277,"городские и сельские поселения")</f>
        <v>0</v>
      </c>
      <c r="BW57" s="104">
        <f>COUNTIFS('свод практик'!$J$6:$J$277,BW$1,'свод практик'!$F$6:$F$277,"городские и сельские поселения")</f>
        <v>0</v>
      </c>
      <c r="BX57" s="104">
        <f>COUNTIFS('свод практик'!$J$6:$J$277,BX$1,'свод практик'!$F$6:$F$277,"городские и сельские поселения")</f>
        <v>0</v>
      </c>
      <c r="BY57" s="104">
        <f>COUNTIFS('свод практик'!$J$6:$J$277,BY$1,'свод практик'!$F$6:$F$277,"городские и сельские поселения")</f>
        <v>0</v>
      </c>
      <c r="BZ57" s="104">
        <f>COUNTIFS('свод практик'!$J$6:$J$277,BZ$1,'свод практик'!$F$6:$F$277,"городские и сельские поселения")</f>
        <v>0</v>
      </c>
      <c r="CA57" s="104">
        <f>COUNTIFS('свод практик'!$J$6:$J$277,CA$1,'свод практик'!$F$6:$F$277,"городские и сельские поселения")</f>
        <v>0</v>
      </c>
      <c r="CB57" s="104">
        <f>COUNTIFS('свод практик'!$J$6:$J$277,CB$1,'свод практик'!$F$6:$F$277,"городские и сельские поселения")</f>
        <v>0</v>
      </c>
      <c r="CC57" s="104">
        <f>COUNTIFS('свод практик'!$J$6:$J$277,CC$1,'свод практик'!$F$6:$F$277,"городские и сельские поселения")</f>
        <v>1</v>
      </c>
      <c r="CD57" s="104">
        <f>COUNTIFS('свод практик'!$J$6:$J$277,CD$1,'свод практик'!$F$6:$F$277,"городские и сельские поселения")</f>
        <v>0</v>
      </c>
      <c r="CE57" s="104">
        <f>COUNTIFS('свод практик'!$J$6:$J$277,CE$1,'свод практик'!$F$6:$F$277,"городские и сельские поселения")</f>
        <v>0</v>
      </c>
      <c r="CF57" s="104">
        <f>COUNTIFS('свод практик'!$J$6:$J$277,CF$1,'свод практик'!$F$6:$F$277,"городские и сельские поселения")</f>
        <v>0</v>
      </c>
      <c r="CG57" s="104">
        <f>COUNTIFS('свод практик'!$J$6:$J$277,CG$1,'свод практик'!$F$6:$F$277,"городские и сельские поселения")</f>
        <v>0</v>
      </c>
      <c r="CH57" s="104">
        <f>COUNTIFS('свод практик'!$J$6:$J$277,CH$1,'свод практик'!$F$6:$F$277,"городские и сельские поселения")</f>
        <v>0</v>
      </c>
      <c r="CI57" s="104">
        <f>COUNTIFS('свод практик'!$J$6:$J$277,CI$1,'свод практик'!$F$6:$F$277,"городские и сельские поселения")</f>
        <v>0</v>
      </c>
      <c r="CJ57" s="104">
        <f>COUNTIFS('свод практик'!$J$6:$J$277,CJ$1,'свод практик'!$F$6:$F$277,"городские и сельские поселения")</f>
        <v>0</v>
      </c>
      <c r="CK57" s="104">
        <f>COUNTIFS('свод практик'!$J$6:$J$277,CK$1,'свод практик'!$F$6:$F$277,"городские и сельские поселения")</f>
        <v>0</v>
      </c>
    </row>
    <row r="58" spans="1:89">
      <c r="A58" t="s">
        <v>5337</v>
      </c>
      <c r="D58" s="675">
        <f t="shared" si="0"/>
        <v>1</v>
      </c>
      <c r="E58">
        <f>COUNTIFS('свод практик'!$J$6:$J$277,E$1,'свод практик'!$F$6:$F$277,"городские и сельские поселения (огр территория)")</f>
        <v>0</v>
      </c>
      <c r="F58" s="104">
        <f>COUNTIFS('свод практик'!$J$6:$J$277,F$1,'свод практик'!$F$6:$F$277,"городские и сельские поселения (огр территория)")</f>
        <v>0</v>
      </c>
      <c r="G58" s="104">
        <f>COUNTIFS('свод практик'!$J$6:$J$277,G$1,'свод практик'!$F$6:$F$277,"городские и сельские поселения (огр территория)")</f>
        <v>0</v>
      </c>
      <c r="H58" s="104">
        <f>COUNTIFS('свод практик'!$J$6:$J$277,H$1,'свод практик'!$F$6:$F$277,"городские и сельские поселения (огр территория)")</f>
        <v>0</v>
      </c>
      <c r="I58" s="104">
        <f>COUNTIFS('свод практик'!$J$6:$J$277,I$1,'свод практик'!$F$6:$F$277,"городские и сельские поселения (огр территория)")</f>
        <v>0</v>
      </c>
      <c r="J58" s="104">
        <f>COUNTIFS('свод практик'!$J$6:$J$277,J$1,'свод практик'!$F$6:$F$277,"городские и сельские поселения (огр территория)")</f>
        <v>0</v>
      </c>
      <c r="K58" s="104">
        <f>COUNTIFS('свод практик'!$J$6:$J$277,K$1,'свод практик'!$F$6:$F$277,"городские и сельские поселения (огр территория)")</f>
        <v>0</v>
      </c>
      <c r="L58" s="104">
        <f>COUNTIFS('свод практик'!$J$6:$J$277,L$1,'свод практик'!$F$6:$F$277,"городские и сельские поселения (огр территория)")</f>
        <v>0</v>
      </c>
      <c r="M58" s="104">
        <f>COUNTIFS('свод практик'!$J$6:$J$277,M$1,'свод практик'!$F$6:$F$277,"городские и сельские поселения (огр территория)")</f>
        <v>0</v>
      </c>
      <c r="N58" s="104">
        <f>COUNTIFS('свод практик'!$J$6:$J$277,N$1,'свод практик'!$F$6:$F$277,"городские и сельские поселения (огр территория)")</f>
        <v>0</v>
      </c>
      <c r="O58" s="104">
        <f>COUNTIFS('свод практик'!$J$6:$J$277,O$1,'свод практик'!$F$6:$F$277,"городские и сельские поселения (огр территория)")</f>
        <v>0</v>
      </c>
      <c r="P58" s="104">
        <f>COUNTIFS('свод практик'!$J$6:$J$277,P$1,'свод практик'!$F$6:$F$277,"городские и сельские поселения (огр территория)")</f>
        <v>0</v>
      </c>
      <c r="Q58" s="104">
        <f>COUNTIFS('свод практик'!$J$6:$J$277,Q$1,'свод практик'!$F$6:$F$277,"городские и сельские поселения (огр территория)")</f>
        <v>0</v>
      </c>
      <c r="R58" s="104">
        <f>COUNTIFS('свод практик'!$J$6:$J$277,R$1,'свод практик'!$F$6:$F$277,"городские и сельские поселения (огр территория)")</f>
        <v>0</v>
      </c>
      <c r="S58" s="104">
        <f>COUNTIFS('свод практик'!$J$6:$J$277,S$1,'свод практик'!$F$6:$F$277,"городские и сельские поселения (огр территория)")</f>
        <v>0</v>
      </c>
      <c r="T58" s="104">
        <f>COUNTIFS('свод практик'!$J$6:$J$277,T$1,'свод практик'!$F$6:$F$277,"городские и сельские поселения (огр территория)")</f>
        <v>0</v>
      </c>
      <c r="U58" s="104">
        <f>COUNTIFS('свод практик'!$J$6:$J$277,U$1,'свод практик'!$F$6:$F$277,"городские и сельские поселения (огр территория)")</f>
        <v>0</v>
      </c>
      <c r="V58" s="104">
        <f>COUNTIFS('свод практик'!$J$6:$J$277,V$1,'свод практик'!$F$6:$F$277,"городские и сельские поселения (огр территория)")</f>
        <v>0</v>
      </c>
      <c r="W58" s="104">
        <f>COUNTIFS('свод практик'!$J$6:$J$277,W$1,'свод практик'!$F$6:$F$277,"городские и сельские поселения (огр территория)")</f>
        <v>0</v>
      </c>
      <c r="X58" s="104">
        <f>COUNTIFS('свод практик'!$J$6:$J$277,X$1,'свод практик'!$F$6:$F$277,"городские и сельские поселения (огр территория)")</f>
        <v>0</v>
      </c>
      <c r="Y58" s="104">
        <f>COUNTIFS('свод практик'!$J$6:$J$277,Y$1,'свод практик'!$F$6:$F$277,"городские и сельские поселения (огр территория)")</f>
        <v>0</v>
      </c>
      <c r="Z58" s="104">
        <f>COUNTIFS('свод практик'!$J$6:$J$277,Z$1,'свод практик'!$F$6:$F$277,"городские и сельские поселения (огр территория)")</f>
        <v>0</v>
      </c>
      <c r="AA58" s="104">
        <f>COUNTIFS('свод практик'!$J$6:$J$277,AA$1,'свод практик'!$F$6:$F$277,"городские и сельские поселения (огр территория)")</f>
        <v>0</v>
      </c>
      <c r="AB58" s="104">
        <f>COUNTIFS('свод практик'!$J$6:$J$277,AB$1,'свод практик'!$F$6:$F$277,"городские и сельские поселения (огр территория)")</f>
        <v>0</v>
      </c>
      <c r="AC58" s="104">
        <f>COUNTIFS('свод практик'!$J$6:$J$277,AC$1,'свод практик'!$F$6:$F$277,"городские и сельские поселения (огр территория)")</f>
        <v>0</v>
      </c>
      <c r="AD58" s="104">
        <f>COUNTIFS('свод практик'!$J$6:$J$277,AD$1,'свод практик'!$F$6:$F$277,"городские и сельские поселения (огр территория)")</f>
        <v>0</v>
      </c>
      <c r="AE58" s="104">
        <f>COUNTIFS('свод практик'!$J$6:$J$277,AE$1,'свод практик'!$F$6:$F$277,"городские и сельские поселения (огр территория)")</f>
        <v>0</v>
      </c>
      <c r="AF58" s="104">
        <f>COUNTIFS('свод практик'!$J$6:$J$277,AF$1,'свод практик'!$F$6:$F$277,"городские и сельские поселения (огр территория)")</f>
        <v>0</v>
      </c>
      <c r="AG58" s="104">
        <f>COUNTIFS('свод практик'!$J$6:$J$277,AG$1,'свод практик'!$F$6:$F$277,"городские и сельские поселения (огр территория)")</f>
        <v>0</v>
      </c>
      <c r="AH58" s="104">
        <f>COUNTIFS('свод практик'!$J$6:$J$277,AH$1,'свод практик'!$F$6:$F$277,"городские и сельские поселения (огр территория)")</f>
        <v>0</v>
      </c>
      <c r="AI58" s="104">
        <f>COUNTIFS('свод практик'!$J$6:$J$277,AI$1,'свод практик'!$F$6:$F$277,"городские и сельские поселения (огр территория)")</f>
        <v>0</v>
      </c>
      <c r="AJ58" s="104">
        <f>COUNTIFS('свод практик'!$J$6:$J$277,AJ$1,'свод практик'!$F$6:$F$277,"городские и сельские поселения (огр территория)")</f>
        <v>0</v>
      </c>
      <c r="AK58" s="104">
        <f>COUNTIFS('свод практик'!$J$6:$J$277,AK$1,'свод практик'!$F$6:$F$277,"городские и сельские поселения (огр территория)")</f>
        <v>1</v>
      </c>
      <c r="AL58" s="104">
        <f>COUNTIFS('свод практик'!$J$6:$J$277,AL$1,'свод практик'!$F$6:$F$277,"городские и сельские поселения (огр территория)")</f>
        <v>0</v>
      </c>
      <c r="AM58" s="104">
        <f>COUNTIFS('свод практик'!$J$6:$J$277,AM$1,'свод практик'!$F$6:$F$277,"городские и сельские поселения (огр территория)")</f>
        <v>0</v>
      </c>
      <c r="AN58" s="104">
        <f>COUNTIFS('свод практик'!$J$6:$J$277,AN$1,'свод практик'!$F$6:$F$277,"городские и сельские поселения (огр территория)")</f>
        <v>0</v>
      </c>
      <c r="AO58" s="104">
        <f>COUNTIFS('свод практик'!$J$6:$J$277,AO$1,'свод практик'!$F$6:$F$277,"городские и сельские поселения (огр территория)")</f>
        <v>0</v>
      </c>
      <c r="AP58" s="104">
        <f>COUNTIFS('свод практик'!$J$6:$J$277,AP$1,'свод практик'!$F$6:$F$277,"городские и сельские поселения (огр территория)")</f>
        <v>0</v>
      </c>
      <c r="AQ58" s="104">
        <f>COUNTIFS('свод практик'!$J$6:$J$277,AQ$1,'свод практик'!$F$6:$F$277,"городские и сельские поселения (огр территория)")</f>
        <v>0</v>
      </c>
      <c r="AR58" s="104">
        <f>COUNTIFS('свод практик'!$J$6:$J$277,AR$1,'свод практик'!$F$6:$F$277,"городские и сельские поселения (огр территория)")</f>
        <v>0</v>
      </c>
      <c r="AS58" s="104">
        <f>COUNTIFS('свод практик'!$J$6:$J$277,AS$1,'свод практик'!$F$6:$F$277,"городские и сельские поселения (огр территория)")</f>
        <v>0</v>
      </c>
      <c r="AT58" s="104">
        <f>COUNTIFS('свод практик'!$J$6:$J$277,AT$1,'свод практик'!$F$6:$F$277,"городские и сельские поселения (огр территория)")</f>
        <v>0</v>
      </c>
      <c r="AU58" s="104">
        <f>COUNTIFS('свод практик'!$J$6:$J$277,AU$1,'свод практик'!$F$6:$F$277,"городские и сельские поселения (огр территория)")</f>
        <v>0</v>
      </c>
      <c r="AV58" s="104">
        <f>COUNTIFS('свод практик'!$J$6:$J$277,AV$1,'свод практик'!$F$6:$F$277,"городские и сельские поселения (огр территория)")</f>
        <v>0</v>
      </c>
      <c r="AW58" s="104">
        <f>COUNTIFS('свод практик'!$J$6:$J$277,AW$1,'свод практик'!$F$6:$F$277,"городские и сельские поселения (огр территория)")</f>
        <v>0</v>
      </c>
      <c r="AX58" s="104">
        <f>COUNTIFS('свод практик'!$J$6:$J$277,AX$1,'свод практик'!$F$6:$F$277,"городские и сельские поселения (огр территория)")</f>
        <v>0</v>
      </c>
      <c r="AY58" s="104">
        <f>COUNTIFS('свод практик'!$J$6:$J$277,AY$1,'свод практик'!$F$6:$F$277,"городские и сельские поселения (огр территория)")</f>
        <v>0</v>
      </c>
      <c r="AZ58" s="104">
        <f>COUNTIFS('свод практик'!$J$6:$J$277,AZ$1,'свод практик'!$F$6:$F$277,"городские и сельские поселения (огр территория)")</f>
        <v>0</v>
      </c>
      <c r="BA58" s="104">
        <f>COUNTIFS('свод практик'!$J$6:$J$277,BA$1,'свод практик'!$F$6:$F$277,"городские и сельские поселения (огр территория)")</f>
        <v>0</v>
      </c>
      <c r="BB58" s="104">
        <f>COUNTIFS('свод практик'!$J$6:$J$277,BB$1,'свод практик'!$F$6:$F$277,"городские и сельские поселения (огр территория)")</f>
        <v>0</v>
      </c>
      <c r="BC58" s="104">
        <f>COUNTIFS('свод практик'!$J$6:$J$277,BC$1,'свод практик'!$F$6:$F$277,"городские и сельские поселения (огр территория)")</f>
        <v>0</v>
      </c>
      <c r="BD58" s="104">
        <f>COUNTIFS('свод практик'!$J$6:$J$277,BD$1,'свод практик'!$F$6:$F$277,"городские и сельские поселения (огр территория)")</f>
        <v>0</v>
      </c>
      <c r="BE58" s="104">
        <f>COUNTIFS('свод практик'!$J$6:$J$277,BE$1,'свод практик'!$F$6:$F$277,"городские и сельские поселения (огр территория)")</f>
        <v>0</v>
      </c>
      <c r="BF58" s="104">
        <f>COUNTIFS('свод практик'!$J$6:$J$277,BF$1,'свод практик'!$F$6:$F$277,"городские и сельские поселения (огр территория)")</f>
        <v>0</v>
      </c>
      <c r="BG58" s="104">
        <f>COUNTIFS('свод практик'!$J$6:$J$277,BG$1,'свод практик'!$F$6:$F$277,"городские и сельские поселения (огр территория)")</f>
        <v>0</v>
      </c>
      <c r="BH58" s="104">
        <f>COUNTIFS('свод практик'!$J$6:$J$277,BH$1,'свод практик'!$F$6:$F$277,"городские и сельские поселения (огр территория)")</f>
        <v>0</v>
      </c>
      <c r="BI58" s="104">
        <f>COUNTIFS('свод практик'!$J$6:$J$277,BI$1,'свод практик'!$F$6:$F$277,"городские и сельские поселения (огр территория)")</f>
        <v>0</v>
      </c>
      <c r="BJ58" s="104">
        <f>COUNTIFS('свод практик'!$J$6:$J$277,BJ$1,'свод практик'!$F$6:$F$277,"городские и сельские поселения (огр территория)")</f>
        <v>0</v>
      </c>
      <c r="BK58" s="104">
        <f>COUNTIFS('свод практик'!$J$6:$J$277,BK$1,'свод практик'!$F$6:$F$277,"городские и сельские поселения (огр территория)")</f>
        <v>0</v>
      </c>
      <c r="BL58" s="104">
        <f>COUNTIFS('свод практик'!$J$6:$J$277,BL$1,'свод практик'!$F$6:$F$277,"городские и сельские поселения (огр территория)")</f>
        <v>0</v>
      </c>
      <c r="BM58" s="104">
        <f>COUNTIFS('свод практик'!$J$6:$J$277,BM$1,'свод практик'!$F$6:$F$277,"городские и сельские поселения (огр территория)")</f>
        <v>0</v>
      </c>
      <c r="BN58" s="104">
        <f>COUNTIFS('свод практик'!$J$6:$J$277,BN$1,'свод практик'!$F$6:$F$277,"городские и сельские поселения (огр территория)")</f>
        <v>0</v>
      </c>
      <c r="BO58" s="104">
        <f>COUNTIFS('свод практик'!$J$6:$J$277,BO$1,'свод практик'!$F$6:$F$277,"городские и сельские поселения (огр территория)")</f>
        <v>0</v>
      </c>
      <c r="BP58" s="104">
        <f>COUNTIFS('свод практик'!$J$6:$J$277,BP$1,'свод практик'!$F$6:$F$277,"городские и сельские поселения (огр территория)")</f>
        <v>0</v>
      </c>
      <c r="BQ58" s="104">
        <f>COUNTIFS('свод практик'!$J$6:$J$277,BQ$1,'свод практик'!$F$6:$F$277,"городские и сельские поселения (огр территория)")</f>
        <v>0</v>
      </c>
      <c r="BR58" s="104">
        <f>COUNTIFS('свод практик'!$J$6:$J$277,BR$1,'свод практик'!$F$6:$F$277,"городские и сельские поселения (огр территория)")</f>
        <v>0</v>
      </c>
      <c r="BS58" s="104">
        <f>COUNTIFS('свод практик'!$J$6:$J$277,BS$1,'свод практик'!$F$6:$F$277,"городские и сельские поселения (огр территория)")</f>
        <v>0</v>
      </c>
      <c r="BT58" s="104">
        <f>COUNTIFS('свод практик'!$J$6:$J$277,BT$1,'свод практик'!$F$6:$F$277,"городские и сельские поселения (огр территория)")</f>
        <v>0</v>
      </c>
      <c r="BU58" s="104">
        <f>COUNTIFS('свод практик'!$J$6:$J$277,BU$1,'свод практик'!$F$6:$F$277,"городские и сельские поселения (огр территория)")</f>
        <v>0</v>
      </c>
      <c r="BV58" s="104">
        <f>COUNTIFS('свод практик'!$J$6:$J$277,BV$1,'свод практик'!$F$6:$F$277,"городские и сельские поселения (огр территория)")</f>
        <v>0</v>
      </c>
      <c r="BW58" s="104">
        <f>COUNTIFS('свод практик'!$J$6:$J$277,BW$1,'свод практик'!$F$6:$F$277,"городские и сельские поселения (огр территория)")</f>
        <v>0</v>
      </c>
      <c r="BX58" s="104">
        <f>COUNTIFS('свод практик'!$J$6:$J$277,BX$1,'свод практик'!$F$6:$F$277,"городские и сельские поселения (огр территория)")</f>
        <v>0</v>
      </c>
      <c r="BY58" s="104">
        <f>COUNTIFS('свод практик'!$J$6:$J$277,BY$1,'свод практик'!$F$6:$F$277,"городские и сельские поселения (огр территория)")</f>
        <v>0</v>
      </c>
      <c r="BZ58" s="104">
        <f>COUNTIFS('свод практик'!$J$6:$J$277,BZ$1,'свод практик'!$F$6:$F$277,"городские и сельские поселения (огр территория)")</f>
        <v>0</v>
      </c>
      <c r="CA58" s="104">
        <f>COUNTIFS('свод практик'!$J$6:$J$277,CA$1,'свод практик'!$F$6:$F$277,"городские и сельские поселения (огр территория)")</f>
        <v>0</v>
      </c>
      <c r="CB58" s="104">
        <f>COUNTIFS('свод практик'!$J$6:$J$277,CB$1,'свод практик'!$F$6:$F$277,"городские и сельские поселения (огр территория)")</f>
        <v>0</v>
      </c>
      <c r="CC58" s="104">
        <f>COUNTIFS('свод практик'!$J$6:$J$277,CC$1,'свод практик'!$F$6:$F$277,"городские и сельские поселения (огр территория)")</f>
        <v>0</v>
      </c>
      <c r="CD58" s="104">
        <f>COUNTIFS('свод практик'!$J$6:$J$277,CD$1,'свод практик'!$F$6:$F$277,"городские и сельские поселения (огр территория)")</f>
        <v>0</v>
      </c>
      <c r="CE58" s="104">
        <f>COUNTIFS('свод практик'!$J$6:$J$277,CE$1,'свод практик'!$F$6:$F$277,"городские и сельские поселения (огр территория)")</f>
        <v>0</v>
      </c>
      <c r="CF58" s="104">
        <f>COUNTIFS('свод практик'!$J$6:$J$277,CF$1,'свод практик'!$F$6:$F$277,"городские и сельские поселения (огр территория)")</f>
        <v>0</v>
      </c>
      <c r="CG58" s="104">
        <f>COUNTIFS('свод практик'!$J$6:$J$277,CG$1,'свод практик'!$F$6:$F$277,"городские и сельские поселения (огр территория)")</f>
        <v>0</v>
      </c>
      <c r="CH58" s="104">
        <f>COUNTIFS('свод практик'!$J$6:$J$277,CH$1,'свод практик'!$F$6:$F$277,"городские и сельские поселения (огр территория)")</f>
        <v>0</v>
      </c>
      <c r="CI58" s="104">
        <f>COUNTIFS('свод практик'!$J$6:$J$277,CI$1,'свод практик'!$F$6:$F$277,"городские и сельские поселения (огр территория)")</f>
        <v>0</v>
      </c>
      <c r="CJ58" s="104">
        <f>COUNTIFS('свод практик'!$J$6:$J$277,CJ$1,'свод практик'!$F$6:$F$277,"городские и сельские поселения (огр территория)")</f>
        <v>0</v>
      </c>
      <c r="CK58" s="104">
        <f>COUNTIFS('свод практик'!$J$6:$J$277,CK$1,'свод практик'!$F$6:$F$277,"городские и сельские поселения (огр территория)")</f>
        <v>0</v>
      </c>
    </row>
    <row r="59" spans="1:89">
      <c r="A59" t="s">
        <v>5344</v>
      </c>
      <c r="D59" s="675">
        <f t="shared" si="0"/>
        <v>1</v>
      </c>
      <c r="E59">
        <f>COUNTIFS('свод практик'!$J$6:$J$277,E$1,'свод практик'!$F$6:$F$277,"городские и сельские поселения ТОС")</f>
        <v>0</v>
      </c>
      <c r="F59" s="104">
        <f>COUNTIFS('свод практик'!$J$6:$J$277,F$1,'свод практик'!$F$6:$F$277,"городские и сельские поселения ТОС")</f>
        <v>0</v>
      </c>
      <c r="G59" s="104">
        <f>COUNTIFS('свод практик'!$J$6:$J$277,G$1,'свод практик'!$F$6:$F$277,"городские и сельские поселения ТОС")</f>
        <v>0</v>
      </c>
      <c r="H59" s="104">
        <f>COUNTIFS('свод практик'!$J$6:$J$277,H$1,'свод практик'!$F$6:$F$277,"городские и сельские поселения ТОС")</f>
        <v>0</v>
      </c>
      <c r="I59" s="104">
        <f>COUNTIFS('свод практик'!$J$6:$J$277,I$1,'свод практик'!$F$6:$F$277,"городские и сельские поселения ТОС")</f>
        <v>0</v>
      </c>
      <c r="J59" s="104">
        <f>COUNTIFS('свод практик'!$J$6:$J$277,J$1,'свод практик'!$F$6:$F$277,"городские и сельские поселения ТОС")</f>
        <v>0</v>
      </c>
      <c r="K59" s="104">
        <f>COUNTIFS('свод практик'!$J$6:$J$277,K$1,'свод практик'!$F$6:$F$277,"городские и сельские поселения ТОС")</f>
        <v>0</v>
      </c>
      <c r="L59" s="104">
        <f>COUNTIFS('свод практик'!$J$6:$J$277,L$1,'свод практик'!$F$6:$F$277,"городские и сельские поселения ТОС")</f>
        <v>0</v>
      </c>
      <c r="M59" s="104">
        <f>COUNTIFS('свод практик'!$J$6:$J$277,M$1,'свод практик'!$F$6:$F$277,"городские и сельские поселения ТОС")</f>
        <v>0</v>
      </c>
      <c r="N59" s="104">
        <f>COUNTIFS('свод практик'!$J$6:$J$277,N$1,'свод практик'!$F$6:$F$277,"городские и сельские поселения ТОС")</f>
        <v>0</v>
      </c>
      <c r="O59" s="104">
        <f>COUNTIFS('свод практик'!$J$6:$J$277,O$1,'свод практик'!$F$6:$F$277,"городские и сельские поселения ТОС")</f>
        <v>0</v>
      </c>
      <c r="P59" s="104">
        <f>COUNTIFS('свод практик'!$J$6:$J$277,P$1,'свод практик'!$F$6:$F$277,"городские и сельские поселения ТОС")</f>
        <v>0</v>
      </c>
      <c r="Q59" s="104">
        <f>COUNTIFS('свод практик'!$J$6:$J$277,Q$1,'свод практик'!$F$6:$F$277,"городские и сельские поселения ТОС")</f>
        <v>0</v>
      </c>
      <c r="R59" s="104">
        <f>COUNTIFS('свод практик'!$J$6:$J$277,R$1,'свод практик'!$F$6:$F$277,"городские и сельские поселения ТОС")</f>
        <v>0</v>
      </c>
      <c r="S59" s="104">
        <f>COUNTIFS('свод практик'!$J$6:$J$277,S$1,'свод практик'!$F$6:$F$277,"городские и сельские поселения ТОС")</f>
        <v>0</v>
      </c>
      <c r="T59" s="104">
        <f>COUNTIFS('свод практик'!$J$6:$J$277,T$1,'свод практик'!$F$6:$F$277,"городские и сельские поселения ТОС")</f>
        <v>0</v>
      </c>
      <c r="U59" s="104">
        <f>COUNTIFS('свод практик'!$J$6:$J$277,U$1,'свод практик'!$F$6:$F$277,"городские и сельские поселения ТОС")</f>
        <v>0</v>
      </c>
      <c r="V59" s="104">
        <f>COUNTIFS('свод практик'!$J$6:$J$277,V$1,'свод практик'!$F$6:$F$277,"городские и сельские поселения ТОС")</f>
        <v>0</v>
      </c>
      <c r="W59" s="104">
        <f>COUNTIFS('свод практик'!$J$6:$J$277,W$1,'свод практик'!$F$6:$F$277,"городские и сельские поселения ТОС")</f>
        <v>0</v>
      </c>
      <c r="X59" s="104">
        <f>COUNTIFS('свод практик'!$J$6:$J$277,X$1,'свод практик'!$F$6:$F$277,"городские и сельские поселения ТОС")</f>
        <v>0</v>
      </c>
      <c r="Y59" s="104">
        <f>COUNTIFS('свод практик'!$J$6:$J$277,Y$1,'свод практик'!$F$6:$F$277,"городские и сельские поселения ТОС")</f>
        <v>0</v>
      </c>
      <c r="Z59" s="104">
        <f>COUNTIFS('свод практик'!$J$6:$J$277,Z$1,'свод практик'!$F$6:$F$277,"городские и сельские поселения ТОС")</f>
        <v>0</v>
      </c>
      <c r="AA59" s="104">
        <f>COUNTIFS('свод практик'!$J$6:$J$277,AA$1,'свод практик'!$F$6:$F$277,"городские и сельские поселения ТОС")</f>
        <v>0</v>
      </c>
      <c r="AB59" s="104">
        <f>COUNTIFS('свод практик'!$J$6:$J$277,AB$1,'свод практик'!$F$6:$F$277,"городские и сельские поселения ТОС")</f>
        <v>0</v>
      </c>
      <c r="AC59" s="104">
        <f>COUNTIFS('свод практик'!$J$6:$J$277,AC$1,'свод практик'!$F$6:$F$277,"городские и сельские поселения ТОС")</f>
        <v>0</v>
      </c>
      <c r="AD59" s="104">
        <f>COUNTIFS('свод практик'!$J$6:$J$277,AD$1,'свод практик'!$F$6:$F$277,"городские и сельские поселения ТОС")</f>
        <v>0</v>
      </c>
      <c r="AE59" s="104">
        <f>COUNTIFS('свод практик'!$J$6:$J$277,AE$1,'свод практик'!$F$6:$F$277,"городские и сельские поселения ТОС")</f>
        <v>0</v>
      </c>
      <c r="AF59" s="104">
        <f>COUNTIFS('свод практик'!$J$6:$J$277,AF$1,'свод практик'!$F$6:$F$277,"городские и сельские поселения ТОС")</f>
        <v>0</v>
      </c>
      <c r="AG59" s="104">
        <f>COUNTIFS('свод практик'!$J$6:$J$277,AG$1,'свод практик'!$F$6:$F$277,"городские и сельские поселения ТОС")</f>
        <v>0</v>
      </c>
      <c r="AH59" s="104">
        <f>COUNTIFS('свод практик'!$J$6:$J$277,AH$1,'свод практик'!$F$6:$F$277,"городские и сельские поселения ТОС")</f>
        <v>0</v>
      </c>
      <c r="AI59" s="104">
        <f>COUNTIFS('свод практик'!$J$6:$J$277,AI$1,'свод практик'!$F$6:$F$277,"городские и сельские поселения ТОС")</f>
        <v>0</v>
      </c>
      <c r="AJ59" s="104">
        <f>COUNTIFS('свод практик'!$J$6:$J$277,AJ$1,'свод практик'!$F$6:$F$277,"городские и сельские поселения ТОС")</f>
        <v>0</v>
      </c>
      <c r="AK59" s="104">
        <f>COUNTIFS('свод практик'!$J$6:$J$277,AK$1,'свод практик'!$F$6:$F$277,"городские и сельские поселения ТОС")</f>
        <v>0</v>
      </c>
      <c r="AL59" s="104">
        <f>COUNTIFS('свод практик'!$J$6:$J$277,AL$1,'свод практик'!$F$6:$F$277,"городские и сельские поселения ТОС")</f>
        <v>0</v>
      </c>
      <c r="AM59" s="104">
        <f>COUNTIFS('свод практик'!$J$6:$J$277,AM$1,'свод практик'!$F$6:$F$277,"городские и сельские поселения ТОС")</f>
        <v>0</v>
      </c>
      <c r="AN59" s="104">
        <f>COUNTIFS('свод практик'!$J$6:$J$277,AN$1,'свод практик'!$F$6:$F$277,"городские и сельские поселения ТОС")</f>
        <v>0</v>
      </c>
      <c r="AO59" s="104">
        <f>COUNTIFS('свод практик'!$J$6:$J$277,AO$1,'свод практик'!$F$6:$F$277,"городские и сельские поселения ТОС")</f>
        <v>0</v>
      </c>
      <c r="AP59" s="104">
        <f>COUNTIFS('свод практик'!$J$6:$J$277,AP$1,'свод практик'!$F$6:$F$277,"городские и сельские поселения ТОС")</f>
        <v>0</v>
      </c>
      <c r="AQ59" s="104">
        <f>COUNTIFS('свод практик'!$J$6:$J$277,AQ$1,'свод практик'!$F$6:$F$277,"городские и сельские поселения ТОС")</f>
        <v>0</v>
      </c>
      <c r="AR59" s="104">
        <f>COUNTIFS('свод практик'!$J$6:$J$277,AR$1,'свод практик'!$F$6:$F$277,"городские и сельские поселения ТОС")</f>
        <v>0</v>
      </c>
      <c r="AS59" s="104">
        <f>COUNTIFS('свод практик'!$J$6:$J$277,AS$1,'свод практик'!$F$6:$F$277,"городские и сельские поселения ТОС")</f>
        <v>0</v>
      </c>
      <c r="AT59" s="104">
        <f>COUNTIFS('свод практик'!$J$6:$J$277,AT$1,'свод практик'!$F$6:$F$277,"городские и сельские поселения ТОС")</f>
        <v>0</v>
      </c>
      <c r="AU59" s="104">
        <f>COUNTIFS('свод практик'!$J$6:$J$277,AU$1,'свод практик'!$F$6:$F$277,"городские и сельские поселения ТОС")</f>
        <v>0</v>
      </c>
      <c r="AV59" s="104">
        <f>COUNTIFS('свод практик'!$J$6:$J$277,AV$1,'свод практик'!$F$6:$F$277,"городские и сельские поселения ТОС")</f>
        <v>0</v>
      </c>
      <c r="AW59" s="104">
        <f>COUNTIFS('свод практик'!$J$6:$J$277,AW$1,'свод практик'!$F$6:$F$277,"городские и сельские поселения ТОС")</f>
        <v>0</v>
      </c>
      <c r="AX59" s="104">
        <f>COUNTIFS('свод практик'!$J$6:$J$277,AX$1,'свод практик'!$F$6:$F$277,"городские и сельские поселения ТОС")</f>
        <v>0</v>
      </c>
      <c r="AY59" s="104">
        <f>COUNTIFS('свод практик'!$J$6:$J$277,AY$1,'свод практик'!$F$6:$F$277,"городские и сельские поселения ТОС")</f>
        <v>1</v>
      </c>
      <c r="AZ59" s="104">
        <f>COUNTIFS('свод практик'!$J$6:$J$277,AZ$1,'свод практик'!$F$6:$F$277,"городские и сельские поселения ТОС")</f>
        <v>0</v>
      </c>
      <c r="BA59" s="104">
        <f>COUNTIFS('свод практик'!$J$6:$J$277,BA$1,'свод практик'!$F$6:$F$277,"городские и сельские поселения ТОС")</f>
        <v>0</v>
      </c>
      <c r="BB59" s="104">
        <f>COUNTIFS('свод практик'!$J$6:$J$277,BB$1,'свод практик'!$F$6:$F$277,"городские и сельские поселения ТОС")</f>
        <v>0</v>
      </c>
      <c r="BC59" s="104">
        <f>COUNTIFS('свод практик'!$J$6:$J$277,BC$1,'свод практик'!$F$6:$F$277,"городские и сельские поселения ТОС")</f>
        <v>0</v>
      </c>
      <c r="BD59" s="104">
        <f>COUNTIFS('свод практик'!$J$6:$J$277,BD$1,'свод практик'!$F$6:$F$277,"городские и сельские поселения ТОС")</f>
        <v>0</v>
      </c>
      <c r="BE59" s="104">
        <f>COUNTIFS('свод практик'!$J$6:$J$277,BE$1,'свод практик'!$F$6:$F$277,"городские и сельские поселения ТОС")</f>
        <v>0</v>
      </c>
      <c r="BF59" s="104">
        <f>COUNTIFS('свод практик'!$J$6:$J$277,BF$1,'свод практик'!$F$6:$F$277,"городские и сельские поселения ТОС")</f>
        <v>0</v>
      </c>
      <c r="BG59" s="104">
        <f>COUNTIFS('свод практик'!$J$6:$J$277,BG$1,'свод практик'!$F$6:$F$277,"городские и сельские поселения ТОС")</f>
        <v>0</v>
      </c>
      <c r="BH59" s="104">
        <f>COUNTIFS('свод практик'!$J$6:$J$277,BH$1,'свод практик'!$F$6:$F$277,"городские и сельские поселения ТОС")</f>
        <v>0</v>
      </c>
      <c r="BI59" s="104">
        <f>COUNTIFS('свод практик'!$J$6:$J$277,BI$1,'свод практик'!$F$6:$F$277,"городские и сельские поселения ТОС")</f>
        <v>0</v>
      </c>
      <c r="BJ59" s="104">
        <f>COUNTIFS('свод практик'!$J$6:$J$277,BJ$1,'свод практик'!$F$6:$F$277,"городские и сельские поселения ТОС")</f>
        <v>0</v>
      </c>
      <c r="BK59" s="104">
        <f>COUNTIFS('свод практик'!$J$6:$J$277,BK$1,'свод практик'!$F$6:$F$277,"городские и сельские поселения ТОС")</f>
        <v>0</v>
      </c>
      <c r="BL59" s="104">
        <f>COUNTIFS('свод практик'!$J$6:$J$277,BL$1,'свод практик'!$F$6:$F$277,"городские и сельские поселения ТОС")</f>
        <v>0</v>
      </c>
      <c r="BM59" s="104">
        <f>COUNTIFS('свод практик'!$J$6:$J$277,BM$1,'свод практик'!$F$6:$F$277,"городские и сельские поселения ТОС")</f>
        <v>0</v>
      </c>
      <c r="BN59" s="104">
        <f>COUNTIFS('свод практик'!$J$6:$J$277,BN$1,'свод практик'!$F$6:$F$277,"городские и сельские поселения ТОС")</f>
        <v>0</v>
      </c>
      <c r="BO59" s="104">
        <f>COUNTIFS('свод практик'!$J$6:$J$277,BO$1,'свод практик'!$F$6:$F$277,"городские и сельские поселения ТОС")</f>
        <v>0</v>
      </c>
      <c r="BP59" s="104">
        <f>COUNTIFS('свод практик'!$J$6:$J$277,BP$1,'свод практик'!$F$6:$F$277,"городские и сельские поселения ТОС")</f>
        <v>0</v>
      </c>
      <c r="BQ59" s="104">
        <f>COUNTIFS('свод практик'!$J$6:$J$277,BQ$1,'свод практик'!$F$6:$F$277,"городские и сельские поселения ТОС")</f>
        <v>0</v>
      </c>
      <c r="BR59" s="104">
        <f>COUNTIFS('свод практик'!$J$6:$J$277,BR$1,'свод практик'!$F$6:$F$277,"городские и сельские поселения ТОС")</f>
        <v>0</v>
      </c>
      <c r="BS59" s="104">
        <f>COUNTIFS('свод практик'!$J$6:$J$277,BS$1,'свод практик'!$F$6:$F$277,"городские и сельские поселения ТОС")</f>
        <v>0</v>
      </c>
      <c r="BT59" s="104">
        <f>COUNTIFS('свод практик'!$J$6:$J$277,BT$1,'свод практик'!$F$6:$F$277,"городские и сельские поселения ТОС")</f>
        <v>0</v>
      </c>
      <c r="BU59" s="104">
        <f>COUNTIFS('свод практик'!$J$6:$J$277,BU$1,'свод практик'!$F$6:$F$277,"городские и сельские поселения ТОС")</f>
        <v>0</v>
      </c>
      <c r="BV59" s="104">
        <f>COUNTIFS('свод практик'!$J$6:$J$277,BV$1,'свод практик'!$F$6:$F$277,"городские и сельские поселения ТОС")</f>
        <v>0</v>
      </c>
      <c r="BW59" s="104">
        <f>COUNTIFS('свод практик'!$J$6:$J$277,BW$1,'свод практик'!$F$6:$F$277,"городские и сельские поселения ТОС")</f>
        <v>0</v>
      </c>
      <c r="BX59" s="104">
        <f>COUNTIFS('свод практик'!$J$6:$J$277,BX$1,'свод практик'!$F$6:$F$277,"городские и сельские поселения ТОС")</f>
        <v>0</v>
      </c>
      <c r="BY59" s="104">
        <f>COUNTIFS('свод практик'!$J$6:$J$277,BY$1,'свод практик'!$F$6:$F$277,"городские и сельские поселения ТОС")</f>
        <v>0</v>
      </c>
      <c r="BZ59" s="104">
        <f>COUNTIFS('свод практик'!$J$6:$J$277,BZ$1,'свод практик'!$F$6:$F$277,"городские и сельские поселения ТОС")</f>
        <v>0</v>
      </c>
      <c r="CA59" s="104">
        <f>COUNTIFS('свод практик'!$J$6:$J$277,CA$1,'свод практик'!$F$6:$F$277,"городские и сельские поселения ТОС")</f>
        <v>0</v>
      </c>
      <c r="CB59" s="104">
        <f>COUNTIFS('свод практик'!$J$6:$J$277,CB$1,'свод практик'!$F$6:$F$277,"городские и сельские поселения ТОС")</f>
        <v>0</v>
      </c>
      <c r="CC59" s="104">
        <f>COUNTIFS('свод практик'!$J$6:$J$277,CC$1,'свод практик'!$F$6:$F$277,"городские и сельские поселения ТОС")</f>
        <v>0</v>
      </c>
      <c r="CD59" s="104">
        <f>COUNTIFS('свод практик'!$J$6:$J$277,CD$1,'свод практик'!$F$6:$F$277,"городские и сельские поселения ТОС")</f>
        <v>0</v>
      </c>
      <c r="CE59" s="104">
        <f>COUNTIFS('свод практик'!$J$6:$J$277,CE$1,'свод практик'!$F$6:$F$277,"городские и сельские поселения ТОС")</f>
        <v>0</v>
      </c>
      <c r="CF59" s="104">
        <f>COUNTIFS('свод практик'!$J$6:$J$277,CF$1,'свод практик'!$F$6:$F$277,"городские и сельские поселения ТОС")</f>
        <v>0</v>
      </c>
      <c r="CG59" s="104">
        <f>COUNTIFS('свод практик'!$J$6:$J$277,CG$1,'свод практик'!$F$6:$F$277,"городские и сельские поселения ТОС")</f>
        <v>0</v>
      </c>
      <c r="CH59" s="104">
        <f>COUNTIFS('свод практик'!$J$6:$J$277,CH$1,'свод практик'!$F$6:$F$277,"городские и сельские поселения ТОС")</f>
        <v>0</v>
      </c>
      <c r="CI59" s="104">
        <f>COUNTIFS('свод практик'!$J$6:$J$277,CI$1,'свод практик'!$F$6:$F$277,"городские и сельские поселения ТОС")</f>
        <v>0</v>
      </c>
      <c r="CJ59" s="104">
        <f>COUNTIFS('свод практик'!$J$6:$J$277,CJ$1,'свод практик'!$F$6:$F$277,"городские и сельские поселения ТОС")</f>
        <v>0</v>
      </c>
      <c r="CK59" s="104">
        <f>COUNTIFS('свод практик'!$J$6:$J$277,CK$1,'свод практик'!$F$6:$F$277,"городские и сельские поселения ТОС")</f>
        <v>0</v>
      </c>
    </row>
    <row r="60" spans="1:89">
      <c r="A60" t="s">
        <v>5873</v>
      </c>
      <c r="D60" s="675">
        <f t="shared" si="0"/>
        <v>2</v>
      </c>
      <c r="E60">
        <f>COUNTIFS('свод практик'!$J$6:$J$277,E$1,'свод практик'!$F$6:$F$277,"гороские и сельские поселения, ГО")</f>
        <v>0</v>
      </c>
      <c r="F60" s="104">
        <f>COUNTIFS('свод практик'!$J$6:$J$277,F$1,'свод практик'!$F$6:$F$277,"гороские и сельские поселения, ГО")</f>
        <v>0</v>
      </c>
      <c r="G60" s="104">
        <f>COUNTIFS('свод практик'!$J$6:$J$277,G$1,'свод практик'!$F$6:$F$277,"гороские и сельские поселения, ГО")</f>
        <v>0</v>
      </c>
      <c r="H60" s="104">
        <f>COUNTIFS('свод практик'!$J$6:$J$277,H$1,'свод практик'!$F$6:$F$277,"гороские и сельские поселения, ГО")</f>
        <v>0</v>
      </c>
      <c r="I60" s="104">
        <f>COUNTIFS('свод практик'!$J$6:$J$277,I$1,'свод практик'!$F$6:$F$277,"гороские и сельские поселения, ГО")</f>
        <v>0</v>
      </c>
      <c r="J60" s="104">
        <f>COUNTIFS('свод практик'!$J$6:$J$277,J$1,'свод практик'!$F$6:$F$277,"гороские и сельские поселения, ГО")</f>
        <v>0</v>
      </c>
      <c r="K60" s="104">
        <f>COUNTIFS('свод практик'!$J$6:$J$277,K$1,'свод практик'!$F$6:$F$277,"гороские и сельские поселения, ГО")</f>
        <v>0</v>
      </c>
      <c r="L60" s="104">
        <f>COUNTIFS('свод практик'!$J$6:$J$277,L$1,'свод практик'!$F$6:$F$277,"гороские и сельские поселения, ГО")</f>
        <v>0</v>
      </c>
      <c r="M60" s="104">
        <f>COUNTIFS('свод практик'!$J$6:$J$277,M$1,'свод практик'!$F$6:$F$277,"гороские и сельские поселения, ГО")</f>
        <v>0</v>
      </c>
      <c r="N60" s="104">
        <f>COUNTIFS('свод практик'!$J$6:$J$277,N$1,'свод практик'!$F$6:$F$277,"гороские и сельские поселения, ГО")</f>
        <v>0</v>
      </c>
      <c r="O60" s="104">
        <f>COUNTIFS('свод практик'!$J$6:$J$277,O$1,'свод практик'!$F$6:$F$277,"гороские и сельские поселения, ГО")</f>
        <v>0</v>
      </c>
      <c r="P60" s="104">
        <f>COUNTIFS('свод практик'!$J$6:$J$277,P$1,'свод практик'!$F$6:$F$277,"гороские и сельские поселения, ГО")</f>
        <v>0</v>
      </c>
      <c r="Q60" s="104">
        <f>COUNTIFS('свод практик'!$J$6:$J$277,Q$1,'свод практик'!$F$6:$F$277,"гороские и сельские поселения, ГО")</f>
        <v>0</v>
      </c>
      <c r="R60" s="104">
        <f>COUNTIFS('свод практик'!$J$6:$J$277,R$1,'свод практик'!$F$6:$F$277,"гороские и сельские поселения, ГО")</f>
        <v>0</v>
      </c>
      <c r="S60" s="104">
        <f>COUNTIFS('свод практик'!$J$6:$J$277,S$1,'свод практик'!$F$6:$F$277,"гороские и сельские поселения, ГО")</f>
        <v>0</v>
      </c>
      <c r="T60" s="104">
        <f>COUNTIFS('свод практик'!$J$6:$J$277,T$1,'свод практик'!$F$6:$F$277,"гороские и сельские поселения, ГО")</f>
        <v>0</v>
      </c>
      <c r="U60" s="104">
        <f>COUNTIFS('свод практик'!$J$6:$J$277,U$1,'свод практик'!$F$6:$F$277,"гороские и сельские поселения, ГО")</f>
        <v>0</v>
      </c>
      <c r="V60" s="104">
        <f>COUNTIFS('свод практик'!$J$6:$J$277,V$1,'свод практик'!$F$6:$F$277,"гороские и сельские поселения, ГО")</f>
        <v>0</v>
      </c>
      <c r="W60" s="104">
        <f>COUNTIFS('свод практик'!$J$6:$J$277,W$1,'свод практик'!$F$6:$F$277,"гороские и сельские поселения, ГО")</f>
        <v>0</v>
      </c>
      <c r="X60" s="104">
        <f>COUNTIFS('свод практик'!$J$6:$J$277,X$1,'свод практик'!$F$6:$F$277,"гороские и сельские поселения, ГО")</f>
        <v>0</v>
      </c>
      <c r="Y60" s="104">
        <f>COUNTIFS('свод практик'!$J$6:$J$277,Y$1,'свод практик'!$F$6:$F$277,"гороские и сельские поселения, ГО")</f>
        <v>0</v>
      </c>
      <c r="Z60" s="104">
        <f>COUNTIFS('свод практик'!$J$6:$J$277,Z$1,'свод практик'!$F$6:$F$277,"гороские и сельские поселения, ГО")</f>
        <v>0</v>
      </c>
      <c r="AA60" s="104">
        <f>COUNTIFS('свод практик'!$J$6:$J$277,AA$1,'свод практик'!$F$6:$F$277,"гороские и сельские поселения, ГО")</f>
        <v>0</v>
      </c>
      <c r="AB60" s="104">
        <f>COUNTIFS('свод практик'!$J$6:$J$277,AB$1,'свод практик'!$F$6:$F$277,"гороские и сельские поселения, ГО")</f>
        <v>0</v>
      </c>
      <c r="AC60" s="104">
        <f>COUNTIFS('свод практик'!$J$6:$J$277,AC$1,'свод практик'!$F$6:$F$277,"гороские и сельские поселения, ГО")</f>
        <v>0</v>
      </c>
      <c r="AD60" s="104">
        <f>COUNTIFS('свод практик'!$J$6:$J$277,AD$1,'свод практик'!$F$6:$F$277,"гороские и сельские поселения, ГО")</f>
        <v>0</v>
      </c>
      <c r="AE60" s="104">
        <f>COUNTIFS('свод практик'!$J$6:$J$277,AE$1,'свод практик'!$F$6:$F$277,"гороские и сельские поселения, ГО")</f>
        <v>0</v>
      </c>
      <c r="AF60" s="104">
        <f>COUNTIFS('свод практик'!$J$6:$J$277,AF$1,'свод практик'!$F$6:$F$277,"гороские и сельские поселения, ГО")</f>
        <v>0</v>
      </c>
      <c r="AG60" s="104">
        <f>COUNTIFS('свод практик'!$J$6:$J$277,AG$1,'свод практик'!$F$6:$F$277,"гороские и сельские поселения, ГО")</f>
        <v>0</v>
      </c>
      <c r="AH60" s="104">
        <f>COUNTIFS('свод практик'!$J$6:$J$277,AH$1,'свод практик'!$F$6:$F$277,"гороские и сельские поселения, ГО")</f>
        <v>0</v>
      </c>
      <c r="AI60" s="104">
        <f>COUNTIFS('свод практик'!$J$6:$J$277,AI$1,'свод практик'!$F$6:$F$277,"гороские и сельские поселения, ГО")</f>
        <v>0</v>
      </c>
      <c r="AJ60" s="104">
        <f>COUNTIFS('свод практик'!$J$6:$J$277,AJ$1,'свод практик'!$F$6:$F$277,"гороские и сельские поселения, ГО")</f>
        <v>0</v>
      </c>
      <c r="AK60" s="104">
        <f>COUNTIFS('свод практик'!$J$6:$J$277,AK$1,'свод практик'!$F$6:$F$277,"гороские и сельские поселения, ГО")</f>
        <v>0</v>
      </c>
      <c r="AL60" s="104">
        <f>COUNTIFS('свод практик'!$J$6:$J$277,AL$1,'свод практик'!$F$6:$F$277,"гороские и сельские поселения, ГО")</f>
        <v>0</v>
      </c>
      <c r="AM60" s="104">
        <f>COUNTIFS('свод практик'!$J$6:$J$277,AM$1,'свод практик'!$F$6:$F$277,"гороские и сельские поселения, ГО")</f>
        <v>0</v>
      </c>
      <c r="AN60" s="104">
        <f>COUNTIFS('свод практик'!$J$6:$J$277,AN$1,'свод практик'!$F$6:$F$277,"гороские и сельские поселения, ГО")</f>
        <v>0</v>
      </c>
      <c r="AO60" s="104">
        <f>COUNTIFS('свод практик'!$J$6:$J$277,AO$1,'свод практик'!$F$6:$F$277,"гороские и сельские поселения, ГО")</f>
        <v>0</v>
      </c>
      <c r="AP60" s="104">
        <f>COUNTIFS('свод практик'!$J$6:$J$277,AP$1,'свод практик'!$F$6:$F$277,"гороские и сельские поселения, ГО")</f>
        <v>1</v>
      </c>
      <c r="AQ60" s="104">
        <f>COUNTIFS('свод практик'!$J$6:$J$277,AQ$1,'свод практик'!$F$6:$F$277,"гороские и сельские поселения, ГО")</f>
        <v>0</v>
      </c>
      <c r="AR60" s="104">
        <f>COUNTIFS('свод практик'!$J$6:$J$277,AR$1,'свод практик'!$F$6:$F$277,"гороские и сельские поселения, ГО")</f>
        <v>1</v>
      </c>
      <c r="AS60" s="104">
        <f>COUNTIFS('свод практик'!$J$6:$J$277,AS$1,'свод практик'!$F$6:$F$277,"гороские и сельские поселения, ГО")</f>
        <v>0</v>
      </c>
      <c r="AT60" s="104">
        <f>COUNTIFS('свод практик'!$J$6:$J$277,AT$1,'свод практик'!$F$6:$F$277,"гороские и сельские поселения, ГО")</f>
        <v>0</v>
      </c>
      <c r="AU60" s="104">
        <f>COUNTIFS('свод практик'!$J$6:$J$277,AU$1,'свод практик'!$F$6:$F$277,"гороские и сельские поселения, ГО")</f>
        <v>0</v>
      </c>
      <c r="AV60" s="104">
        <f>COUNTIFS('свод практик'!$J$6:$J$277,AV$1,'свод практик'!$F$6:$F$277,"гороские и сельские поселения, ГО")</f>
        <v>0</v>
      </c>
      <c r="AW60" s="104">
        <f>COUNTIFS('свод практик'!$J$6:$J$277,AW$1,'свод практик'!$F$6:$F$277,"гороские и сельские поселения, ГО")</f>
        <v>0</v>
      </c>
      <c r="AX60" s="104">
        <f>COUNTIFS('свод практик'!$J$6:$J$277,AX$1,'свод практик'!$F$6:$F$277,"гороские и сельские поселения, ГО")</f>
        <v>0</v>
      </c>
      <c r="AY60" s="104">
        <f>COUNTIFS('свод практик'!$J$6:$J$277,AY$1,'свод практик'!$F$6:$F$277,"гороские и сельские поселения, ГО")</f>
        <v>0</v>
      </c>
      <c r="AZ60" s="104">
        <f>COUNTIFS('свод практик'!$J$6:$J$277,AZ$1,'свод практик'!$F$6:$F$277,"гороские и сельские поселения, ГО")</f>
        <v>0</v>
      </c>
      <c r="BA60" s="104">
        <f>COUNTIFS('свод практик'!$J$6:$J$277,BA$1,'свод практик'!$F$6:$F$277,"гороские и сельские поселения, ГО")</f>
        <v>0</v>
      </c>
      <c r="BB60" s="104">
        <f>COUNTIFS('свод практик'!$J$6:$J$277,BB$1,'свод практик'!$F$6:$F$277,"гороские и сельские поселения, ГО")</f>
        <v>0</v>
      </c>
      <c r="BC60" s="104">
        <f>COUNTIFS('свод практик'!$J$6:$J$277,BC$1,'свод практик'!$F$6:$F$277,"гороские и сельские поселения, ГО")</f>
        <v>0</v>
      </c>
      <c r="BD60" s="104">
        <f>COUNTIFS('свод практик'!$J$6:$J$277,BD$1,'свод практик'!$F$6:$F$277,"гороские и сельские поселения, ГО")</f>
        <v>0</v>
      </c>
      <c r="BE60" s="104">
        <f>COUNTIFS('свод практик'!$J$6:$J$277,BE$1,'свод практик'!$F$6:$F$277,"гороские и сельские поселения, ГО")</f>
        <v>0</v>
      </c>
      <c r="BF60" s="104">
        <f>COUNTIFS('свод практик'!$J$6:$J$277,BF$1,'свод практик'!$F$6:$F$277,"гороские и сельские поселения, ГО")</f>
        <v>0</v>
      </c>
      <c r="BG60" s="104">
        <f>COUNTIFS('свод практик'!$J$6:$J$277,BG$1,'свод практик'!$F$6:$F$277,"гороские и сельские поселения, ГО")</f>
        <v>0</v>
      </c>
      <c r="BH60" s="104">
        <f>COUNTIFS('свод практик'!$J$6:$J$277,BH$1,'свод практик'!$F$6:$F$277,"гороские и сельские поселения, ГО")</f>
        <v>0</v>
      </c>
      <c r="BI60" s="104">
        <f>COUNTIFS('свод практик'!$J$6:$J$277,BI$1,'свод практик'!$F$6:$F$277,"гороские и сельские поселения, ГО")</f>
        <v>0</v>
      </c>
      <c r="BJ60" s="104">
        <f>COUNTIFS('свод практик'!$J$6:$J$277,BJ$1,'свод практик'!$F$6:$F$277,"гороские и сельские поселения, ГО")</f>
        <v>0</v>
      </c>
      <c r="BK60" s="104">
        <f>COUNTIFS('свод практик'!$J$6:$J$277,BK$1,'свод практик'!$F$6:$F$277,"гороские и сельские поселения, ГО")</f>
        <v>0</v>
      </c>
      <c r="BL60" s="104">
        <f>COUNTIFS('свод практик'!$J$6:$J$277,BL$1,'свод практик'!$F$6:$F$277,"гороские и сельские поселения, ГО")</f>
        <v>0</v>
      </c>
      <c r="BM60" s="104">
        <f>COUNTIFS('свод практик'!$J$6:$J$277,BM$1,'свод практик'!$F$6:$F$277,"гороские и сельские поселения, ГО")</f>
        <v>0</v>
      </c>
      <c r="BN60" s="104">
        <f>COUNTIFS('свод практик'!$J$6:$J$277,BN$1,'свод практик'!$F$6:$F$277,"гороские и сельские поселения, ГО")</f>
        <v>0</v>
      </c>
      <c r="BO60" s="104">
        <f>COUNTIFS('свод практик'!$J$6:$J$277,BO$1,'свод практик'!$F$6:$F$277,"гороские и сельские поселения, ГО")</f>
        <v>0</v>
      </c>
      <c r="BP60" s="104">
        <f>COUNTIFS('свод практик'!$J$6:$J$277,BP$1,'свод практик'!$F$6:$F$277,"гороские и сельские поселения, ГО")</f>
        <v>0</v>
      </c>
      <c r="BQ60" s="104">
        <f>COUNTIFS('свод практик'!$J$6:$J$277,BQ$1,'свод практик'!$F$6:$F$277,"гороские и сельские поселения, ГО")</f>
        <v>0</v>
      </c>
      <c r="BR60" s="104">
        <f>COUNTIFS('свод практик'!$J$6:$J$277,BR$1,'свод практик'!$F$6:$F$277,"гороские и сельские поселения, ГО")</f>
        <v>0</v>
      </c>
      <c r="BS60" s="104">
        <f>COUNTIFS('свод практик'!$J$6:$J$277,BS$1,'свод практик'!$F$6:$F$277,"гороские и сельские поселения, ГО")</f>
        <v>0</v>
      </c>
      <c r="BT60" s="104">
        <f>COUNTIFS('свод практик'!$J$6:$J$277,BT$1,'свод практик'!$F$6:$F$277,"гороские и сельские поселения, ГО")</f>
        <v>0</v>
      </c>
      <c r="BU60" s="104">
        <f>COUNTIFS('свод практик'!$J$6:$J$277,BU$1,'свод практик'!$F$6:$F$277,"гороские и сельские поселения, ГО")</f>
        <v>0</v>
      </c>
      <c r="BV60" s="104">
        <f>COUNTIFS('свод практик'!$J$6:$J$277,BV$1,'свод практик'!$F$6:$F$277,"гороские и сельские поселения, ГО")</f>
        <v>0</v>
      </c>
      <c r="BW60" s="104">
        <f>COUNTIFS('свод практик'!$J$6:$J$277,BW$1,'свод практик'!$F$6:$F$277,"гороские и сельские поселения, ГО")</f>
        <v>0</v>
      </c>
      <c r="BX60" s="104">
        <f>COUNTIFS('свод практик'!$J$6:$J$277,BX$1,'свод практик'!$F$6:$F$277,"гороские и сельские поселения, ГО")</f>
        <v>0</v>
      </c>
      <c r="BY60" s="104">
        <f>COUNTIFS('свод практик'!$J$6:$J$277,BY$1,'свод практик'!$F$6:$F$277,"гороские и сельские поселения, ГО")</f>
        <v>0</v>
      </c>
      <c r="BZ60" s="104">
        <f>COUNTIFS('свод практик'!$J$6:$J$277,BZ$1,'свод практик'!$F$6:$F$277,"гороские и сельские поселения, ГО")</f>
        <v>0</v>
      </c>
      <c r="CA60" s="104">
        <f>COUNTIFS('свод практик'!$J$6:$J$277,CA$1,'свод практик'!$F$6:$F$277,"гороские и сельские поселения, ГО")</f>
        <v>0</v>
      </c>
      <c r="CB60" s="104">
        <f>COUNTIFS('свод практик'!$J$6:$J$277,CB$1,'свод практик'!$F$6:$F$277,"гороские и сельские поселения, ГО")</f>
        <v>0</v>
      </c>
      <c r="CC60" s="104">
        <f>COUNTIFS('свод практик'!$J$6:$J$277,CC$1,'свод практик'!$F$6:$F$277,"гороские и сельские поселения, ГО")</f>
        <v>0</v>
      </c>
      <c r="CD60" s="104">
        <f>COUNTIFS('свод практик'!$J$6:$J$277,CD$1,'свод практик'!$F$6:$F$277,"гороские и сельские поселения, ГО")</f>
        <v>0</v>
      </c>
      <c r="CE60" s="104">
        <f>COUNTIFS('свод практик'!$J$6:$J$277,CE$1,'свод практик'!$F$6:$F$277,"гороские и сельские поселения, ГО")</f>
        <v>0</v>
      </c>
      <c r="CF60" s="104">
        <f>COUNTIFS('свод практик'!$J$6:$J$277,CF$1,'свод практик'!$F$6:$F$277,"гороские и сельские поселения, ГО")</f>
        <v>0</v>
      </c>
      <c r="CG60" s="104">
        <f>COUNTIFS('свод практик'!$J$6:$J$277,CG$1,'свод практик'!$F$6:$F$277,"гороские и сельские поселения, ГО")</f>
        <v>0</v>
      </c>
      <c r="CH60" s="104">
        <f>COUNTIFS('свод практик'!$J$6:$J$277,CH$1,'свод практик'!$F$6:$F$277,"гороские и сельские поселения, ГО")</f>
        <v>0</v>
      </c>
      <c r="CI60" s="104">
        <f>COUNTIFS('свод практик'!$J$6:$J$277,CI$1,'свод практик'!$F$6:$F$277,"гороские и сельские поселения, ГО")</f>
        <v>0</v>
      </c>
      <c r="CJ60" s="104">
        <f>COUNTIFS('свод практик'!$J$6:$J$277,CJ$1,'свод практик'!$F$6:$F$277,"гороские и сельские поселения, ГО")</f>
        <v>0</v>
      </c>
      <c r="CK60" s="104">
        <f>COUNTIFS('свод практик'!$J$6:$J$277,CK$1,'свод практик'!$F$6:$F$277,"гороские и сельские поселения, ГО")</f>
        <v>0</v>
      </c>
    </row>
    <row r="61" spans="1:89">
      <c r="A61" t="s">
        <v>5874</v>
      </c>
      <c r="D61" s="675">
        <f t="shared" si="0"/>
        <v>1</v>
      </c>
      <c r="E61">
        <f>COUNTIFS('свод практик'!$J$6:$J$277,E$1,'свод практик'!$F$6:$F$277,"городские поселения")</f>
        <v>0</v>
      </c>
      <c r="F61" s="104">
        <f>COUNTIFS('свод практик'!$J$6:$J$277,F$1,'свод практик'!$F$6:$F$277,"городские поселения")</f>
        <v>0</v>
      </c>
      <c r="G61" s="104">
        <f>COUNTIFS('свод практик'!$J$6:$J$277,G$1,'свод практик'!$F$6:$F$277,"городские поселения")</f>
        <v>0</v>
      </c>
      <c r="H61" s="104">
        <f>COUNTIFS('свод практик'!$J$6:$J$277,H$1,'свод практик'!$F$6:$F$277,"городские поселения")</f>
        <v>0</v>
      </c>
      <c r="I61" s="104">
        <f>COUNTIFS('свод практик'!$J$6:$J$277,I$1,'свод практик'!$F$6:$F$277,"городские поселения")</f>
        <v>0</v>
      </c>
      <c r="J61" s="104">
        <f>COUNTIFS('свод практик'!$J$6:$J$277,J$1,'свод практик'!$F$6:$F$277,"городские поселения")</f>
        <v>0</v>
      </c>
      <c r="K61" s="104">
        <f>COUNTIFS('свод практик'!$J$6:$J$277,K$1,'свод практик'!$F$6:$F$277,"городские поселения")</f>
        <v>0</v>
      </c>
      <c r="L61" s="104">
        <f>COUNTIFS('свод практик'!$J$6:$J$277,L$1,'свод практик'!$F$6:$F$277,"городские поселения")</f>
        <v>0</v>
      </c>
      <c r="M61" s="104">
        <f>COUNTIFS('свод практик'!$J$6:$J$277,M$1,'свод практик'!$F$6:$F$277,"городские поселения")</f>
        <v>0</v>
      </c>
      <c r="N61" s="104">
        <f>COUNTIFS('свод практик'!$J$6:$J$277,N$1,'свод практик'!$F$6:$F$277,"городские поселения")</f>
        <v>0</v>
      </c>
      <c r="O61" s="104">
        <f>COUNTIFS('свод практик'!$J$6:$J$277,O$1,'свод практик'!$F$6:$F$277,"городские поселения")</f>
        <v>0</v>
      </c>
      <c r="P61" s="104">
        <f>COUNTIFS('свод практик'!$J$6:$J$277,P$1,'свод практик'!$F$6:$F$277,"городские поселения")</f>
        <v>0</v>
      </c>
      <c r="Q61" s="104">
        <f>COUNTIFS('свод практик'!$J$6:$J$277,Q$1,'свод практик'!$F$6:$F$277,"городские поселения")</f>
        <v>0</v>
      </c>
      <c r="R61" s="104">
        <f>COUNTIFS('свод практик'!$J$6:$J$277,R$1,'свод практик'!$F$6:$F$277,"городские поселения")</f>
        <v>0</v>
      </c>
      <c r="S61" s="104">
        <f>COUNTIFS('свод практик'!$J$6:$J$277,S$1,'свод практик'!$F$6:$F$277,"городские поселения")</f>
        <v>0</v>
      </c>
      <c r="T61" s="104">
        <f>COUNTIFS('свод практик'!$J$6:$J$277,T$1,'свод практик'!$F$6:$F$277,"городские поселения")</f>
        <v>0</v>
      </c>
      <c r="U61" s="104">
        <f>COUNTIFS('свод практик'!$J$6:$J$277,U$1,'свод практик'!$F$6:$F$277,"городские поселения")</f>
        <v>0</v>
      </c>
      <c r="V61" s="104">
        <f>COUNTIFS('свод практик'!$J$6:$J$277,V$1,'свод практик'!$F$6:$F$277,"городские поселения")</f>
        <v>0</v>
      </c>
      <c r="W61" s="104">
        <f>COUNTIFS('свод практик'!$J$6:$J$277,W$1,'свод практик'!$F$6:$F$277,"городские поселения")</f>
        <v>0</v>
      </c>
      <c r="X61" s="104">
        <f>COUNTIFS('свод практик'!$J$6:$J$277,X$1,'свод практик'!$F$6:$F$277,"городские поселения")</f>
        <v>0</v>
      </c>
      <c r="Y61" s="104">
        <f>COUNTIFS('свод практик'!$J$6:$J$277,Y$1,'свод практик'!$F$6:$F$277,"городские поселения")</f>
        <v>0</v>
      </c>
      <c r="Z61" s="104">
        <f>COUNTIFS('свод практик'!$J$6:$J$277,Z$1,'свод практик'!$F$6:$F$277,"городские поселения")</f>
        <v>0</v>
      </c>
      <c r="AA61" s="104">
        <f>COUNTIFS('свод практик'!$J$6:$J$277,AA$1,'свод практик'!$F$6:$F$277,"городские поселения")</f>
        <v>0</v>
      </c>
      <c r="AB61" s="104">
        <f>COUNTIFS('свод практик'!$J$6:$J$277,AB$1,'свод практик'!$F$6:$F$277,"городские поселения")</f>
        <v>0</v>
      </c>
      <c r="AC61" s="104">
        <f>COUNTIFS('свод практик'!$J$6:$J$277,AC$1,'свод практик'!$F$6:$F$277,"городские поселения")</f>
        <v>0</v>
      </c>
      <c r="AD61" s="104">
        <f>COUNTIFS('свод практик'!$J$6:$J$277,AD$1,'свод практик'!$F$6:$F$277,"городские поселения")</f>
        <v>0</v>
      </c>
      <c r="AE61" s="104">
        <f>COUNTIFS('свод практик'!$J$6:$J$277,AE$1,'свод практик'!$F$6:$F$277,"городские поселения")</f>
        <v>0</v>
      </c>
      <c r="AF61" s="104">
        <f>COUNTIFS('свод практик'!$J$6:$J$277,AF$1,'свод практик'!$F$6:$F$277,"городские поселения")</f>
        <v>0</v>
      </c>
      <c r="AG61" s="104">
        <f>COUNTIFS('свод практик'!$J$6:$J$277,AG$1,'свод практик'!$F$6:$F$277,"городские поселения")</f>
        <v>1</v>
      </c>
      <c r="AH61" s="104">
        <f>COUNTIFS('свод практик'!$J$6:$J$277,AH$1,'свод практик'!$F$6:$F$277,"городские поселения")</f>
        <v>0</v>
      </c>
      <c r="AI61" s="104">
        <f>COUNTIFS('свод практик'!$J$6:$J$277,AI$1,'свод практик'!$F$6:$F$277,"городские поселения")</f>
        <v>0</v>
      </c>
      <c r="AJ61" s="104">
        <f>COUNTIFS('свод практик'!$J$6:$J$277,AJ$1,'свод практик'!$F$6:$F$277,"городские поселения")</f>
        <v>0</v>
      </c>
      <c r="AK61" s="104">
        <f>COUNTIFS('свод практик'!$J$6:$J$277,AK$1,'свод практик'!$F$6:$F$277,"городские поселения")</f>
        <v>0</v>
      </c>
      <c r="AL61" s="104">
        <f>COUNTIFS('свод практик'!$J$6:$J$277,AL$1,'свод практик'!$F$6:$F$277,"городские поселения")</f>
        <v>0</v>
      </c>
      <c r="AM61" s="104">
        <f>COUNTIFS('свод практик'!$J$6:$J$277,AM$1,'свод практик'!$F$6:$F$277,"городские поселения")</f>
        <v>0</v>
      </c>
      <c r="AN61" s="104">
        <f>COUNTIFS('свод практик'!$J$6:$J$277,AN$1,'свод практик'!$F$6:$F$277,"городские поселения")</f>
        <v>0</v>
      </c>
      <c r="AO61" s="104">
        <f>COUNTIFS('свод практик'!$J$6:$J$277,AO$1,'свод практик'!$F$6:$F$277,"городские поселения")</f>
        <v>0</v>
      </c>
      <c r="AP61" s="104">
        <f>COUNTIFS('свод практик'!$J$6:$J$277,AP$1,'свод практик'!$F$6:$F$277,"городские поселения")</f>
        <v>0</v>
      </c>
      <c r="AQ61" s="104">
        <f>COUNTIFS('свод практик'!$J$6:$J$277,AQ$1,'свод практик'!$F$6:$F$277,"городские поселения")</f>
        <v>0</v>
      </c>
      <c r="AR61" s="104">
        <f>COUNTIFS('свод практик'!$J$6:$J$277,AR$1,'свод практик'!$F$6:$F$277,"городские поселения")</f>
        <v>0</v>
      </c>
      <c r="AS61" s="104">
        <f>COUNTIFS('свод практик'!$J$6:$J$277,AS$1,'свод практик'!$F$6:$F$277,"городские поселения")</f>
        <v>0</v>
      </c>
      <c r="AT61" s="104">
        <f>COUNTIFS('свод практик'!$J$6:$J$277,AT$1,'свод практик'!$F$6:$F$277,"городские поселения")</f>
        <v>0</v>
      </c>
      <c r="AU61" s="104">
        <f>COUNTIFS('свод практик'!$J$6:$J$277,AU$1,'свод практик'!$F$6:$F$277,"городские поселения")</f>
        <v>0</v>
      </c>
      <c r="AV61" s="104">
        <f>COUNTIFS('свод практик'!$J$6:$J$277,AV$1,'свод практик'!$F$6:$F$277,"городские поселения")</f>
        <v>0</v>
      </c>
      <c r="AW61" s="104">
        <f>COUNTIFS('свод практик'!$J$6:$J$277,AW$1,'свод практик'!$F$6:$F$277,"городские поселения")</f>
        <v>0</v>
      </c>
      <c r="AX61" s="104">
        <f>COUNTIFS('свод практик'!$J$6:$J$277,AX$1,'свод практик'!$F$6:$F$277,"городские поселения")</f>
        <v>0</v>
      </c>
      <c r="AY61" s="104">
        <f>COUNTIFS('свод практик'!$J$6:$J$277,AY$1,'свод практик'!$F$6:$F$277,"городские поселения")</f>
        <v>0</v>
      </c>
      <c r="AZ61" s="104">
        <f>COUNTIFS('свод практик'!$J$6:$J$277,AZ$1,'свод практик'!$F$6:$F$277,"городские поселения")</f>
        <v>0</v>
      </c>
      <c r="BA61" s="104">
        <f>COUNTIFS('свод практик'!$J$6:$J$277,BA$1,'свод практик'!$F$6:$F$277,"городские поселения")</f>
        <v>0</v>
      </c>
      <c r="BB61" s="104">
        <f>COUNTIFS('свод практик'!$J$6:$J$277,BB$1,'свод практик'!$F$6:$F$277,"городские поселения")</f>
        <v>0</v>
      </c>
      <c r="BC61" s="104">
        <f>COUNTIFS('свод практик'!$J$6:$J$277,BC$1,'свод практик'!$F$6:$F$277,"городские поселения")</f>
        <v>0</v>
      </c>
      <c r="BD61" s="104">
        <f>COUNTIFS('свод практик'!$J$6:$J$277,BD$1,'свод практик'!$F$6:$F$277,"городские поселения")</f>
        <v>0</v>
      </c>
      <c r="BE61" s="104">
        <f>COUNTIFS('свод практик'!$J$6:$J$277,BE$1,'свод практик'!$F$6:$F$277,"городские поселения")</f>
        <v>0</v>
      </c>
      <c r="BF61" s="104">
        <f>COUNTIFS('свод практик'!$J$6:$J$277,BF$1,'свод практик'!$F$6:$F$277,"городские поселения")</f>
        <v>0</v>
      </c>
      <c r="BG61" s="104">
        <f>COUNTIFS('свод практик'!$J$6:$J$277,BG$1,'свод практик'!$F$6:$F$277,"городские поселения")</f>
        <v>0</v>
      </c>
      <c r="BH61" s="104">
        <f>COUNTIFS('свод практик'!$J$6:$J$277,BH$1,'свод практик'!$F$6:$F$277,"городские поселения")</f>
        <v>0</v>
      </c>
      <c r="BI61" s="104">
        <f>COUNTIFS('свод практик'!$J$6:$J$277,BI$1,'свод практик'!$F$6:$F$277,"городские поселения")</f>
        <v>0</v>
      </c>
      <c r="BJ61" s="104">
        <f>COUNTIFS('свод практик'!$J$6:$J$277,BJ$1,'свод практик'!$F$6:$F$277,"городские поселения")</f>
        <v>0</v>
      </c>
      <c r="BK61" s="104">
        <f>COUNTIFS('свод практик'!$J$6:$J$277,BK$1,'свод практик'!$F$6:$F$277,"городские поселения")</f>
        <v>0</v>
      </c>
      <c r="BL61" s="104">
        <f>COUNTIFS('свод практик'!$J$6:$J$277,BL$1,'свод практик'!$F$6:$F$277,"городские поселения")</f>
        <v>0</v>
      </c>
      <c r="BM61" s="104">
        <f>COUNTIFS('свод практик'!$J$6:$J$277,BM$1,'свод практик'!$F$6:$F$277,"городские поселения")</f>
        <v>0</v>
      </c>
      <c r="BN61" s="104">
        <f>COUNTIFS('свод практик'!$J$6:$J$277,BN$1,'свод практик'!$F$6:$F$277,"городские поселения")</f>
        <v>0</v>
      </c>
      <c r="BO61" s="104">
        <f>COUNTIFS('свод практик'!$J$6:$J$277,BO$1,'свод практик'!$F$6:$F$277,"городские поселения")</f>
        <v>0</v>
      </c>
      <c r="BP61" s="104">
        <f>COUNTIFS('свод практик'!$J$6:$J$277,BP$1,'свод практик'!$F$6:$F$277,"городские поселения")</f>
        <v>0</v>
      </c>
      <c r="BQ61" s="104">
        <f>COUNTIFS('свод практик'!$J$6:$J$277,BQ$1,'свод практик'!$F$6:$F$277,"городские поселения")</f>
        <v>0</v>
      </c>
      <c r="BR61" s="104">
        <f>COUNTIFS('свод практик'!$J$6:$J$277,BR$1,'свод практик'!$F$6:$F$277,"городские поселения")</f>
        <v>0</v>
      </c>
      <c r="BS61" s="104">
        <f>COUNTIFS('свод практик'!$J$6:$J$277,BS$1,'свод практик'!$F$6:$F$277,"городские поселения")</f>
        <v>0</v>
      </c>
      <c r="BT61" s="104">
        <f>COUNTIFS('свод практик'!$J$6:$J$277,BT$1,'свод практик'!$F$6:$F$277,"городские поселения")</f>
        <v>0</v>
      </c>
      <c r="BU61" s="104">
        <f>COUNTIFS('свод практик'!$J$6:$J$277,BU$1,'свод практик'!$F$6:$F$277,"городские поселения")</f>
        <v>0</v>
      </c>
      <c r="BV61" s="104">
        <f>COUNTIFS('свод практик'!$J$6:$J$277,BV$1,'свод практик'!$F$6:$F$277,"городские поселения")</f>
        <v>0</v>
      </c>
      <c r="BW61" s="104">
        <f>COUNTIFS('свод практик'!$J$6:$J$277,BW$1,'свод практик'!$F$6:$F$277,"городские поселения")</f>
        <v>0</v>
      </c>
      <c r="BX61" s="104">
        <f>COUNTIFS('свод практик'!$J$6:$J$277,BX$1,'свод практик'!$F$6:$F$277,"городские поселения")</f>
        <v>0</v>
      </c>
      <c r="BY61" s="104">
        <f>COUNTIFS('свод практик'!$J$6:$J$277,BY$1,'свод практик'!$F$6:$F$277,"городские поселения")</f>
        <v>0</v>
      </c>
      <c r="BZ61" s="104">
        <f>COUNTIFS('свод практик'!$J$6:$J$277,BZ$1,'свод практик'!$F$6:$F$277,"городские поселения")</f>
        <v>0</v>
      </c>
      <c r="CA61" s="104">
        <f>COUNTIFS('свод практик'!$J$6:$J$277,CA$1,'свод практик'!$F$6:$F$277,"городские поселения")</f>
        <v>0</v>
      </c>
      <c r="CB61" s="104">
        <f>COUNTIFS('свод практик'!$J$6:$J$277,CB$1,'свод практик'!$F$6:$F$277,"городские поселения")</f>
        <v>0</v>
      </c>
      <c r="CC61" s="104">
        <f>COUNTIFS('свод практик'!$J$6:$J$277,CC$1,'свод практик'!$F$6:$F$277,"городские поселения")</f>
        <v>0</v>
      </c>
      <c r="CD61" s="104">
        <f>COUNTIFS('свод практик'!$J$6:$J$277,CD$1,'свод практик'!$F$6:$F$277,"городские поселения")</f>
        <v>0</v>
      </c>
      <c r="CE61" s="104">
        <f>COUNTIFS('свод практик'!$J$6:$J$277,CE$1,'свод практик'!$F$6:$F$277,"городские поселения")</f>
        <v>0</v>
      </c>
      <c r="CF61" s="104">
        <f>COUNTIFS('свод практик'!$J$6:$J$277,CF$1,'свод практик'!$F$6:$F$277,"городские поселения")</f>
        <v>0</v>
      </c>
      <c r="CG61" s="104">
        <f>COUNTIFS('свод практик'!$J$6:$J$277,CG$1,'свод практик'!$F$6:$F$277,"городские поселения")</f>
        <v>0</v>
      </c>
      <c r="CH61" s="104">
        <f>COUNTIFS('свод практик'!$J$6:$J$277,CH$1,'свод практик'!$F$6:$F$277,"городские поселения")</f>
        <v>0</v>
      </c>
      <c r="CI61" s="104">
        <f>COUNTIFS('свод практик'!$J$6:$J$277,CI$1,'свод практик'!$F$6:$F$277,"городские поселения")</f>
        <v>0</v>
      </c>
      <c r="CJ61" s="104">
        <f>COUNTIFS('свод практик'!$J$6:$J$277,CJ$1,'свод практик'!$F$6:$F$277,"городские поселения")</f>
        <v>0</v>
      </c>
      <c r="CK61" s="104">
        <f>COUNTIFS('свод практик'!$J$6:$J$277,CK$1,'свод практик'!$F$6:$F$277,"городские поселения")</f>
        <v>0</v>
      </c>
    </row>
    <row r="62" spans="1:89">
      <c r="A62" t="s">
        <v>5319</v>
      </c>
      <c r="D62" s="675">
        <f t="shared" si="0"/>
        <v>8</v>
      </c>
      <c r="E62">
        <f>COUNTIFS('свод практик'!$J$6:$J$277,E$1,'свод практик'!$F$6:$F$277,"МО 1000+")</f>
        <v>0</v>
      </c>
      <c r="F62" s="104">
        <f>COUNTIFS('свод практик'!$J$6:$J$277,F$1,'свод практик'!$F$6:$F$277,"МО 1000+")</f>
        <v>1</v>
      </c>
      <c r="G62" s="104">
        <f>COUNTIFS('свод практик'!$J$6:$J$277,G$1,'свод практик'!$F$6:$F$277,"МО 1000+")</f>
        <v>0</v>
      </c>
      <c r="H62" s="104">
        <f>COUNTIFS('свод практик'!$J$6:$J$277,H$1,'свод практик'!$F$6:$F$277,"МО 1000+")</f>
        <v>0</v>
      </c>
      <c r="I62" s="104">
        <f>COUNTIFS('свод практик'!$J$6:$J$277,I$1,'свод практик'!$F$6:$F$277,"МО 1000+")</f>
        <v>0</v>
      </c>
      <c r="J62" s="104">
        <f>COUNTIFS('свод практик'!$J$6:$J$277,J$1,'свод практик'!$F$6:$F$277,"МО 1000+")</f>
        <v>0</v>
      </c>
      <c r="K62" s="104">
        <f>COUNTIFS('свод практик'!$J$6:$J$277,K$1,'свод практик'!$F$6:$F$277,"МО 1000+")</f>
        <v>0</v>
      </c>
      <c r="L62" s="104">
        <f>COUNTIFS('свод практик'!$J$6:$J$277,L$1,'свод практик'!$F$6:$F$277,"МО 1000+")</f>
        <v>0</v>
      </c>
      <c r="M62" s="104">
        <f>COUNTIFS('свод практик'!$J$6:$J$277,M$1,'свод практик'!$F$6:$F$277,"МО 1000+")</f>
        <v>0</v>
      </c>
      <c r="N62" s="104">
        <f>COUNTIFS('свод практик'!$J$6:$J$277,N$1,'свод практик'!$F$6:$F$277,"МО 1000+")</f>
        <v>0</v>
      </c>
      <c r="O62" s="104">
        <f>COUNTIFS('свод практик'!$J$6:$J$277,O$1,'свод практик'!$F$6:$F$277,"МО 1000+")</f>
        <v>1</v>
      </c>
      <c r="P62" s="104">
        <f>COUNTIFS('свод практик'!$J$6:$J$277,P$1,'свод практик'!$F$6:$F$277,"МО 1000+")</f>
        <v>0</v>
      </c>
      <c r="Q62" s="104">
        <f>COUNTIFS('свод практик'!$J$6:$J$277,Q$1,'свод практик'!$F$6:$F$277,"МО 1000+")</f>
        <v>0</v>
      </c>
      <c r="R62" s="104">
        <f>COUNTIFS('свод практик'!$J$6:$J$277,R$1,'свод практик'!$F$6:$F$277,"МО 1000+")</f>
        <v>0</v>
      </c>
      <c r="S62" s="104">
        <f>COUNTIFS('свод практик'!$J$6:$J$277,S$1,'свод практик'!$F$6:$F$277,"МО 1000+")</f>
        <v>0</v>
      </c>
      <c r="T62" s="104">
        <f>COUNTIFS('свод практик'!$J$6:$J$277,T$1,'свод практик'!$F$6:$F$277,"МО 1000+")</f>
        <v>0</v>
      </c>
      <c r="U62" s="104">
        <f>COUNTIFS('свод практик'!$J$6:$J$277,U$1,'свод практик'!$F$6:$F$277,"МО 1000+")</f>
        <v>0</v>
      </c>
      <c r="V62" s="104">
        <f>COUNTIFS('свод практик'!$J$6:$J$277,V$1,'свод практик'!$F$6:$F$277,"МО 1000+")</f>
        <v>0</v>
      </c>
      <c r="W62" s="104">
        <f>COUNTIFS('свод практик'!$J$6:$J$277,W$1,'свод практик'!$F$6:$F$277,"МО 1000+")</f>
        <v>0</v>
      </c>
      <c r="X62" s="104">
        <f>COUNTIFS('свод практик'!$J$6:$J$277,X$1,'свод практик'!$F$6:$F$277,"МО 1000+")</f>
        <v>0</v>
      </c>
      <c r="Y62" s="104">
        <f>COUNTIFS('свод практик'!$J$6:$J$277,Y$1,'свод практик'!$F$6:$F$277,"МО 1000+")</f>
        <v>0</v>
      </c>
      <c r="Z62" s="104">
        <f>COUNTIFS('свод практик'!$J$6:$J$277,Z$1,'свод практик'!$F$6:$F$277,"МО 1000+")</f>
        <v>1</v>
      </c>
      <c r="AA62" s="104">
        <f>COUNTIFS('свод практик'!$J$6:$J$277,AA$1,'свод практик'!$F$6:$F$277,"МО 1000+")</f>
        <v>0</v>
      </c>
      <c r="AB62" s="104">
        <f>COUNTIFS('свод практик'!$J$6:$J$277,AB$1,'свод практик'!$F$6:$F$277,"МО 1000+")</f>
        <v>0</v>
      </c>
      <c r="AC62" s="104">
        <f>COUNTIFS('свод практик'!$J$6:$J$277,AC$1,'свод практик'!$F$6:$F$277,"МО 1000+")</f>
        <v>0</v>
      </c>
      <c r="AD62" s="104">
        <f>COUNTIFS('свод практик'!$J$6:$J$277,AD$1,'свод практик'!$F$6:$F$277,"МО 1000+")</f>
        <v>0</v>
      </c>
      <c r="AE62" s="104">
        <f>COUNTIFS('свод практик'!$J$6:$J$277,AE$1,'свод практик'!$F$6:$F$277,"МО 1000+")</f>
        <v>0</v>
      </c>
      <c r="AF62" s="104">
        <f>COUNTIFS('свод практик'!$J$6:$J$277,AF$1,'свод практик'!$F$6:$F$277,"МО 1000+")</f>
        <v>0</v>
      </c>
      <c r="AG62" s="104">
        <f>COUNTIFS('свод практик'!$J$6:$J$277,AG$1,'свод практик'!$F$6:$F$277,"МО 1000+")</f>
        <v>0</v>
      </c>
      <c r="AH62" s="104">
        <f>COUNTIFS('свод практик'!$J$6:$J$277,AH$1,'свод практик'!$F$6:$F$277,"МО 1000+")</f>
        <v>0</v>
      </c>
      <c r="AI62" s="104">
        <f>COUNTIFS('свод практик'!$J$6:$J$277,AI$1,'свод практик'!$F$6:$F$277,"МО 1000+")</f>
        <v>0</v>
      </c>
      <c r="AJ62" s="104">
        <f>COUNTIFS('свод практик'!$J$6:$J$277,AJ$1,'свод практик'!$F$6:$F$277,"МО 1000+")</f>
        <v>0</v>
      </c>
      <c r="AK62" s="104">
        <f>COUNTIFS('свод практик'!$J$6:$J$277,AK$1,'свод практик'!$F$6:$F$277,"МО 1000+")</f>
        <v>0</v>
      </c>
      <c r="AL62" s="104">
        <f>COUNTIFS('свод практик'!$J$6:$J$277,AL$1,'свод практик'!$F$6:$F$277,"МО 1000+")</f>
        <v>1</v>
      </c>
      <c r="AM62" s="104">
        <f>COUNTIFS('свод практик'!$J$6:$J$277,AM$1,'свод практик'!$F$6:$F$277,"МО 1000+")</f>
        <v>1</v>
      </c>
      <c r="AN62" s="104">
        <f>COUNTIFS('свод практик'!$J$6:$J$277,AN$1,'свод практик'!$F$6:$F$277,"МО 1000+")</f>
        <v>0</v>
      </c>
      <c r="AO62" s="104">
        <f>COUNTIFS('свод практик'!$J$6:$J$277,AO$1,'свод практик'!$F$6:$F$277,"МО 1000+")</f>
        <v>0</v>
      </c>
      <c r="AP62" s="104">
        <f>COUNTIFS('свод практик'!$J$6:$J$277,AP$1,'свод практик'!$F$6:$F$277,"МО 1000+")</f>
        <v>0</v>
      </c>
      <c r="AQ62" s="104">
        <f>COUNTIFS('свод практик'!$J$6:$J$277,AQ$1,'свод практик'!$F$6:$F$277,"МО 1000+")</f>
        <v>0</v>
      </c>
      <c r="AR62" s="104">
        <f>COUNTIFS('свод практик'!$J$6:$J$277,AR$1,'свод практик'!$F$6:$F$277,"МО 1000+")</f>
        <v>0</v>
      </c>
      <c r="AS62" s="104">
        <f>COUNTIFS('свод практик'!$J$6:$J$277,AS$1,'свод практик'!$F$6:$F$277,"МО 1000+")</f>
        <v>0</v>
      </c>
      <c r="AT62" s="104">
        <f>COUNTIFS('свод практик'!$J$6:$J$277,AT$1,'свод практик'!$F$6:$F$277,"МО 1000+")</f>
        <v>0</v>
      </c>
      <c r="AU62" s="104">
        <f>COUNTIFS('свод практик'!$J$6:$J$277,AU$1,'свод практик'!$F$6:$F$277,"МО 1000+")</f>
        <v>0</v>
      </c>
      <c r="AV62" s="104">
        <f>COUNTIFS('свод практик'!$J$6:$J$277,AV$1,'свод практик'!$F$6:$F$277,"МО 1000+")</f>
        <v>0</v>
      </c>
      <c r="AW62" s="104">
        <f>COUNTIFS('свод практик'!$J$6:$J$277,AW$1,'свод практик'!$F$6:$F$277,"МО 1000+")</f>
        <v>0</v>
      </c>
      <c r="AX62" s="104">
        <f>COUNTIFS('свод практик'!$J$6:$J$277,AX$1,'свод практик'!$F$6:$F$277,"МО 1000+")</f>
        <v>0</v>
      </c>
      <c r="AY62" s="104">
        <f>COUNTIFS('свод практик'!$J$6:$J$277,AY$1,'свод практик'!$F$6:$F$277,"МО 1000+")</f>
        <v>1</v>
      </c>
      <c r="AZ62" s="104">
        <f>COUNTIFS('свод практик'!$J$6:$J$277,AZ$1,'свод практик'!$F$6:$F$277,"МО 1000+")</f>
        <v>0</v>
      </c>
      <c r="BA62" s="104">
        <f>COUNTIFS('свод практик'!$J$6:$J$277,BA$1,'свод практик'!$F$6:$F$277,"МО 1000+")</f>
        <v>0</v>
      </c>
      <c r="BB62" s="104">
        <f>COUNTIFS('свод практик'!$J$6:$J$277,BB$1,'свод практик'!$F$6:$F$277,"МО 1000+")</f>
        <v>0</v>
      </c>
      <c r="BC62" s="104">
        <f>COUNTIFS('свод практик'!$J$6:$J$277,BC$1,'свод практик'!$F$6:$F$277,"МО 1000+")</f>
        <v>0</v>
      </c>
      <c r="BD62" s="104">
        <f>COUNTIFS('свод практик'!$J$6:$J$277,BD$1,'свод практик'!$F$6:$F$277,"МО 1000+")</f>
        <v>1</v>
      </c>
      <c r="BE62" s="104">
        <f>COUNTIFS('свод практик'!$J$6:$J$277,BE$1,'свод практик'!$F$6:$F$277,"МО 1000+")</f>
        <v>0</v>
      </c>
      <c r="BF62" s="104">
        <f>COUNTIFS('свод практик'!$J$6:$J$277,BF$1,'свод практик'!$F$6:$F$277,"МО 1000+")</f>
        <v>0</v>
      </c>
      <c r="BG62" s="104">
        <f>COUNTIFS('свод практик'!$J$6:$J$277,BG$1,'свод практик'!$F$6:$F$277,"МО 1000+")</f>
        <v>0</v>
      </c>
      <c r="BH62" s="104">
        <f>COUNTIFS('свод практик'!$J$6:$J$277,BH$1,'свод практик'!$F$6:$F$277,"МО 1000+")</f>
        <v>0</v>
      </c>
      <c r="BI62" s="104">
        <f>COUNTIFS('свод практик'!$J$6:$J$277,BI$1,'свод практик'!$F$6:$F$277,"МО 1000+")</f>
        <v>0</v>
      </c>
      <c r="BJ62" s="104">
        <f>COUNTIFS('свод практик'!$J$6:$J$277,BJ$1,'свод практик'!$F$6:$F$277,"МО 1000+")</f>
        <v>0</v>
      </c>
      <c r="BK62" s="104">
        <f>COUNTIFS('свод практик'!$J$6:$J$277,BK$1,'свод практик'!$F$6:$F$277,"МО 1000+")</f>
        <v>0</v>
      </c>
      <c r="BL62" s="104">
        <f>COUNTIFS('свод практик'!$J$6:$J$277,BL$1,'свод практик'!$F$6:$F$277,"МО 1000+")</f>
        <v>0</v>
      </c>
      <c r="BM62" s="104">
        <f>COUNTIFS('свод практик'!$J$6:$J$277,BM$1,'свод практик'!$F$6:$F$277,"МО 1000+")</f>
        <v>0</v>
      </c>
      <c r="BN62" s="104">
        <f>COUNTIFS('свод практик'!$J$6:$J$277,BN$1,'свод практик'!$F$6:$F$277,"МО 1000+")</f>
        <v>0</v>
      </c>
      <c r="BO62" s="104">
        <f>COUNTIFS('свод практик'!$J$6:$J$277,BO$1,'свод практик'!$F$6:$F$277,"МО 1000+")</f>
        <v>1</v>
      </c>
      <c r="BP62" s="104">
        <f>COUNTIFS('свод практик'!$J$6:$J$277,BP$1,'свод практик'!$F$6:$F$277,"МО 1000+")</f>
        <v>0</v>
      </c>
      <c r="BQ62" s="104">
        <f>COUNTIFS('свод практик'!$J$6:$J$277,BQ$1,'свод практик'!$F$6:$F$277,"МО 1000+")</f>
        <v>0</v>
      </c>
      <c r="BR62" s="104">
        <f>COUNTIFS('свод практик'!$J$6:$J$277,BR$1,'свод практик'!$F$6:$F$277,"МО 1000+")</f>
        <v>0</v>
      </c>
      <c r="BS62" s="104">
        <f>COUNTIFS('свод практик'!$J$6:$J$277,BS$1,'свод практик'!$F$6:$F$277,"МО 1000+")</f>
        <v>0</v>
      </c>
      <c r="BT62" s="104">
        <f>COUNTIFS('свод практик'!$J$6:$J$277,BT$1,'свод практик'!$F$6:$F$277,"МО 1000+")</f>
        <v>0</v>
      </c>
      <c r="BU62" s="104">
        <f>COUNTIFS('свод практик'!$J$6:$J$277,BU$1,'свод практик'!$F$6:$F$277,"МО 1000+")</f>
        <v>0</v>
      </c>
      <c r="BV62" s="104">
        <f>COUNTIFS('свод практик'!$J$6:$J$277,BV$1,'свод практик'!$F$6:$F$277,"МО 1000+")</f>
        <v>0</v>
      </c>
      <c r="BW62" s="104">
        <f>COUNTIFS('свод практик'!$J$6:$J$277,BW$1,'свод практик'!$F$6:$F$277,"МО 1000+")</f>
        <v>0</v>
      </c>
      <c r="BX62" s="104">
        <f>COUNTIFS('свод практик'!$J$6:$J$277,BX$1,'свод практик'!$F$6:$F$277,"МО 1000+")</f>
        <v>0</v>
      </c>
      <c r="BY62" s="104">
        <f>COUNTIFS('свод практик'!$J$6:$J$277,BY$1,'свод практик'!$F$6:$F$277,"МО 1000+")</f>
        <v>0</v>
      </c>
      <c r="BZ62" s="104">
        <f>COUNTIFS('свод практик'!$J$6:$J$277,BZ$1,'свод практик'!$F$6:$F$277,"МО 1000+")</f>
        <v>0</v>
      </c>
      <c r="CA62" s="104">
        <f>COUNTIFS('свод практик'!$J$6:$J$277,CA$1,'свод практик'!$F$6:$F$277,"МО 1000+")</f>
        <v>0</v>
      </c>
      <c r="CB62" s="104">
        <f>COUNTIFS('свод практик'!$J$6:$J$277,CB$1,'свод практик'!$F$6:$F$277,"МО 1000+")</f>
        <v>0</v>
      </c>
      <c r="CC62" s="104">
        <f>COUNTIFS('свод практик'!$J$6:$J$277,CC$1,'свод практик'!$F$6:$F$277,"МО 1000+")</f>
        <v>0</v>
      </c>
      <c r="CD62" s="104">
        <f>COUNTIFS('свод практик'!$J$6:$J$277,CD$1,'свод практик'!$F$6:$F$277,"МО 1000+")</f>
        <v>0</v>
      </c>
      <c r="CE62" s="104">
        <f>COUNTIFS('свод практик'!$J$6:$J$277,CE$1,'свод практик'!$F$6:$F$277,"МО 1000+")</f>
        <v>0</v>
      </c>
      <c r="CF62" s="104">
        <f>COUNTIFS('свод практик'!$J$6:$J$277,CF$1,'свод практик'!$F$6:$F$277,"МО 1000+")</f>
        <v>0</v>
      </c>
      <c r="CG62" s="104">
        <f>COUNTIFS('свод практик'!$J$6:$J$277,CG$1,'свод практик'!$F$6:$F$277,"МО 1000+")</f>
        <v>0</v>
      </c>
      <c r="CH62" s="104">
        <f>COUNTIFS('свод практик'!$J$6:$J$277,CH$1,'свод практик'!$F$6:$F$277,"МО 1000+")</f>
        <v>0</v>
      </c>
      <c r="CI62" s="104">
        <f>COUNTIFS('свод практик'!$J$6:$J$277,CI$1,'свод практик'!$F$6:$F$277,"МО 1000+")</f>
        <v>0</v>
      </c>
      <c r="CJ62" s="104">
        <f>COUNTIFS('свод практик'!$J$6:$J$277,CJ$1,'свод практик'!$F$6:$F$277,"МО 1000+")</f>
        <v>0</v>
      </c>
      <c r="CK62" s="104">
        <f>COUNTIFS('свод практик'!$J$6:$J$277,CK$1,'свод практик'!$F$6:$F$277,"МО 1000+")</f>
        <v>0</v>
      </c>
    </row>
    <row r="63" spans="1:89">
      <c r="A63" t="s">
        <v>5875</v>
      </c>
      <c r="D63" s="675">
        <f t="shared" si="0"/>
        <v>1</v>
      </c>
      <c r="E63">
        <f>COUNTIFS('свод практик'!$J$6:$J$277,E$1,'свод практик'!$F$6:$F$277,"МО до 80 тыс человек")</f>
        <v>0</v>
      </c>
      <c r="F63" s="104">
        <f>COUNTIFS('свод практик'!$J$6:$J$277,F$1,'свод практик'!$F$6:$F$277,"МО до 80 тыс человек")</f>
        <v>0</v>
      </c>
      <c r="G63" s="104">
        <f>COUNTIFS('свод практик'!$J$6:$J$277,G$1,'свод практик'!$F$6:$F$277,"МО до 80 тыс человек")</f>
        <v>0</v>
      </c>
      <c r="H63" s="104">
        <f>COUNTIFS('свод практик'!$J$6:$J$277,H$1,'свод практик'!$F$6:$F$277,"МО до 80 тыс человек")</f>
        <v>0</v>
      </c>
      <c r="I63" s="104">
        <f>COUNTIFS('свод практик'!$J$6:$J$277,I$1,'свод практик'!$F$6:$F$277,"МО до 80 тыс человек")</f>
        <v>0</v>
      </c>
      <c r="J63" s="104">
        <f>COUNTIFS('свод практик'!$J$6:$J$277,J$1,'свод практик'!$F$6:$F$277,"МО до 80 тыс человек")</f>
        <v>0</v>
      </c>
      <c r="K63" s="104">
        <f>COUNTIFS('свод практик'!$J$6:$J$277,K$1,'свод практик'!$F$6:$F$277,"МО до 80 тыс человек")</f>
        <v>0</v>
      </c>
      <c r="L63" s="104">
        <f>COUNTIFS('свод практик'!$J$6:$J$277,L$1,'свод практик'!$F$6:$F$277,"МО до 80 тыс человек")</f>
        <v>0</v>
      </c>
      <c r="M63" s="104">
        <f>COUNTIFS('свод практик'!$J$6:$J$277,M$1,'свод практик'!$F$6:$F$277,"МО до 80 тыс человек")</f>
        <v>0</v>
      </c>
      <c r="N63" s="104">
        <f>COUNTIFS('свод практик'!$J$6:$J$277,N$1,'свод практик'!$F$6:$F$277,"МО до 80 тыс человек")</f>
        <v>0</v>
      </c>
      <c r="O63" s="104">
        <f>COUNTIFS('свод практик'!$J$6:$J$277,O$1,'свод практик'!$F$6:$F$277,"МО до 80 тыс человек")</f>
        <v>0</v>
      </c>
      <c r="P63" s="104">
        <f>COUNTIFS('свод практик'!$J$6:$J$277,P$1,'свод практик'!$F$6:$F$277,"МО до 80 тыс человек")</f>
        <v>0</v>
      </c>
      <c r="Q63" s="104">
        <f>COUNTIFS('свод практик'!$J$6:$J$277,Q$1,'свод практик'!$F$6:$F$277,"МО до 80 тыс человек")</f>
        <v>0</v>
      </c>
      <c r="R63" s="104">
        <f>COUNTIFS('свод практик'!$J$6:$J$277,R$1,'свод практик'!$F$6:$F$277,"МО до 80 тыс человек")</f>
        <v>0</v>
      </c>
      <c r="S63" s="104">
        <f>COUNTIFS('свод практик'!$J$6:$J$277,S$1,'свод практик'!$F$6:$F$277,"МО до 80 тыс человек")</f>
        <v>0</v>
      </c>
      <c r="T63" s="104">
        <f>COUNTIFS('свод практик'!$J$6:$J$277,T$1,'свод практик'!$F$6:$F$277,"МО до 80 тыс человек")</f>
        <v>0</v>
      </c>
      <c r="U63" s="104">
        <f>COUNTIFS('свод практик'!$J$6:$J$277,U$1,'свод практик'!$F$6:$F$277,"МО до 80 тыс человек")</f>
        <v>0</v>
      </c>
      <c r="V63" s="104">
        <f>COUNTIFS('свод практик'!$J$6:$J$277,V$1,'свод практик'!$F$6:$F$277,"МО до 80 тыс человек")</f>
        <v>0</v>
      </c>
      <c r="W63" s="104">
        <f>COUNTIFS('свод практик'!$J$6:$J$277,W$1,'свод практик'!$F$6:$F$277,"МО до 80 тыс человек")</f>
        <v>0</v>
      </c>
      <c r="X63" s="104">
        <f>COUNTIFS('свод практик'!$J$6:$J$277,X$1,'свод практик'!$F$6:$F$277,"МО до 80 тыс человек")</f>
        <v>0</v>
      </c>
      <c r="Y63" s="104">
        <f>COUNTIFS('свод практик'!$J$6:$J$277,Y$1,'свод практик'!$F$6:$F$277,"МО до 80 тыс человек")</f>
        <v>0</v>
      </c>
      <c r="Z63" s="104">
        <f>COUNTIFS('свод практик'!$J$6:$J$277,Z$1,'свод практик'!$F$6:$F$277,"МО до 80 тыс человек")</f>
        <v>1</v>
      </c>
      <c r="AA63" s="104">
        <f>COUNTIFS('свод практик'!$J$6:$J$277,AA$1,'свод практик'!$F$6:$F$277,"МО до 80 тыс человек")</f>
        <v>0</v>
      </c>
      <c r="AB63" s="104">
        <f>COUNTIFS('свод практик'!$J$6:$J$277,AB$1,'свод практик'!$F$6:$F$277,"МО до 80 тыс человек")</f>
        <v>0</v>
      </c>
      <c r="AC63" s="104">
        <f>COUNTIFS('свод практик'!$J$6:$J$277,AC$1,'свод практик'!$F$6:$F$277,"МО до 80 тыс человек")</f>
        <v>0</v>
      </c>
      <c r="AD63" s="104">
        <f>COUNTIFS('свод практик'!$J$6:$J$277,AD$1,'свод практик'!$F$6:$F$277,"МО до 80 тыс человек")</f>
        <v>0</v>
      </c>
      <c r="AE63" s="104">
        <f>COUNTIFS('свод практик'!$J$6:$J$277,AE$1,'свод практик'!$F$6:$F$277,"МО до 80 тыс человек")</f>
        <v>0</v>
      </c>
      <c r="AF63" s="104">
        <f>COUNTIFS('свод практик'!$J$6:$J$277,AF$1,'свод практик'!$F$6:$F$277,"МО до 80 тыс человек")</f>
        <v>0</v>
      </c>
      <c r="AG63" s="104">
        <f>COUNTIFS('свод практик'!$J$6:$J$277,AG$1,'свод практик'!$F$6:$F$277,"МО до 80 тыс человек")</f>
        <v>0</v>
      </c>
      <c r="AH63" s="104">
        <f>COUNTIFS('свод практик'!$J$6:$J$277,AH$1,'свод практик'!$F$6:$F$277,"МО до 80 тыс человек")</f>
        <v>0</v>
      </c>
      <c r="AI63" s="104">
        <f>COUNTIFS('свод практик'!$J$6:$J$277,AI$1,'свод практик'!$F$6:$F$277,"МО до 80 тыс человек")</f>
        <v>0</v>
      </c>
      <c r="AJ63" s="104">
        <f>COUNTIFS('свод практик'!$J$6:$J$277,AJ$1,'свод практик'!$F$6:$F$277,"МО до 80 тыс человек")</f>
        <v>0</v>
      </c>
      <c r="AK63" s="104">
        <f>COUNTIFS('свод практик'!$J$6:$J$277,AK$1,'свод практик'!$F$6:$F$277,"МО до 80 тыс человек")</f>
        <v>0</v>
      </c>
      <c r="AL63" s="104">
        <f>COUNTIFS('свод практик'!$J$6:$J$277,AL$1,'свод практик'!$F$6:$F$277,"МО до 80 тыс человек")</f>
        <v>0</v>
      </c>
      <c r="AM63" s="104">
        <f>COUNTIFS('свод практик'!$J$6:$J$277,AM$1,'свод практик'!$F$6:$F$277,"МО до 80 тыс человек")</f>
        <v>0</v>
      </c>
      <c r="AN63" s="104">
        <f>COUNTIFS('свод практик'!$J$6:$J$277,AN$1,'свод практик'!$F$6:$F$277,"МО до 80 тыс человек")</f>
        <v>0</v>
      </c>
      <c r="AO63" s="104">
        <f>COUNTIFS('свод практик'!$J$6:$J$277,AO$1,'свод практик'!$F$6:$F$277,"МО до 80 тыс человек")</f>
        <v>0</v>
      </c>
      <c r="AP63" s="104">
        <f>COUNTIFS('свод практик'!$J$6:$J$277,AP$1,'свод практик'!$F$6:$F$277,"МО до 80 тыс человек")</f>
        <v>0</v>
      </c>
      <c r="AQ63" s="104">
        <f>COUNTIFS('свод практик'!$J$6:$J$277,AQ$1,'свод практик'!$F$6:$F$277,"МО до 80 тыс человек")</f>
        <v>0</v>
      </c>
      <c r="AR63" s="104">
        <f>COUNTIFS('свод практик'!$J$6:$J$277,AR$1,'свод практик'!$F$6:$F$277,"МО до 80 тыс человек")</f>
        <v>0</v>
      </c>
      <c r="AS63" s="104">
        <f>COUNTIFS('свод практик'!$J$6:$J$277,AS$1,'свод практик'!$F$6:$F$277,"МО до 80 тыс человек")</f>
        <v>0</v>
      </c>
      <c r="AT63" s="104">
        <f>COUNTIFS('свод практик'!$J$6:$J$277,AT$1,'свод практик'!$F$6:$F$277,"МО до 80 тыс человек")</f>
        <v>0</v>
      </c>
      <c r="AU63" s="104">
        <f>COUNTIFS('свод практик'!$J$6:$J$277,AU$1,'свод практик'!$F$6:$F$277,"МО до 80 тыс человек")</f>
        <v>0</v>
      </c>
      <c r="AV63" s="104">
        <f>COUNTIFS('свод практик'!$J$6:$J$277,AV$1,'свод практик'!$F$6:$F$277,"МО до 80 тыс человек")</f>
        <v>0</v>
      </c>
      <c r="AW63" s="104">
        <f>COUNTIFS('свод практик'!$J$6:$J$277,AW$1,'свод практик'!$F$6:$F$277,"МО до 80 тыс человек")</f>
        <v>0</v>
      </c>
      <c r="AX63" s="104">
        <f>COUNTIFS('свод практик'!$J$6:$J$277,AX$1,'свод практик'!$F$6:$F$277,"МО до 80 тыс человек")</f>
        <v>0</v>
      </c>
      <c r="AY63" s="104">
        <f>COUNTIFS('свод практик'!$J$6:$J$277,AY$1,'свод практик'!$F$6:$F$277,"МО до 80 тыс человек")</f>
        <v>0</v>
      </c>
      <c r="AZ63" s="104">
        <f>COUNTIFS('свод практик'!$J$6:$J$277,AZ$1,'свод практик'!$F$6:$F$277,"МО до 80 тыс человек")</f>
        <v>0</v>
      </c>
      <c r="BA63" s="104">
        <f>COUNTIFS('свод практик'!$J$6:$J$277,BA$1,'свод практик'!$F$6:$F$277,"МО до 80 тыс человек")</f>
        <v>0</v>
      </c>
      <c r="BB63" s="104">
        <f>COUNTIFS('свод практик'!$J$6:$J$277,BB$1,'свод практик'!$F$6:$F$277,"МО до 80 тыс человек")</f>
        <v>0</v>
      </c>
      <c r="BC63" s="104">
        <f>COUNTIFS('свод практик'!$J$6:$J$277,BC$1,'свод практик'!$F$6:$F$277,"МО до 80 тыс человек")</f>
        <v>0</v>
      </c>
      <c r="BD63" s="104">
        <f>COUNTIFS('свод практик'!$J$6:$J$277,BD$1,'свод практик'!$F$6:$F$277,"МО до 80 тыс человек")</f>
        <v>0</v>
      </c>
      <c r="BE63" s="104">
        <f>COUNTIFS('свод практик'!$J$6:$J$277,BE$1,'свод практик'!$F$6:$F$277,"МО до 80 тыс человек")</f>
        <v>0</v>
      </c>
      <c r="BF63" s="104">
        <f>COUNTIFS('свод практик'!$J$6:$J$277,BF$1,'свод практик'!$F$6:$F$277,"МО до 80 тыс человек")</f>
        <v>0</v>
      </c>
      <c r="BG63" s="104">
        <f>COUNTIFS('свод практик'!$J$6:$J$277,BG$1,'свод практик'!$F$6:$F$277,"МО до 80 тыс человек")</f>
        <v>0</v>
      </c>
      <c r="BH63" s="104">
        <f>COUNTIFS('свод практик'!$J$6:$J$277,BH$1,'свод практик'!$F$6:$F$277,"МО до 80 тыс человек")</f>
        <v>0</v>
      </c>
      <c r="BI63" s="104">
        <f>COUNTIFS('свод практик'!$J$6:$J$277,BI$1,'свод практик'!$F$6:$F$277,"МО до 80 тыс человек")</f>
        <v>0</v>
      </c>
      <c r="BJ63" s="104">
        <f>COUNTIFS('свод практик'!$J$6:$J$277,BJ$1,'свод практик'!$F$6:$F$277,"МО до 80 тыс человек")</f>
        <v>0</v>
      </c>
      <c r="BK63" s="104">
        <f>COUNTIFS('свод практик'!$J$6:$J$277,BK$1,'свод практик'!$F$6:$F$277,"МО до 80 тыс человек")</f>
        <v>0</v>
      </c>
      <c r="BL63" s="104">
        <f>COUNTIFS('свод практик'!$J$6:$J$277,BL$1,'свод практик'!$F$6:$F$277,"МО до 80 тыс человек")</f>
        <v>0</v>
      </c>
      <c r="BM63" s="104">
        <f>COUNTIFS('свод практик'!$J$6:$J$277,BM$1,'свод практик'!$F$6:$F$277,"МО до 80 тыс человек")</f>
        <v>0</v>
      </c>
      <c r="BN63" s="104">
        <f>COUNTIFS('свод практик'!$J$6:$J$277,BN$1,'свод практик'!$F$6:$F$277,"МО до 80 тыс человек")</f>
        <v>0</v>
      </c>
      <c r="BO63" s="104">
        <f>COUNTIFS('свод практик'!$J$6:$J$277,BO$1,'свод практик'!$F$6:$F$277,"МО до 80 тыс человек")</f>
        <v>0</v>
      </c>
      <c r="BP63" s="104">
        <f>COUNTIFS('свод практик'!$J$6:$J$277,BP$1,'свод практик'!$F$6:$F$277,"МО до 80 тыс человек")</f>
        <v>0</v>
      </c>
      <c r="BQ63" s="104">
        <f>COUNTIFS('свод практик'!$J$6:$J$277,BQ$1,'свод практик'!$F$6:$F$277,"МО до 80 тыс человек")</f>
        <v>0</v>
      </c>
      <c r="BR63" s="104">
        <f>COUNTIFS('свод практик'!$J$6:$J$277,BR$1,'свод практик'!$F$6:$F$277,"МО до 80 тыс человек")</f>
        <v>0</v>
      </c>
      <c r="BS63" s="104">
        <f>COUNTIFS('свод практик'!$J$6:$J$277,BS$1,'свод практик'!$F$6:$F$277,"МО до 80 тыс человек")</f>
        <v>0</v>
      </c>
      <c r="BT63" s="104">
        <f>COUNTIFS('свод практик'!$J$6:$J$277,BT$1,'свод практик'!$F$6:$F$277,"МО до 80 тыс человек")</f>
        <v>0</v>
      </c>
      <c r="BU63" s="104">
        <f>COUNTIFS('свод практик'!$J$6:$J$277,BU$1,'свод практик'!$F$6:$F$277,"МО до 80 тыс человек")</f>
        <v>0</v>
      </c>
      <c r="BV63" s="104">
        <f>COUNTIFS('свод практик'!$J$6:$J$277,BV$1,'свод практик'!$F$6:$F$277,"МО до 80 тыс человек")</f>
        <v>0</v>
      </c>
      <c r="BW63" s="104">
        <f>COUNTIFS('свод практик'!$J$6:$J$277,BW$1,'свод практик'!$F$6:$F$277,"МО до 80 тыс человек")</f>
        <v>0</v>
      </c>
      <c r="BX63" s="104">
        <f>COUNTIFS('свод практик'!$J$6:$J$277,BX$1,'свод практик'!$F$6:$F$277,"МО до 80 тыс человек")</f>
        <v>0</v>
      </c>
      <c r="BY63" s="104">
        <f>COUNTIFS('свод практик'!$J$6:$J$277,BY$1,'свод практик'!$F$6:$F$277,"МО до 80 тыс человек")</f>
        <v>0</v>
      </c>
      <c r="BZ63" s="104">
        <f>COUNTIFS('свод практик'!$J$6:$J$277,BZ$1,'свод практик'!$F$6:$F$277,"МО до 80 тыс человек")</f>
        <v>0</v>
      </c>
      <c r="CA63" s="104">
        <f>COUNTIFS('свод практик'!$J$6:$J$277,CA$1,'свод практик'!$F$6:$F$277,"МО до 80 тыс человек")</f>
        <v>0</v>
      </c>
      <c r="CB63" s="104">
        <f>COUNTIFS('свод практик'!$J$6:$J$277,CB$1,'свод практик'!$F$6:$F$277,"МО до 80 тыс человек")</f>
        <v>0</v>
      </c>
      <c r="CC63" s="104">
        <f>COUNTIFS('свод практик'!$J$6:$J$277,CC$1,'свод практик'!$F$6:$F$277,"МО до 80 тыс человек")</f>
        <v>0</v>
      </c>
      <c r="CD63" s="104">
        <f>COUNTIFS('свод практик'!$J$6:$J$277,CD$1,'свод практик'!$F$6:$F$277,"МО до 80 тыс человек")</f>
        <v>0</v>
      </c>
      <c r="CE63" s="104">
        <f>COUNTIFS('свод практик'!$J$6:$J$277,CE$1,'свод практик'!$F$6:$F$277,"МО до 80 тыс человек")</f>
        <v>0</v>
      </c>
      <c r="CF63" s="104">
        <f>COUNTIFS('свод практик'!$J$6:$J$277,CF$1,'свод практик'!$F$6:$F$277,"МО до 80 тыс человек")</f>
        <v>0</v>
      </c>
      <c r="CG63" s="104">
        <f>COUNTIFS('свод практик'!$J$6:$J$277,CG$1,'свод практик'!$F$6:$F$277,"МО до 80 тыс человек")</f>
        <v>0</v>
      </c>
      <c r="CH63" s="104">
        <f>COUNTIFS('свод практик'!$J$6:$J$277,CH$1,'свод практик'!$F$6:$F$277,"МО до 80 тыс человек")</f>
        <v>0</v>
      </c>
      <c r="CI63" s="104">
        <f>COUNTIFS('свод практик'!$J$6:$J$277,CI$1,'свод практик'!$F$6:$F$277,"МО до 80 тыс человек")</f>
        <v>0</v>
      </c>
      <c r="CJ63" s="104">
        <f>COUNTIFS('свод практик'!$J$6:$J$277,CJ$1,'свод практик'!$F$6:$F$277,"МО до 80 тыс человек")</f>
        <v>0</v>
      </c>
      <c r="CK63" s="104">
        <f>COUNTIFS('свод практик'!$J$6:$J$277,CK$1,'свод практик'!$F$6:$F$277,"МО до 80 тыс человек")</f>
        <v>0</v>
      </c>
    </row>
    <row r="64" spans="1:89">
      <c r="A64" t="s">
        <v>5351</v>
      </c>
      <c r="D64" s="675">
        <f t="shared" si="0"/>
        <v>1</v>
      </c>
      <c r="E64">
        <f>COUNTIFS('свод практик'!$J$6:$J$277,E$1,'свод практик'!$F$6:$F$277,"МО с ТОС")</f>
        <v>0</v>
      </c>
      <c r="F64" s="104">
        <f>COUNTIFS('свод практик'!$J$6:$J$277,F$1,'свод практик'!$F$6:$F$277,"МО с ТОС")</f>
        <v>0</v>
      </c>
      <c r="G64" s="104">
        <f>COUNTIFS('свод практик'!$J$6:$J$277,G$1,'свод практик'!$F$6:$F$277,"МО с ТОС")</f>
        <v>0</v>
      </c>
      <c r="H64" s="104">
        <f>COUNTIFS('свод практик'!$J$6:$J$277,H$1,'свод практик'!$F$6:$F$277,"МО с ТОС")</f>
        <v>0</v>
      </c>
      <c r="I64" s="104">
        <f>COUNTIFS('свод практик'!$J$6:$J$277,I$1,'свод практик'!$F$6:$F$277,"МО с ТОС")</f>
        <v>0</v>
      </c>
      <c r="J64" s="104">
        <f>COUNTIFS('свод практик'!$J$6:$J$277,J$1,'свод практик'!$F$6:$F$277,"МО с ТОС")</f>
        <v>0</v>
      </c>
      <c r="K64" s="104">
        <f>COUNTIFS('свод практик'!$J$6:$J$277,K$1,'свод практик'!$F$6:$F$277,"МО с ТОС")</f>
        <v>0</v>
      </c>
      <c r="L64" s="104">
        <f>COUNTIFS('свод практик'!$J$6:$J$277,L$1,'свод практик'!$F$6:$F$277,"МО с ТОС")</f>
        <v>0</v>
      </c>
      <c r="M64" s="104">
        <f>COUNTIFS('свод практик'!$J$6:$J$277,M$1,'свод практик'!$F$6:$F$277,"МО с ТОС")</f>
        <v>0</v>
      </c>
      <c r="N64" s="104">
        <f>COUNTIFS('свод практик'!$J$6:$J$277,N$1,'свод практик'!$F$6:$F$277,"МО с ТОС")</f>
        <v>0</v>
      </c>
      <c r="O64" s="104">
        <f>COUNTIFS('свод практик'!$J$6:$J$277,O$1,'свод практик'!$F$6:$F$277,"МО с ТОС")</f>
        <v>0</v>
      </c>
      <c r="P64" s="104">
        <f>COUNTIFS('свод практик'!$J$6:$J$277,P$1,'свод практик'!$F$6:$F$277,"МО с ТОС")</f>
        <v>0</v>
      </c>
      <c r="Q64" s="104">
        <f>COUNTIFS('свод практик'!$J$6:$J$277,Q$1,'свод практик'!$F$6:$F$277,"МО с ТОС")</f>
        <v>0</v>
      </c>
      <c r="R64" s="104">
        <f>COUNTIFS('свод практик'!$J$6:$J$277,R$1,'свод практик'!$F$6:$F$277,"МО с ТОС")</f>
        <v>0</v>
      </c>
      <c r="S64" s="104">
        <f>COUNTIFS('свод практик'!$J$6:$J$277,S$1,'свод практик'!$F$6:$F$277,"МО с ТОС")</f>
        <v>0</v>
      </c>
      <c r="T64" s="104">
        <f>COUNTIFS('свод практик'!$J$6:$J$277,T$1,'свод практик'!$F$6:$F$277,"МО с ТОС")</f>
        <v>0</v>
      </c>
      <c r="U64" s="104">
        <f>COUNTIFS('свод практик'!$J$6:$J$277,U$1,'свод практик'!$F$6:$F$277,"МО с ТОС")</f>
        <v>0</v>
      </c>
      <c r="V64" s="104">
        <f>COUNTIFS('свод практик'!$J$6:$J$277,V$1,'свод практик'!$F$6:$F$277,"МО с ТОС")</f>
        <v>0</v>
      </c>
      <c r="W64" s="104">
        <f>COUNTIFS('свод практик'!$J$6:$J$277,W$1,'свод практик'!$F$6:$F$277,"МО с ТОС")</f>
        <v>0</v>
      </c>
      <c r="X64" s="104">
        <f>COUNTIFS('свод практик'!$J$6:$J$277,X$1,'свод практик'!$F$6:$F$277,"МО с ТОС")</f>
        <v>0</v>
      </c>
      <c r="Y64" s="104">
        <f>COUNTIFS('свод практик'!$J$6:$J$277,Y$1,'свод практик'!$F$6:$F$277,"МО с ТОС")</f>
        <v>0</v>
      </c>
      <c r="Z64" s="104">
        <f>COUNTIFS('свод практик'!$J$6:$J$277,Z$1,'свод практик'!$F$6:$F$277,"МО с ТОС")</f>
        <v>0</v>
      </c>
      <c r="AA64" s="104">
        <f>COUNTIFS('свод практик'!$J$6:$J$277,AA$1,'свод практик'!$F$6:$F$277,"МО с ТОС")</f>
        <v>0</v>
      </c>
      <c r="AB64" s="104">
        <f>COUNTIFS('свод практик'!$J$6:$J$277,AB$1,'свод практик'!$F$6:$F$277,"МО с ТОС")</f>
        <v>0</v>
      </c>
      <c r="AC64" s="104">
        <f>COUNTIFS('свод практик'!$J$6:$J$277,AC$1,'свод практик'!$F$6:$F$277,"МО с ТОС")</f>
        <v>0</v>
      </c>
      <c r="AD64" s="104">
        <f>COUNTIFS('свод практик'!$J$6:$J$277,AD$1,'свод практик'!$F$6:$F$277,"МО с ТОС")</f>
        <v>0</v>
      </c>
      <c r="AE64" s="104">
        <f>COUNTIFS('свод практик'!$J$6:$J$277,AE$1,'свод практик'!$F$6:$F$277,"МО с ТОС")</f>
        <v>0</v>
      </c>
      <c r="AF64" s="104">
        <f>COUNTIFS('свод практик'!$J$6:$J$277,AF$1,'свод практик'!$F$6:$F$277,"МО с ТОС")</f>
        <v>0</v>
      </c>
      <c r="AG64" s="104">
        <f>COUNTIFS('свод практик'!$J$6:$J$277,AG$1,'свод практик'!$F$6:$F$277,"МО с ТОС")</f>
        <v>0</v>
      </c>
      <c r="AH64" s="104">
        <f>COUNTIFS('свод практик'!$J$6:$J$277,AH$1,'свод практик'!$F$6:$F$277,"МО с ТОС")</f>
        <v>0</v>
      </c>
      <c r="AI64" s="104">
        <f>COUNTIFS('свод практик'!$J$6:$J$277,AI$1,'свод практик'!$F$6:$F$277,"МО с ТОС")</f>
        <v>0</v>
      </c>
      <c r="AJ64" s="104">
        <f>COUNTIFS('свод практик'!$J$6:$J$277,AJ$1,'свод практик'!$F$6:$F$277,"МО с ТОС")</f>
        <v>0</v>
      </c>
      <c r="AK64" s="104">
        <f>COUNTIFS('свод практик'!$J$6:$J$277,AK$1,'свод практик'!$F$6:$F$277,"МО с ТОС")</f>
        <v>0</v>
      </c>
      <c r="AL64" s="104">
        <f>COUNTIFS('свод практик'!$J$6:$J$277,AL$1,'свод практик'!$F$6:$F$277,"МО с ТОС")</f>
        <v>0</v>
      </c>
      <c r="AM64" s="104">
        <f>COUNTIFS('свод практик'!$J$6:$J$277,AM$1,'свод практик'!$F$6:$F$277,"МО с ТОС")</f>
        <v>0</v>
      </c>
      <c r="AN64" s="104">
        <f>COUNTIFS('свод практик'!$J$6:$J$277,AN$1,'свод практик'!$F$6:$F$277,"МО с ТОС")</f>
        <v>0</v>
      </c>
      <c r="AO64" s="104">
        <f>COUNTIFS('свод практик'!$J$6:$J$277,AO$1,'свод практик'!$F$6:$F$277,"МО с ТОС")</f>
        <v>0</v>
      </c>
      <c r="AP64" s="104">
        <f>COUNTIFS('свод практик'!$J$6:$J$277,AP$1,'свод практик'!$F$6:$F$277,"МО с ТОС")</f>
        <v>0</v>
      </c>
      <c r="AQ64" s="104">
        <f>COUNTIFS('свод практик'!$J$6:$J$277,AQ$1,'свод практик'!$F$6:$F$277,"МО с ТОС")</f>
        <v>0</v>
      </c>
      <c r="AR64" s="104">
        <f>COUNTIFS('свод практик'!$J$6:$J$277,AR$1,'свод практик'!$F$6:$F$277,"МО с ТОС")</f>
        <v>0</v>
      </c>
      <c r="AS64" s="104">
        <f>COUNTIFS('свод практик'!$J$6:$J$277,AS$1,'свод практик'!$F$6:$F$277,"МО с ТОС")</f>
        <v>0</v>
      </c>
      <c r="AT64" s="104">
        <f>COUNTIFS('свод практик'!$J$6:$J$277,AT$1,'свод практик'!$F$6:$F$277,"МО с ТОС")</f>
        <v>0</v>
      </c>
      <c r="AU64" s="104">
        <f>COUNTIFS('свод практик'!$J$6:$J$277,AU$1,'свод практик'!$F$6:$F$277,"МО с ТОС")</f>
        <v>0</v>
      </c>
      <c r="AV64" s="104">
        <f>COUNTIFS('свод практик'!$J$6:$J$277,AV$1,'свод практик'!$F$6:$F$277,"МО с ТОС")</f>
        <v>0</v>
      </c>
      <c r="AW64" s="104">
        <f>COUNTIFS('свод практик'!$J$6:$J$277,AW$1,'свод практик'!$F$6:$F$277,"МО с ТОС")</f>
        <v>0</v>
      </c>
      <c r="AX64" s="104">
        <f>COUNTIFS('свод практик'!$J$6:$J$277,AX$1,'свод практик'!$F$6:$F$277,"МО с ТОС")</f>
        <v>0</v>
      </c>
      <c r="AY64" s="104">
        <f>COUNTIFS('свод практик'!$J$6:$J$277,AY$1,'свод практик'!$F$6:$F$277,"МО с ТОС")</f>
        <v>0</v>
      </c>
      <c r="AZ64" s="104">
        <f>COUNTIFS('свод практик'!$J$6:$J$277,AZ$1,'свод практик'!$F$6:$F$277,"МО с ТОС")</f>
        <v>0</v>
      </c>
      <c r="BA64" s="104">
        <f>COUNTIFS('свод практик'!$J$6:$J$277,BA$1,'свод практик'!$F$6:$F$277,"МО с ТОС")</f>
        <v>0</v>
      </c>
      <c r="BB64" s="104">
        <f>COUNTIFS('свод практик'!$J$6:$J$277,BB$1,'свод практик'!$F$6:$F$277,"МО с ТОС")</f>
        <v>0</v>
      </c>
      <c r="BC64" s="104">
        <f>COUNTIFS('свод практик'!$J$6:$J$277,BC$1,'свод практик'!$F$6:$F$277,"МО с ТОС")</f>
        <v>0</v>
      </c>
      <c r="BD64" s="104">
        <f>COUNTIFS('свод практик'!$J$6:$J$277,BD$1,'свод практик'!$F$6:$F$277,"МО с ТОС")</f>
        <v>0</v>
      </c>
      <c r="BE64" s="104">
        <f>COUNTIFS('свод практик'!$J$6:$J$277,BE$1,'свод практик'!$F$6:$F$277,"МО с ТОС")</f>
        <v>0</v>
      </c>
      <c r="BF64" s="104">
        <f>COUNTIFS('свод практик'!$J$6:$J$277,BF$1,'свод практик'!$F$6:$F$277,"МО с ТОС")</f>
        <v>0</v>
      </c>
      <c r="BG64" s="104">
        <f>COUNTIFS('свод практик'!$J$6:$J$277,BG$1,'свод практик'!$F$6:$F$277,"МО с ТОС")</f>
        <v>0</v>
      </c>
      <c r="BH64" s="104">
        <f>COUNTIFS('свод практик'!$J$6:$J$277,BH$1,'свод практик'!$F$6:$F$277,"МО с ТОС")</f>
        <v>0</v>
      </c>
      <c r="BI64" s="104">
        <f>COUNTIFS('свод практик'!$J$6:$J$277,BI$1,'свод практик'!$F$6:$F$277,"МО с ТОС")</f>
        <v>0</v>
      </c>
      <c r="BJ64" s="104">
        <f>COUNTIFS('свод практик'!$J$6:$J$277,BJ$1,'свод практик'!$F$6:$F$277,"МО с ТОС")</f>
        <v>0</v>
      </c>
      <c r="BK64" s="104">
        <f>COUNTIFS('свод практик'!$J$6:$J$277,BK$1,'свод практик'!$F$6:$F$277,"МО с ТОС")</f>
        <v>0</v>
      </c>
      <c r="BL64" s="104">
        <f>COUNTIFS('свод практик'!$J$6:$J$277,BL$1,'свод практик'!$F$6:$F$277,"МО с ТОС")</f>
        <v>0</v>
      </c>
      <c r="BM64" s="104">
        <f>COUNTIFS('свод практик'!$J$6:$J$277,BM$1,'свод практик'!$F$6:$F$277,"МО с ТОС")</f>
        <v>0</v>
      </c>
      <c r="BN64" s="104">
        <f>COUNTIFS('свод практик'!$J$6:$J$277,BN$1,'свод практик'!$F$6:$F$277,"МО с ТОС")</f>
        <v>0</v>
      </c>
      <c r="BO64" s="104">
        <f>COUNTIFS('свод практик'!$J$6:$J$277,BO$1,'свод практик'!$F$6:$F$277,"МО с ТОС")</f>
        <v>0</v>
      </c>
      <c r="BP64" s="104">
        <f>COUNTIFS('свод практик'!$J$6:$J$277,BP$1,'свод практик'!$F$6:$F$277,"МО с ТОС")</f>
        <v>0</v>
      </c>
      <c r="BQ64" s="104">
        <f>COUNTIFS('свод практик'!$J$6:$J$277,BQ$1,'свод практик'!$F$6:$F$277,"МО с ТОС")</f>
        <v>0</v>
      </c>
      <c r="BR64" s="104">
        <f>COUNTIFS('свод практик'!$J$6:$J$277,BR$1,'свод практик'!$F$6:$F$277,"МО с ТОС")</f>
        <v>1</v>
      </c>
      <c r="BS64" s="104">
        <f>COUNTIFS('свод практик'!$J$6:$J$277,BS$1,'свод практик'!$F$6:$F$277,"МО с ТОС")</f>
        <v>0</v>
      </c>
      <c r="BT64" s="104">
        <f>COUNTIFS('свод практик'!$J$6:$J$277,BT$1,'свод практик'!$F$6:$F$277,"МО с ТОС")</f>
        <v>0</v>
      </c>
      <c r="BU64" s="104">
        <f>COUNTIFS('свод практик'!$J$6:$J$277,BU$1,'свод практик'!$F$6:$F$277,"МО с ТОС")</f>
        <v>0</v>
      </c>
      <c r="BV64" s="104">
        <f>COUNTIFS('свод практик'!$J$6:$J$277,BV$1,'свод практик'!$F$6:$F$277,"МО с ТОС")</f>
        <v>0</v>
      </c>
      <c r="BW64" s="104">
        <f>COUNTIFS('свод практик'!$J$6:$J$277,BW$1,'свод практик'!$F$6:$F$277,"МО с ТОС")</f>
        <v>0</v>
      </c>
      <c r="BX64" s="104">
        <f>COUNTIFS('свод практик'!$J$6:$J$277,BX$1,'свод практик'!$F$6:$F$277,"МО с ТОС")</f>
        <v>0</v>
      </c>
      <c r="BY64" s="104">
        <f>COUNTIFS('свод практик'!$J$6:$J$277,BY$1,'свод практик'!$F$6:$F$277,"МО с ТОС")</f>
        <v>0</v>
      </c>
      <c r="BZ64" s="104">
        <f>COUNTIFS('свод практик'!$J$6:$J$277,BZ$1,'свод практик'!$F$6:$F$277,"МО с ТОС")</f>
        <v>0</v>
      </c>
      <c r="CA64" s="104">
        <f>COUNTIFS('свод практик'!$J$6:$J$277,CA$1,'свод практик'!$F$6:$F$277,"МО с ТОС")</f>
        <v>0</v>
      </c>
      <c r="CB64" s="104">
        <f>COUNTIFS('свод практик'!$J$6:$J$277,CB$1,'свод практик'!$F$6:$F$277,"МО с ТОС")</f>
        <v>0</v>
      </c>
      <c r="CC64" s="104">
        <f>COUNTIFS('свод практик'!$J$6:$J$277,CC$1,'свод практик'!$F$6:$F$277,"МО с ТОС")</f>
        <v>0</v>
      </c>
      <c r="CD64" s="104">
        <f>COUNTIFS('свод практик'!$J$6:$J$277,CD$1,'свод практик'!$F$6:$F$277,"МО с ТОС")</f>
        <v>0</v>
      </c>
      <c r="CE64" s="104">
        <f>COUNTIFS('свод практик'!$J$6:$J$277,CE$1,'свод практик'!$F$6:$F$277,"МО с ТОС")</f>
        <v>0</v>
      </c>
      <c r="CF64" s="104">
        <f>COUNTIFS('свод практик'!$J$6:$J$277,CF$1,'свод практик'!$F$6:$F$277,"МО с ТОС")</f>
        <v>0</v>
      </c>
      <c r="CG64" s="104">
        <f>COUNTIFS('свод практик'!$J$6:$J$277,CG$1,'свод практик'!$F$6:$F$277,"МО с ТОС")</f>
        <v>0</v>
      </c>
      <c r="CH64" s="104">
        <f>COUNTIFS('свод практик'!$J$6:$J$277,CH$1,'свод практик'!$F$6:$F$277,"МО с ТОС")</f>
        <v>0</v>
      </c>
      <c r="CI64" s="104">
        <f>COUNTIFS('свод практик'!$J$6:$J$277,CI$1,'свод практик'!$F$6:$F$277,"МО с ТОС")</f>
        <v>0</v>
      </c>
      <c r="CJ64" s="104">
        <f>COUNTIFS('свод практик'!$J$6:$J$277,CJ$1,'свод практик'!$F$6:$F$277,"МО с ТОС")</f>
        <v>0</v>
      </c>
      <c r="CK64" s="104">
        <f>COUNTIFS('свод практик'!$J$6:$J$277,CK$1,'свод практик'!$F$6:$F$277,"МО с ТОС")</f>
        <v>0</v>
      </c>
    </row>
    <row r="65" spans="1:89">
      <c r="A65" t="s">
        <v>5339</v>
      </c>
      <c r="D65" s="675">
        <f t="shared" si="0"/>
        <v>1</v>
      </c>
      <c r="E65">
        <f>COUNTIFS('свод практик'!$J$6:$J$277,E$1,'свод практик'!$F$6:$F$277,"наличие ПСД")</f>
        <v>0</v>
      </c>
      <c r="F65" s="104">
        <f>COUNTIFS('свод практик'!$J$6:$J$277,F$1,'свод практик'!$F$6:$F$277,"наличие ПСД")</f>
        <v>0</v>
      </c>
      <c r="G65" s="104">
        <f>COUNTIFS('свод практик'!$J$6:$J$277,G$1,'свод практик'!$F$6:$F$277,"наличие ПСД")</f>
        <v>0</v>
      </c>
      <c r="H65" s="104">
        <f>COUNTIFS('свод практик'!$J$6:$J$277,H$1,'свод практик'!$F$6:$F$277,"наличие ПСД")</f>
        <v>0</v>
      </c>
      <c r="I65" s="104">
        <f>COUNTIFS('свод практик'!$J$6:$J$277,I$1,'свод практик'!$F$6:$F$277,"наличие ПСД")</f>
        <v>0</v>
      </c>
      <c r="J65" s="104">
        <f>COUNTIFS('свод практик'!$J$6:$J$277,J$1,'свод практик'!$F$6:$F$277,"наличие ПСД")</f>
        <v>0</v>
      </c>
      <c r="K65" s="104">
        <f>COUNTIFS('свод практик'!$J$6:$J$277,K$1,'свод практик'!$F$6:$F$277,"наличие ПСД")</f>
        <v>0</v>
      </c>
      <c r="L65" s="104">
        <f>COUNTIFS('свод практик'!$J$6:$J$277,L$1,'свод практик'!$F$6:$F$277,"наличие ПСД")</f>
        <v>0</v>
      </c>
      <c r="M65" s="104">
        <f>COUNTIFS('свод практик'!$J$6:$J$277,M$1,'свод практик'!$F$6:$F$277,"наличие ПСД")</f>
        <v>0</v>
      </c>
      <c r="N65" s="104">
        <f>COUNTIFS('свод практик'!$J$6:$J$277,N$1,'свод практик'!$F$6:$F$277,"наличие ПСД")</f>
        <v>0</v>
      </c>
      <c r="O65" s="104">
        <f>COUNTIFS('свод практик'!$J$6:$J$277,O$1,'свод практик'!$F$6:$F$277,"наличие ПСД")</f>
        <v>0</v>
      </c>
      <c r="P65" s="104">
        <f>COUNTIFS('свод практик'!$J$6:$J$277,P$1,'свод практик'!$F$6:$F$277,"наличие ПСД")</f>
        <v>0</v>
      </c>
      <c r="Q65" s="104">
        <f>COUNTIFS('свод практик'!$J$6:$J$277,Q$1,'свод практик'!$F$6:$F$277,"наличие ПСД")</f>
        <v>0</v>
      </c>
      <c r="R65" s="104">
        <f>COUNTIFS('свод практик'!$J$6:$J$277,R$1,'свод практик'!$F$6:$F$277,"наличие ПСД")</f>
        <v>0</v>
      </c>
      <c r="S65" s="104">
        <f>COUNTIFS('свод практик'!$J$6:$J$277,S$1,'свод практик'!$F$6:$F$277,"наличие ПСД")</f>
        <v>0</v>
      </c>
      <c r="T65" s="104">
        <f>COUNTIFS('свод практик'!$J$6:$J$277,T$1,'свод практик'!$F$6:$F$277,"наличие ПСД")</f>
        <v>0</v>
      </c>
      <c r="U65" s="104">
        <f>COUNTIFS('свод практик'!$J$6:$J$277,U$1,'свод практик'!$F$6:$F$277,"наличие ПСД")</f>
        <v>0</v>
      </c>
      <c r="V65" s="104">
        <f>COUNTIFS('свод практик'!$J$6:$J$277,V$1,'свод практик'!$F$6:$F$277,"наличие ПСД")</f>
        <v>0</v>
      </c>
      <c r="W65" s="104">
        <f>COUNTIFS('свод практик'!$J$6:$J$277,W$1,'свод практик'!$F$6:$F$277,"наличие ПСД")</f>
        <v>0</v>
      </c>
      <c r="X65" s="104">
        <f>COUNTIFS('свод практик'!$J$6:$J$277,X$1,'свод практик'!$F$6:$F$277,"наличие ПСД")</f>
        <v>0</v>
      </c>
      <c r="Y65" s="104">
        <f>COUNTIFS('свод практик'!$J$6:$J$277,Y$1,'свод практик'!$F$6:$F$277,"наличие ПСД")</f>
        <v>0</v>
      </c>
      <c r="Z65" s="104">
        <f>COUNTIFS('свод практик'!$J$6:$J$277,Z$1,'свод практик'!$F$6:$F$277,"наличие ПСД")</f>
        <v>0</v>
      </c>
      <c r="AA65" s="104">
        <f>COUNTIFS('свод практик'!$J$6:$J$277,AA$1,'свод практик'!$F$6:$F$277,"наличие ПСД")</f>
        <v>0</v>
      </c>
      <c r="AB65" s="104">
        <f>COUNTIFS('свод практик'!$J$6:$J$277,AB$1,'свод практик'!$F$6:$F$277,"наличие ПСД")</f>
        <v>0</v>
      </c>
      <c r="AC65" s="104">
        <f>COUNTIFS('свод практик'!$J$6:$J$277,AC$1,'свод практик'!$F$6:$F$277,"наличие ПСД")</f>
        <v>0</v>
      </c>
      <c r="AD65" s="104">
        <f>COUNTIFS('свод практик'!$J$6:$J$277,AD$1,'свод практик'!$F$6:$F$277,"наличие ПСД")</f>
        <v>0</v>
      </c>
      <c r="AE65" s="104">
        <f>COUNTIFS('свод практик'!$J$6:$J$277,AE$1,'свод практик'!$F$6:$F$277,"наличие ПСД")</f>
        <v>0</v>
      </c>
      <c r="AF65" s="104">
        <f>COUNTIFS('свод практик'!$J$6:$J$277,AF$1,'свод практик'!$F$6:$F$277,"наличие ПСД")</f>
        <v>0</v>
      </c>
      <c r="AG65" s="104">
        <f>COUNTIFS('свод практик'!$J$6:$J$277,AG$1,'свод практик'!$F$6:$F$277,"наличие ПСД")</f>
        <v>0</v>
      </c>
      <c r="AH65" s="104">
        <f>COUNTIFS('свод практик'!$J$6:$J$277,AH$1,'свод практик'!$F$6:$F$277,"наличие ПСД")</f>
        <v>0</v>
      </c>
      <c r="AI65" s="104">
        <f>COUNTIFS('свод практик'!$J$6:$J$277,AI$1,'свод практик'!$F$6:$F$277,"наличие ПСД")</f>
        <v>0</v>
      </c>
      <c r="AJ65" s="104">
        <f>COUNTIFS('свод практик'!$J$6:$J$277,AJ$1,'свод практик'!$F$6:$F$277,"наличие ПСД")</f>
        <v>0</v>
      </c>
      <c r="AK65" s="104">
        <f>COUNTIFS('свод практик'!$J$6:$J$277,AK$1,'свод практик'!$F$6:$F$277,"наличие ПСД")</f>
        <v>0</v>
      </c>
      <c r="AL65" s="104">
        <f>COUNTIFS('свод практик'!$J$6:$J$277,AL$1,'свод практик'!$F$6:$F$277,"наличие ПСД")</f>
        <v>1</v>
      </c>
      <c r="AM65" s="104">
        <f>COUNTIFS('свод практик'!$J$6:$J$277,AM$1,'свод практик'!$F$6:$F$277,"наличие ПСД")</f>
        <v>0</v>
      </c>
      <c r="AN65" s="104">
        <f>COUNTIFS('свод практик'!$J$6:$J$277,AN$1,'свод практик'!$F$6:$F$277,"наличие ПСД")</f>
        <v>0</v>
      </c>
      <c r="AO65" s="104">
        <f>COUNTIFS('свод практик'!$J$6:$J$277,AO$1,'свод практик'!$F$6:$F$277,"наличие ПСД")</f>
        <v>0</v>
      </c>
      <c r="AP65" s="104">
        <f>COUNTIFS('свод практик'!$J$6:$J$277,AP$1,'свод практик'!$F$6:$F$277,"наличие ПСД")</f>
        <v>0</v>
      </c>
      <c r="AQ65" s="104">
        <f>COUNTIFS('свод практик'!$J$6:$J$277,AQ$1,'свод практик'!$F$6:$F$277,"наличие ПСД")</f>
        <v>0</v>
      </c>
      <c r="AR65" s="104">
        <f>COUNTIFS('свод практик'!$J$6:$J$277,AR$1,'свод практик'!$F$6:$F$277,"наличие ПСД")</f>
        <v>0</v>
      </c>
      <c r="AS65" s="104">
        <f>COUNTIFS('свод практик'!$J$6:$J$277,AS$1,'свод практик'!$F$6:$F$277,"наличие ПСД")</f>
        <v>0</v>
      </c>
      <c r="AT65" s="104">
        <f>COUNTIFS('свод практик'!$J$6:$J$277,AT$1,'свод практик'!$F$6:$F$277,"наличие ПСД")</f>
        <v>0</v>
      </c>
      <c r="AU65" s="104">
        <f>COUNTIFS('свод практик'!$J$6:$J$277,AU$1,'свод практик'!$F$6:$F$277,"наличие ПСД")</f>
        <v>0</v>
      </c>
      <c r="AV65" s="104">
        <f>COUNTIFS('свод практик'!$J$6:$J$277,AV$1,'свод практик'!$F$6:$F$277,"наличие ПСД")</f>
        <v>0</v>
      </c>
      <c r="AW65" s="104">
        <f>COUNTIFS('свод практик'!$J$6:$J$277,AW$1,'свод практик'!$F$6:$F$277,"наличие ПСД")</f>
        <v>0</v>
      </c>
      <c r="AX65" s="104">
        <f>COUNTIFS('свод практик'!$J$6:$J$277,AX$1,'свод практик'!$F$6:$F$277,"наличие ПСД")</f>
        <v>0</v>
      </c>
      <c r="AY65" s="104">
        <f>COUNTIFS('свод практик'!$J$6:$J$277,AY$1,'свод практик'!$F$6:$F$277,"наличие ПСД")</f>
        <v>0</v>
      </c>
      <c r="AZ65" s="104">
        <f>COUNTIFS('свод практик'!$J$6:$J$277,AZ$1,'свод практик'!$F$6:$F$277,"наличие ПСД")</f>
        <v>0</v>
      </c>
      <c r="BA65" s="104">
        <f>COUNTIFS('свод практик'!$J$6:$J$277,BA$1,'свод практик'!$F$6:$F$277,"наличие ПСД")</f>
        <v>0</v>
      </c>
      <c r="BB65" s="104">
        <f>COUNTIFS('свод практик'!$J$6:$J$277,BB$1,'свод практик'!$F$6:$F$277,"наличие ПСД")</f>
        <v>0</v>
      </c>
      <c r="BC65" s="104">
        <f>COUNTIFS('свод практик'!$J$6:$J$277,BC$1,'свод практик'!$F$6:$F$277,"наличие ПСД")</f>
        <v>0</v>
      </c>
      <c r="BD65" s="104">
        <f>COUNTIFS('свод практик'!$J$6:$J$277,BD$1,'свод практик'!$F$6:$F$277,"наличие ПСД")</f>
        <v>0</v>
      </c>
      <c r="BE65" s="104">
        <f>COUNTIFS('свод практик'!$J$6:$J$277,BE$1,'свод практик'!$F$6:$F$277,"наличие ПСД")</f>
        <v>0</v>
      </c>
      <c r="BF65" s="104">
        <f>COUNTIFS('свод практик'!$J$6:$J$277,BF$1,'свод практик'!$F$6:$F$277,"наличие ПСД")</f>
        <v>0</v>
      </c>
      <c r="BG65" s="104">
        <f>COUNTIFS('свод практик'!$J$6:$J$277,BG$1,'свод практик'!$F$6:$F$277,"наличие ПСД")</f>
        <v>0</v>
      </c>
      <c r="BH65" s="104">
        <f>COUNTIFS('свод практик'!$J$6:$J$277,BH$1,'свод практик'!$F$6:$F$277,"наличие ПСД")</f>
        <v>0</v>
      </c>
      <c r="BI65" s="104">
        <f>COUNTIFS('свод практик'!$J$6:$J$277,BI$1,'свод практик'!$F$6:$F$277,"наличие ПСД")</f>
        <v>0</v>
      </c>
      <c r="BJ65" s="104">
        <f>COUNTIFS('свод практик'!$J$6:$J$277,BJ$1,'свод практик'!$F$6:$F$277,"наличие ПСД")</f>
        <v>0</v>
      </c>
      <c r="BK65" s="104">
        <f>COUNTIFS('свод практик'!$J$6:$J$277,BK$1,'свод практик'!$F$6:$F$277,"наличие ПСД")</f>
        <v>0</v>
      </c>
      <c r="BL65" s="104">
        <f>COUNTIFS('свод практик'!$J$6:$J$277,BL$1,'свод практик'!$F$6:$F$277,"наличие ПСД")</f>
        <v>0</v>
      </c>
      <c r="BM65" s="104">
        <f>COUNTIFS('свод практик'!$J$6:$J$277,BM$1,'свод практик'!$F$6:$F$277,"наличие ПСД")</f>
        <v>0</v>
      </c>
      <c r="BN65" s="104">
        <f>COUNTIFS('свод практик'!$J$6:$J$277,BN$1,'свод практик'!$F$6:$F$277,"наличие ПСД")</f>
        <v>0</v>
      </c>
      <c r="BO65" s="104">
        <f>COUNTIFS('свод практик'!$J$6:$J$277,BO$1,'свод практик'!$F$6:$F$277,"наличие ПСД")</f>
        <v>0</v>
      </c>
      <c r="BP65" s="104">
        <f>COUNTIFS('свод практик'!$J$6:$J$277,BP$1,'свод практик'!$F$6:$F$277,"наличие ПСД")</f>
        <v>0</v>
      </c>
      <c r="BQ65" s="104">
        <f>COUNTIFS('свод практик'!$J$6:$J$277,BQ$1,'свод практик'!$F$6:$F$277,"наличие ПСД")</f>
        <v>0</v>
      </c>
      <c r="BR65" s="104">
        <f>COUNTIFS('свод практик'!$J$6:$J$277,BR$1,'свод практик'!$F$6:$F$277,"наличие ПСД")</f>
        <v>0</v>
      </c>
      <c r="BS65" s="104">
        <f>COUNTIFS('свод практик'!$J$6:$J$277,BS$1,'свод практик'!$F$6:$F$277,"наличие ПСД")</f>
        <v>0</v>
      </c>
      <c r="BT65" s="104">
        <f>COUNTIFS('свод практик'!$J$6:$J$277,BT$1,'свод практик'!$F$6:$F$277,"наличие ПСД")</f>
        <v>0</v>
      </c>
      <c r="BU65" s="104">
        <f>COUNTIFS('свод практик'!$J$6:$J$277,BU$1,'свод практик'!$F$6:$F$277,"наличие ПСД")</f>
        <v>0</v>
      </c>
      <c r="BV65" s="104">
        <f>COUNTIFS('свод практик'!$J$6:$J$277,BV$1,'свод практик'!$F$6:$F$277,"наличие ПСД")</f>
        <v>0</v>
      </c>
      <c r="BW65" s="104">
        <f>COUNTIFS('свод практик'!$J$6:$J$277,BW$1,'свод практик'!$F$6:$F$277,"наличие ПСД")</f>
        <v>0</v>
      </c>
      <c r="BX65" s="104">
        <f>COUNTIFS('свод практик'!$J$6:$J$277,BX$1,'свод практик'!$F$6:$F$277,"наличие ПСД")</f>
        <v>0</v>
      </c>
      <c r="BY65" s="104">
        <f>COUNTIFS('свод практик'!$J$6:$J$277,BY$1,'свод практик'!$F$6:$F$277,"наличие ПСД")</f>
        <v>0</v>
      </c>
      <c r="BZ65" s="104">
        <f>COUNTIFS('свод практик'!$J$6:$J$277,BZ$1,'свод практик'!$F$6:$F$277,"наличие ПСД")</f>
        <v>0</v>
      </c>
      <c r="CA65" s="104">
        <f>COUNTIFS('свод практик'!$J$6:$J$277,CA$1,'свод практик'!$F$6:$F$277,"наличие ПСД")</f>
        <v>0</v>
      </c>
      <c r="CB65" s="104">
        <f>COUNTIFS('свод практик'!$J$6:$J$277,CB$1,'свод практик'!$F$6:$F$277,"наличие ПСД")</f>
        <v>0</v>
      </c>
      <c r="CC65" s="104">
        <f>COUNTIFS('свод практик'!$J$6:$J$277,CC$1,'свод практик'!$F$6:$F$277,"наличие ПСД")</f>
        <v>0</v>
      </c>
      <c r="CD65" s="104">
        <f>COUNTIFS('свод практик'!$J$6:$J$277,CD$1,'свод практик'!$F$6:$F$277,"наличие ПСД")</f>
        <v>0</v>
      </c>
      <c r="CE65" s="104">
        <f>COUNTIFS('свод практик'!$J$6:$J$277,CE$1,'свод практик'!$F$6:$F$277,"наличие ПСД")</f>
        <v>0</v>
      </c>
      <c r="CF65" s="104">
        <f>COUNTIFS('свод практик'!$J$6:$J$277,CF$1,'свод практик'!$F$6:$F$277,"наличие ПСД")</f>
        <v>0</v>
      </c>
      <c r="CG65" s="104">
        <f>COUNTIFS('свод практик'!$J$6:$J$277,CG$1,'свод практик'!$F$6:$F$277,"наличие ПСД")</f>
        <v>0</v>
      </c>
      <c r="CH65" s="104">
        <f>COUNTIFS('свод практик'!$J$6:$J$277,CH$1,'свод практик'!$F$6:$F$277,"наличие ПСД")</f>
        <v>0</v>
      </c>
      <c r="CI65" s="104">
        <f>COUNTIFS('свод практик'!$J$6:$J$277,CI$1,'свод практик'!$F$6:$F$277,"наличие ПСД")</f>
        <v>0</v>
      </c>
      <c r="CJ65" s="104">
        <f>COUNTIFS('свод практик'!$J$6:$J$277,CJ$1,'свод практик'!$F$6:$F$277,"наличие ПСД")</f>
        <v>0</v>
      </c>
      <c r="CK65" s="104">
        <f>COUNTIFS('свод практик'!$J$6:$J$277,CK$1,'свод практик'!$F$6:$F$277,"наличие ПСД")</f>
        <v>0</v>
      </c>
    </row>
    <row r="66" spans="1:89">
      <c r="A66" t="s">
        <v>5322</v>
      </c>
      <c r="D66" s="675">
        <f t="shared" si="0"/>
        <v>1</v>
      </c>
      <c r="E66">
        <f>COUNTIFS('свод практик'!$J$6:$J$277,E$1,'свод практик'!$F$6:$F$277,"пилот")</f>
        <v>0</v>
      </c>
      <c r="F66" s="104">
        <f>COUNTIFS('свод практик'!$J$6:$J$277,F$1,'свод практик'!$F$6:$F$277,"пилот")</f>
        <v>0</v>
      </c>
      <c r="G66" s="104">
        <f>COUNTIFS('свод практик'!$J$6:$J$277,G$1,'свод практик'!$F$6:$F$277,"пилот")</f>
        <v>0</v>
      </c>
      <c r="H66" s="104">
        <f>COUNTIFS('свод практик'!$J$6:$J$277,H$1,'свод практик'!$F$6:$F$277,"пилот")</f>
        <v>0</v>
      </c>
      <c r="I66" s="104">
        <f>COUNTIFS('свод практик'!$J$6:$J$277,I$1,'свод практик'!$F$6:$F$277,"пилот")</f>
        <v>0</v>
      </c>
      <c r="J66" s="104">
        <f>COUNTIFS('свод практик'!$J$6:$J$277,J$1,'свод практик'!$F$6:$F$277,"пилот")</f>
        <v>1</v>
      </c>
      <c r="K66" s="104">
        <f>COUNTIFS('свод практик'!$J$6:$J$277,K$1,'свод практик'!$F$6:$F$277,"пилот")</f>
        <v>0</v>
      </c>
      <c r="L66" s="104">
        <f>COUNTIFS('свод практик'!$J$6:$J$277,L$1,'свод практик'!$F$6:$F$277,"пилот")</f>
        <v>0</v>
      </c>
      <c r="M66" s="104">
        <f>COUNTIFS('свод практик'!$J$6:$J$277,M$1,'свод практик'!$F$6:$F$277,"пилот")</f>
        <v>0</v>
      </c>
      <c r="N66" s="104">
        <f>COUNTIFS('свод практик'!$J$6:$J$277,N$1,'свод практик'!$F$6:$F$277,"пилот")</f>
        <v>0</v>
      </c>
      <c r="O66" s="104">
        <f>COUNTIFS('свод практик'!$J$6:$J$277,O$1,'свод практик'!$F$6:$F$277,"пилот")</f>
        <v>0</v>
      </c>
      <c r="P66" s="104">
        <f>COUNTIFS('свод практик'!$J$6:$J$277,P$1,'свод практик'!$F$6:$F$277,"пилот")</f>
        <v>0</v>
      </c>
      <c r="Q66" s="104">
        <f>COUNTIFS('свод практик'!$J$6:$J$277,Q$1,'свод практик'!$F$6:$F$277,"пилот")</f>
        <v>0</v>
      </c>
      <c r="R66" s="104">
        <f>COUNTIFS('свод практик'!$J$6:$J$277,R$1,'свод практик'!$F$6:$F$277,"пилот")</f>
        <v>0</v>
      </c>
      <c r="S66" s="104">
        <f>COUNTIFS('свод практик'!$J$6:$J$277,S$1,'свод практик'!$F$6:$F$277,"пилот")</f>
        <v>0</v>
      </c>
      <c r="T66" s="104">
        <f>COUNTIFS('свод практик'!$J$6:$J$277,T$1,'свод практик'!$F$6:$F$277,"пилот")</f>
        <v>0</v>
      </c>
      <c r="U66" s="104">
        <f>COUNTIFS('свод практик'!$J$6:$J$277,U$1,'свод практик'!$F$6:$F$277,"пилот")</f>
        <v>0</v>
      </c>
      <c r="V66" s="104">
        <f>COUNTIFS('свод практик'!$J$6:$J$277,V$1,'свод практик'!$F$6:$F$277,"пилот")</f>
        <v>0</v>
      </c>
      <c r="W66" s="104">
        <f>COUNTIFS('свод практик'!$J$6:$J$277,W$1,'свод практик'!$F$6:$F$277,"пилот")</f>
        <v>0</v>
      </c>
      <c r="X66" s="104">
        <f>COUNTIFS('свод практик'!$J$6:$J$277,X$1,'свод практик'!$F$6:$F$277,"пилот")</f>
        <v>0</v>
      </c>
      <c r="Y66" s="104">
        <f>COUNTIFS('свод практик'!$J$6:$J$277,Y$1,'свод практик'!$F$6:$F$277,"пилот")</f>
        <v>0</v>
      </c>
      <c r="Z66" s="104">
        <f>COUNTIFS('свод практик'!$J$6:$J$277,Z$1,'свод практик'!$F$6:$F$277,"пилот")</f>
        <v>0</v>
      </c>
      <c r="AA66" s="104">
        <f>COUNTIFS('свод практик'!$J$6:$J$277,AA$1,'свод практик'!$F$6:$F$277,"пилот")</f>
        <v>0</v>
      </c>
      <c r="AB66" s="104">
        <f>COUNTIFS('свод практик'!$J$6:$J$277,AB$1,'свод практик'!$F$6:$F$277,"пилот")</f>
        <v>0</v>
      </c>
      <c r="AC66" s="104">
        <f>COUNTIFS('свод практик'!$J$6:$J$277,AC$1,'свод практик'!$F$6:$F$277,"пилот")</f>
        <v>0</v>
      </c>
      <c r="AD66" s="104">
        <f>COUNTIFS('свод практик'!$J$6:$J$277,AD$1,'свод практик'!$F$6:$F$277,"пилот")</f>
        <v>0</v>
      </c>
      <c r="AE66" s="104">
        <f>COUNTIFS('свод практик'!$J$6:$J$277,AE$1,'свод практик'!$F$6:$F$277,"пилот")</f>
        <v>0</v>
      </c>
      <c r="AF66" s="104">
        <f>COUNTIFS('свод практик'!$J$6:$J$277,AF$1,'свод практик'!$F$6:$F$277,"пилот")</f>
        <v>0</v>
      </c>
      <c r="AG66" s="104">
        <f>COUNTIFS('свод практик'!$J$6:$J$277,AG$1,'свод практик'!$F$6:$F$277,"пилот")</f>
        <v>0</v>
      </c>
      <c r="AH66" s="104">
        <f>COUNTIFS('свод практик'!$J$6:$J$277,AH$1,'свод практик'!$F$6:$F$277,"пилот")</f>
        <v>0</v>
      </c>
      <c r="AI66" s="104">
        <f>COUNTIFS('свод практик'!$J$6:$J$277,AI$1,'свод практик'!$F$6:$F$277,"пилот")</f>
        <v>0</v>
      </c>
      <c r="AJ66" s="104">
        <f>COUNTIFS('свод практик'!$J$6:$J$277,AJ$1,'свод практик'!$F$6:$F$277,"пилот")</f>
        <v>0</v>
      </c>
      <c r="AK66" s="104">
        <f>COUNTIFS('свод практик'!$J$6:$J$277,AK$1,'свод практик'!$F$6:$F$277,"пилот")</f>
        <v>0</v>
      </c>
      <c r="AL66" s="104">
        <f>COUNTIFS('свод практик'!$J$6:$J$277,AL$1,'свод практик'!$F$6:$F$277,"пилот")</f>
        <v>0</v>
      </c>
      <c r="AM66" s="104">
        <f>COUNTIFS('свод практик'!$J$6:$J$277,AM$1,'свод практик'!$F$6:$F$277,"пилот")</f>
        <v>0</v>
      </c>
      <c r="AN66" s="104">
        <f>COUNTIFS('свод практик'!$J$6:$J$277,AN$1,'свод практик'!$F$6:$F$277,"пилот")</f>
        <v>0</v>
      </c>
      <c r="AO66" s="104">
        <f>COUNTIFS('свод практик'!$J$6:$J$277,AO$1,'свод практик'!$F$6:$F$277,"пилот")</f>
        <v>0</v>
      </c>
      <c r="AP66" s="104">
        <f>COUNTIFS('свод практик'!$J$6:$J$277,AP$1,'свод практик'!$F$6:$F$277,"пилот")</f>
        <v>0</v>
      </c>
      <c r="AQ66" s="104">
        <f>COUNTIFS('свод практик'!$J$6:$J$277,AQ$1,'свод практик'!$F$6:$F$277,"пилот")</f>
        <v>0</v>
      </c>
      <c r="AR66" s="104">
        <f>COUNTIFS('свод практик'!$J$6:$J$277,AR$1,'свод практик'!$F$6:$F$277,"пилот")</f>
        <v>0</v>
      </c>
      <c r="AS66" s="104">
        <f>COUNTIFS('свод практик'!$J$6:$J$277,AS$1,'свод практик'!$F$6:$F$277,"пилот")</f>
        <v>0</v>
      </c>
      <c r="AT66" s="104">
        <f>COUNTIFS('свод практик'!$J$6:$J$277,AT$1,'свод практик'!$F$6:$F$277,"пилот")</f>
        <v>0</v>
      </c>
      <c r="AU66" s="104">
        <f>COUNTIFS('свод практик'!$J$6:$J$277,AU$1,'свод практик'!$F$6:$F$277,"пилот")</f>
        <v>0</v>
      </c>
      <c r="AV66" s="104">
        <f>COUNTIFS('свод практик'!$J$6:$J$277,AV$1,'свод практик'!$F$6:$F$277,"пилот")</f>
        <v>0</v>
      </c>
      <c r="AW66" s="104">
        <f>COUNTIFS('свод практик'!$J$6:$J$277,AW$1,'свод практик'!$F$6:$F$277,"пилот")</f>
        <v>0</v>
      </c>
      <c r="AX66" s="104">
        <f>COUNTIFS('свод практик'!$J$6:$J$277,AX$1,'свод практик'!$F$6:$F$277,"пилот")</f>
        <v>0</v>
      </c>
      <c r="AY66" s="104">
        <f>COUNTIFS('свод практик'!$J$6:$J$277,AY$1,'свод практик'!$F$6:$F$277,"пилот")</f>
        <v>0</v>
      </c>
      <c r="AZ66" s="104">
        <f>COUNTIFS('свод практик'!$J$6:$J$277,AZ$1,'свод практик'!$F$6:$F$277,"пилот")</f>
        <v>0</v>
      </c>
      <c r="BA66" s="104">
        <f>COUNTIFS('свод практик'!$J$6:$J$277,BA$1,'свод практик'!$F$6:$F$277,"пилот")</f>
        <v>0</v>
      </c>
      <c r="BB66" s="104">
        <f>COUNTIFS('свод практик'!$J$6:$J$277,BB$1,'свод практик'!$F$6:$F$277,"пилот")</f>
        <v>0</v>
      </c>
      <c r="BC66" s="104">
        <f>COUNTIFS('свод практик'!$J$6:$J$277,BC$1,'свод практик'!$F$6:$F$277,"пилот")</f>
        <v>0</v>
      </c>
      <c r="BD66" s="104">
        <f>COUNTIFS('свод практик'!$J$6:$J$277,BD$1,'свод практик'!$F$6:$F$277,"пилот")</f>
        <v>0</v>
      </c>
      <c r="BE66" s="104">
        <f>COUNTIFS('свод практик'!$J$6:$J$277,BE$1,'свод практик'!$F$6:$F$277,"пилот")</f>
        <v>0</v>
      </c>
      <c r="BF66" s="104">
        <f>COUNTIFS('свод практик'!$J$6:$J$277,BF$1,'свод практик'!$F$6:$F$277,"пилот")</f>
        <v>0</v>
      </c>
      <c r="BG66" s="104">
        <f>COUNTIFS('свод практик'!$J$6:$J$277,BG$1,'свод практик'!$F$6:$F$277,"пилот")</f>
        <v>0</v>
      </c>
      <c r="BH66" s="104">
        <f>COUNTIFS('свод практик'!$J$6:$J$277,BH$1,'свод практик'!$F$6:$F$277,"пилот")</f>
        <v>0</v>
      </c>
      <c r="BI66" s="104">
        <f>COUNTIFS('свод практик'!$J$6:$J$277,BI$1,'свод практик'!$F$6:$F$277,"пилот")</f>
        <v>0</v>
      </c>
      <c r="BJ66" s="104">
        <f>COUNTIFS('свод практик'!$J$6:$J$277,BJ$1,'свод практик'!$F$6:$F$277,"пилот")</f>
        <v>0</v>
      </c>
      <c r="BK66" s="104">
        <f>COUNTIFS('свод практик'!$J$6:$J$277,BK$1,'свод практик'!$F$6:$F$277,"пилот")</f>
        <v>0</v>
      </c>
      <c r="BL66" s="104">
        <f>COUNTIFS('свод практик'!$J$6:$J$277,BL$1,'свод практик'!$F$6:$F$277,"пилот")</f>
        <v>0</v>
      </c>
      <c r="BM66" s="104">
        <f>COUNTIFS('свод практик'!$J$6:$J$277,BM$1,'свод практик'!$F$6:$F$277,"пилот")</f>
        <v>0</v>
      </c>
      <c r="BN66" s="104">
        <f>COUNTIFS('свод практик'!$J$6:$J$277,BN$1,'свод практик'!$F$6:$F$277,"пилот")</f>
        <v>0</v>
      </c>
      <c r="BO66" s="104">
        <f>COUNTIFS('свод практик'!$J$6:$J$277,BO$1,'свод практик'!$F$6:$F$277,"пилот")</f>
        <v>0</v>
      </c>
      <c r="BP66" s="104">
        <f>COUNTIFS('свод практик'!$J$6:$J$277,BP$1,'свод практик'!$F$6:$F$277,"пилот")</f>
        <v>0</v>
      </c>
      <c r="BQ66" s="104">
        <f>COUNTIFS('свод практик'!$J$6:$J$277,BQ$1,'свод практик'!$F$6:$F$277,"пилот")</f>
        <v>0</v>
      </c>
      <c r="BR66" s="104">
        <f>COUNTIFS('свод практик'!$J$6:$J$277,BR$1,'свод практик'!$F$6:$F$277,"пилот")</f>
        <v>0</v>
      </c>
      <c r="BS66" s="104">
        <f>COUNTIFS('свод практик'!$J$6:$J$277,BS$1,'свод практик'!$F$6:$F$277,"пилот")</f>
        <v>0</v>
      </c>
      <c r="BT66" s="104">
        <f>COUNTIFS('свод практик'!$J$6:$J$277,BT$1,'свод практик'!$F$6:$F$277,"пилот")</f>
        <v>0</v>
      </c>
      <c r="BU66" s="104">
        <f>COUNTIFS('свод практик'!$J$6:$J$277,BU$1,'свод практик'!$F$6:$F$277,"пилот")</f>
        <v>0</v>
      </c>
      <c r="BV66" s="104">
        <f>COUNTIFS('свод практик'!$J$6:$J$277,BV$1,'свод практик'!$F$6:$F$277,"пилот")</f>
        <v>0</v>
      </c>
      <c r="BW66" s="104">
        <f>COUNTIFS('свод практик'!$J$6:$J$277,BW$1,'свод практик'!$F$6:$F$277,"пилот")</f>
        <v>0</v>
      </c>
      <c r="BX66" s="104">
        <f>COUNTIFS('свод практик'!$J$6:$J$277,BX$1,'свод практик'!$F$6:$F$277,"пилот")</f>
        <v>0</v>
      </c>
      <c r="BY66" s="104">
        <f>COUNTIFS('свод практик'!$J$6:$J$277,BY$1,'свод практик'!$F$6:$F$277,"пилот")</f>
        <v>0</v>
      </c>
      <c r="BZ66" s="104">
        <f>COUNTIFS('свод практик'!$J$6:$J$277,BZ$1,'свод практик'!$F$6:$F$277,"пилот")</f>
        <v>0</v>
      </c>
      <c r="CA66" s="104">
        <f>COUNTIFS('свод практик'!$J$6:$J$277,CA$1,'свод практик'!$F$6:$F$277,"пилот")</f>
        <v>0</v>
      </c>
      <c r="CB66" s="104">
        <f>COUNTIFS('свод практик'!$J$6:$J$277,CB$1,'свод практик'!$F$6:$F$277,"пилот")</f>
        <v>0</v>
      </c>
      <c r="CC66" s="104">
        <f>COUNTIFS('свод практик'!$J$6:$J$277,CC$1,'свод практик'!$F$6:$F$277,"пилот")</f>
        <v>0</v>
      </c>
      <c r="CD66" s="104">
        <f>COUNTIFS('свод практик'!$J$6:$J$277,CD$1,'свод практик'!$F$6:$F$277,"пилот")</f>
        <v>0</v>
      </c>
      <c r="CE66" s="104">
        <f>COUNTIFS('свод практик'!$J$6:$J$277,CE$1,'свод практик'!$F$6:$F$277,"пилот")</f>
        <v>0</v>
      </c>
      <c r="CF66" s="104">
        <f>COUNTIFS('свод практик'!$J$6:$J$277,CF$1,'свод практик'!$F$6:$F$277,"пилот")</f>
        <v>0</v>
      </c>
      <c r="CG66" s="104">
        <f>COUNTIFS('свод практик'!$J$6:$J$277,CG$1,'свод практик'!$F$6:$F$277,"пилот")</f>
        <v>0</v>
      </c>
      <c r="CH66" s="104">
        <f>COUNTIFS('свод практик'!$J$6:$J$277,CH$1,'свод практик'!$F$6:$F$277,"пилот")</f>
        <v>0</v>
      </c>
      <c r="CI66" s="104">
        <f>COUNTIFS('свод практик'!$J$6:$J$277,CI$1,'свод практик'!$F$6:$F$277,"пилот")</f>
        <v>0</v>
      </c>
      <c r="CJ66" s="104">
        <f>COUNTIFS('свод практик'!$J$6:$J$277,CJ$1,'свод практик'!$F$6:$F$277,"пилот")</f>
        <v>0</v>
      </c>
      <c r="CK66" s="104">
        <f>COUNTIFS('свод практик'!$J$6:$J$277,CK$1,'свод практик'!$F$6:$F$277,"пилот")</f>
        <v>0</v>
      </c>
    </row>
    <row r="67" spans="1:89">
      <c r="A67" t="s">
        <v>694</v>
      </c>
      <c r="D67" s="675">
        <f t="shared" si="0"/>
        <v>15</v>
      </c>
      <c r="E67">
        <f>COUNTIFS('свод практик'!$J$6:$J$277,E$1,'свод практик'!$F$6:$F$277,"сельские поселения")</f>
        <v>0</v>
      </c>
      <c r="F67" s="104">
        <f>COUNTIFS('свод практик'!$J$6:$J$277,F$1,'свод практик'!$F$6:$F$277,"сельские поселения")</f>
        <v>1</v>
      </c>
      <c r="G67" s="104">
        <f>COUNTIFS('свод практик'!$J$6:$J$277,G$1,'свод практик'!$F$6:$F$277,"сельские поселения")</f>
        <v>1</v>
      </c>
      <c r="H67" s="104">
        <f>COUNTIFS('свод практик'!$J$6:$J$277,H$1,'свод практик'!$F$6:$F$277,"сельские поселения")</f>
        <v>1</v>
      </c>
      <c r="I67" s="104">
        <f>COUNTIFS('свод практик'!$J$6:$J$277,I$1,'свод практик'!$F$6:$F$277,"сельские поселения")</f>
        <v>0</v>
      </c>
      <c r="J67" s="104">
        <f>COUNTIFS('свод практик'!$J$6:$J$277,J$1,'свод практик'!$F$6:$F$277,"сельские поселения")</f>
        <v>0</v>
      </c>
      <c r="K67" s="104">
        <f>COUNTIFS('свод практик'!$J$6:$J$277,K$1,'свод практик'!$F$6:$F$277,"сельские поселения")</f>
        <v>0</v>
      </c>
      <c r="L67" s="104">
        <f>COUNTIFS('свод практик'!$J$6:$J$277,L$1,'свод практик'!$F$6:$F$277,"сельские поселения")</f>
        <v>0</v>
      </c>
      <c r="M67" s="104">
        <f>COUNTIFS('свод практик'!$J$6:$J$277,M$1,'свод практик'!$F$6:$F$277,"сельские поселения")</f>
        <v>0</v>
      </c>
      <c r="N67" s="104">
        <f>COUNTIFS('свод практик'!$J$6:$J$277,N$1,'свод практик'!$F$6:$F$277,"сельские поселения")</f>
        <v>0</v>
      </c>
      <c r="O67" s="104">
        <f>COUNTIFS('свод практик'!$J$6:$J$277,O$1,'свод практик'!$F$6:$F$277,"сельские поселения")</f>
        <v>1</v>
      </c>
      <c r="P67" s="104">
        <f>COUNTIFS('свод практик'!$J$6:$J$277,P$1,'свод практик'!$F$6:$F$277,"сельские поселения")</f>
        <v>0</v>
      </c>
      <c r="Q67" s="104">
        <f>COUNTIFS('свод практик'!$J$6:$J$277,Q$1,'свод практик'!$F$6:$F$277,"сельские поселения")</f>
        <v>0</v>
      </c>
      <c r="R67" s="104">
        <f>COUNTIFS('свод практик'!$J$6:$J$277,R$1,'свод практик'!$F$6:$F$277,"сельские поселения")</f>
        <v>1</v>
      </c>
      <c r="S67" s="104">
        <f>COUNTIFS('свод практик'!$J$6:$J$277,S$1,'свод практик'!$F$6:$F$277,"сельские поселения")</f>
        <v>0</v>
      </c>
      <c r="T67" s="104">
        <f>COUNTIFS('свод практик'!$J$6:$J$277,T$1,'свод практик'!$F$6:$F$277,"сельские поселения")</f>
        <v>0</v>
      </c>
      <c r="U67" s="104">
        <f>COUNTIFS('свод практик'!$J$6:$J$277,U$1,'свод практик'!$F$6:$F$277,"сельские поселения")</f>
        <v>0</v>
      </c>
      <c r="V67" s="104">
        <f>COUNTIFS('свод практик'!$J$6:$J$277,V$1,'свод практик'!$F$6:$F$277,"сельские поселения")</f>
        <v>0</v>
      </c>
      <c r="W67" s="104">
        <f>COUNTIFS('свод практик'!$J$6:$J$277,W$1,'свод практик'!$F$6:$F$277,"сельские поселения")</f>
        <v>0</v>
      </c>
      <c r="X67" s="104">
        <f>COUNTIFS('свод практик'!$J$6:$J$277,X$1,'свод практик'!$F$6:$F$277,"сельские поселения")</f>
        <v>0</v>
      </c>
      <c r="Y67" s="104">
        <f>COUNTIFS('свод практик'!$J$6:$J$277,Y$1,'свод практик'!$F$6:$F$277,"сельские поселения")</f>
        <v>0</v>
      </c>
      <c r="Z67" s="104">
        <f>COUNTIFS('свод практик'!$J$6:$J$277,Z$1,'свод практик'!$F$6:$F$277,"сельские поселения")</f>
        <v>0</v>
      </c>
      <c r="AA67" s="104">
        <f>COUNTIFS('свод практик'!$J$6:$J$277,AA$1,'свод практик'!$F$6:$F$277,"сельские поселения")</f>
        <v>0</v>
      </c>
      <c r="AB67" s="104">
        <f>COUNTIFS('свод практик'!$J$6:$J$277,AB$1,'свод практик'!$F$6:$F$277,"сельские поселения")</f>
        <v>0</v>
      </c>
      <c r="AC67" s="104">
        <f>COUNTIFS('свод практик'!$J$6:$J$277,AC$1,'свод практик'!$F$6:$F$277,"сельские поселения")</f>
        <v>0</v>
      </c>
      <c r="AD67" s="104">
        <f>COUNTIFS('свод практик'!$J$6:$J$277,AD$1,'свод практик'!$F$6:$F$277,"сельские поселения")</f>
        <v>0</v>
      </c>
      <c r="AE67" s="104">
        <f>COUNTIFS('свод практик'!$J$6:$J$277,AE$1,'свод практик'!$F$6:$F$277,"сельские поселения")</f>
        <v>0</v>
      </c>
      <c r="AF67" s="104">
        <f>COUNTIFS('свод практик'!$J$6:$J$277,AF$1,'свод практик'!$F$6:$F$277,"сельские поселения")</f>
        <v>0</v>
      </c>
      <c r="AG67" s="104">
        <f>COUNTIFS('свод практик'!$J$6:$J$277,AG$1,'свод практик'!$F$6:$F$277,"сельские поселения")</f>
        <v>0</v>
      </c>
      <c r="AH67" s="104">
        <f>COUNTIFS('свод практик'!$J$6:$J$277,AH$1,'свод практик'!$F$6:$F$277,"сельские поселения")</f>
        <v>0</v>
      </c>
      <c r="AI67" s="104">
        <f>COUNTIFS('свод практик'!$J$6:$J$277,AI$1,'свод практик'!$F$6:$F$277,"сельские поселения")</f>
        <v>0</v>
      </c>
      <c r="AJ67" s="104">
        <f>COUNTIFS('свод практик'!$J$6:$J$277,AJ$1,'свод практик'!$F$6:$F$277,"сельские поселения")</f>
        <v>0</v>
      </c>
      <c r="AK67" s="104">
        <f>COUNTIFS('свод практик'!$J$6:$J$277,AK$1,'свод практик'!$F$6:$F$277,"сельские поселения")</f>
        <v>0</v>
      </c>
      <c r="AL67" s="104">
        <f>COUNTIFS('свод практик'!$J$6:$J$277,AL$1,'свод практик'!$F$6:$F$277,"сельские поселения")</f>
        <v>1</v>
      </c>
      <c r="AM67" s="104">
        <f>COUNTIFS('свод практик'!$J$6:$J$277,AM$1,'свод практик'!$F$6:$F$277,"сельские поселения")</f>
        <v>1</v>
      </c>
      <c r="AN67" s="104">
        <f>COUNTIFS('свод практик'!$J$6:$J$277,AN$1,'свод практик'!$F$6:$F$277,"сельские поселения")</f>
        <v>0</v>
      </c>
      <c r="AO67" s="104">
        <f>COUNTIFS('свод практик'!$J$6:$J$277,AO$1,'свод практик'!$F$6:$F$277,"сельские поселения")</f>
        <v>1</v>
      </c>
      <c r="AP67" s="104">
        <f>COUNTIFS('свод практик'!$J$6:$J$277,AP$1,'свод практик'!$F$6:$F$277,"сельские поселения")</f>
        <v>1</v>
      </c>
      <c r="AQ67" s="104">
        <f>COUNTIFS('свод практик'!$J$6:$J$277,AQ$1,'свод практик'!$F$6:$F$277,"сельские поселения")</f>
        <v>0</v>
      </c>
      <c r="AR67" s="104">
        <f>COUNTIFS('свод практик'!$J$6:$J$277,AR$1,'свод практик'!$F$6:$F$277,"сельские поселения")</f>
        <v>0</v>
      </c>
      <c r="AS67" s="104">
        <f>COUNTIFS('свод практик'!$J$6:$J$277,AS$1,'свод практик'!$F$6:$F$277,"сельские поселения")</f>
        <v>0</v>
      </c>
      <c r="AT67" s="104">
        <f>COUNTIFS('свод практик'!$J$6:$J$277,AT$1,'свод практик'!$F$6:$F$277,"сельские поселения")</f>
        <v>0</v>
      </c>
      <c r="AU67" s="104">
        <f>COUNTIFS('свод практик'!$J$6:$J$277,AU$1,'свод практик'!$F$6:$F$277,"сельские поселения")</f>
        <v>0</v>
      </c>
      <c r="AV67" s="104">
        <f>COUNTIFS('свод практик'!$J$6:$J$277,AV$1,'свод практик'!$F$6:$F$277,"сельские поселения")</f>
        <v>0</v>
      </c>
      <c r="AW67" s="104">
        <f>COUNTIFS('свод практик'!$J$6:$J$277,AW$1,'свод практик'!$F$6:$F$277,"сельские поселения")</f>
        <v>0</v>
      </c>
      <c r="AX67" s="104">
        <f>COUNTIFS('свод практик'!$J$6:$J$277,AX$1,'свод практик'!$F$6:$F$277,"сельские поселения")</f>
        <v>0</v>
      </c>
      <c r="AY67" s="104">
        <f>COUNTIFS('свод практик'!$J$6:$J$277,AY$1,'свод практик'!$F$6:$F$277,"сельские поселения")</f>
        <v>1</v>
      </c>
      <c r="AZ67" s="104">
        <f>COUNTIFS('свод практик'!$J$6:$J$277,AZ$1,'свод практик'!$F$6:$F$277,"сельские поселения")</f>
        <v>0</v>
      </c>
      <c r="BA67" s="104">
        <f>COUNTIFS('свод практик'!$J$6:$J$277,BA$1,'свод практик'!$F$6:$F$277,"сельские поселения")</f>
        <v>0</v>
      </c>
      <c r="BB67" s="104">
        <f>COUNTIFS('свод практик'!$J$6:$J$277,BB$1,'свод практик'!$F$6:$F$277,"сельские поселения")</f>
        <v>1</v>
      </c>
      <c r="BC67" s="104">
        <f>COUNTIFS('свод практик'!$J$6:$J$277,BC$1,'свод практик'!$F$6:$F$277,"сельские поселения")</f>
        <v>1</v>
      </c>
      <c r="BD67" s="104">
        <f>COUNTIFS('свод практик'!$J$6:$J$277,BD$1,'свод практик'!$F$6:$F$277,"сельские поселения")</f>
        <v>0</v>
      </c>
      <c r="BE67" s="104">
        <f>COUNTIFS('свод практик'!$J$6:$J$277,BE$1,'свод практик'!$F$6:$F$277,"сельские поселения")</f>
        <v>0</v>
      </c>
      <c r="BF67" s="104">
        <f>COUNTIFS('свод практик'!$J$6:$J$277,BF$1,'свод практик'!$F$6:$F$277,"сельские поселения")</f>
        <v>0</v>
      </c>
      <c r="BG67" s="104">
        <f>COUNTIFS('свод практик'!$J$6:$J$277,BG$1,'свод практик'!$F$6:$F$277,"сельские поселения")</f>
        <v>0</v>
      </c>
      <c r="BH67" s="104">
        <f>COUNTIFS('свод практик'!$J$6:$J$277,BH$1,'свод практик'!$F$6:$F$277,"сельские поселения")</f>
        <v>0</v>
      </c>
      <c r="BI67" s="104">
        <f>COUNTIFS('свод практик'!$J$6:$J$277,BI$1,'свод практик'!$F$6:$F$277,"сельские поселения")</f>
        <v>0</v>
      </c>
      <c r="BJ67" s="104">
        <f>COUNTIFS('свод практик'!$J$6:$J$277,BJ$1,'свод практик'!$F$6:$F$277,"сельские поселения")</f>
        <v>0</v>
      </c>
      <c r="BK67" s="104">
        <f>COUNTIFS('свод практик'!$J$6:$J$277,BK$1,'свод практик'!$F$6:$F$277,"сельские поселения")</f>
        <v>0</v>
      </c>
      <c r="BL67" s="104">
        <f>COUNTIFS('свод практик'!$J$6:$J$277,BL$1,'свод практик'!$F$6:$F$277,"сельские поселения")</f>
        <v>0</v>
      </c>
      <c r="BM67" s="104">
        <f>COUNTIFS('свод практик'!$J$6:$J$277,BM$1,'свод практик'!$F$6:$F$277,"сельские поселения")</f>
        <v>0</v>
      </c>
      <c r="BN67" s="104">
        <f>COUNTIFS('свод практик'!$J$6:$J$277,BN$1,'свод практик'!$F$6:$F$277,"сельские поселения")</f>
        <v>0</v>
      </c>
      <c r="BO67" s="104">
        <f>COUNTIFS('свод практик'!$J$6:$J$277,BO$1,'свод практик'!$F$6:$F$277,"сельские поселения")</f>
        <v>1</v>
      </c>
      <c r="BP67" s="104">
        <f>COUNTIFS('свод практик'!$J$6:$J$277,BP$1,'свод практик'!$F$6:$F$277,"сельские поселения")</f>
        <v>0</v>
      </c>
      <c r="BQ67" s="104">
        <f>COUNTIFS('свод практик'!$J$6:$J$277,BQ$1,'свод практик'!$F$6:$F$277,"сельские поселения")</f>
        <v>0</v>
      </c>
      <c r="BR67" s="104">
        <f>COUNTIFS('свод практик'!$J$6:$J$277,BR$1,'свод практик'!$F$6:$F$277,"сельские поселения")</f>
        <v>0</v>
      </c>
      <c r="BS67" s="104">
        <f>COUNTIFS('свод практик'!$J$6:$J$277,BS$1,'свод практик'!$F$6:$F$277,"сельские поселения")</f>
        <v>0</v>
      </c>
      <c r="BT67" s="104">
        <f>COUNTIFS('свод практик'!$J$6:$J$277,BT$1,'свод практик'!$F$6:$F$277,"сельские поселения")</f>
        <v>0</v>
      </c>
      <c r="BU67" s="104">
        <f>COUNTIFS('свод практик'!$J$6:$J$277,BU$1,'свод практик'!$F$6:$F$277,"сельские поселения")</f>
        <v>0</v>
      </c>
      <c r="BV67" s="104">
        <f>COUNTIFS('свод практик'!$J$6:$J$277,BV$1,'свод практик'!$F$6:$F$277,"сельские поселения")</f>
        <v>0</v>
      </c>
      <c r="BW67" s="104">
        <f>COUNTIFS('свод практик'!$J$6:$J$277,BW$1,'свод практик'!$F$6:$F$277,"сельские поселения")</f>
        <v>0</v>
      </c>
      <c r="BX67" s="104">
        <f>COUNTIFS('свод практик'!$J$6:$J$277,BX$1,'свод практик'!$F$6:$F$277,"сельские поселения")</f>
        <v>0</v>
      </c>
      <c r="BY67" s="104">
        <f>COUNTIFS('свод практик'!$J$6:$J$277,BY$1,'свод практик'!$F$6:$F$277,"сельские поселения")</f>
        <v>0</v>
      </c>
      <c r="BZ67" s="104">
        <f>COUNTIFS('свод практик'!$J$6:$J$277,BZ$1,'свод практик'!$F$6:$F$277,"сельские поселения")</f>
        <v>1</v>
      </c>
      <c r="CA67" s="104">
        <f>COUNTIFS('свод практик'!$J$6:$J$277,CA$1,'свод практик'!$F$6:$F$277,"сельские поселения")</f>
        <v>0</v>
      </c>
      <c r="CB67" s="104">
        <f>COUNTIFS('свод практик'!$J$6:$J$277,CB$1,'свод практик'!$F$6:$F$277,"сельские поселения")</f>
        <v>0</v>
      </c>
      <c r="CC67" s="104">
        <f>COUNTIFS('свод практик'!$J$6:$J$277,CC$1,'свод практик'!$F$6:$F$277,"сельские поселения")</f>
        <v>0</v>
      </c>
      <c r="CD67" s="104">
        <f>COUNTIFS('свод практик'!$J$6:$J$277,CD$1,'свод практик'!$F$6:$F$277,"сельские поселения")</f>
        <v>0</v>
      </c>
      <c r="CE67" s="104">
        <f>COUNTIFS('свод практик'!$J$6:$J$277,CE$1,'свод практик'!$F$6:$F$277,"сельские поселения")</f>
        <v>1</v>
      </c>
      <c r="CF67" s="104">
        <f>COUNTIFS('свод практик'!$J$6:$J$277,CF$1,'свод практик'!$F$6:$F$277,"сельские поселения")</f>
        <v>0</v>
      </c>
      <c r="CG67" s="104">
        <f>COUNTIFS('свод практик'!$J$6:$J$277,CG$1,'свод практик'!$F$6:$F$277,"сельские поселения")</f>
        <v>0</v>
      </c>
      <c r="CH67" s="104">
        <f>COUNTIFS('свод практик'!$J$6:$J$277,CH$1,'свод практик'!$F$6:$F$277,"сельские поселения")</f>
        <v>0</v>
      </c>
      <c r="CI67" s="104">
        <f>COUNTIFS('свод практик'!$J$6:$J$277,CI$1,'свод практик'!$F$6:$F$277,"сельские поселения")</f>
        <v>0</v>
      </c>
      <c r="CJ67" s="104">
        <f>COUNTIFS('свод практик'!$J$6:$J$277,CJ$1,'свод практик'!$F$6:$F$277,"сельские поселения")</f>
        <v>0</v>
      </c>
      <c r="CK67" s="104">
        <f>COUNTIFS('свод практик'!$J$6:$J$277,CK$1,'свод практик'!$F$6:$F$277,"сельские поселения")</f>
        <v>0</v>
      </c>
    </row>
    <row r="68" spans="1:89">
      <c r="D68" s="677"/>
    </row>
    <row r="69" spans="1:89">
      <c r="D69" s="677"/>
    </row>
    <row r="70" spans="1:89">
      <c r="D70" s="677"/>
    </row>
    <row r="71" spans="1:89">
      <c r="D71" s="677"/>
    </row>
    <row r="72" spans="1:89">
      <c r="D72" s="677"/>
    </row>
    <row r="73" spans="1:89">
      <c r="D73" s="677"/>
    </row>
    <row r="74" spans="1:89">
      <c r="D74" s="677"/>
    </row>
    <row r="75" spans="1:89">
      <c r="D75" s="677"/>
    </row>
    <row r="76" spans="1:89">
      <c r="D76" s="677"/>
    </row>
    <row r="77" spans="1:89">
      <c r="D77" s="677"/>
    </row>
    <row r="78" spans="1:89">
      <c r="D78" s="677"/>
    </row>
    <row r="79" spans="1:89">
      <c r="D79" s="677"/>
    </row>
    <row r="80" spans="1:89">
      <c r="D80" s="677"/>
    </row>
    <row r="81" spans="4:4">
      <c r="D81" s="677"/>
    </row>
    <row r="82" spans="4:4">
      <c r="D82" s="677"/>
    </row>
    <row r="83" spans="4:4">
      <c r="D83" s="677"/>
    </row>
    <row r="84" spans="4:4">
      <c r="D84" s="677"/>
    </row>
    <row r="85" spans="4:4">
      <c r="D85" s="677"/>
    </row>
    <row r="86" spans="4:4">
      <c r="D86" s="677"/>
    </row>
    <row r="87" spans="4:4">
      <c r="D87" s="677"/>
    </row>
    <row r="88" spans="4:4">
      <c r="D88" s="677"/>
    </row>
    <row r="89" spans="4:4">
      <c r="D89" s="677"/>
    </row>
    <row r="90" spans="4:4">
      <c r="D90" s="677"/>
    </row>
    <row r="91" spans="4:4">
      <c r="D91" s="677"/>
    </row>
    <row r="92" spans="4:4">
      <c r="D92" s="677"/>
    </row>
    <row r="93" spans="4:4">
      <c r="D93" s="677"/>
    </row>
    <row r="94" spans="4:4">
      <c r="D94" s="677"/>
    </row>
    <row r="95" spans="4:4">
      <c r="D95" s="677"/>
    </row>
    <row r="96" spans="4:4">
      <c r="D96" s="677"/>
    </row>
    <row r="97" spans="4:4">
      <c r="D97" s="677"/>
    </row>
    <row r="98" spans="4:4">
      <c r="D98" s="677"/>
    </row>
    <row r="99" spans="4:4">
      <c r="D99" s="677"/>
    </row>
    <row r="100" spans="4:4">
      <c r="D100" s="677"/>
    </row>
    <row r="101" spans="4:4">
      <c r="D101" s="677"/>
    </row>
    <row r="102" spans="4:4">
      <c r="D102" s="677"/>
    </row>
    <row r="103" spans="4:4">
      <c r="D103" s="677"/>
    </row>
    <row r="104" spans="4:4">
      <c r="D104" s="677"/>
    </row>
    <row r="105" spans="4:4">
      <c r="D105" s="677"/>
    </row>
    <row r="106" spans="4:4">
      <c r="D106" s="677"/>
    </row>
    <row r="107" spans="4:4">
      <c r="D107" s="677"/>
    </row>
    <row r="108" spans="4:4">
      <c r="D108" s="677"/>
    </row>
    <row r="109" spans="4:4">
      <c r="D109" s="677"/>
    </row>
    <row r="110" spans="4:4">
      <c r="D110" s="677"/>
    </row>
    <row r="111" spans="4:4">
      <c r="D111" s="677"/>
    </row>
    <row r="112" spans="4:4">
      <c r="D112" s="677"/>
    </row>
    <row r="113" spans="4:4">
      <c r="D113" s="677"/>
    </row>
    <row r="114" spans="4:4">
      <c r="D114" s="677"/>
    </row>
    <row r="115" spans="4:4">
      <c r="D115" s="677"/>
    </row>
    <row r="116" spans="4:4">
      <c r="D116" s="677"/>
    </row>
    <row r="117" spans="4:4">
      <c r="D117" s="677"/>
    </row>
    <row r="118" spans="4:4">
      <c r="D118" s="677"/>
    </row>
    <row r="119" spans="4:4">
      <c r="D119" s="677"/>
    </row>
    <row r="120" spans="4:4">
      <c r="D120" s="677"/>
    </row>
    <row r="121" spans="4:4">
      <c r="D121" s="677"/>
    </row>
    <row r="122" spans="4:4">
      <c r="D122" s="677"/>
    </row>
    <row r="123" spans="4:4">
      <c r="D123" s="677"/>
    </row>
    <row r="124" spans="4:4">
      <c r="D124" s="677"/>
    </row>
    <row r="125" spans="4:4">
      <c r="D125" s="677"/>
    </row>
    <row r="126" spans="4:4">
      <c r="D126" s="677"/>
    </row>
    <row r="127" spans="4:4">
      <c r="D127" s="677"/>
    </row>
    <row r="128" spans="4:4">
      <c r="D128" s="677"/>
    </row>
    <row r="129" spans="4:4">
      <c r="D129" s="677"/>
    </row>
    <row r="130" spans="4:4">
      <c r="D130" s="677"/>
    </row>
    <row r="131" spans="4:4">
      <c r="D131" s="677"/>
    </row>
    <row r="132" spans="4:4">
      <c r="D132" s="677"/>
    </row>
    <row r="133" spans="4:4">
      <c r="D133" s="677"/>
    </row>
    <row r="134" spans="4:4">
      <c r="D134" s="677"/>
    </row>
    <row r="135" spans="4:4">
      <c r="D135" s="677"/>
    </row>
    <row r="136" spans="4:4">
      <c r="D136" s="677"/>
    </row>
    <row r="137" spans="4:4">
      <c r="D137" s="677"/>
    </row>
    <row r="138" spans="4:4">
      <c r="D138" s="677"/>
    </row>
    <row r="139" spans="4:4">
      <c r="D139" s="677"/>
    </row>
    <row r="140" spans="4:4">
      <c r="D140" s="677"/>
    </row>
    <row r="141" spans="4:4">
      <c r="D141" s="677"/>
    </row>
    <row r="142" spans="4:4">
      <c r="D142" s="677"/>
    </row>
    <row r="143" spans="4:4">
      <c r="D143" s="677"/>
    </row>
    <row r="144" spans="4:4">
      <c r="D144" s="677"/>
    </row>
    <row r="145" spans="4:4">
      <c r="D145" s="677"/>
    </row>
    <row r="146" spans="4:4">
      <c r="D146" s="677"/>
    </row>
    <row r="147" spans="4:4">
      <c r="D147" s="677"/>
    </row>
    <row r="148" spans="4:4">
      <c r="D148" s="677"/>
    </row>
    <row r="149" spans="4:4">
      <c r="D149" s="677"/>
    </row>
    <row r="150" spans="4:4">
      <c r="D150" s="677"/>
    </row>
    <row r="151" spans="4:4">
      <c r="D151" s="677"/>
    </row>
    <row r="152" spans="4:4">
      <c r="D152" s="677"/>
    </row>
    <row r="153" spans="4:4">
      <c r="D153" s="677"/>
    </row>
    <row r="154" spans="4:4">
      <c r="D154" s="677"/>
    </row>
    <row r="155" spans="4:4">
      <c r="D155" s="677"/>
    </row>
    <row r="156" spans="4:4">
      <c r="D156" s="677"/>
    </row>
    <row r="157" spans="4:4">
      <c r="D157" s="677"/>
    </row>
    <row r="158" spans="4:4">
      <c r="D158" s="677"/>
    </row>
    <row r="159" spans="4:4">
      <c r="D159" s="677"/>
    </row>
    <row r="160" spans="4:4">
      <c r="D160" s="677"/>
    </row>
    <row r="161" spans="4:4">
      <c r="D161" s="677"/>
    </row>
    <row r="162" spans="4:4">
      <c r="D162" s="677"/>
    </row>
    <row r="163" spans="4:4">
      <c r="D163" s="677"/>
    </row>
    <row r="164" spans="4:4">
      <c r="D164" s="677"/>
    </row>
    <row r="165" spans="4:4">
      <c r="D165" s="677"/>
    </row>
    <row r="166" spans="4:4">
      <c r="D166" s="677"/>
    </row>
    <row r="167" spans="4:4">
      <c r="D167" s="677"/>
    </row>
    <row r="168" spans="4:4">
      <c r="D168" s="677"/>
    </row>
    <row r="169" spans="4:4">
      <c r="D169" s="677"/>
    </row>
    <row r="170" spans="4:4">
      <c r="D170" s="677"/>
    </row>
    <row r="171" spans="4:4">
      <c r="D171" s="677"/>
    </row>
    <row r="172" spans="4:4">
      <c r="D172" s="677"/>
    </row>
    <row r="173" spans="4:4">
      <c r="D173" s="677"/>
    </row>
    <row r="174" spans="4:4">
      <c r="D174" s="677"/>
    </row>
    <row r="175" spans="4:4">
      <c r="D175" s="677"/>
    </row>
    <row r="176" spans="4:4">
      <c r="D176" s="677"/>
    </row>
    <row r="177" spans="4:4">
      <c r="D177" s="677"/>
    </row>
    <row r="178" spans="4:4">
      <c r="D178" s="677"/>
    </row>
    <row r="179" spans="4:4">
      <c r="D179" s="677"/>
    </row>
    <row r="180" spans="4:4">
      <c r="D180" s="677"/>
    </row>
    <row r="181" spans="4:4">
      <c r="D181" s="677"/>
    </row>
    <row r="182" spans="4:4">
      <c r="D182" s="677"/>
    </row>
    <row r="183" spans="4:4">
      <c r="D183" s="677"/>
    </row>
    <row r="184" spans="4:4">
      <c r="D184" s="677"/>
    </row>
    <row r="185" spans="4:4">
      <c r="D185" s="677"/>
    </row>
    <row r="186" spans="4:4">
      <c r="D186" s="677"/>
    </row>
    <row r="187" spans="4:4">
      <c r="D187" s="677"/>
    </row>
    <row r="188" spans="4:4">
      <c r="D188" s="677"/>
    </row>
    <row r="189" spans="4:4">
      <c r="D189" s="677"/>
    </row>
    <row r="190" spans="4:4">
      <c r="D190" s="677"/>
    </row>
    <row r="191" spans="4:4">
      <c r="D191" s="677"/>
    </row>
    <row r="192" spans="4:4">
      <c r="D192" s="677"/>
    </row>
    <row r="193" spans="4:4">
      <c r="D193" s="677"/>
    </row>
    <row r="194" spans="4:4">
      <c r="D194" s="677"/>
    </row>
    <row r="195" spans="4:4">
      <c r="D195" s="677"/>
    </row>
    <row r="196" spans="4:4">
      <c r="D196" s="677"/>
    </row>
    <row r="197" spans="4:4">
      <c r="D197" s="677"/>
    </row>
    <row r="198" spans="4:4">
      <c r="D198" s="677"/>
    </row>
    <row r="199" spans="4:4">
      <c r="D199" s="677"/>
    </row>
    <row r="200" spans="4:4">
      <c r="D200" s="677"/>
    </row>
    <row r="201" spans="4:4">
      <c r="D201" s="677"/>
    </row>
    <row r="202" spans="4:4">
      <c r="D202" s="677"/>
    </row>
    <row r="203" spans="4:4">
      <c r="D203" s="677"/>
    </row>
    <row r="204" spans="4:4">
      <c r="D204" s="677"/>
    </row>
    <row r="205" spans="4:4">
      <c r="D205" s="677"/>
    </row>
    <row r="206" spans="4:4">
      <c r="D206" s="677"/>
    </row>
    <row r="207" spans="4:4">
      <c r="D207" s="677"/>
    </row>
    <row r="208" spans="4:4">
      <c r="D208" s="677"/>
    </row>
    <row r="209" spans="4:4">
      <c r="D209" s="677"/>
    </row>
    <row r="210" spans="4:4">
      <c r="D210" s="677"/>
    </row>
    <row r="211" spans="4:4">
      <c r="D211" s="677"/>
    </row>
    <row r="212" spans="4:4">
      <c r="D212" s="677"/>
    </row>
    <row r="213" spans="4:4">
      <c r="D213" s="677"/>
    </row>
    <row r="214" spans="4:4">
      <c r="D214" s="677"/>
    </row>
    <row r="215" spans="4:4">
      <c r="D215" s="677"/>
    </row>
    <row r="216" spans="4:4">
      <c r="D216" s="677"/>
    </row>
    <row r="217" spans="4:4">
      <c r="D217" s="677"/>
    </row>
    <row r="218" spans="4:4">
      <c r="D218" s="677"/>
    </row>
    <row r="219" spans="4:4">
      <c r="D219" s="677"/>
    </row>
    <row r="220" spans="4:4">
      <c r="D220" s="677"/>
    </row>
    <row r="221" spans="4:4">
      <c r="D221" s="677"/>
    </row>
    <row r="222" spans="4:4">
      <c r="D222" s="677"/>
    </row>
    <row r="223" spans="4:4">
      <c r="D223" s="677"/>
    </row>
    <row r="224" spans="4:4">
      <c r="D224" s="677"/>
    </row>
    <row r="225" spans="4:4">
      <c r="D225" s="677"/>
    </row>
    <row r="226" spans="4:4">
      <c r="D226" s="677"/>
    </row>
    <row r="227" spans="4:4">
      <c r="D227" s="677"/>
    </row>
    <row r="228" spans="4:4">
      <c r="D228" s="677"/>
    </row>
    <row r="229" spans="4:4">
      <c r="D229" s="677"/>
    </row>
    <row r="230" spans="4:4">
      <c r="D230" s="677"/>
    </row>
    <row r="231" spans="4:4">
      <c r="D231" s="677"/>
    </row>
    <row r="232" spans="4:4">
      <c r="D232" s="677"/>
    </row>
    <row r="233" spans="4:4">
      <c r="D233" s="677"/>
    </row>
    <row r="234" spans="4:4">
      <c r="D234" s="677"/>
    </row>
    <row r="235" spans="4:4">
      <c r="D235" s="677"/>
    </row>
    <row r="236" spans="4:4">
      <c r="D236" s="677"/>
    </row>
    <row r="237" spans="4:4">
      <c r="D237" s="677"/>
    </row>
    <row r="238" spans="4:4">
      <c r="D238" s="677"/>
    </row>
    <row r="239" spans="4:4">
      <c r="D239" s="677"/>
    </row>
    <row r="240" spans="4:4">
      <c r="D240" s="677"/>
    </row>
    <row r="241" spans="4:4">
      <c r="D241" s="677"/>
    </row>
    <row r="242" spans="4:4">
      <c r="D242" s="677"/>
    </row>
    <row r="243" spans="4:4">
      <c r="D243" s="677"/>
    </row>
    <row r="244" spans="4:4">
      <c r="D244" s="677"/>
    </row>
    <row r="245" spans="4:4">
      <c r="D245" s="677"/>
    </row>
    <row r="246" spans="4:4">
      <c r="D246" s="677"/>
    </row>
    <row r="247" spans="4:4">
      <c r="D247" s="677"/>
    </row>
    <row r="248" spans="4:4">
      <c r="D248" s="677"/>
    </row>
    <row r="249" spans="4:4">
      <c r="D249" s="677"/>
    </row>
    <row r="250" spans="4:4">
      <c r="D250" s="677"/>
    </row>
    <row r="251" spans="4:4">
      <c r="D251" s="677"/>
    </row>
    <row r="252" spans="4:4">
      <c r="D252" s="677"/>
    </row>
    <row r="253" spans="4:4">
      <c r="D253" s="677"/>
    </row>
    <row r="254" spans="4:4">
      <c r="D254" s="677"/>
    </row>
    <row r="255" spans="4:4">
      <c r="D255" s="677"/>
    </row>
    <row r="256" spans="4:4">
      <c r="D256" s="677"/>
    </row>
    <row r="257" spans="4:4">
      <c r="D257" s="677"/>
    </row>
    <row r="258" spans="4:4">
      <c r="D258" s="677"/>
    </row>
    <row r="259" spans="4:4">
      <c r="D259" s="677"/>
    </row>
    <row r="260" spans="4:4">
      <c r="D260" s="677"/>
    </row>
    <row r="261" spans="4:4">
      <c r="D261" s="677"/>
    </row>
    <row r="262" spans="4:4">
      <c r="D262" s="677"/>
    </row>
    <row r="263" spans="4:4">
      <c r="D263" s="677"/>
    </row>
    <row r="264" spans="4:4">
      <c r="D264" s="677"/>
    </row>
    <row r="265" spans="4:4">
      <c r="D265" s="677"/>
    </row>
    <row r="266" spans="4:4">
      <c r="D266" s="677"/>
    </row>
    <row r="267" spans="4:4">
      <c r="D267" s="677"/>
    </row>
    <row r="268" spans="4:4">
      <c r="D268" s="677"/>
    </row>
    <row r="269" spans="4:4">
      <c r="D269" s="677"/>
    </row>
    <row r="270" spans="4:4">
      <c r="D270" s="677"/>
    </row>
    <row r="271" spans="4:4">
      <c r="D271" s="677"/>
    </row>
    <row r="272" spans="4:4">
      <c r="D272" s="677"/>
    </row>
    <row r="273" spans="4:4">
      <c r="D273" s="677"/>
    </row>
    <row r="274" spans="4:4">
      <c r="D274" s="677"/>
    </row>
    <row r="275" spans="4:4">
      <c r="D275" s="677"/>
    </row>
    <row r="276" spans="4:4">
      <c r="D276" s="677"/>
    </row>
    <row r="277" spans="4:4">
      <c r="D277" s="677"/>
    </row>
    <row r="278" spans="4:4">
      <c r="D278" s="677"/>
    </row>
    <row r="279" spans="4:4">
      <c r="D279" s="677"/>
    </row>
    <row r="280" spans="4:4">
      <c r="D280" s="677"/>
    </row>
    <row r="281" spans="4:4">
      <c r="D281" s="677"/>
    </row>
    <row r="282" spans="4:4">
      <c r="D282" s="677"/>
    </row>
    <row r="283" spans="4:4">
      <c r="D283" s="677"/>
    </row>
    <row r="284" spans="4:4">
      <c r="D284" s="677"/>
    </row>
    <row r="285" spans="4:4">
      <c r="D285" s="677"/>
    </row>
    <row r="286" spans="4:4">
      <c r="D286" s="677"/>
    </row>
    <row r="287" spans="4:4">
      <c r="D287" s="677"/>
    </row>
    <row r="288" spans="4:4">
      <c r="D288" s="677"/>
    </row>
    <row r="289" spans="4:4">
      <c r="D289" s="677"/>
    </row>
    <row r="290" spans="4:4">
      <c r="D290" s="677"/>
    </row>
    <row r="291" spans="4:4">
      <c r="D291" s="677"/>
    </row>
    <row r="292" spans="4:4">
      <c r="D292" s="677"/>
    </row>
    <row r="293" spans="4:4">
      <c r="D293" s="677"/>
    </row>
    <row r="294" spans="4:4">
      <c r="D294" s="677"/>
    </row>
    <row r="295" spans="4:4">
      <c r="D295" s="677"/>
    </row>
    <row r="296" spans="4:4">
      <c r="D296" s="677"/>
    </row>
    <row r="297" spans="4:4">
      <c r="D297" s="677"/>
    </row>
    <row r="298" spans="4:4">
      <c r="D298" s="677"/>
    </row>
    <row r="299" spans="4:4">
      <c r="D299" s="677"/>
    </row>
    <row r="300" spans="4:4">
      <c r="D300" s="677"/>
    </row>
    <row r="301" spans="4:4">
      <c r="D301" s="677"/>
    </row>
    <row r="302" spans="4:4">
      <c r="D302" s="677"/>
    </row>
    <row r="303" spans="4:4">
      <c r="D303" s="677"/>
    </row>
    <row r="304" spans="4:4">
      <c r="D304" s="677"/>
    </row>
    <row r="305" spans="4:4">
      <c r="D305" s="677"/>
    </row>
    <row r="306" spans="4:4">
      <c r="D306" s="677"/>
    </row>
    <row r="307" spans="4:4">
      <c r="D307" s="677"/>
    </row>
    <row r="308" spans="4:4">
      <c r="D308" s="677"/>
    </row>
    <row r="309" spans="4:4">
      <c r="D309" s="677"/>
    </row>
    <row r="310" spans="4:4">
      <c r="D310" s="677"/>
    </row>
    <row r="311" spans="4:4">
      <c r="D311" s="677"/>
    </row>
    <row r="312" spans="4:4">
      <c r="D312" s="677"/>
    </row>
    <row r="313" spans="4:4">
      <c r="D313" s="677"/>
    </row>
    <row r="314" spans="4:4">
      <c r="D314" s="677"/>
    </row>
    <row r="315" spans="4:4">
      <c r="D315" s="677"/>
    </row>
    <row r="316" spans="4:4">
      <c r="D316" s="677"/>
    </row>
    <row r="317" spans="4:4">
      <c r="D317" s="677"/>
    </row>
    <row r="318" spans="4:4">
      <c r="D318" s="677"/>
    </row>
    <row r="319" spans="4:4">
      <c r="D319" s="677"/>
    </row>
    <row r="320" spans="4:4">
      <c r="D320" s="677"/>
    </row>
    <row r="321" spans="4:4">
      <c r="D321" s="677"/>
    </row>
    <row r="322" spans="4:4">
      <c r="D322" s="677"/>
    </row>
    <row r="323" spans="4:4">
      <c r="D323" s="677"/>
    </row>
    <row r="324" spans="4:4">
      <c r="D324" s="677"/>
    </row>
    <row r="325" spans="4:4">
      <c r="D325" s="677"/>
    </row>
    <row r="326" spans="4:4">
      <c r="D326" s="677"/>
    </row>
    <row r="327" spans="4:4">
      <c r="D327" s="677"/>
    </row>
    <row r="328" spans="4:4">
      <c r="D328" s="677"/>
    </row>
    <row r="329" spans="4:4">
      <c r="D329" s="677"/>
    </row>
    <row r="330" spans="4:4">
      <c r="D330" s="677"/>
    </row>
    <row r="331" spans="4:4">
      <c r="D331" s="677"/>
    </row>
    <row r="332" spans="4:4">
      <c r="D332" s="677"/>
    </row>
    <row r="333" spans="4:4">
      <c r="D333" s="677"/>
    </row>
    <row r="334" spans="4:4">
      <c r="D334" s="677"/>
    </row>
    <row r="335" spans="4:4">
      <c r="D335" s="677"/>
    </row>
    <row r="336" spans="4:4">
      <c r="D336" s="677"/>
    </row>
    <row r="337" spans="4:4">
      <c r="D337" s="677"/>
    </row>
    <row r="338" spans="4:4">
      <c r="D338" s="677"/>
    </row>
    <row r="339" spans="4:4">
      <c r="D339" s="677"/>
    </row>
    <row r="340" spans="4:4">
      <c r="D340" s="677"/>
    </row>
    <row r="341" spans="4:4">
      <c r="D341" s="677"/>
    </row>
    <row r="342" spans="4:4">
      <c r="D342" s="677"/>
    </row>
    <row r="343" spans="4:4">
      <c r="D343" s="677"/>
    </row>
    <row r="344" spans="4:4">
      <c r="D344" s="677"/>
    </row>
    <row r="345" spans="4:4">
      <c r="D345" s="677"/>
    </row>
    <row r="346" spans="4:4">
      <c r="D346" s="677"/>
    </row>
    <row r="347" spans="4:4">
      <c r="D347" s="677"/>
    </row>
    <row r="348" spans="4:4">
      <c r="D348" s="677"/>
    </row>
    <row r="349" spans="4:4">
      <c r="D349" s="677"/>
    </row>
    <row r="350" spans="4:4">
      <c r="D350" s="677"/>
    </row>
    <row r="351" spans="4:4">
      <c r="D351" s="677"/>
    </row>
    <row r="352" spans="4:4">
      <c r="D352" s="677"/>
    </row>
    <row r="353" spans="4:4">
      <c r="D353" s="677"/>
    </row>
    <row r="354" spans="4:4">
      <c r="D354" s="677"/>
    </row>
    <row r="355" spans="4:4">
      <c r="D355" s="677"/>
    </row>
    <row r="356" spans="4:4">
      <c r="D356" s="677"/>
    </row>
    <row r="357" spans="4:4">
      <c r="D357" s="677"/>
    </row>
    <row r="358" spans="4:4">
      <c r="D358" s="677"/>
    </row>
    <row r="359" spans="4:4">
      <c r="D359" s="677"/>
    </row>
    <row r="360" spans="4:4">
      <c r="D360" s="677"/>
    </row>
    <row r="361" spans="4:4">
      <c r="D361" s="677"/>
    </row>
    <row r="362" spans="4:4">
      <c r="D362" s="677"/>
    </row>
    <row r="363" spans="4:4">
      <c r="D363" s="677"/>
    </row>
    <row r="364" spans="4:4">
      <c r="D364" s="677"/>
    </row>
    <row r="365" spans="4:4">
      <c r="D365" s="677"/>
    </row>
    <row r="366" spans="4:4">
      <c r="D366" s="677"/>
    </row>
    <row r="367" spans="4:4">
      <c r="D367" s="677"/>
    </row>
    <row r="368" spans="4:4">
      <c r="D368" s="677"/>
    </row>
    <row r="369" spans="4:4">
      <c r="D369" s="677"/>
    </row>
    <row r="370" spans="4:4">
      <c r="D370" s="677"/>
    </row>
    <row r="371" spans="4:4">
      <c r="D371" s="677"/>
    </row>
    <row r="372" spans="4:4">
      <c r="D372" s="677"/>
    </row>
    <row r="373" spans="4:4">
      <c r="D373" s="677"/>
    </row>
    <row r="374" spans="4:4">
      <c r="D374" s="677"/>
    </row>
    <row r="375" spans="4:4">
      <c r="D375" s="677"/>
    </row>
    <row r="376" spans="4:4">
      <c r="D376" s="677"/>
    </row>
    <row r="377" spans="4:4">
      <c r="D377" s="677"/>
    </row>
    <row r="378" spans="4:4">
      <c r="D378" s="677"/>
    </row>
    <row r="379" spans="4:4">
      <c r="D379" s="677"/>
    </row>
    <row r="380" spans="4:4">
      <c r="D380" s="677"/>
    </row>
    <row r="381" spans="4:4">
      <c r="D381" s="677"/>
    </row>
    <row r="382" spans="4:4">
      <c r="D382" s="677"/>
    </row>
    <row r="383" spans="4:4">
      <c r="D383" s="677"/>
    </row>
    <row r="384" spans="4:4">
      <c r="D384" s="677"/>
    </row>
    <row r="385" spans="4:4">
      <c r="D385" s="677"/>
    </row>
    <row r="386" spans="4:4">
      <c r="D386" s="677"/>
    </row>
    <row r="387" spans="4:4">
      <c r="D387" s="677"/>
    </row>
    <row r="388" spans="4:4">
      <c r="D388" s="677"/>
    </row>
    <row r="389" spans="4:4">
      <c r="D389" s="677"/>
    </row>
    <row r="390" spans="4:4">
      <c r="D390" s="677"/>
    </row>
    <row r="391" spans="4:4">
      <c r="D391" s="677"/>
    </row>
    <row r="392" spans="4:4">
      <c r="D392" s="677"/>
    </row>
    <row r="393" spans="4:4">
      <c r="D393" s="677"/>
    </row>
    <row r="394" spans="4:4">
      <c r="D394" s="677"/>
    </row>
    <row r="395" spans="4:4">
      <c r="D395" s="677"/>
    </row>
    <row r="396" spans="4:4">
      <c r="D396" s="677"/>
    </row>
    <row r="397" spans="4:4">
      <c r="D397" s="677"/>
    </row>
    <row r="398" spans="4:4">
      <c r="D398" s="677"/>
    </row>
    <row r="399" spans="4:4">
      <c r="D399" s="677"/>
    </row>
    <row r="400" spans="4:4">
      <c r="D400" s="677"/>
    </row>
    <row r="401" spans="4:4">
      <c r="D401" s="677"/>
    </row>
    <row r="402" spans="4:4">
      <c r="D402" s="677"/>
    </row>
    <row r="403" spans="4:4">
      <c r="D403" s="677"/>
    </row>
    <row r="404" spans="4:4">
      <c r="D404" s="677"/>
    </row>
    <row r="405" spans="4:4">
      <c r="D405" s="677"/>
    </row>
    <row r="406" spans="4:4">
      <c r="D406" s="677"/>
    </row>
    <row r="407" spans="4:4">
      <c r="D407" s="677"/>
    </row>
    <row r="408" spans="4:4">
      <c r="D408" s="677"/>
    </row>
    <row r="409" spans="4:4">
      <c r="D409" s="677"/>
    </row>
    <row r="410" spans="4:4">
      <c r="D410" s="677"/>
    </row>
    <row r="411" spans="4:4">
      <c r="D411" s="677"/>
    </row>
    <row r="412" spans="4:4">
      <c r="D412" s="677"/>
    </row>
    <row r="413" spans="4:4">
      <c r="D413" s="677"/>
    </row>
    <row r="414" spans="4:4">
      <c r="D414" s="677"/>
    </row>
    <row r="415" spans="4:4">
      <c r="D415" s="677"/>
    </row>
    <row r="416" spans="4:4">
      <c r="D416" s="677"/>
    </row>
    <row r="417" spans="4:4">
      <c r="D417" s="677"/>
    </row>
    <row r="418" spans="4:4">
      <c r="D418" s="677"/>
    </row>
    <row r="419" spans="4:4">
      <c r="D419" s="677"/>
    </row>
    <row r="420" spans="4:4">
      <c r="D420" s="677"/>
    </row>
    <row r="421" spans="4:4">
      <c r="D421" s="677"/>
    </row>
    <row r="422" spans="4:4">
      <c r="D422" s="677"/>
    </row>
    <row r="423" spans="4:4">
      <c r="D423" s="677"/>
    </row>
    <row r="424" spans="4:4">
      <c r="D424" s="677"/>
    </row>
    <row r="425" spans="4:4">
      <c r="D425" s="677"/>
    </row>
    <row r="426" spans="4:4">
      <c r="D426" s="677"/>
    </row>
    <row r="427" spans="4:4">
      <c r="D427" s="677"/>
    </row>
    <row r="428" spans="4:4">
      <c r="D428" s="677"/>
    </row>
    <row r="429" spans="4:4">
      <c r="D429" s="677"/>
    </row>
    <row r="430" spans="4:4">
      <c r="D430" s="677"/>
    </row>
    <row r="431" spans="4:4">
      <c r="D431" s="677"/>
    </row>
    <row r="432" spans="4:4">
      <c r="D432" s="677"/>
    </row>
    <row r="433" spans="4:4">
      <c r="D433" s="677"/>
    </row>
    <row r="434" spans="4:4">
      <c r="D434" s="677"/>
    </row>
    <row r="435" spans="4:4">
      <c r="D435" s="677"/>
    </row>
    <row r="436" spans="4:4">
      <c r="D436" s="677"/>
    </row>
    <row r="437" spans="4:4">
      <c r="D437" s="677"/>
    </row>
    <row r="438" spans="4:4">
      <c r="D438" s="677"/>
    </row>
    <row r="439" spans="4:4">
      <c r="D439" s="677"/>
    </row>
    <row r="440" spans="4:4">
      <c r="D440" s="677"/>
    </row>
    <row r="441" spans="4:4">
      <c r="D441" s="677"/>
    </row>
    <row r="442" spans="4:4">
      <c r="D442" s="677"/>
    </row>
    <row r="443" spans="4:4">
      <c r="D443" s="677"/>
    </row>
    <row r="444" spans="4:4">
      <c r="D444" s="677"/>
    </row>
    <row r="445" spans="4:4">
      <c r="D445" s="677"/>
    </row>
    <row r="446" spans="4:4">
      <c r="D446" s="677"/>
    </row>
    <row r="447" spans="4:4">
      <c r="D447" s="677"/>
    </row>
    <row r="448" spans="4:4">
      <c r="D448" s="677"/>
    </row>
    <row r="449" spans="4:4">
      <c r="D449" s="677"/>
    </row>
    <row r="450" spans="4:4">
      <c r="D450" s="677"/>
    </row>
    <row r="451" spans="4:4">
      <c r="D451" s="677"/>
    </row>
    <row r="452" spans="4:4">
      <c r="D452" s="677"/>
    </row>
    <row r="453" spans="4:4">
      <c r="D453" s="677"/>
    </row>
    <row r="454" spans="4:4">
      <c r="D454" s="677"/>
    </row>
    <row r="455" spans="4:4">
      <c r="D455" s="677"/>
    </row>
    <row r="456" spans="4:4">
      <c r="D456" s="677"/>
    </row>
    <row r="457" spans="4:4">
      <c r="D457" s="677"/>
    </row>
    <row r="458" spans="4:4">
      <c r="D458" s="677"/>
    </row>
    <row r="459" spans="4:4">
      <c r="D459" s="677"/>
    </row>
    <row r="460" spans="4:4">
      <c r="D460" s="677"/>
    </row>
    <row r="461" spans="4:4">
      <c r="D461" s="677"/>
    </row>
    <row r="462" spans="4:4">
      <c r="D462" s="677"/>
    </row>
    <row r="463" spans="4:4">
      <c r="D463" s="677"/>
    </row>
    <row r="464" spans="4:4">
      <c r="D464" s="677"/>
    </row>
    <row r="465" spans="4:4">
      <c r="D465" s="677"/>
    </row>
    <row r="466" spans="4:4">
      <c r="D466" s="677"/>
    </row>
    <row r="467" spans="4:4">
      <c r="D467" s="677"/>
    </row>
    <row r="468" spans="4:4">
      <c r="D468" s="677"/>
    </row>
    <row r="469" spans="4:4">
      <c r="D469" s="677"/>
    </row>
    <row r="470" spans="4:4">
      <c r="D470" s="677"/>
    </row>
    <row r="471" spans="4:4">
      <c r="D471" s="677"/>
    </row>
    <row r="472" spans="4:4">
      <c r="D472" s="677"/>
    </row>
    <row r="473" spans="4:4">
      <c r="D473" s="677"/>
    </row>
    <row r="474" spans="4:4">
      <c r="D474" s="677"/>
    </row>
    <row r="475" spans="4:4">
      <c r="D475" s="677"/>
    </row>
    <row r="476" spans="4:4">
      <c r="D476" s="677"/>
    </row>
    <row r="477" spans="4:4">
      <c r="D477" s="677"/>
    </row>
    <row r="478" spans="4:4">
      <c r="D478" s="677"/>
    </row>
    <row r="479" spans="4:4">
      <c r="D479" s="677"/>
    </row>
    <row r="480" spans="4:4">
      <c r="D480" s="677"/>
    </row>
    <row r="481" spans="4:4">
      <c r="D481" s="677"/>
    </row>
    <row r="482" spans="4:4">
      <c r="D482" s="677"/>
    </row>
    <row r="483" spans="4:4">
      <c r="D483" s="677"/>
    </row>
    <row r="484" spans="4:4">
      <c r="D484" s="677"/>
    </row>
    <row r="485" spans="4:4">
      <c r="D485" s="677"/>
    </row>
    <row r="486" spans="4:4">
      <c r="D486" s="677"/>
    </row>
    <row r="487" spans="4:4">
      <c r="D487" s="677"/>
    </row>
    <row r="488" spans="4:4">
      <c r="D488" s="677"/>
    </row>
    <row r="489" spans="4:4">
      <c r="D489" s="677"/>
    </row>
    <row r="490" spans="4:4">
      <c r="D490" s="677"/>
    </row>
    <row r="491" spans="4:4">
      <c r="D491" s="677"/>
    </row>
    <row r="492" spans="4:4">
      <c r="D492" s="677"/>
    </row>
    <row r="493" spans="4:4">
      <c r="D493" s="677"/>
    </row>
    <row r="494" spans="4:4">
      <c r="D494" s="677"/>
    </row>
    <row r="495" spans="4:4">
      <c r="D495" s="677"/>
    </row>
    <row r="496" spans="4:4">
      <c r="D496" s="677"/>
    </row>
    <row r="497" spans="4:4">
      <c r="D497" s="677"/>
    </row>
    <row r="498" spans="4:4">
      <c r="D498" s="677"/>
    </row>
    <row r="499" spans="4:4">
      <c r="D499" s="677"/>
    </row>
    <row r="500" spans="4:4">
      <c r="D500" s="677"/>
    </row>
    <row r="501" spans="4:4">
      <c r="D501" s="677"/>
    </row>
    <row r="502" spans="4:4">
      <c r="D502" s="677"/>
    </row>
    <row r="503" spans="4:4">
      <c r="D503" s="677"/>
    </row>
    <row r="504" spans="4:4">
      <c r="D504" s="677"/>
    </row>
    <row r="505" spans="4:4">
      <c r="D505" s="677"/>
    </row>
    <row r="506" spans="4:4">
      <c r="D506" s="677"/>
    </row>
    <row r="507" spans="4:4">
      <c r="D507" s="677"/>
    </row>
    <row r="508" spans="4:4">
      <c r="D508" s="677"/>
    </row>
    <row r="509" spans="4:4">
      <c r="D509" s="677"/>
    </row>
    <row r="510" spans="4:4">
      <c r="D510" s="677"/>
    </row>
    <row r="511" spans="4:4">
      <c r="D511" s="677"/>
    </row>
    <row r="512" spans="4:4">
      <c r="D512" s="677"/>
    </row>
    <row r="513" spans="4:4">
      <c r="D513" s="677"/>
    </row>
    <row r="514" spans="4:4">
      <c r="D514" s="677"/>
    </row>
    <row r="515" spans="4:4">
      <c r="D515" s="677"/>
    </row>
    <row r="516" spans="4:4">
      <c r="D516" s="677"/>
    </row>
  </sheetData>
  <mergeCells count="4">
    <mergeCell ref="A33:C33"/>
    <mergeCell ref="A5:C5"/>
    <mergeCell ref="A28:C28"/>
    <mergeCell ref="A44:C44"/>
  </mergeCells>
  <pageMargins left="0.7" right="0.7" top="0.75" bottom="0.75" header="0.3" footer="0.3"/>
  <pageSetup paperSize="9" orientation="portrait"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H2:N61"/>
  <sheetViews>
    <sheetView topLeftCell="A16" zoomScale="80" zoomScaleNormal="80" workbookViewId="0">
      <selection activeCell="K17" sqref="K17"/>
    </sheetView>
  </sheetViews>
  <sheetFormatPr baseColWidth="10" defaultColWidth="8.83203125" defaultRowHeight="15"/>
  <cols>
    <col min="8" max="8" width="35.6640625" customWidth="1"/>
    <col min="9" max="9" width="17.83203125" customWidth="1"/>
    <col min="10" max="10" width="14" customWidth="1"/>
    <col min="11" max="11" width="40.83203125" customWidth="1"/>
    <col min="13" max="13" width="10.83203125" bestFit="1" customWidth="1"/>
  </cols>
  <sheetData>
    <row r="2" spans="8:14" ht="19" thickBot="1">
      <c r="H2" s="848" t="s">
        <v>5858</v>
      </c>
      <c r="I2" s="848"/>
      <c r="M2" s="289"/>
    </row>
    <row r="3" spans="8:14" ht="19" thickBot="1">
      <c r="H3" s="678" t="s">
        <v>5321</v>
      </c>
      <c r="I3" s="678">
        <v>13</v>
      </c>
      <c r="K3" s="235"/>
      <c r="L3" s="235" t="s">
        <v>5313</v>
      </c>
      <c r="M3" s="235" t="s">
        <v>5863</v>
      </c>
      <c r="N3" s="235" t="s">
        <v>5868</v>
      </c>
    </row>
    <row r="4" spans="8:14" ht="19" thickBot="1">
      <c r="H4" s="678" t="s">
        <v>5326</v>
      </c>
      <c r="I4" s="678">
        <v>2</v>
      </c>
      <c r="K4" s="235" t="s">
        <v>5314</v>
      </c>
      <c r="L4" s="235">
        <f>'строго ИБ'!N111</f>
        <v>167</v>
      </c>
      <c r="M4" s="235">
        <f>'смежные практики'!D34</f>
        <v>29</v>
      </c>
      <c r="N4" s="235">
        <f>SUM(L4:M4)</f>
        <v>196</v>
      </c>
    </row>
    <row r="5" spans="8:14" ht="19" thickBot="1">
      <c r="H5" s="678" t="s">
        <v>5320</v>
      </c>
      <c r="I5" s="678">
        <v>13</v>
      </c>
      <c r="K5" s="235" t="s">
        <v>5318</v>
      </c>
      <c r="L5" s="235">
        <f>'строго ИБ'!N112</f>
        <v>10</v>
      </c>
      <c r="M5" s="235">
        <v>28</v>
      </c>
      <c r="N5" s="235">
        <f t="shared" ref="N5:N6" si="0">SUM(L5:M5)</f>
        <v>38</v>
      </c>
    </row>
    <row r="6" spans="8:14" ht="19" thickBot="1">
      <c r="H6" s="678" t="s">
        <v>5316</v>
      </c>
      <c r="I6" s="678">
        <v>11</v>
      </c>
      <c r="K6" s="235" t="s">
        <v>5323</v>
      </c>
      <c r="L6" s="235">
        <f>'строго ИБ'!N113</f>
        <v>3</v>
      </c>
      <c r="M6" s="235">
        <f>'смежные практики'!D37</f>
        <v>10</v>
      </c>
      <c r="N6" s="235">
        <f t="shared" si="0"/>
        <v>13</v>
      </c>
    </row>
    <row r="7" spans="8:14" ht="18">
      <c r="H7" s="678" t="s">
        <v>5856</v>
      </c>
      <c r="I7" s="678">
        <v>4</v>
      </c>
    </row>
    <row r="8" spans="8:14" ht="18">
      <c r="H8" s="678" t="s">
        <v>5325</v>
      </c>
      <c r="I8" s="678">
        <v>3</v>
      </c>
    </row>
    <row r="9" spans="8:14" ht="18">
      <c r="H9" s="678" t="s">
        <v>5345</v>
      </c>
      <c r="I9" s="678">
        <v>5</v>
      </c>
    </row>
    <row r="10" spans="8:14" ht="18">
      <c r="H10" s="678" t="s">
        <v>5857</v>
      </c>
      <c r="I10" s="678">
        <v>18</v>
      </c>
    </row>
    <row r="11" spans="8:14" ht="18">
      <c r="H11" s="679" t="s">
        <v>5859</v>
      </c>
      <c r="I11" s="679">
        <f>'смежные практики'!D42</f>
        <v>69</v>
      </c>
      <c r="M11" s="682"/>
    </row>
    <row r="12" spans="8:14">
      <c r="M12" s="682"/>
    </row>
    <row r="13" spans="8:14">
      <c r="M13" s="682"/>
    </row>
    <row r="14" spans="8:14">
      <c r="M14" s="682"/>
    </row>
    <row r="15" spans="8:14" ht="16" thickBot="1"/>
    <row r="16" spans="8:14" ht="61.5" customHeight="1" thickBot="1">
      <c r="H16" s="847" t="s">
        <v>5865</v>
      </c>
      <c r="I16" s="847"/>
      <c r="J16" s="847"/>
    </row>
    <row r="17" spans="8:11" ht="19" thickBot="1">
      <c r="H17" s="235"/>
      <c r="I17" s="235">
        <v>2018</v>
      </c>
      <c r="J17" s="235">
        <v>2019</v>
      </c>
    </row>
    <row r="18" spans="8:11" ht="19" thickBot="1">
      <c r="H18" s="635" t="s">
        <v>5862</v>
      </c>
      <c r="I18" s="635">
        <v>102</v>
      </c>
      <c r="J18" s="635">
        <f>'свод субъектов ИБ+смежные'!O8</f>
        <v>102</v>
      </c>
    </row>
    <row r="19" spans="8:11" ht="18.5" customHeight="1" thickBot="1">
      <c r="H19" s="235" t="s">
        <v>5313</v>
      </c>
      <c r="I19" s="235">
        <f>'строго ИБ'!M11</f>
        <v>42</v>
      </c>
      <c r="J19" s="235">
        <f>'строго ИБ'!N11</f>
        <v>51</v>
      </c>
      <c r="K19" s="685"/>
    </row>
    <row r="20" spans="8:11" ht="19" thickBot="1">
      <c r="H20" s="235" t="s">
        <v>5863</v>
      </c>
      <c r="I20" s="235">
        <v>60</v>
      </c>
      <c r="J20" s="235">
        <f>'смежные практики'!D40</f>
        <v>51</v>
      </c>
      <c r="K20" s="685"/>
    </row>
    <row r="21" spans="8:11" ht="19" thickBot="1">
      <c r="H21" s="635" t="s">
        <v>5864</v>
      </c>
      <c r="I21" s="635">
        <v>91</v>
      </c>
      <c r="J21" s="635">
        <v>147</v>
      </c>
      <c r="K21" s="685"/>
    </row>
    <row r="22" spans="8:11" ht="19" thickBot="1">
      <c r="H22" s="235" t="s">
        <v>5313</v>
      </c>
      <c r="I22" s="235">
        <f>'строго ИБ'!M12</f>
        <v>65</v>
      </c>
      <c r="J22" s="235">
        <f>'строго ИБ'!N12</f>
        <v>129</v>
      </c>
      <c r="K22" s="685"/>
    </row>
    <row r="23" spans="8:11" ht="19" thickBot="1">
      <c r="H23" s="235" t="s">
        <v>5863</v>
      </c>
      <c r="I23" s="235">
        <v>26</v>
      </c>
      <c r="J23" s="235">
        <f>'смежные практики'!D41</f>
        <v>18</v>
      </c>
      <c r="K23" s="685"/>
    </row>
    <row r="26" spans="8:11" ht="16" thickBot="1"/>
    <row r="27" spans="8:11" ht="19" thickBot="1">
      <c r="H27" s="849" t="s">
        <v>5870</v>
      </c>
      <c r="I27" s="849"/>
      <c r="J27" s="849"/>
      <c r="K27" s="849"/>
    </row>
    <row r="28" spans="8:11" ht="19" thickBot="1">
      <c r="H28" s="235"/>
      <c r="I28" s="235" t="s">
        <v>5313</v>
      </c>
      <c r="J28" s="235" t="s">
        <v>5869</v>
      </c>
      <c r="K28" s="235" t="s">
        <v>5859</v>
      </c>
    </row>
    <row r="29" spans="8:11" ht="19" thickBot="1">
      <c r="H29" s="235" t="s">
        <v>4934</v>
      </c>
      <c r="I29" s="235">
        <f>'строго ИБ'!N18</f>
        <v>129</v>
      </c>
      <c r="J29" s="235">
        <f>'смежные практики'!D29</f>
        <v>18</v>
      </c>
      <c r="K29" s="235">
        <f>SUM(I29:J29)</f>
        <v>147</v>
      </c>
    </row>
    <row r="30" spans="8:11" ht="19" thickBot="1">
      <c r="H30" s="235" t="s">
        <v>4933</v>
      </c>
      <c r="I30" s="235">
        <f>'строго ИБ'!N17</f>
        <v>47</v>
      </c>
      <c r="J30" s="235">
        <f>'смежные практики'!D30</f>
        <v>27</v>
      </c>
      <c r="K30" s="235">
        <f t="shared" ref="K30:K31" si="1">SUM(I30:J30)</f>
        <v>74</v>
      </c>
    </row>
    <row r="31" spans="8:11" ht="19" thickBot="1">
      <c r="H31" s="235" t="s">
        <v>5317</v>
      </c>
      <c r="I31" s="235">
        <f>'строго ИБ'!N19</f>
        <v>3</v>
      </c>
      <c r="J31" s="235">
        <f>'смежные практики'!D31</f>
        <v>24</v>
      </c>
      <c r="K31" s="235">
        <f t="shared" si="1"/>
        <v>27</v>
      </c>
    </row>
    <row r="37" spans="8:12" ht="16" thickBot="1"/>
    <row r="38" spans="8:12" ht="19" thickBot="1">
      <c r="H38" s="847" t="s">
        <v>5877</v>
      </c>
      <c r="I38" s="847"/>
      <c r="K38" s="847" t="s">
        <v>5877</v>
      </c>
      <c r="L38" s="847"/>
    </row>
    <row r="39" spans="8:12" ht="20" thickBot="1">
      <c r="H39" s="684" t="s">
        <v>5876</v>
      </c>
      <c r="I39" s="236">
        <v>51</v>
      </c>
      <c r="K39" s="684" t="s">
        <v>5876</v>
      </c>
      <c r="L39" s="236">
        <v>60</v>
      </c>
    </row>
    <row r="40" spans="8:12" ht="20" thickBot="1">
      <c r="H40" s="236" t="s">
        <v>5349</v>
      </c>
      <c r="I40" s="236">
        <v>1</v>
      </c>
      <c r="K40" s="236" t="s">
        <v>5329</v>
      </c>
      <c r="L40" s="236">
        <v>1</v>
      </c>
    </row>
    <row r="41" spans="8:12" ht="20" thickBot="1">
      <c r="H41" s="236" t="s">
        <v>5350</v>
      </c>
      <c r="I41" s="236">
        <v>1</v>
      </c>
      <c r="K41" s="236" t="s">
        <v>5356</v>
      </c>
      <c r="L41" s="236">
        <v>1</v>
      </c>
    </row>
    <row r="42" spans="8:12" ht="20" thickBot="1">
      <c r="H42" s="236" t="s">
        <v>5324</v>
      </c>
      <c r="I42" s="236">
        <v>1</v>
      </c>
      <c r="K42" s="236" t="s">
        <v>5355</v>
      </c>
      <c r="L42" s="236">
        <v>1</v>
      </c>
    </row>
    <row r="43" spans="8:12" ht="18.5" customHeight="1" thickBot="1">
      <c r="H43" s="236" t="s">
        <v>5872</v>
      </c>
      <c r="I43" s="236">
        <v>1</v>
      </c>
      <c r="K43" s="236" t="s">
        <v>5334</v>
      </c>
      <c r="L43" s="236">
        <v>6</v>
      </c>
    </row>
    <row r="44" spans="8:12" ht="20" thickBot="1">
      <c r="H44" s="236" t="s">
        <v>5352</v>
      </c>
      <c r="I44" s="236">
        <v>1</v>
      </c>
      <c r="K44" s="236" t="s">
        <v>5873</v>
      </c>
      <c r="L44" s="236">
        <v>2</v>
      </c>
    </row>
    <row r="45" spans="8:12" ht="20" thickBot="1">
      <c r="H45" s="236" t="s">
        <v>5347</v>
      </c>
      <c r="I45" s="236">
        <v>2</v>
      </c>
      <c r="K45" s="236" t="s">
        <v>5874</v>
      </c>
      <c r="L45" s="236">
        <v>1</v>
      </c>
    </row>
    <row r="46" spans="8:12" ht="20" thickBot="1">
      <c r="H46" s="236" t="s">
        <v>5346</v>
      </c>
      <c r="I46" s="236">
        <v>1</v>
      </c>
      <c r="K46" s="236" t="s">
        <v>5319</v>
      </c>
      <c r="L46" s="236">
        <v>10</v>
      </c>
    </row>
    <row r="47" spans="8:12" ht="20" thickBot="1">
      <c r="H47" s="236" t="s">
        <v>5358</v>
      </c>
      <c r="I47" s="236">
        <v>1</v>
      </c>
      <c r="K47" s="236" t="s">
        <v>5339</v>
      </c>
      <c r="L47" s="236">
        <v>1</v>
      </c>
    </row>
    <row r="48" spans="8:12" ht="20" thickBot="1">
      <c r="H48" s="236" t="s">
        <v>5329</v>
      </c>
      <c r="I48" s="236">
        <v>1</v>
      </c>
      <c r="K48" s="236" t="s">
        <v>5322</v>
      </c>
      <c r="L48" s="236">
        <v>1</v>
      </c>
    </row>
    <row r="49" spans="8:12" ht="20" thickBot="1">
      <c r="H49" s="236" t="s">
        <v>5356</v>
      </c>
      <c r="I49" s="236">
        <v>1</v>
      </c>
      <c r="K49" s="236" t="s">
        <v>694</v>
      </c>
      <c r="L49" s="236">
        <v>15</v>
      </c>
    </row>
    <row r="50" spans="8:12" ht="20" thickBot="1">
      <c r="H50" s="236" t="s">
        <v>5355</v>
      </c>
      <c r="I50" s="236">
        <v>1</v>
      </c>
    </row>
    <row r="51" spans="8:12" ht="20" thickBot="1">
      <c r="H51" s="236" t="s">
        <v>5334</v>
      </c>
      <c r="I51" s="236">
        <v>4</v>
      </c>
    </row>
    <row r="52" spans="8:12" ht="39" thickBot="1">
      <c r="H52" s="236" t="s">
        <v>5337</v>
      </c>
      <c r="I52" s="236">
        <v>1</v>
      </c>
    </row>
    <row r="53" spans="8:12" ht="39" thickBot="1">
      <c r="H53" s="236" t="s">
        <v>5344</v>
      </c>
      <c r="I53" s="236">
        <v>1</v>
      </c>
    </row>
    <row r="54" spans="8:12" ht="39" thickBot="1">
      <c r="H54" s="236" t="s">
        <v>5873</v>
      </c>
      <c r="I54" s="236">
        <v>2</v>
      </c>
    </row>
    <row r="55" spans="8:12" ht="20" thickBot="1">
      <c r="H55" s="236" t="s">
        <v>5874</v>
      </c>
      <c r="I55" s="236">
        <v>1</v>
      </c>
    </row>
    <row r="56" spans="8:12" ht="20" thickBot="1">
      <c r="H56" s="236" t="s">
        <v>5319</v>
      </c>
      <c r="I56" s="236">
        <v>8</v>
      </c>
    </row>
    <row r="57" spans="8:12" ht="37" customHeight="1" thickBot="1">
      <c r="H57" s="236" t="s">
        <v>5875</v>
      </c>
      <c r="I57" s="236">
        <v>1</v>
      </c>
    </row>
    <row r="58" spans="8:12" ht="20" thickBot="1">
      <c r="H58" s="236" t="s">
        <v>5351</v>
      </c>
      <c r="I58" s="236">
        <v>1</v>
      </c>
    </row>
    <row r="59" spans="8:12" ht="20" thickBot="1">
      <c r="H59" s="236" t="s">
        <v>5339</v>
      </c>
      <c r="I59" s="236">
        <v>1</v>
      </c>
    </row>
    <row r="60" spans="8:12" ht="20" thickBot="1">
      <c r="H60" s="236" t="s">
        <v>5322</v>
      </c>
      <c r="I60" s="236">
        <v>1</v>
      </c>
    </row>
    <row r="61" spans="8:12" ht="20" thickBot="1">
      <c r="H61" s="236" t="s">
        <v>694</v>
      </c>
      <c r="I61" s="236">
        <v>15</v>
      </c>
    </row>
  </sheetData>
  <mergeCells count="5">
    <mergeCell ref="H38:I38"/>
    <mergeCell ref="K38:L38"/>
    <mergeCell ref="H2:I2"/>
    <mergeCell ref="H16:J16"/>
    <mergeCell ref="H27:K27"/>
  </mergeCells>
  <pageMargins left="0.7" right="0.7" top="0.75" bottom="0.75" header="0.3" footer="0.3"/>
  <pageSetup paperSize="9" orientation="portrait" horizontalDpi="4294967293" vertic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2B56A582FE7E634EA4FD3F2B5233041B" ma:contentTypeVersion="0" ma:contentTypeDescription="Создание документа." ma:contentTypeScope="" ma:versionID="fb3ab89348cf2467cd8c98b22dd1c46a">
  <xsd:schema xmlns:xsd="http://www.w3.org/2001/XMLSchema" xmlns:xs="http://www.w3.org/2001/XMLSchema" xmlns:p="http://schemas.microsoft.com/office/2006/metadata/properties" xmlns:ns2="b1e5bdc4-b57e-4af5-8c56-e26e352185e0" targetNamespace="http://schemas.microsoft.com/office/2006/metadata/properties" ma:root="true" ma:fieldsID="26131f79caf4b12bd81969d17b9aafd4" ns2:_="">
    <xsd:import namespace="b1e5bdc4-b57e-4af5-8c56-e26e352185e0"/>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e5bdc4-b57e-4af5-8c56-e26e352185e0"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b1e5bdc4-b57e-4af5-8c56-e26e352185e0">TF6NQPKX43ZY-1067403951-11366</_dlc_DocId>
    <_dlc_DocIdUrl xmlns="b1e5bdc4-b57e-4af5-8c56-e26e352185e0">
      <Url>https://v11-sp.nifi.ru/_layouts/15/DocIdRedir.aspx?ID=TF6NQPKX43ZY-1067403951-11366</Url>
      <Description>TF6NQPKX43ZY-1067403951-11366</Description>
    </_dlc_DocIdUrl>
  </documentManagement>
</p:properties>
</file>

<file path=customXml/itemProps1.xml><?xml version="1.0" encoding="utf-8"?>
<ds:datastoreItem xmlns:ds="http://schemas.openxmlformats.org/officeDocument/2006/customXml" ds:itemID="{029D4859-4F2A-4B01-9AEB-4674BBD846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1e5bdc4-b57e-4af5-8c56-e26e352185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0CC73E6-E129-4F14-A52F-92AD3B17308A}">
  <ds:schemaRefs>
    <ds:schemaRef ds:uri="http://schemas.microsoft.com/sharepoint/events"/>
  </ds:schemaRefs>
</ds:datastoreItem>
</file>

<file path=customXml/itemProps3.xml><?xml version="1.0" encoding="utf-8"?>
<ds:datastoreItem xmlns:ds="http://schemas.openxmlformats.org/officeDocument/2006/customXml" ds:itemID="{DA1C0691-0DAE-4C8C-881F-147F03D021F8}">
  <ds:schemaRefs>
    <ds:schemaRef ds:uri="http://schemas.microsoft.com/sharepoint/v3/contenttype/forms"/>
  </ds:schemaRefs>
</ds:datastoreItem>
</file>

<file path=customXml/itemProps4.xml><?xml version="1.0" encoding="utf-8"?>
<ds:datastoreItem xmlns:ds="http://schemas.openxmlformats.org/officeDocument/2006/customXml" ds:itemID="{996EA30E-0201-43A8-980C-87BC0355EFB3}">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b1e5bdc4-b57e-4af5-8c56-e26e352185e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Листы</vt:lpstr>
      </vt:variant>
      <vt:variant>
        <vt:i4>9</vt:i4>
      </vt:variant>
    </vt:vector>
  </HeadingPairs>
  <TitlesOfParts>
    <vt:vector size="9" baseType="lpstr">
      <vt:lpstr>свод практик</vt:lpstr>
      <vt:lpstr>свод субъектов ИБ+смежные</vt:lpstr>
      <vt:lpstr>Таблицы ИБ+смежные</vt:lpstr>
      <vt:lpstr>округа</vt:lpstr>
      <vt:lpstr>мун практики</vt:lpstr>
      <vt:lpstr>строго ИБ</vt:lpstr>
      <vt:lpstr>таблицы строго ИБ</vt:lpstr>
      <vt:lpstr>смежные практики</vt:lpstr>
      <vt:lpstr>таблицы по типологиям</vt:lpstr>
    </vt:vector>
  </TitlesOfParts>
  <Company>SPecialiST RePack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IZIB</dc:creator>
  <cp:lastModifiedBy>Паксиваткина Валерия Александровна</cp:lastModifiedBy>
  <cp:lastPrinted>2019-04-24T16:31:17Z</cp:lastPrinted>
  <dcterms:created xsi:type="dcterms:W3CDTF">2019-03-17T21:47:29Z</dcterms:created>
  <dcterms:modified xsi:type="dcterms:W3CDTF">2022-11-04T09:41:35Z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0x0101002B56A582FE7E634EA4FD3F2B5233041B</vt:lpwstr>
  </property>
  <property fmtid="{D5CDD505-2E9C-101B-9397-08002B2CF9AE}" pid="3" name="_dlc_DocIdItemGuid">
    <vt:lpwstr>ae454a72-7c08-4999-9758-27b4c193096e</vt:lpwstr>
  </property>
</Properties>
</file>